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yecciones/Proyecciones-S-OP/Internacional/"/>
    </mc:Choice>
  </mc:AlternateContent>
  <xr:revisionPtr revIDLastSave="0" documentId="13_ncr:1_{FA72274A-8DB7-BA45-A6CD-174CDEA57383}" xr6:coauthVersionLast="47" xr6:coauthVersionMax="47" xr10:uidLastSave="{00000000-0000-0000-0000-000000000000}"/>
  <bookViews>
    <workbookView xWindow="0" yWindow="0" windowWidth="35840" windowHeight="22400" activeTab="1" xr2:uid="{00000000-000D-0000-FFFF-FFFF00000000}"/>
  </bookViews>
  <sheets>
    <sheet name="Hoja2" sheetId="6" r:id="rId1"/>
    <sheet name="Rango proyecciones" sheetId="1" r:id="rId2"/>
    <sheet name="Stock - Oficina" sheetId="2" r:id="rId3"/>
    <sheet name="Stock - ETA" sheetId="3" r:id="rId4"/>
    <sheet name="Stock - Puerto Chile" sheetId="4" r:id="rId5"/>
  </sheets>
  <externalReferences>
    <externalReference r:id="rId6"/>
  </externalReferences>
  <definedNames>
    <definedName name="_xlnm._FilterDatabase" localSheetId="1" hidden="1">'Rango proyecciones'!$A$2:$Q$341</definedName>
  </definedNames>
  <calcPr calcId="191029"/>
  <pivotCaches>
    <pivotCache cacheId="8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6" l="1"/>
  <c r="F19" i="6"/>
  <c r="J14" i="6"/>
  <c r="G19" i="6"/>
  <c r="J10" i="6"/>
  <c r="J11" i="6"/>
  <c r="J12" i="6"/>
  <c r="J13" i="6"/>
  <c r="J9" i="6"/>
  <c r="R9" i="4" l="1"/>
  <c r="Q2" i="4"/>
  <c r="N973" i="4"/>
  <c r="L973" i="4"/>
  <c r="N972" i="4"/>
  <c r="L972" i="4"/>
  <c r="N971" i="4"/>
  <c r="L971" i="4"/>
  <c r="N970" i="4"/>
  <c r="L970" i="4"/>
  <c r="N969" i="4"/>
  <c r="L969" i="4"/>
  <c r="N968" i="4"/>
  <c r="L968" i="4"/>
  <c r="N967" i="4"/>
  <c r="L967" i="4"/>
  <c r="N966" i="4"/>
  <c r="L966" i="4"/>
  <c r="N965" i="4"/>
  <c r="L965" i="4"/>
  <c r="N964" i="4"/>
  <c r="L964" i="4"/>
  <c r="N963" i="4"/>
  <c r="L963" i="4"/>
  <c r="N962" i="4"/>
  <c r="L962" i="4"/>
  <c r="N961" i="4"/>
  <c r="L961" i="4"/>
  <c r="N960" i="4"/>
  <c r="L960" i="4"/>
  <c r="N959" i="4"/>
  <c r="L959" i="4"/>
  <c r="N958" i="4"/>
  <c r="L958" i="4"/>
  <c r="N957" i="4"/>
  <c r="L957" i="4"/>
  <c r="N956" i="4"/>
  <c r="L956" i="4"/>
  <c r="N955" i="4"/>
  <c r="L955" i="4"/>
  <c r="N954" i="4"/>
  <c r="L954" i="4"/>
  <c r="N953" i="4"/>
  <c r="L953" i="4"/>
  <c r="N952" i="4"/>
  <c r="L952" i="4"/>
  <c r="N951" i="4"/>
  <c r="L951" i="4"/>
  <c r="N950" i="4"/>
  <c r="L950" i="4"/>
  <c r="N949" i="4"/>
  <c r="L949" i="4"/>
  <c r="N948" i="4"/>
  <c r="L948" i="4"/>
  <c r="N947" i="4"/>
  <c r="L947" i="4"/>
  <c r="N946" i="4"/>
  <c r="L946" i="4"/>
  <c r="N945" i="4"/>
  <c r="L945" i="4"/>
  <c r="N944" i="4"/>
  <c r="L944" i="4"/>
  <c r="N943" i="4"/>
  <c r="L943" i="4"/>
  <c r="N942" i="4"/>
  <c r="L942" i="4"/>
  <c r="N941" i="4"/>
  <c r="L941" i="4"/>
  <c r="N940" i="4"/>
  <c r="L940" i="4"/>
  <c r="N939" i="4"/>
  <c r="L939" i="4"/>
  <c r="N938" i="4"/>
  <c r="L938" i="4"/>
  <c r="N937" i="4"/>
  <c r="L937" i="4"/>
  <c r="N936" i="4"/>
  <c r="L936" i="4"/>
  <c r="N935" i="4"/>
  <c r="L935" i="4"/>
  <c r="N934" i="4"/>
  <c r="L934" i="4"/>
  <c r="N933" i="4"/>
  <c r="L933" i="4"/>
  <c r="N932" i="4"/>
  <c r="L932" i="4"/>
  <c r="N931" i="4"/>
  <c r="L931" i="4"/>
  <c r="N930" i="4"/>
  <c r="L930" i="4"/>
  <c r="N929" i="4"/>
  <c r="L929" i="4"/>
  <c r="N928" i="4"/>
  <c r="L928" i="4"/>
  <c r="N927" i="4"/>
  <c r="L927" i="4"/>
  <c r="N926" i="4"/>
  <c r="L926" i="4"/>
  <c r="N925" i="4"/>
  <c r="L925" i="4"/>
  <c r="N924" i="4"/>
  <c r="L924" i="4"/>
  <c r="N923" i="4"/>
  <c r="L923" i="4"/>
  <c r="N922" i="4"/>
  <c r="L922" i="4"/>
  <c r="N921" i="4"/>
  <c r="L921" i="4"/>
  <c r="N920" i="4"/>
  <c r="L920" i="4"/>
  <c r="N919" i="4"/>
  <c r="L919" i="4"/>
  <c r="N918" i="4"/>
  <c r="L918" i="4"/>
  <c r="N917" i="4"/>
  <c r="L917" i="4"/>
  <c r="N916" i="4"/>
  <c r="L916" i="4"/>
  <c r="N915" i="4"/>
  <c r="L915" i="4"/>
  <c r="N914" i="4"/>
  <c r="L914" i="4"/>
  <c r="N913" i="4"/>
  <c r="L913" i="4"/>
  <c r="N912" i="4"/>
  <c r="L912" i="4"/>
  <c r="N911" i="4"/>
  <c r="L911" i="4"/>
  <c r="N910" i="4"/>
  <c r="L910" i="4"/>
  <c r="N909" i="4"/>
  <c r="L909" i="4"/>
  <c r="N908" i="4"/>
  <c r="L908" i="4"/>
  <c r="N907" i="4"/>
  <c r="L907" i="4"/>
  <c r="N906" i="4"/>
  <c r="L906" i="4"/>
  <c r="N905" i="4"/>
  <c r="L905" i="4"/>
  <c r="N904" i="4"/>
  <c r="L904" i="4"/>
  <c r="N903" i="4"/>
  <c r="L903" i="4"/>
  <c r="N902" i="4"/>
  <c r="L902" i="4"/>
  <c r="N901" i="4"/>
  <c r="L901" i="4"/>
  <c r="N900" i="4"/>
  <c r="L900" i="4"/>
  <c r="N899" i="4"/>
  <c r="L899" i="4"/>
  <c r="N898" i="4"/>
  <c r="L898" i="4"/>
  <c r="N897" i="4"/>
  <c r="L897" i="4"/>
  <c r="N896" i="4"/>
  <c r="L896" i="4"/>
  <c r="N895" i="4"/>
  <c r="L895" i="4"/>
  <c r="N894" i="4"/>
  <c r="L894" i="4"/>
  <c r="N893" i="4"/>
  <c r="L893" i="4"/>
  <c r="N892" i="4"/>
  <c r="L892" i="4"/>
  <c r="N891" i="4"/>
  <c r="L891" i="4"/>
  <c r="N890" i="4"/>
  <c r="L890" i="4"/>
  <c r="N889" i="4"/>
  <c r="L889" i="4"/>
  <c r="N888" i="4"/>
  <c r="L888" i="4"/>
  <c r="N887" i="4"/>
  <c r="L887" i="4"/>
  <c r="N886" i="4"/>
  <c r="L886" i="4"/>
  <c r="N885" i="4"/>
  <c r="L885" i="4"/>
  <c r="N884" i="4"/>
  <c r="L884" i="4"/>
  <c r="N883" i="4"/>
  <c r="L883" i="4"/>
  <c r="N882" i="4"/>
  <c r="L882" i="4"/>
  <c r="N881" i="4"/>
  <c r="L881" i="4"/>
  <c r="N880" i="4"/>
  <c r="L880" i="4"/>
  <c r="N879" i="4"/>
  <c r="L879" i="4"/>
  <c r="N878" i="4"/>
  <c r="L878" i="4"/>
  <c r="N877" i="4"/>
  <c r="L877" i="4"/>
  <c r="N876" i="4"/>
  <c r="L876" i="4"/>
  <c r="N875" i="4"/>
  <c r="L875" i="4"/>
  <c r="N874" i="4"/>
  <c r="L874" i="4"/>
  <c r="N873" i="4"/>
  <c r="L873" i="4"/>
  <c r="N872" i="4"/>
  <c r="L872" i="4"/>
  <c r="N871" i="4"/>
  <c r="L871" i="4"/>
  <c r="N870" i="4"/>
  <c r="L870" i="4"/>
  <c r="N869" i="4"/>
  <c r="L869" i="4"/>
  <c r="N868" i="4"/>
  <c r="L868" i="4"/>
  <c r="N867" i="4"/>
  <c r="L867" i="4"/>
  <c r="N866" i="4"/>
  <c r="L866" i="4"/>
  <c r="N865" i="4"/>
  <c r="L865" i="4"/>
  <c r="N864" i="4"/>
  <c r="L864" i="4"/>
  <c r="N863" i="4"/>
  <c r="L863" i="4"/>
  <c r="N862" i="4"/>
  <c r="L862" i="4"/>
  <c r="N861" i="4"/>
  <c r="L861" i="4"/>
  <c r="N860" i="4"/>
  <c r="L860" i="4"/>
  <c r="N859" i="4"/>
  <c r="L859" i="4"/>
  <c r="N858" i="4"/>
  <c r="L858" i="4"/>
  <c r="N857" i="4"/>
  <c r="L857" i="4"/>
  <c r="N856" i="4"/>
  <c r="L856" i="4"/>
  <c r="N855" i="4"/>
  <c r="L855" i="4"/>
  <c r="N854" i="4"/>
  <c r="L854" i="4"/>
  <c r="N853" i="4"/>
  <c r="L853" i="4"/>
  <c r="N852" i="4"/>
  <c r="L852" i="4"/>
  <c r="N851" i="4"/>
  <c r="L851" i="4"/>
  <c r="N850" i="4"/>
  <c r="L850" i="4"/>
  <c r="N849" i="4"/>
  <c r="L849" i="4"/>
  <c r="N848" i="4"/>
  <c r="L848" i="4"/>
  <c r="N847" i="4"/>
  <c r="L847" i="4"/>
  <c r="N846" i="4"/>
  <c r="L846" i="4"/>
  <c r="N845" i="4"/>
  <c r="L845" i="4"/>
  <c r="N844" i="4"/>
  <c r="L844" i="4"/>
  <c r="N843" i="4"/>
  <c r="L843" i="4"/>
  <c r="N842" i="4"/>
  <c r="L842" i="4"/>
  <c r="N841" i="4"/>
  <c r="L841" i="4"/>
  <c r="N840" i="4"/>
  <c r="L840" i="4"/>
  <c r="N839" i="4"/>
  <c r="L839" i="4"/>
  <c r="N838" i="4"/>
  <c r="L838" i="4"/>
  <c r="N837" i="4"/>
  <c r="L837" i="4"/>
  <c r="N836" i="4"/>
  <c r="L836" i="4"/>
  <c r="N835" i="4"/>
  <c r="L835" i="4"/>
  <c r="N834" i="4"/>
  <c r="L834" i="4"/>
  <c r="N833" i="4"/>
  <c r="L833" i="4"/>
  <c r="N832" i="4"/>
  <c r="L832" i="4"/>
  <c r="N831" i="4"/>
  <c r="L831" i="4"/>
  <c r="N830" i="4"/>
  <c r="L830" i="4"/>
  <c r="N829" i="4"/>
  <c r="L829" i="4"/>
  <c r="N828" i="4"/>
  <c r="L828" i="4"/>
  <c r="N827" i="4"/>
  <c r="L827" i="4"/>
  <c r="N826" i="4"/>
  <c r="L826" i="4"/>
  <c r="N825" i="4"/>
  <c r="L825" i="4"/>
  <c r="N824" i="4"/>
  <c r="L824" i="4"/>
  <c r="N823" i="4"/>
  <c r="L823" i="4"/>
  <c r="N822" i="4"/>
  <c r="L822" i="4"/>
  <c r="N821" i="4"/>
  <c r="L821" i="4"/>
  <c r="N820" i="4"/>
  <c r="L820" i="4"/>
  <c r="N819" i="4"/>
  <c r="L819" i="4"/>
  <c r="N818" i="4"/>
  <c r="L818" i="4"/>
  <c r="N817" i="4"/>
  <c r="L817" i="4"/>
  <c r="N816" i="4"/>
  <c r="L816" i="4"/>
  <c r="N815" i="4"/>
  <c r="L815" i="4"/>
  <c r="N814" i="4"/>
  <c r="L814" i="4"/>
  <c r="N813" i="4"/>
  <c r="L813" i="4"/>
  <c r="N812" i="4"/>
  <c r="L812" i="4"/>
  <c r="N811" i="4"/>
  <c r="L811" i="4"/>
  <c r="N810" i="4"/>
  <c r="L810" i="4"/>
  <c r="N809" i="4"/>
  <c r="L809" i="4"/>
  <c r="N808" i="4"/>
  <c r="L808" i="4"/>
  <c r="N807" i="4"/>
  <c r="L807" i="4"/>
  <c r="N806" i="4"/>
  <c r="L806" i="4"/>
  <c r="N805" i="4"/>
  <c r="L805" i="4"/>
  <c r="N804" i="4"/>
  <c r="L804" i="4"/>
  <c r="N803" i="4"/>
  <c r="L803" i="4"/>
  <c r="N802" i="4"/>
  <c r="L802" i="4"/>
  <c r="N801" i="4"/>
  <c r="L801" i="4"/>
  <c r="N800" i="4"/>
  <c r="L800" i="4"/>
  <c r="N799" i="4"/>
  <c r="L799" i="4"/>
  <c r="N798" i="4"/>
  <c r="L798" i="4"/>
  <c r="N797" i="4"/>
  <c r="L797" i="4"/>
  <c r="N796" i="4"/>
  <c r="L796" i="4"/>
  <c r="N795" i="4"/>
  <c r="L795" i="4"/>
  <c r="N794" i="4"/>
  <c r="L794" i="4"/>
  <c r="N793" i="4"/>
  <c r="L793" i="4"/>
  <c r="N792" i="4"/>
  <c r="L792" i="4"/>
  <c r="N791" i="4"/>
  <c r="L791" i="4"/>
  <c r="N790" i="4"/>
  <c r="L790" i="4"/>
  <c r="N789" i="4"/>
  <c r="L789" i="4"/>
  <c r="N788" i="4"/>
  <c r="L788" i="4"/>
  <c r="N787" i="4"/>
  <c r="L787" i="4"/>
  <c r="N786" i="4"/>
  <c r="L786" i="4"/>
  <c r="N785" i="4"/>
  <c r="L785" i="4"/>
  <c r="N784" i="4"/>
  <c r="L784" i="4"/>
  <c r="N783" i="4"/>
  <c r="L783" i="4"/>
  <c r="N782" i="4"/>
  <c r="L782" i="4"/>
  <c r="N781" i="4"/>
  <c r="L781" i="4"/>
  <c r="N780" i="4"/>
  <c r="L780" i="4"/>
  <c r="N779" i="4"/>
  <c r="L779" i="4"/>
  <c r="N778" i="4"/>
  <c r="L778" i="4"/>
  <c r="N777" i="4"/>
  <c r="L777" i="4"/>
  <c r="N776" i="4"/>
  <c r="L776" i="4"/>
  <c r="N775" i="4"/>
  <c r="L775" i="4"/>
  <c r="N774" i="4"/>
  <c r="L774" i="4"/>
  <c r="N773" i="4"/>
  <c r="L773" i="4"/>
  <c r="N772" i="4"/>
  <c r="L772" i="4"/>
  <c r="N771" i="4"/>
  <c r="L771" i="4"/>
  <c r="N770" i="4"/>
  <c r="L770" i="4"/>
  <c r="N769" i="4"/>
  <c r="L769" i="4"/>
  <c r="N768" i="4"/>
  <c r="L768" i="4"/>
  <c r="N767" i="4"/>
  <c r="L767" i="4"/>
  <c r="N766" i="4"/>
  <c r="L766" i="4"/>
  <c r="N765" i="4"/>
  <c r="L765" i="4"/>
  <c r="N764" i="4"/>
  <c r="L764" i="4"/>
  <c r="N763" i="4"/>
  <c r="L763" i="4"/>
  <c r="N762" i="4"/>
  <c r="L762" i="4"/>
  <c r="N761" i="4"/>
  <c r="L761" i="4"/>
  <c r="N760" i="4"/>
  <c r="L760" i="4"/>
  <c r="N759" i="4"/>
  <c r="L759" i="4"/>
  <c r="N758" i="4"/>
  <c r="L758" i="4"/>
  <c r="N757" i="4"/>
  <c r="L757" i="4"/>
  <c r="N756" i="4"/>
  <c r="L756" i="4"/>
  <c r="N755" i="4"/>
  <c r="L755" i="4"/>
  <c r="N754" i="4"/>
  <c r="L754" i="4"/>
  <c r="N753" i="4"/>
  <c r="L753" i="4"/>
  <c r="N752" i="4"/>
  <c r="L752" i="4"/>
  <c r="N751" i="4"/>
  <c r="L751" i="4"/>
  <c r="N750" i="4"/>
  <c r="L750" i="4"/>
  <c r="N749" i="4"/>
  <c r="L749" i="4"/>
  <c r="N748" i="4"/>
  <c r="L748" i="4"/>
  <c r="N747" i="4"/>
  <c r="L747" i="4"/>
  <c r="N746" i="4"/>
  <c r="L746" i="4"/>
  <c r="N745" i="4"/>
  <c r="L745" i="4"/>
  <c r="N744" i="4"/>
  <c r="L744" i="4"/>
  <c r="N743" i="4"/>
  <c r="L743" i="4"/>
  <c r="N742" i="4"/>
  <c r="L742" i="4"/>
  <c r="N741" i="4"/>
  <c r="L741" i="4"/>
  <c r="N740" i="4"/>
  <c r="L740" i="4"/>
  <c r="N739" i="4"/>
  <c r="L739" i="4"/>
  <c r="N738" i="4"/>
  <c r="L738" i="4"/>
  <c r="N737" i="4"/>
  <c r="L737" i="4"/>
  <c r="N736" i="4"/>
  <c r="L736" i="4"/>
  <c r="N735" i="4"/>
  <c r="L735" i="4"/>
  <c r="N734" i="4"/>
  <c r="L734" i="4"/>
  <c r="N733" i="4"/>
  <c r="L733" i="4"/>
  <c r="N732" i="4"/>
  <c r="L732" i="4"/>
  <c r="N731" i="4"/>
  <c r="L731" i="4"/>
  <c r="N730" i="4"/>
  <c r="L730" i="4"/>
  <c r="N729" i="4"/>
  <c r="L729" i="4"/>
  <c r="N728" i="4"/>
  <c r="L728" i="4"/>
  <c r="N727" i="4"/>
  <c r="L727" i="4"/>
  <c r="N726" i="4"/>
  <c r="L726" i="4"/>
  <c r="N725" i="4"/>
  <c r="L725" i="4"/>
  <c r="N724" i="4"/>
  <c r="L724" i="4"/>
  <c r="N723" i="4"/>
  <c r="L723" i="4"/>
  <c r="N722" i="4"/>
  <c r="L722" i="4"/>
  <c r="N721" i="4"/>
  <c r="L721" i="4"/>
  <c r="N720" i="4"/>
  <c r="L720" i="4"/>
  <c r="N719" i="4"/>
  <c r="L719" i="4"/>
  <c r="N718" i="4"/>
  <c r="L718" i="4"/>
  <c r="N717" i="4"/>
  <c r="L717" i="4"/>
  <c r="N716" i="4"/>
  <c r="L716" i="4"/>
  <c r="N715" i="4"/>
  <c r="L715" i="4"/>
  <c r="N714" i="4"/>
  <c r="L714" i="4"/>
  <c r="N713" i="4"/>
  <c r="L713" i="4"/>
  <c r="N712" i="4"/>
  <c r="L712" i="4"/>
  <c r="N711" i="4"/>
  <c r="L711" i="4"/>
  <c r="N710" i="4"/>
  <c r="L710" i="4"/>
  <c r="N709" i="4"/>
  <c r="L709" i="4"/>
  <c r="N708" i="4"/>
  <c r="L708" i="4"/>
  <c r="N707" i="4"/>
  <c r="L707" i="4"/>
  <c r="N706" i="4"/>
  <c r="L706" i="4"/>
  <c r="N705" i="4"/>
  <c r="L705" i="4"/>
  <c r="N704" i="4"/>
  <c r="L704" i="4"/>
  <c r="N703" i="4"/>
  <c r="L703" i="4"/>
  <c r="N702" i="4"/>
  <c r="L702" i="4"/>
  <c r="N701" i="4"/>
  <c r="L701" i="4"/>
  <c r="N700" i="4"/>
  <c r="L700" i="4"/>
  <c r="N699" i="4"/>
  <c r="L699" i="4"/>
  <c r="N698" i="4"/>
  <c r="L698" i="4"/>
  <c r="N697" i="4"/>
  <c r="L697" i="4"/>
  <c r="N696" i="4"/>
  <c r="L696" i="4"/>
  <c r="N695" i="4"/>
  <c r="L695" i="4"/>
  <c r="N694" i="4"/>
  <c r="L694" i="4"/>
  <c r="N693" i="4"/>
  <c r="L693" i="4"/>
  <c r="N692" i="4"/>
  <c r="L692" i="4"/>
  <c r="N691" i="4"/>
  <c r="L691" i="4"/>
  <c r="N690" i="4"/>
  <c r="L690" i="4"/>
  <c r="N689" i="4"/>
  <c r="L689" i="4"/>
  <c r="N688" i="4"/>
  <c r="L688" i="4"/>
  <c r="N687" i="4"/>
  <c r="L687" i="4"/>
  <c r="N686" i="4"/>
  <c r="L686" i="4"/>
  <c r="N685" i="4"/>
  <c r="L685" i="4"/>
  <c r="N684" i="4"/>
  <c r="L684" i="4"/>
  <c r="N683" i="4"/>
  <c r="L683" i="4"/>
  <c r="N682" i="4"/>
  <c r="L682" i="4"/>
  <c r="N681" i="4"/>
  <c r="L681" i="4"/>
  <c r="N680" i="4"/>
  <c r="L680" i="4"/>
  <c r="N679" i="4"/>
  <c r="L679" i="4"/>
  <c r="N678" i="4"/>
  <c r="L678" i="4"/>
  <c r="N677" i="4"/>
  <c r="L677" i="4"/>
  <c r="N676" i="4"/>
  <c r="L676" i="4"/>
  <c r="N675" i="4"/>
  <c r="L675" i="4"/>
  <c r="N674" i="4"/>
  <c r="L674" i="4"/>
  <c r="N673" i="4"/>
  <c r="L673" i="4"/>
  <c r="N672" i="4"/>
  <c r="L672" i="4"/>
  <c r="N671" i="4"/>
  <c r="L671" i="4"/>
  <c r="N670" i="4"/>
  <c r="L670" i="4"/>
  <c r="N669" i="4"/>
  <c r="L669" i="4"/>
  <c r="N668" i="4"/>
  <c r="L668" i="4"/>
  <c r="N667" i="4"/>
  <c r="L667" i="4"/>
  <c r="N666" i="4"/>
  <c r="L666" i="4"/>
  <c r="N665" i="4"/>
  <c r="L665" i="4"/>
  <c r="N664" i="4"/>
  <c r="L664" i="4"/>
  <c r="N663" i="4"/>
  <c r="L663" i="4"/>
  <c r="N662" i="4"/>
  <c r="L662" i="4"/>
  <c r="N661" i="4"/>
  <c r="L661" i="4"/>
  <c r="N660" i="4"/>
  <c r="L660" i="4"/>
  <c r="N659" i="4"/>
  <c r="L659" i="4"/>
  <c r="N658" i="4"/>
  <c r="L658" i="4"/>
  <c r="N657" i="4"/>
  <c r="L657" i="4"/>
  <c r="N656" i="4"/>
  <c r="L656" i="4"/>
  <c r="N655" i="4"/>
  <c r="L655" i="4"/>
  <c r="N654" i="4"/>
  <c r="L654" i="4"/>
  <c r="N653" i="4"/>
  <c r="L653" i="4"/>
  <c r="N652" i="4"/>
  <c r="L652" i="4"/>
  <c r="N651" i="4"/>
  <c r="L651" i="4"/>
  <c r="N650" i="4"/>
  <c r="L650" i="4"/>
  <c r="N649" i="4"/>
  <c r="L649" i="4"/>
  <c r="N648" i="4"/>
  <c r="L648" i="4"/>
  <c r="N647" i="4"/>
  <c r="L647" i="4"/>
  <c r="N646" i="4"/>
  <c r="L646" i="4"/>
  <c r="N645" i="4"/>
  <c r="L645" i="4"/>
  <c r="N644" i="4"/>
  <c r="L644" i="4"/>
  <c r="N643" i="4"/>
  <c r="L643" i="4"/>
  <c r="N642" i="4"/>
  <c r="L642" i="4"/>
  <c r="N641" i="4"/>
  <c r="L641" i="4"/>
  <c r="N640" i="4"/>
  <c r="L640" i="4"/>
  <c r="N639" i="4"/>
  <c r="L639" i="4"/>
  <c r="N638" i="4"/>
  <c r="L638" i="4"/>
  <c r="N637" i="4"/>
  <c r="L637" i="4"/>
  <c r="N636" i="4"/>
  <c r="L636" i="4"/>
  <c r="N635" i="4"/>
  <c r="L635" i="4"/>
  <c r="N634" i="4"/>
  <c r="L634" i="4"/>
  <c r="N633" i="4"/>
  <c r="L633" i="4"/>
  <c r="N632" i="4"/>
  <c r="L632" i="4"/>
  <c r="N631" i="4"/>
  <c r="L631" i="4"/>
  <c r="N630" i="4"/>
  <c r="L630" i="4"/>
  <c r="N629" i="4"/>
  <c r="L629" i="4"/>
  <c r="N628" i="4"/>
  <c r="L628" i="4"/>
  <c r="N627" i="4"/>
  <c r="L627" i="4"/>
  <c r="N626" i="4"/>
  <c r="L626" i="4"/>
  <c r="N625" i="4"/>
  <c r="L625" i="4"/>
  <c r="N624" i="4"/>
  <c r="L624" i="4"/>
  <c r="N623" i="4"/>
  <c r="L623" i="4"/>
  <c r="N622" i="4"/>
  <c r="L622" i="4"/>
  <c r="N621" i="4"/>
  <c r="L621" i="4"/>
  <c r="N620" i="4"/>
  <c r="L620" i="4"/>
  <c r="N619" i="4"/>
  <c r="L619" i="4"/>
  <c r="N618" i="4"/>
  <c r="L618" i="4"/>
  <c r="N617" i="4"/>
  <c r="L617" i="4"/>
  <c r="N616" i="4"/>
  <c r="L616" i="4"/>
  <c r="N615" i="4"/>
  <c r="L615" i="4"/>
  <c r="N614" i="4"/>
  <c r="L614" i="4"/>
  <c r="N613" i="4"/>
  <c r="L613" i="4"/>
  <c r="N612" i="4"/>
  <c r="L612" i="4"/>
  <c r="N611" i="4"/>
  <c r="L611" i="4"/>
  <c r="N610" i="4"/>
  <c r="L610" i="4"/>
  <c r="N609" i="4"/>
  <c r="L609" i="4"/>
  <c r="N608" i="4"/>
  <c r="L608" i="4"/>
  <c r="N607" i="4"/>
  <c r="L607" i="4"/>
  <c r="N606" i="4"/>
  <c r="L606" i="4"/>
  <c r="N605" i="4"/>
  <c r="L605" i="4"/>
  <c r="N604" i="4"/>
  <c r="L604" i="4"/>
  <c r="N603" i="4"/>
  <c r="L603" i="4"/>
  <c r="N602" i="4"/>
  <c r="L602" i="4"/>
  <c r="N601" i="4"/>
  <c r="L601" i="4"/>
  <c r="N600" i="4"/>
  <c r="L600" i="4"/>
  <c r="N599" i="4"/>
  <c r="L599" i="4"/>
  <c r="N598" i="4"/>
  <c r="L598" i="4"/>
  <c r="N597" i="4"/>
  <c r="L597" i="4"/>
  <c r="N596" i="4"/>
  <c r="L596" i="4"/>
  <c r="N595" i="4"/>
  <c r="L595" i="4"/>
  <c r="N594" i="4"/>
  <c r="L594" i="4"/>
  <c r="N593" i="4"/>
  <c r="L593" i="4"/>
  <c r="N592" i="4"/>
  <c r="L592" i="4"/>
  <c r="N591" i="4"/>
  <c r="L591" i="4"/>
  <c r="N590" i="4"/>
  <c r="L590" i="4"/>
  <c r="N589" i="4"/>
  <c r="L589" i="4"/>
  <c r="N588" i="4"/>
  <c r="L588" i="4"/>
  <c r="N587" i="4"/>
  <c r="L587" i="4"/>
  <c r="N586" i="4"/>
  <c r="L586" i="4"/>
  <c r="N585" i="4"/>
  <c r="L585" i="4"/>
  <c r="N584" i="4"/>
  <c r="L584" i="4"/>
  <c r="N583" i="4"/>
  <c r="L583" i="4"/>
  <c r="N582" i="4"/>
  <c r="L582" i="4"/>
  <c r="N581" i="4"/>
  <c r="L581" i="4"/>
  <c r="N580" i="4"/>
  <c r="L580" i="4"/>
  <c r="N579" i="4"/>
  <c r="L579" i="4"/>
  <c r="N578" i="4"/>
  <c r="L578" i="4"/>
  <c r="N577" i="4"/>
  <c r="L577" i="4"/>
  <c r="N576" i="4"/>
  <c r="L576" i="4"/>
  <c r="N575" i="4"/>
  <c r="L575" i="4"/>
  <c r="N574" i="4"/>
  <c r="L574" i="4"/>
  <c r="N573" i="4"/>
  <c r="L573" i="4"/>
  <c r="N572" i="4"/>
  <c r="L572" i="4"/>
  <c r="N571" i="4"/>
  <c r="L571" i="4"/>
  <c r="N570" i="4"/>
  <c r="L570" i="4"/>
  <c r="N569" i="4"/>
  <c r="L569" i="4"/>
  <c r="N568" i="4"/>
  <c r="L568" i="4"/>
  <c r="N567" i="4"/>
  <c r="L567" i="4"/>
  <c r="N566" i="4"/>
  <c r="L566" i="4"/>
  <c r="N565" i="4"/>
  <c r="L565" i="4"/>
  <c r="N564" i="4"/>
  <c r="L564" i="4"/>
  <c r="N563" i="4"/>
  <c r="L563" i="4"/>
  <c r="N562" i="4"/>
  <c r="L562" i="4"/>
  <c r="N561" i="4"/>
  <c r="L561" i="4"/>
  <c r="N560" i="4"/>
  <c r="L560" i="4"/>
  <c r="N559" i="4"/>
  <c r="L559" i="4"/>
  <c r="N558" i="4"/>
  <c r="L558" i="4"/>
  <c r="N557" i="4"/>
  <c r="L557" i="4"/>
  <c r="N556" i="4"/>
  <c r="L556" i="4"/>
  <c r="N555" i="4"/>
  <c r="L555" i="4"/>
  <c r="N554" i="4"/>
  <c r="L554" i="4"/>
  <c r="N553" i="4"/>
  <c r="L553" i="4"/>
  <c r="N552" i="4"/>
  <c r="L552" i="4"/>
  <c r="N551" i="4"/>
  <c r="L551" i="4"/>
  <c r="N550" i="4"/>
  <c r="L550" i="4"/>
  <c r="N549" i="4"/>
  <c r="L549" i="4"/>
  <c r="N548" i="4"/>
  <c r="L548" i="4"/>
  <c r="N547" i="4"/>
  <c r="L547" i="4"/>
  <c r="N546" i="4"/>
  <c r="L546" i="4"/>
  <c r="N545" i="4"/>
  <c r="L545" i="4"/>
  <c r="N544" i="4"/>
  <c r="L544" i="4"/>
  <c r="N543" i="4"/>
  <c r="L543" i="4"/>
  <c r="N542" i="4"/>
  <c r="L542" i="4"/>
  <c r="N541" i="4"/>
  <c r="L541" i="4"/>
  <c r="N540" i="4"/>
  <c r="L540" i="4"/>
  <c r="N539" i="4"/>
  <c r="L539" i="4"/>
  <c r="N538" i="4"/>
  <c r="L538" i="4"/>
  <c r="N537" i="4"/>
  <c r="L537" i="4"/>
  <c r="N536" i="4"/>
  <c r="L536" i="4"/>
  <c r="N535" i="4"/>
  <c r="L535" i="4"/>
  <c r="N534" i="4"/>
  <c r="L534" i="4"/>
  <c r="N533" i="4"/>
  <c r="L533" i="4"/>
  <c r="N532" i="4"/>
  <c r="L532" i="4"/>
  <c r="N531" i="4"/>
  <c r="L531" i="4"/>
  <c r="N530" i="4"/>
  <c r="L530" i="4"/>
  <c r="N529" i="4"/>
  <c r="L529" i="4"/>
  <c r="N528" i="4"/>
  <c r="L528" i="4"/>
  <c r="N527" i="4"/>
  <c r="L527" i="4"/>
  <c r="N526" i="4"/>
  <c r="L526" i="4"/>
  <c r="N525" i="4"/>
  <c r="L525" i="4"/>
  <c r="N524" i="4"/>
  <c r="L524" i="4"/>
  <c r="N523" i="4"/>
  <c r="L523" i="4"/>
  <c r="N522" i="4"/>
  <c r="L522" i="4"/>
  <c r="N521" i="4"/>
  <c r="L521" i="4"/>
  <c r="N520" i="4"/>
  <c r="L520" i="4"/>
  <c r="N519" i="4"/>
  <c r="L519" i="4"/>
  <c r="N518" i="4"/>
  <c r="L518" i="4"/>
  <c r="N517" i="4"/>
  <c r="L517" i="4"/>
  <c r="N516" i="4"/>
  <c r="L516" i="4"/>
  <c r="N515" i="4"/>
  <c r="L515" i="4"/>
  <c r="N514" i="4"/>
  <c r="L514" i="4"/>
  <c r="N513" i="4"/>
  <c r="L513" i="4"/>
  <c r="N512" i="4"/>
  <c r="L512" i="4"/>
  <c r="N511" i="4"/>
  <c r="L511" i="4"/>
  <c r="N510" i="4"/>
  <c r="L510" i="4"/>
  <c r="N509" i="4"/>
  <c r="L509" i="4"/>
  <c r="N508" i="4"/>
  <c r="L508" i="4"/>
  <c r="N507" i="4"/>
  <c r="L507" i="4"/>
  <c r="N506" i="4"/>
  <c r="L506" i="4"/>
  <c r="N505" i="4"/>
  <c r="L505" i="4"/>
  <c r="N504" i="4"/>
  <c r="L504" i="4"/>
  <c r="N503" i="4"/>
  <c r="L503" i="4"/>
  <c r="N502" i="4"/>
  <c r="L502" i="4"/>
  <c r="N501" i="4"/>
  <c r="L501" i="4"/>
  <c r="N500" i="4"/>
  <c r="L500" i="4"/>
  <c r="N499" i="4"/>
  <c r="L499" i="4"/>
  <c r="N498" i="4"/>
  <c r="L498" i="4"/>
  <c r="N497" i="4"/>
  <c r="L497" i="4"/>
  <c r="N496" i="4"/>
  <c r="L496" i="4"/>
  <c r="N495" i="4"/>
  <c r="L495" i="4"/>
  <c r="N494" i="4"/>
  <c r="L494" i="4"/>
  <c r="N493" i="4"/>
  <c r="L493" i="4"/>
  <c r="N492" i="4"/>
  <c r="L492" i="4"/>
  <c r="N491" i="4"/>
  <c r="L491" i="4"/>
  <c r="N490" i="4"/>
  <c r="L490" i="4"/>
  <c r="N489" i="4"/>
  <c r="L489" i="4"/>
  <c r="N488" i="4"/>
  <c r="L488" i="4"/>
  <c r="N487" i="4"/>
  <c r="L487" i="4"/>
  <c r="N486" i="4"/>
  <c r="L486" i="4"/>
  <c r="N485" i="4"/>
  <c r="L485" i="4"/>
  <c r="N484" i="4"/>
  <c r="L484" i="4"/>
  <c r="N483" i="4"/>
  <c r="L483" i="4"/>
  <c r="N482" i="4"/>
  <c r="L482" i="4"/>
  <c r="N481" i="4"/>
  <c r="L481" i="4"/>
  <c r="N480" i="4"/>
  <c r="L480" i="4"/>
  <c r="N479" i="4"/>
  <c r="L479" i="4"/>
  <c r="N478" i="4"/>
  <c r="L478" i="4"/>
  <c r="N477" i="4"/>
  <c r="L477" i="4"/>
  <c r="N476" i="4"/>
  <c r="L476" i="4"/>
  <c r="N475" i="4"/>
  <c r="L475" i="4"/>
  <c r="N474" i="4"/>
  <c r="L474" i="4"/>
  <c r="N473" i="4"/>
  <c r="L473" i="4"/>
  <c r="N472" i="4"/>
  <c r="L472" i="4"/>
  <c r="N471" i="4"/>
  <c r="L471" i="4"/>
  <c r="N470" i="4"/>
  <c r="L470" i="4"/>
  <c r="N469" i="4"/>
  <c r="L469" i="4"/>
  <c r="N468" i="4"/>
  <c r="L468" i="4"/>
  <c r="N467" i="4"/>
  <c r="L467" i="4"/>
  <c r="N466" i="4"/>
  <c r="L466" i="4"/>
  <c r="N465" i="4"/>
  <c r="L465" i="4"/>
  <c r="N464" i="4"/>
  <c r="L464" i="4"/>
  <c r="N463" i="4"/>
  <c r="L463" i="4"/>
  <c r="N462" i="4"/>
  <c r="L462" i="4"/>
  <c r="N461" i="4"/>
  <c r="L461" i="4"/>
  <c r="N460" i="4"/>
  <c r="L460" i="4"/>
  <c r="N459" i="4"/>
  <c r="L459" i="4"/>
  <c r="N458" i="4"/>
  <c r="L458" i="4"/>
  <c r="N457" i="4"/>
  <c r="L457" i="4"/>
  <c r="N456" i="4"/>
  <c r="L456" i="4"/>
  <c r="N455" i="4"/>
  <c r="L455" i="4"/>
  <c r="N454" i="4"/>
  <c r="L454" i="4"/>
  <c r="N453" i="4"/>
  <c r="L453" i="4"/>
  <c r="N452" i="4"/>
  <c r="L452" i="4"/>
  <c r="N451" i="4"/>
  <c r="L451" i="4"/>
  <c r="N450" i="4"/>
  <c r="L450" i="4"/>
  <c r="N449" i="4"/>
  <c r="L449" i="4"/>
  <c r="N448" i="4"/>
  <c r="L448" i="4"/>
  <c r="N447" i="4"/>
  <c r="L447" i="4"/>
  <c r="N446" i="4"/>
  <c r="L446" i="4"/>
  <c r="N445" i="4"/>
  <c r="L445" i="4"/>
  <c r="N444" i="4"/>
  <c r="L444" i="4"/>
  <c r="N443" i="4"/>
  <c r="L443" i="4"/>
  <c r="N442" i="4"/>
  <c r="L442" i="4"/>
  <c r="N441" i="4"/>
  <c r="L441" i="4"/>
  <c r="N440" i="4"/>
  <c r="L440" i="4"/>
  <c r="N439" i="4"/>
  <c r="L439" i="4"/>
  <c r="N438" i="4"/>
  <c r="L438" i="4"/>
  <c r="N437" i="4"/>
  <c r="L437" i="4"/>
  <c r="N436" i="4"/>
  <c r="L436" i="4"/>
  <c r="N435" i="4"/>
  <c r="L435" i="4"/>
  <c r="N434" i="4"/>
  <c r="L434" i="4"/>
  <c r="N433" i="4"/>
  <c r="L433" i="4"/>
  <c r="N432" i="4"/>
  <c r="L432" i="4"/>
  <c r="N431" i="4"/>
  <c r="L431" i="4"/>
  <c r="N430" i="4"/>
  <c r="L430" i="4"/>
  <c r="N429" i="4"/>
  <c r="L429" i="4"/>
  <c r="N428" i="4"/>
  <c r="L428" i="4"/>
  <c r="N427" i="4"/>
  <c r="L427" i="4"/>
  <c r="N426" i="4"/>
  <c r="L426" i="4"/>
  <c r="N425" i="4"/>
  <c r="L425" i="4"/>
  <c r="N424" i="4"/>
  <c r="L424" i="4"/>
  <c r="N423" i="4"/>
  <c r="L423" i="4"/>
  <c r="N422" i="4"/>
  <c r="L422" i="4"/>
  <c r="N421" i="4"/>
  <c r="L421" i="4"/>
  <c r="N420" i="4"/>
  <c r="L420" i="4"/>
  <c r="N419" i="4"/>
  <c r="L419" i="4"/>
  <c r="N418" i="4"/>
  <c r="L418" i="4"/>
  <c r="N417" i="4"/>
  <c r="L417" i="4"/>
  <c r="N416" i="4"/>
  <c r="L416" i="4"/>
  <c r="N415" i="4"/>
  <c r="L415" i="4"/>
  <c r="N414" i="4"/>
  <c r="L414" i="4"/>
  <c r="N413" i="4"/>
  <c r="L413" i="4"/>
  <c r="N412" i="4"/>
  <c r="L412" i="4"/>
  <c r="N411" i="4"/>
  <c r="L411" i="4"/>
  <c r="N410" i="4"/>
  <c r="L410" i="4"/>
  <c r="N409" i="4"/>
  <c r="L409" i="4"/>
  <c r="N408" i="4"/>
  <c r="L408" i="4"/>
  <c r="N407" i="4"/>
  <c r="L407" i="4"/>
  <c r="N406" i="4"/>
  <c r="L406" i="4"/>
  <c r="N405" i="4"/>
  <c r="L405" i="4"/>
  <c r="N404" i="4"/>
  <c r="L404" i="4"/>
  <c r="N403" i="4"/>
  <c r="L403" i="4"/>
  <c r="N402" i="4"/>
  <c r="L402" i="4"/>
  <c r="N401" i="4"/>
  <c r="L401" i="4"/>
  <c r="N400" i="4"/>
  <c r="L400" i="4"/>
  <c r="N399" i="4"/>
  <c r="L399" i="4"/>
  <c r="N398" i="4"/>
  <c r="L398" i="4"/>
  <c r="N397" i="4"/>
  <c r="L397" i="4"/>
  <c r="N396" i="4"/>
  <c r="L396" i="4"/>
  <c r="N395" i="4"/>
  <c r="L395" i="4"/>
  <c r="N394" i="4"/>
  <c r="L394" i="4"/>
  <c r="N393" i="4"/>
  <c r="L393" i="4"/>
  <c r="N392" i="4"/>
  <c r="L392" i="4"/>
  <c r="N391" i="4"/>
  <c r="L391" i="4"/>
  <c r="N390" i="4"/>
  <c r="L390" i="4"/>
  <c r="N389" i="4"/>
  <c r="L389" i="4"/>
  <c r="N388" i="4"/>
  <c r="L388" i="4"/>
  <c r="N387" i="4"/>
  <c r="L387" i="4"/>
  <c r="N386" i="4"/>
  <c r="L386" i="4"/>
  <c r="N385" i="4"/>
  <c r="L385" i="4"/>
  <c r="N384" i="4"/>
  <c r="L384" i="4"/>
  <c r="N383" i="4"/>
  <c r="L383" i="4"/>
  <c r="N382" i="4"/>
  <c r="L382" i="4"/>
  <c r="N381" i="4"/>
  <c r="L381" i="4"/>
  <c r="N380" i="4"/>
  <c r="L380" i="4"/>
  <c r="N379" i="4"/>
  <c r="L379" i="4"/>
  <c r="N378" i="4"/>
  <c r="L378" i="4"/>
  <c r="N377" i="4"/>
  <c r="L377" i="4"/>
  <c r="N376" i="4"/>
  <c r="L376" i="4"/>
  <c r="N375" i="4"/>
  <c r="L375" i="4"/>
  <c r="N374" i="4"/>
  <c r="L374" i="4"/>
  <c r="N373" i="4"/>
  <c r="L373" i="4"/>
  <c r="N372" i="4"/>
  <c r="L372" i="4"/>
  <c r="N371" i="4"/>
  <c r="L371" i="4"/>
  <c r="N370" i="4"/>
  <c r="L370" i="4"/>
  <c r="N369" i="4"/>
  <c r="L369" i="4"/>
  <c r="N368" i="4"/>
  <c r="L368" i="4"/>
  <c r="N367" i="4"/>
  <c r="L367" i="4"/>
  <c r="N366" i="4"/>
  <c r="L366" i="4"/>
  <c r="N365" i="4"/>
  <c r="L365" i="4"/>
  <c r="N364" i="4"/>
  <c r="L364" i="4"/>
  <c r="N363" i="4"/>
  <c r="L363" i="4"/>
  <c r="N362" i="4"/>
  <c r="L362" i="4"/>
  <c r="N361" i="4"/>
  <c r="L361" i="4"/>
  <c r="N360" i="4"/>
  <c r="L360" i="4"/>
  <c r="N359" i="4"/>
  <c r="L359" i="4"/>
  <c r="N358" i="4"/>
  <c r="L358" i="4"/>
  <c r="N357" i="4"/>
  <c r="L357" i="4"/>
  <c r="N356" i="4"/>
  <c r="L356" i="4"/>
  <c r="N355" i="4"/>
  <c r="L355" i="4"/>
  <c r="N354" i="4"/>
  <c r="L354" i="4"/>
  <c r="N353" i="4"/>
  <c r="L353" i="4"/>
  <c r="N352" i="4"/>
  <c r="L352" i="4"/>
  <c r="N351" i="4"/>
  <c r="L351" i="4"/>
  <c r="N350" i="4"/>
  <c r="L350" i="4"/>
  <c r="N349" i="4"/>
  <c r="L349" i="4"/>
  <c r="N348" i="4"/>
  <c r="L348" i="4"/>
  <c r="N347" i="4"/>
  <c r="L347" i="4"/>
  <c r="N346" i="4"/>
  <c r="L346" i="4"/>
  <c r="N345" i="4"/>
  <c r="L345" i="4"/>
  <c r="N344" i="4"/>
  <c r="L344" i="4"/>
  <c r="N343" i="4"/>
  <c r="L343" i="4"/>
  <c r="N342" i="4"/>
  <c r="L342" i="4"/>
  <c r="N341" i="4"/>
  <c r="L341" i="4"/>
  <c r="N340" i="4"/>
  <c r="L340" i="4"/>
  <c r="N339" i="4"/>
  <c r="L339" i="4"/>
  <c r="N338" i="4"/>
  <c r="L338" i="4"/>
  <c r="N337" i="4"/>
  <c r="L337" i="4"/>
  <c r="N336" i="4"/>
  <c r="L336" i="4"/>
  <c r="N335" i="4"/>
  <c r="L335" i="4"/>
  <c r="N334" i="4"/>
  <c r="L334" i="4"/>
  <c r="N333" i="4"/>
  <c r="L333" i="4"/>
  <c r="N332" i="4"/>
  <c r="L332" i="4"/>
  <c r="N331" i="4"/>
  <c r="L331" i="4"/>
  <c r="N330" i="4"/>
  <c r="L330" i="4"/>
  <c r="N329" i="4"/>
  <c r="L329" i="4"/>
  <c r="N328" i="4"/>
  <c r="L328" i="4"/>
  <c r="N327" i="4"/>
  <c r="L327" i="4"/>
  <c r="N326" i="4"/>
  <c r="L326" i="4"/>
  <c r="N325" i="4"/>
  <c r="L325" i="4"/>
  <c r="N324" i="4"/>
  <c r="L324" i="4"/>
  <c r="N323" i="4"/>
  <c r="L323" i="4"/>
  <c r="N322" i="4"/>
  <c r="L322" i="4"/>
  <c r="N321" i="4"/>
  <c r="L321" i="4"/>
  <c r="N320" i="4"/>
  <c r="L320" i="4"/>
  <c r="N319" i="4"/>
  <c r="L319" i="4"/>
  <c r="N318" i="4"/>
  <c r="L318" i="4"/>
  <c r="N317" i="4"/>
  <c r="L317" i="4"/>
  <c r="N316" i="4"/>
  <c r="L316" i="4"/>
  <c r="N315" i="4"/>
  <c r="L315" i="4"/>
  <c r="N314" i="4"/>
  <c r="L314" i="4"/>
  <c r="N313" i="4"/>
  <c r="L313" i="4"/>
  <c r="N312" i="4"/>
  <c r="L312" i="4"/>
  <c r="N311" i="4"/>
  <c r="L311" i="4"/>
  <c r="N310" i="4"/>
  <c r="L310" i="4"/>
  <c r="N309" i="4"/>
  <c r="L309" i="4"/>
  <c r="N308" i="4"/>
  <c r="L308" i="4"/>
  <c r="N307" i="4"/>
  <c r="L307" i="4"/>
  <c r="N306" i="4"/>
  <c r="L306" i="4"/>
  <c r="N305" i="4"/>
  <c r="L305" i="4"/>
  <c r="N304" i="4"/>
  <c r="L304" i="4"/>
  <c r="N303" i="4"/>
  <c r="L303" i="4"/>
  <c r="N302" i="4"/>
  <c r="L302" i="4"/>
  <c r="N301" i="4"/>
  <c r="L301" i="4"/>
  <c r="N300" i="4"/>
  <c r="L300" i="4"/>
  <c r="N299" i="4"/>
  <c r="L299" i="4"/>
  <c r="N298" i="4"/>
  <c r="L298" i="4"/>
  <c r="N297" i="4"/>
  <c r="L297" i="4"/>
  <c r="N296" i="4"/>
  <c r="L296" i="4"/>
  <c r="N295" i="4"/>
  <c r="L295" i="4"/>
  <c r="N294" i="4"/>
  <c r="L294" i="4"/>
  <c r="N293" i="4"/>
  <c r="L293" i="4"/>
  <c r="N292" i="4"/>
  <c r="L292" i="4"/>
  <c r="N291" i="4"/>
  <c r="L291" i="4"/>
  <c r="N290" i="4"/>
  <c r="L290" i="4"/>
  <c r="N289" i="4"/>
  <c r="L289" i="4"/>
  <c r="N288" i="4"/>
  <c r="L288" i="4"/>
  <c r="N287" i="4"/>
  <c r="L287" i="4"/>
  <c r="N286" i="4"/>
  <c r="L286" i="4"/>
  <c r="N285" i="4"/>
  <c r="L285" i="4"/>
  <c r="N284" i="4"/>
  <c r="L284" i="4"/>
  <c r="N283" i="4"/>
  <c r="L283" i="4"/>
  <c r="N282" i="4"/>
  <c r="L282" i="4"/>
  <c r="N281" i="4"/>
  <c r="L281" i="4"/>
  <c r="N280" i="4"/>
  <c r="L280" i="4"/>
  <c r="N279" i="4"/>
  <c r="L279" i="4"/>
  <c r="N278" i="4"/>
  <c r="L278" i="4"/>
  <c r="N277" i="4"/>
  <c r="L277" i="4"/>
  <c r="N276" i="4"/>
  <c r="L276" i="4"/>
  <c r="N275" i="4"/>
  <c r="L275" i="4"/>
  <c r="N274" i="4"/>
  <c r="L274" i="4"/>
  <c r="N273" i="4"/>
  <c r="L273" i="4"/>
  <c r="N272" i="4"/>
  <c r="L272" i="4"/>
  <c r="N271" i="4"/>
  <c r="L271" i="4"/>
  <c r="N270" i="4"/>
  <c r="L270" i="4"/>
  <c r="N269" i="4"/>
  <c r="L269" i="4"/>
  <c r="N268" i="4"/>
  <c r="L268" i="4"/>
  <c r="N267" i="4"/>
  <c r="L267" i="4"/>
  <c r="N266" i="4"/>
  <c r="L266" i="4"/>
  <c r="N265" i="4"/>
  <c r="L265" i="4"/>
  <c r="N264" i="4"/>
  <c r="L264" i="4"/>
  <c r="N263" i="4"/>
  <c r="L263" i="4"/>
  <c r="N262" i="4"/>
  <c r="L262" i="4"/>
  <c r="N261" i="4"/>
  <c r="L261" i="4"/>
  <c r="N260" i="4"/>
  <c r="L260" i="4"/>
  <c r="N259" i="4"/>
  <c r="L259" i="4"/>
  <c r="N258" i="4"/>
  <c r="L258" i="4"/>
  <c r="N257" i="4"/>
  <c r="L257" i="4"/>
  <c r="N256" i="4"/>
  <c r="L256" i="4"/>
  <c r="N255" i="4"/>
  <c r="L255" i="4"/>
  <c r="N254" i="4"/>
  <c r="L254" i="4"/>
  <c r="N253" i="4"/>
  <c r="L253" i="4"/>
  <c r="N252" i="4"/>
  <c r="L252" i="4"/>
  <c r="N251" i="4"/>
  <c r="L251" i="4"/>
  <c r="N250" i="4"/>
  <c r="L250" i="4"/>
  <c r="N249" i="4"/>
  <c r="L249" i="4"/>
  <c r="N248" i="4"/>
  <c r="L248" i="4"/>
  <c r="N247" i="4"/>
  <c r="L247" i="4"/>
  <c r="N246" i="4"/>
  <c r="L246" i="4"/>
  <c r="N245" i="4"/>
  <c r="L245" i="4"/>
  <c r="N244" i="4"/>
  <c r="L244" i="4"/>
  <c r="N243" i="4"/>
  <c r="L243" i="4"/>
  <c r="N242" i="4"/>
  <c r="L242" i="4"/>
  <c r="N241" i="4"/>
  <c r="L241" i="4"/>
  <c r="N240" i="4"/>
  <c r="L240" i="4"/>
  <c r="N239" i="4"/>
  <c r="L239" i="4"/>
  <c r="N238" i="4"/>
  <c r="L238" i="4"/>
  <c r="N237" i="4"/>
  <c r="L237" i="4"/>
  <c r="N236" i="4"/>
  <c r="L236" i="4"/>
  <c r="N235" i="4"/>
  <c r="L235" i="4"/>
  <c r="N234" i="4"/>
  <c r="L234" i="4"/>
  <c r="N233" i="4"/>
  <c r="L233" i="4"/>
  <c r="N232" i="4"/>
  <c r="L232" i="4"/>
  <c r="N231" i="4"/>
  <c r="L231" i="4"/>
  <c r="N230" i="4"/>
  <c r="L230" i="4"/>
  <c r="N229" i="4"/>
  <c r="L229" i="4"/>
  <c r="N228" i="4"/>
  <c r="L228" i="4"/>
  <c r="N227" i="4"/>
  <c r="L227" i="4"/>
  <c r="N226" i="4"/>
  <c r="L226" i="4"/>
  <c r="N225" i="4"/>
  <c r="L225" i="4"/>
  <c r="N224" i="4"/>
  <c r="L224" i="4"/>
  <c r="N223" i="4"/>
  <c r="L223" i="4"/>
  <c r="N222" i="4"/>
  <c r="L222" i="4"/>
  <c r="N221" i="4"/>
  <c r="L221" i="4"/>
  <c r="N220" i="4"/>
  <c r="L220" i="4"/>
  <c r="N219" i="4"/>
  <c r="L219" i="4"/>
  <c r="N218" i="4"/>
  <c r="L218" i="4"/>
  <c r="N217" i="4"/>
  <c r="L217" i="4"/>
  <c r="N216" i="4"/>
  <c r="L216" i="4"/>
  <c r="N215" i="4"/>
  <c r="L215" i="4"/>
  <c r="N214" i="4"/>
  <c r="L214" i="4"/>
  <c r="N213" i="4"/>
  <c r="L213" i="4"/>
  <c r="N212" i="4"/>
  <c r="L212" i="4"/>
  <c r="N211" i="4"/>
  <c r="L211" i="4"/>
  <c r="N210" i="4"/>
  <c r="L210" i="4"/>
  <c r="N209" i="4"/>
  <c r="L209" i="4"/>
  <c r="N208" i="4"/>
  <c r="L208" i="4"/>
  <c r="N207" i="4"/>
  <c r="L207" i="4"/>
  <c r="N206" i="4"/>
  <c r="L206" i="4"/>
  <c r="N205" i="4"/>
  <c r="L205" i="4"/>
  <c r="N204" i="4"/>
  <c r="L204" i="4"/>
  <c r="N203" i="4"/>
  <c r="L203" i="4"/>
  <c r="N202" i="4"/>
  <c r="L202" i="4"/>
  <c r="N201" i="4"/>
  <c r="L201" i="4"/>
  <c r="N200" i="4"/>
  <c r="L200" i="4"/>
  <c r="N199" i="4"/>
  <c r="L199" i="4"/>
  <c r="N198" i="4"/>
  <c r="L198" i="4"/>
  <c r="N197" i="4"/>
  <c r="L197" i="4"/>
  <c r="N196" i="4"/>
  <c r="L196" i="4"/>
  <c r="N195" i="4"/>
  <c r="L195" i="4"/>
  <c r="N194" i="4"/>
  <c r="L194" i="4"/>
  <c r="N193" i="4"/>
  <c r="L193" i="4"/>
  <c r="N192" i="4"/>
  <c r="L192" i="4"/>
  <c r="N191" i="4"/>
  <c r="L191" i="4"/>
  <c r="N190" i="4"/>
  <c r="L190" i="4"/>
  <c r="N189" i="4"/>
  <c r="L189" i="4"/>
  <c r="N188" i="4"/>
  <c r="L188" i="4"/>
  <c r="N187" i="4"/>
  <c r="L187" i="4"/>
  <c r="N186" i="4"/>
  <c r="L186" i="4"/>
  <c r="N185" i="4"/>
  <c r="L185" i="4"/>
  <c r="N184" i="4"/>
  <c r="L184" i="4"/>
  <c r="N183" i="4"/>
  <c r="L183" i="4"/>
  <c r="N182" i="4"/>
  <c r="L182" i="4"/>
  <c r="N181" i="4"/>
  <c r="L181" i="4"/>
  <c r="N180" i="4"/>
  <c r="L180" i="4"/>
  <c r="N179" i="4"/>
  <c r="L179" i="4"/>
  <c r="N178" i="4"/>
  <c r="L178" i="4"/>
  <c r="N177" i="4"/>
  <c r="L177" i="4"/>
  <c r="N176" i="4"/>
  <c r="L176" i="4"/>
  <c r="N175" i="4"/>
  <c r="L175" i="4"/>
  <c r="N174" i="4"/>
  <c r="L174" i="4"/>
  <c r="N173" i="4"/>
  <c r="L173" i="4"/>
  <c r="N172" i="4"/>
  <c r="L172" i="4"/>
  <c r="N171" i="4"/>
  <c r="L171" i="4"/>
  <c r="N170" i="4"/>
  <c r="L170" i="4"/>
  <c r="N169" i="4"/>
  <c r="L169" i="4"/>
  <c r="N168" i="4"/>
  <c r="L168" i="4"/>
  <c r="N167" i="4"/>
  <c r="L167" i="4"/>
  <c r="N166" i="4"/>
  <c r="L166" i="4"/>
  <c r="N165" i="4"/>
  <c r="L165" i="4"/>
  <c r="N164" i="4"/>
  <c r="L164" i="4"/>
  <c r="N163" i="4"/>
  <c r="L163" i="4"/>
  <c r="N162" i="4"/>
  <c r="L162" i="4"/>
  <c r="N161" i="4"/>
  <c r="L161" i="4"/>
  <c r="N160" i="4"/>
  <c r="L160" i="4"/>
  <c r="N159" i="4"/>
  <c r="L159" i="4"/>
  <c r="N158" i="4"/>
  <c r="L158" i="4"/>
  <c r="N157" i="4"/>
  <c r="L157" i="4"/>
  <c r="N156" i="4"/>
  <c r="L156" i="4"/>
  <c r="N155" i="4"/>
  <c r="L155" i="4"/>
  <c r="N154" i="4"/>
  <c r="L154" i="4"/>
  <c r="N153" i="4"/>
  <c r="L153" i="4"/>
  <c r="N152" i="4"/>
  <c r="L152" i="4"/>
  <c r="N151" i="4"/>
  <c r="L151" i="4"/>
  <c r="N150" i="4"/>
  <c r="L150" i="4"/>
  <c r="N149" i="4"/>
  <c r="L149" i="4"/>
  <c r="N148" i="4"/>
  <c r="L148" i="4"/>
  <c r="N147" i="4"/>
  <c r="L147" i="4"/>
  <c r="N146" i="4"/>
  <c r="L146" i="4"/>
  <c r="N145" i="4"/>
  <c r="L145" i="4"/>
  <c r="N144" i="4"/>
  <c r="L144" i="4"/>
  <c r="N143" i="4"/>
  <c r="L143" i="4"/>
  <c r="N142" i="4"/>
  <c r="L142" i="4"/>
  <c r="N141" i="4"/>
  <c r="L141" i="4"/>
  <c r="N140" i="4"/>
  <c r="L140" i="4"/>
  <c r="N139" i="4"/>
  <c r="L139" i="4"/>
  <c r="N138" i="4"/>
  <c r="L138" i="4"/>
  <c r="N137" i="4"/>
  <c r="L137" i="4"/>
  <c r="N136" i="4"/>
  <c r="L136" i="4"/>
  <c r="N135" i="4"/>
  <c r="L135" i="4"/>
  <c r="N134" i="4"/>
  <c r="L134" i="4"/>
  <c r="N133" i="4"/>
  <c r="L133" i="4"/>
  <c r="N132" i="4"/>
  <c r="L132" i="4"/>
  <c r="N131" i="4"/>
  <c r="L131" i="4"/>
  <c r="N130" i="4"/>
  <c r="L130" i="4"/>
  <c r="N129" i="4"/>
  <c r="L129" i="4"/>
  <c r="N128" i="4"/>
  <c r="L128" i="4"/>
  <c r="N127" i="4"/>
  <c r="L127" i="4"/>
  <c r="N126" i="4"/>
  <c r="L126" i="4"/>
  <c r="N125" i="4"/>
  <c r="L125" i="4"/>
  <c r="N124" i="4"/>
  <c r="L124" i="4"/>
  <c r="N123" i="4"/>
  <c r="L123" i="4"/>
  <c r="N122" i="4"/>
  <c r="L122" i="4"/>
  <c r="N121" i="4"/>
  <c r="L121" i="4"/>
  <c r="N120" i="4"/>
  <c r="L120" i="4"/>
  <c r="N119" i="4"/>
  <c r="L119" i="4"/>
  <c r="N118" i="4"/>
  <c r="L118" i="4"/>
  <c r="N117" i="4"/>
  <c r="L117" i="4"/>
  <c r="N116" i="4"/>
  <c r="L116" i="4"/>
  <c r="N115" i="4"/>
  <c r="L115" i="4"/>
  <c r="N114" i="4"/>
  <c r="L114" i="4"/>
  <c r="N113" i="4"/>
  <c r="L113" i="4"/>
  <c r="N112" i="4"/>
  <c r="L112" i="4"/>
  <c r="N111" i="4"/>
  <c r="L111" i="4"/>
  <c r="N110" i="4"/>
  <c r="L110" i="4"/>
  <c r="N109" i="4"/>
  <c r="L109" i="4"/>
  <c r="N108" i="4"/>
  <c r="L108" i="4"/>
  <c r="N107" i="4"/>
  <c r="L107" i="4"/>
  <c r="N106" i="4"/>
  <c r="L106" i="4"/>
  <c r="N105" i="4"/>
  <c r="L105" i="4"/>
  <c r="N104" i="4"/>
  <c r="L104" i="4"/>
  <c r="N103" i="4"/>
  <c r="L103" i="4"/>
  <c r="N102" i="4"/>
  <c r="L102" i="4"/>
  <c r="N101" i="4"/>
  <c r="L101" i="4"/>
  <c r="N100" i="4"/>
  <c r="L100" i="4"/>
  <c r="N99" i="4"/>
  <c r="L99" i="4"/>
  <c r="N98" i="4"/>
  <c r="L98" i="4"/>
  <c r="N97" i="4"/>
  <c r="L97" i="4"/>
  <c r="N96" i="4"/>
  <c r="L96" i="4"/>
  <c r="N95" i="4"/>
  <c r="L95" i="4"/>
  <c r="N94" i="4"/>
  <c r="L94" i="4"/>
  <c r="N93" i="4"/>
  <c r="L93" i="4"/>
  <c r="N92" i="4"/>
  <c r="L92" i="4"/>
  <c r="N91" i="4"/>
  <c r="L91" i="4"/>
  <c r="N90" i="4"/>
  <c r="L90" i="4"/>
  <c r="N89" i="4"/>
  <c r="L89" i="4"/>
  <c r="N88" i="4"/>
  <c r="L88" i="4"/>
  <c r="N87" i="4"/>
  <c r="L87" i="4"/>
  <c r="N86" i="4"/>
  <c r="L86" i="4"/>
  <c r="N85" i="4"/>
  <c r="L85" i="4"/>
  <c r="N84" i="4"/>
  <c r="L84" i="4"/>
  <c r="N83" i="4"/>
  <c r="L83" i="4"/>
  <c r="N82" i="4"/>
  <c r="L82" i="4"/>
  <c r="N81" i="4"/>
  <c r="L81" i="4"/>
  <c r="N80" i="4"/>
  <c r="L80" i="4"/>
  <c r="N79" i="4"/>
  <c r="L79" i="4"/>
  <c r="N78" i="4"/>
  <c r="L78" i="4"/>
  <c r="N77" i="4"/>
  <c r="L77" i="4"/>
  <c r="N76" i="4"/>
  <c r="L76" i="4"/>
  <c r="N75" i="4"/>
  <c r="L75" i="4"/>
  <c r="N74" i="4"/>
  <c r="L74" i="4"/>
  <c r="N73" i="4"/>
  <c r="L73" i="4"/>
  <c r="N72" i="4"/>
  <c r="L72" i="4"/>
  <c r="N71" i="4"/>
  <c r="L71" i="4"/>
  <c r="N70" i="4"/>
  <c r="L70" i="4"/>
  <c r="N69" i="4"/>
  <c r="L69" i="4"/>
  <c r="N68" i="4"/>
  <c r="L68" i="4"/>
  <c r="N67" i="4"/>
  <c r="L67" i="4"/>
  <c r="N66" i="4"/>
  <c r="L66" i="4"/>
  <c r="N65" i="4"/>
  <c r="L65" i="4"/>
  <c r="N64" i="4"/>
  <c r="L64" i="4"/>
  <c r="N63" i="4"/>
  <c r="L63" i="4"/>
  <c r="N62" i="4"/>
  <c r="L62" i="4"/>
  <c r="N61" i="4"/>
  <c r="L61" i="4"/>
  <c r="N60" i="4"/>
  <c r="L60" i="4"/>
  <c r="N59" i="4"/>
  <c r="L59" i="4"/>
  <c r="N58" i="4"/>
  <c r="L58" i="4"/>
  <c r="N57" i="4"/>
  <c r="L57" i="4"/>
  <c r="N56" i="4"/>
  <c r="L56" i="4"/>
  <c r="N55" i="4"/>
  <c r="L55" i="4"/>
  <c r="N54" i="4"/>
  <c r="L54" i="4"/>
  <c r="N53" i="4"/>
  <c r="L53" i="4"/>
  <c r="N52" i="4"/>
  <c r="L52" i="4"/>
  <c r="N51" i="4"/>
  <c r="L51" i="4"/>
  <c r="N50" i="4"/>
  <c r="L50" i="4"/>
  <c r="N49" i="4"/>
  <c r="L49" i="4"/>
  <c r="N48" i="4"/>
  <c r="L48" i="4"/>
  <c r="N47" i="4"/>
  <c r="L47" i="4"/>
  <c r="N46" i="4"/>
  <c r="L46" i="4"/>
  <c r="N45" i="4"/>
  <c r="L45" i="4"/>
  <c r="N44" i="4"/>
  <c r="L44" i="4"/>
  <c r="N43" i="4"/>
  <c r="L43" i="4"/>
  <c r="N42" i="4"/>
  <c r="L42" i="4"/>
  <c r="N41" i="4"/>
  <c r="L41" i="4"/>
  <c r="N40" i="4"/>
  <c r="L40" i="4"/>
  <c r="N39" i="4"/>
  <c r="L39" i="4"/>
  <c r="N38" i="4"/>
  <c r="L38" i="4"/>
  <c r="N37" i="4"/>
  <c r="L37" i="4"/>
  <c r="N36" i="4"/>
  <c r="L36" i="4"/>
  <c r="N35" i="4"/>
  <c r="L35" i="4"/>
  <c r="N34" i="4"/>
  <c r="L34" i="4"/>
  <c r="N33" i="4"/>
  <c r="L33" i="4"/>
  <c r="N32" i="4"/>
  <c r="L32" i="4"/>
  <c r="N31" i="4"/>
  <c r="L31" i="4"/>
  <c r="N30" i="4"/>
  <c r="L30" i="4"/>
  <c r="N29" i="4"/>
  <c r="L29" i="4"/>
  <c r="N28" i="4"/>
  <c r="L28" i="4"/>
  <c r="N27" i="4"/>
  <c r="L27" i="4"/>
  <c r="N26" i="4"/>
  <c r="L26" i="4"/>
  <c r="N25" i="4"/>
  <c r="L25" i="4"/>
  <c r="N24" i="4"/>
  <c r="L24" i="4"/>
  <c r="N23" i="4"/>
  <c r="L23" i="4"/>
  <c r="N22" i="4"/>
  <c r="L22" i="4"/>
  <c r="N21" i="4"/>
  <c r="L21" i="4"/>
  <c r="N20" i="4"/>
  <c r="L20" i="4"/>
  <c r="N19" i="4"/>
  <c r="L19" i="4"/>
  <c r="N18" i="4"/>
  <c r="L18" i="4"/>
  <c r="N17" i="4"/>
  <c r="L17" i="4"/>
  <c r="N16" i="4"/>
  <c r="L16" i="4"/>
  <c r="N15" i="4"/>
  <c r="L15" i="4"/>
  <c r="N14" i="4"/>
  <c r="L14" i="4"/>
  <c r="N13" i="4"/>
  <c r="L13" i="4"/>
  <c r="N12" i="4"/>
  <c r="L12" i="4"/>
  <c r="N11" i="4"/>
  <c r="L11" i="4"/>
  <c r="N10" i="4"/>
  <c r="L10" i="4"/>
  <c r="N9" i="4"/>
  <c r="L9" i="4"/>
  <c r="N8" i="4"/>
  <c r="L8" i="4"/>
  <c r="N7" i="4"/>
  <c r="L7" i="4"/>
  <c r="N6" i="4"/>
  <c r="L6" i="4"/>
  <c r="N5" i="4"/>
  <c r="L5" i="4"/>
  <c r="N4" i="4"/>
  <c r="L4" i="4"/>
  <c r="N3" i="4"/>
  <c r="L3" i="4"/>
  <c r="N2" i="4"/>
  <c r="L2" i="4"/>
  <c r="AG341" i="1"/>
  <c r="AH341" i="1" s="1"/>
  <c r="AE341" i="1"/>
  <c r="AF341" i="1" s="1"/>
  <c r="AB341" i="1"/>
  <c r="AC341" i="1" s="1"/>
  <c r="Z341" i="1"/>
  <c r="AA341" i="1" s="1"/>
  <c r="T341" i="1"/>
  <c r="S341" i="1"/>
  <c r="W341" i="1" s="1"/>
  <c r="R341" i="1"/>
  <c r="N341" i="1"/>
  <c r="M341" i="1"/>
  <c r="L341" i="1"/>
  <c r="AG340" i="1"/>
  <c r="AH340" i="1" s="1"/>
  <c r="AE340" i="1"/>
  <c r="AF340" i="1" s="1"/>
  <c r="AB340" i="1"/>
  <c r="AC340" i="1" s="1"/>
  <c r="Z340" i="1"/>
  <c r="AA340" i="1" s="1"/>
  <c r="T340" i="1"/>
  <c r="S340" i="1"/>
  <c r="W340" i="1" s="1"/>
  <c r="R340" i="1"/>
  <c r="N340" i="1"/>
  <c r="M340" i="1"/>
  <c r="Q340" i="1" s="1"/>
  <c r="L340" i="1"/>
  <c r="AG339" i="1"/>
  <c r="AH339" i="1" s="1"/>
  <c r="AE339" i="1"/>
  <c r="AF339" i="1" s="1"/>
  <c r="AB339" i="1"/>
  <c r="AC339" i="1" s="1"/>
  <c r="Z339" i="1"/>
  <c r="AA339" i="1" s="1"/>
  <c r="T339" i="1"/>
  <c r="S339" i="1"/>
  <c r="W339" i="1" s="1"/>
  <c r="R339" i="1"/>
  <c r="N339" i="1"/>
  <c r="M339" i="1"/>
  <c r="Q339" i="1" s="1"/>
  <c r="L339" i="1"/>
  <c r="AG338" i="1"/>
  <c r="AH338" i="1" s="1"/>
  <c r="AE338" i="1"/>
  <c r="AF338" i="1" s="1"/>
  <c r="AB338" i="1"/>
  <c r="AC338" i="1" s="1"/>
  <c r="Z338" i="1"/>
  <c r="AA338" i="1" s="1"/>
  <c r="T338" i="1"/>
  <c r="S338" i="1"/>
  <c r="W338" i="1" s="1"/>
  <c r="R338" i="1"/>
  <c r="N338" i="1"/>
  <c r="M338" i="1"/>
  <c r="Q338" i="1" s="1"/>
  <c r="L338" i="1"/>
  <c r="AG337" i="1"/>
  <c r="AH337" i="1" s="1"/>
  <c r="AE337" i="1"/>
  <c r="AF337" i="1" s="1"/>
  <c r="AB337" i="1"/>
  <c r="AC337" i="1" s="1"/>
  <c r="Z337" i="1"/>
  <c r="AA337" i="1" s="1"/>
  <c r="T337" i="1"/>
  <c r="S337" i="1"/>
  <c r="R337" i="1"/>
  <c r="N337" i="1"/>
  <c r="M337" i="1"/>
  <c r="L337" i="1"/>
  <c r="AG336" i="1"/>
  <c r="AH336" i="1" s="1"/>
  <c r="AE336" i="1"/>
  <c r="AF336" i="1" s="1"/>
  <c r="AB336" i="1"/>
  <c r="AC336" i="1" s="1"/>
  <c r="Z336" i="1"/>
  <c r="AA336" i="1" s="1"/>
  <c r="T336" i="1"/>
  <c r="S336" i="1"/>
  <c r="W336" i="1" s="1"/>
  <c r="R336" i="1"/>
  <c r="N336" i="1"/>
  <c r="M336" i="1"/>
  <c r="Q336" i="1" s="1"/>
  <c r="L336" i="1"/>
  <c r="AG335" i="1"/>
  <c r="AH335" i="1" s="1"/>
  <c r="AE335" i="1"/>
  <c r="AF335" i="1" s="1"/>
  <c r="AB335" i="1"/>
  <c r="AC335" i="1" s="1"/>
  <c r="Z335" i="1"/>
  <c r="AA335" i="1" s="1"/>
  <c r="T335" i="1"/>
  <c r="S335" i="1"/>
  <c r="W335" i="1" s="1"/>
  <c r="R335" i="1"/>
  <c r="N335" i="1"/>
  <c r="M335" i="1"/>
  <c r="Q335" i="1" s="1"/>
  <c r="L335" i="1"/>
  <c r="AG334" i="1"/>
  <c r="AH334" i="1" s="1"/>
  <c r="AE334" i="1"/>
  <c r="AF334" i="1" s="1"/>
  <c r="AB334" i="1"/>
  <c r="AC334" i="1" s="1"/>
  <c r="Z334" i="1"/>
  <c r="AA334" i="1" s="1"/>
  <c r="T334" i="1"/>
  <c r="S334" i="1"/>
  <c r="R334" i="1"/>
  <c r="N334" i="1"/>
  <c r="M334" i="1"/>
  <c r="L334" i="1"/>
  <c r="AG333" i="1"/>
  <c r="AH333" i="1" s="1"/>
  <c r="AE333" i="1"/>
  <c r="AF333" i="1" s="1"/>
  <c r="AB333" i="1"/>
  <c r="AC333" i="1" s="1"/>
  <c r="Z333" i="1"/>
  <c r="AA333" i="1" s="1"/>
  <c r="T333" i="1"/>
  <c r="S333" i="1"/>
  <c r="W333" i="1" s="1"/>
  <c r="R333" i="1"/>
  <c r="N333" i="1"/>
  <c r="M333" i="1"/>
  <c r="Q333" i="1" s="1"/>
  <c r="L333" i="1"/>
  <c r="AG332" i="1"/>
  <c r="AH332" i="1" s="1"/>
  <c r="AE332" i="1"/>
  <c r="AF332" i="1" s="1"/>
  <c r="AB332" i="1"/>
  <c r="AC332" i="1" s="1"/>
  <c r="Z332" i="1"/>
  <c r="AA332" i="1" s="1"/>
  <c r="T332" i="1"/>
  <c r="S332" i="1"/>
  <c r="R332" i="1"/>
  <c r="N332" i="1"/>
  <c r="M332" i="1"/>
  <c r="L332" i="1"/>
  <c r="AG331" i="1"/>
  <c r="AH331" i="1" s="1"/>
  <c r="AE331" i="1"/>
  <c r="AF331" i="1" s="1"/>
  <c r="AB331" i="1"/>
  <c r="AC331" i="1" s="1"/>
  <c r="Z331" i="1"/>
  <c r="AA331" i="1" s="1"/>
  <c r="T331" i="1"/>
  <c r="S331" i="1"/>
  <c r="W331" i="1" s="1"/>
  <c r="R331" i="1"/>
  <c r="N331" i="1"/>
  <c r="M331" i="1"/>
  <c r="Q331" i="1" s="1"/>
  <c r="L331" i="1"/>
  <c r="AG330" i="1"/>
  <c r="AH330" i="1" s="1"/>
  <c r="AE330" i="1"/>
  <c r="AF330" i="1" s="1"/>
  <c r="AB330" i="1"/>
  <c r="AC330" i="1" s="1"/>
  <c r="Z330" i="1"/>
  <c r="AA330" i="1" s="1"/>
  <c r="T330" i="1"/>
  <c r="S330" i="1"/>
  <c r="W330" i="1" s="1"/>
  <c r="R330" i="1"/>
  <c r="N330" i="1"/>
  <c r="M330" i="1"/>
  <c r="Q330" i="1" s="1"/>
  <c r="L330" i="1"/>
  <c r="AG329" i="1"/>
  <c r="AH329" i="1" s="1"/>
  <c r="AE329" i="1"/>
  <c r="AF329" i="1" s="1"/>
  <c r="AB329" i="1"/>
  <c r="AC329" i="1" s="1"/>
  <c r="Z329" i="1"/>
  <c r="AA329" i="1" s="1"/>
  <c r="T329" i="1"/>
  <c r="S329" i="1"/>
  <c r="W329" i="1" s="1"/>
  <c r="R329" i="1"/>
  <c r="N329" i="1"/>
  <c r="M329" i="1"/>
  <c r="Q329" i="1" s="1"/>
  <c r="L329" i="1"/>
  <c r="AG328" i="1"/>
  <c r="AH328" i="1" s="1"/>
  <c r="AE328" i="1"/>
  <c r="AF328" i="1" s="1"/>
  <c r="AB328" i="1"/>
  <c r="AC328" i="1" s="1"/>
  <c r="Z328" i="1"/>
  <c r="AA328" i="1" s="1"/>
  <c r="T328" i="1"/>
  <c r="S328" i="1"/>
  <c r="W328" i="1" s="1"/>
  <c r="R328" i="1"/>
  <c r="N328" i="1"/>
  <c r="M328" i="1"/>
  <c r="Q328" i="1" s="1"/>
  <c r="L328" i="1"/>
  <c r="AG327" i="1"/>
  <c r="AH327" i="1" s="1"/>
  <c r="AE327" i="1"/>
  <c r="AF327" i="1" s="1"/>
  <c r="AB327" i="1"/>
  <c r="AC327" i="1" s="1"/>
  <c r="Z327" i="1"/>
  <c r="AA327" i="1" s="1"/>
  <c r="T327" i="1"/>
  <c r="S327" i="1"/>
  <c r="W327" i="1" s="1"/>
  <c r="R327" i="1"/>
  <c r="N327" i="1"/>
  <c r="M327" i="1"/>
  <c r="Q327" i="1" s="1"/>
  <c r="L327" i="1"/>
  <c r="AG326" i="1"/>
  <c r="AH326" i="1" s="1"/>
  <c r="AE326" i="1"/>
  <c r="AF326" i="1" s="1"/>
  <c r="AB326" i="1"/>
  <c r="AC326" i="1" s="1"/>
  <c r="Z326" i="1"/>
  <c r="AA326" i="1" s="1"/>
  <c r="T326" i="1"/>
  <c r="S326" i="1"/>
  <c r="W326" i="1" s="1"/>
  <c r="R326" i="1"/>
  <c r="N326" i="1"/>
  <c r="M326" i="1"/>
  <c r="Q326" i="1" s="1"/>
  <c r="L326" i="1"/>
  <c r="AG325" i="1"/>
  <c r="AH325" i="1" s="1"/>
  <c r="AE325" i="1"/>
  <c r="AF325" i="1" s="1"/>
  <c r="AB325" i="1"/>
  <c r="AC325" i="1" s="1"/>
  <c r="Z325" i="1"/>
  <c r="AA325" i="1" s="1"/>
  <c r="T325" i="1"/>
  <c r="S325" i="1"/>
  <c r="R325" i="1"/>
  <c r="N325" i="1"/>
  <c r="M325" i="1"/>
  <c r="L325" i="1"/>
  <c r="AG324" i="1"/>
  <c r="AH324" i="1" s="1"/>
  <c r="AE324" i="1"/>
  <c r="AF324" i="1" s="1"/>
  <c r="AB324" i="1"/>
  <c r="AC324" i="1" s="1"/>
  <c r="Z324" i="1"/>
  <c r="AA324" i="1" s="1"/>
  <c r="T324" i="1"/>
  <c r="S324" i="1"/>
  <c r="W324" i="1" s="1"/>
  <c r="R324" i="1"/>
  <c r="N324" i="1"/>
  <c r="M324" i="1"/>
  <c r="Q324" i="1" s="1"/>
  <c r="L324" i="1"/>
  <c r="AG323" i="1"/>
  <c r="AH323" i="1" s="1"/>
  <c r="AE323" i="1"/>
  <c r="AF323" i="1" s="1"/>
  <c r="AB323" i="1"/>
  <c r="AC323" i="1" s="1"/>
  <c r="Z323" i="1"/>
  <c r="AA323" i="1" s="1"/>
  <c r="T323" i="1"/>
  <c r="S323" i="1"/>
  <c r="W323" i="1" s="1"/>
  <c r="R323" i="1"/>
  <c r="N323" i="1"/>
  <c r="M323" i="1"/>
  <c r="Q323" i="1" s="1"/>
  <c r="L323" i="1"/>
  <c r="AG322" i="1"/>
  <c r="AH322" i="1" s="1"/>
  <c r="AE322" i="1"/>
  <c r="AF322" i="1" s="1"/>
  <c r="AB322" i="1"/>
  <c r="AC322" i="1" s="1"/>
  <c r="Z322" i="1"/>
  <c r="AA322" i="1" s="1"/>
  <c r="T322" i="1"/>
  <c r="S322" i="1"/>
  <c r="R322" i="1"/>
  <c r="N322" i="1"/>
  <c r="M322" i="1"/>
  <c r="L322" i="1"/>
  <c r="AG321" i="1"/>
  <c r="AH321" i="1" s="1"/>
  <c r="AE321" i="1"/>
  <c r="AF321" i="1" s="1"/>
  <c r="AB321" i="1"/>
  <c r="AC321" i="1" s="1"/>
  <c r="Z321" i="1"/>
  <c r="AA321" i="1" s="1"/>
  <c r="T321" i="1"/>
  <c r="S321" i="1"/>
  <c r="W321" i="1" s="1"/>
  <c r="R321" i="1"/>
  <c r="N321" i="1"/>
  <c r="M321" i="1"/>
  <c r="L321" i="1"/>
  <c r="AG320" i="1"/>
  <c r="AH320" i="1" s="1"/>
  <c r="AE320" i="1"/>
  <c r="AF320" i="1" s="1"/>
  <c r="AB320" i="1"/>
  <c r="AC320" i="1" s="1"/>
  <c r="Z320" i="1"/>
  <c r="AA320" i="1" s="1"/>
  <c r="T320" i="1"/>
  <c r="S320" i="1"/>
  <c r="W320" i="1" s="1"/>
  <c r="R320" i="1"/>
  <c r="N320" i="1"/>
  <c r="M320" i="1"/>
  <c r="Q320" i="1" s="1"/>
  <c r="L320" i="1"/>
  <c r="AG319" i="1"/>
  <c r="AH319" i="1" s="1"/>
  <c r="AE319" i="1"/>
  <c r="AF319" i="1" s="1"/>
  <c r="AB319" i="1"/>
  <c r="AC319" i="1" s="1"/>
  <c r="Z319" i="1"/>
  <c r="AA319" i="1" s="1"/>
  <c r="T319" i="1"/>
  <c r="S319" i="1"/>
  <c r="R319" i="1"/>
  <c r="N319" i="1"/>
  <c r="M319" i="1"/>
  <c r="L319" i="1"/>
  <c r="AG318" i="1"/>
  <c r="AH318" i="1" s="1"/>
  <c r="AE318" i="1"/>
  <c r="AF318" i="1" s="1"/>
  <c r="AB318" i="1"/>
  <c r="AC318" i="1" s="1"/>
  <c r="Z318" i="1"/>
  <c r="AA318" i="1" s="1"/>
  <c r="T318" i="1"/>
  <c r="S318" i="1"/>
  <c r="R318" i="1"/>
  <c r="N318" i="1"/>
  <c r="M318" i="1"/>
  <c r="L318" i="1"/>
  <c r="AG317" i="1"/>
  <c r="AH317" i="1" s="1"/>
  <c r="AE317" i="1"/>
  <c r="AF317" i="1" s="1"/>
  <c r="AB317" i="1"/>
  <c r="AC317" i="1" s="1"/>
  <c r="Z317" i="1"/>
  <c r="AA317" i="1" s="1"/>
  <c r="T317" i="1"/>
  <c r="S317" i="1"/>
  <c r="R317" i="1"/>
  <c r="N317" i="1"/>
  <c r="M317" i="1"/>
  <c r="L317" i="1"/>
  <c r="AG316" i="1"/>
  <c r="AH316" i="1" s="1"/>
  <c r="AE316" i="1"/>
  <c r="AF316" i="1" s="1"/>
  <c r="AB316" i="1"/>
  <c r="AC316" i="1" s="1"/>
  <c r="Z316" i="1"/>
  <c r="AA316" i="1" s="1"/>
  <c r="T316" i="1"/>
  <c r="S316" i="1"/>
  <c r="W316" i="1" s="1"/>
  <c r="R316" i="1"/>
  <c r="N316" i="1"/>
  <c r="M316" i="1"/>
  <c r="L316" i="1"/>
  <c r="AG315" i="1"/>
  <c r="AH315" i="1" s="1"/>
  <c r="AE315" i="1"/>
  <c r="AF315" i="1" s="1"/>
  <c r="AB315" i="1"/>
  <c r="AC315" i="1" s="1"/>
  <c r="Z315" i="1"/>
  <c r="AA315" i="1" s="1"/>
  <c r="T315" i="1"/>
  <c r="S315" i="1"/>
  <c r="W315" i="1" s="1"/>
  <c r="R315" i="1"/>
  <c r="N315" i="1"/>
  <c r="M315" i="1"/>
  <c r="L315" i="1"/>
  <c r="AG314" i="1"/>
  <c r="AH314" i="1" s="1"/>
  <c r="AE314" i="1"/>
  <c r="AF314" i="1" s="1"/>
  <c r="AB314" i="1"/>
  <c r="AC314" i="1" s="1"/>
  <c r="Z314" i="1"/>
  <c r="AA314" i="1" s="1"/>
  <c r="T314" i="1"/>
  <c r="S314" i="1"/>
  <c r="W314" i="1" s="1"/>
  <c r="R314" i="1"/>
  <c r="N314" i="1"/>
  <c r="M314" i="1"/>
  <c r="Q314" i="1" s="1"/>
  <c r="L314" i="1"/>
  <c r="AG313" i="1"/>
  <c r="AH313" i="1" s="1"/>
  <c r="AE313" i="1"/>
  <c r="AF313" i="1" s="1"/>
  <c r="AB313" i="1"/>
  <c r="AC313" i="1" s="1"/>
  <c r="Z313" i="1"/>
  <c r="AA313" i="1" s="1"/>
  <c r="T313" i="1"/>
  <c r="S313" i="1"/>
  <c r="W313" i="1" s="1"/>
  <c r="R313" i="1"/>
  <c r="N313" i="1"/>
  <c r="M313" i="1"/>
  <c r="Q313" i="1" s="1"/>
  <c r="L313" i="1"/>
  <c r="AG312" i="1"/>
  <c r="AH312" i="1" s="1"/>
  <c r="AE312" i="1"/>
  <c r="AF312" i="1" s="1"/>
  <c r="AB312" i="1"/>
  <c r="AC312" i="1" s="1"/>
  <c r="Z312" i="1"/>
  <c r="AA312" i="1" s="1"/>
  <c r="T312" i="1"/>
  <c r="S312" i="1"/>
  <c r="R312" i="1"/>
  <c r="N312" i="1"/>
  <c r="M312" i="1"/>
  <c r="L312" i="1"/>
  <c r="AG311" i="1"/>
  <c r="AH311" i="1" s="1"/>
  <c r="AE311" i="1"/>
  <c r="AF311" i="1" s="1"/>
  <c r="AB311" i="1"/>
  <c r="AC311" i="1" s="1"/>
  <c r="Z311" i="1"/>
  <c r="AA311" i="1" s="1"/>
  <c r="T311" i="1"/>
  <c r="S311" i="1"/>
  <c r="R311" i="1"/>
  <c r="N311" i="1"/>
  <c r="M311" i="1"/>
  <c r="L311" i="1"/>
  <c r="AG310" i="1"/>
  <c r="AH310" i="1" s="1"/>
  <c r="AE310" i="1"/>
  <c r="AF310" i="1" s="1"/>
  <c r="AB310" i="1"/>
  <c r="AC310" i="1" s="1"/>
  <c r="Z310" i="1"/>
  <c r="AA310" i="1" s="1"/>
  <c r="T310" i="1"/>
  <c r="S310" i="1"/>
  <c r="W310" i="1" s="1"/>
  <c r="R310" i="1"/>
  <c r="N310" i="1"/>
  <c r="M310" i="1"/>
  <c r="Q310" i="1" s="1"/>
  <c r="L310" i="1"/>
  <c r="AG309" i="1"/>
  <c r="AH309" i="1" s="1"/>
  <c r="AE309" i="1"/>
  <c r="AF309" i="1" s="1"/>
  <c r="AB309" i="1"/>
  <c r="AC309" i="1" s="1"/>
  <c r="Z309" i="1"/>
  <c r="AA309" i="1" s="1"/>
  <c r="T309" i="1"/>
  <c r="S309" i="1"/>
  <c r="W309" i="1" s="1"/>
  <c r="R309" i="1"/>
  <c r="N309" i="1"/>
  <c r="M309" i="1"/>
  <c r="Q309" i="1" s="1"/>
  <c r="L309" i="1"/>
  <c r="AG308" i="1"/>
  <c r="AH308" i="1" s="1"/>
  <c r="AE308" i="1"/>
  <c r="AF308" i="1" s="1"/>
  <c r="AB308" i="1"/>
  <c r="AC308" i="1" s="1"/>
  <c r="Z308" i="1"/>
  <c r="AA308" i="1" s="1"/>
  <c r="T308" i="1"/>
  <c r="S308" i="1"/>
  <c r="W308" i="1" s="1"/>
  <c r="R308" i="1"/>
  <c r="N308" i="1"/>
  <c r="M308" i="1"/>
  <c r="Q308" i="1" s="1"/>
  <c r="L308" i="1"/>
  <c r="AG307" i="1"/>
  <c r="AH307" i="1" s="1"/>
  <c r="AE307" i="1"/>
  <c r="AF307" i="1" s="1"/>
  <c r="AB307" i="1"/>
  <c r="AC307" i="1" s="1"/>
  <c r="Z307" i="1"/>
  <c r="AA307" i="1" s="1"/>
  <c r="T307" i="1"/>
  <c r="S307" i="1"/>
  <c r="R307" i="1"/>
  <c r="N307" i="1"/>
  <c r="M307" i="1"/>
  <c r="L307" i="1"/>
  <c r="AG306" i="1"/>
  <c r="AH306" i="1" s="1"/>
  <c r="AE306" i="1"/>
  <c r="AF306" i="1" s="1"/>
  <c r="AB306" i="1"/>
  <c r="AC306" i="1" s="1"/>
  <c r="Z306" i="1"/>
  <c r="AA306" i="1" s="1"/>
  <c r="T306" i="1"/>
  <c r="S306" i="1"/>
  <c r="R306" i="1"/>
  <c r="N306" i="1"/>
  <c r="M306" i="1"/>
  <c r="L306" i="1"/>
  <c r="AG305" i="1"/>
  <c r="AH305" i="1" s="1"/>
  <c r="AE305" i="1"/>
  <c r="AF305" i="1" s="1"/>
  <c r="AB305" i="1"/>
  <c r="AC305" i="1" s="1"/>
  <c r="Z305" i="1"/>
  <c r="AA305" i="1" s="1"/>
  <c r="T305" i="1"/>
  <c r="S305" i="1"/>
  <c r="R305" i="1"/>
  <c r="N305" i="1"/>
  <c r="M305" i="1"/>
  <c r="L305" i="1"/>
  <c r="AG304" i="1"/>
  <c r="AH304" i="1" s="1"/>
  <c r="AE304" i="1"/>
  <c r="AF304" i="1" s="1"/>
  <c r="AB304" i="1"/>
  <c r="AC304" i="1" s="1"/>
  <c r="Z304" i="1"/>
  <c r="AA304" i="1" s="1"/>
  <c r="T304" i="1"/>
  <c r="S304" i="1"/>
  <c r="W304" i="1" s="1"/>
  <c r="R304" i="1"/>
  <c r="N304" i="1"/>
  <c r="M304" i="1"/>
  <c r="Q304" i="1" s="1"/>
  <c r="L304" i="1"/>
  <c r="AG303" i="1"/>
  <c r="AH303" i="1" s="1"/>
  <c r="AE303" i="1"/>
  <c r="AF303" i="1" s="1"/>
  <c r="AB303" i="1"/>
  <c r="AC303" i="1" s="1"/>
  <c r="Z303" i="1"/>
  <c r="AA303" i="1" s="1"/>
  <c r="T303" i="1"/>
  <c r="S303" i="1"/>
  <c r="W303" i="1" s="1"/>
  <c r="R303" i="1"/>
  <c r="N303" i="1"/>
  <c r="M303" i="1"/>
  <c r="Q303" i="1" s="1"/>
  <c r="L303" i="1"/>
  <c r="AG302" i="1"/>
  <c r="AH302" i="1" s="1"/>
  <c r="AE302" i="1"/>
  <c r="AF302" i="1" s="1"/>
  <c r="AB302" i="1"/>
  <c r="AC302" i="1" s="1"/>
  <c r="Z302" i="1"/>
  <c r="AA302" i="1" s="1"/>
  <c r="T302" i="1"/>
  <c r="S302" i="1"/>
  <c r="W302" i="1" s="1"/>
  <c r="R302" i="1"/>
  <c r="N302" i="1"/>
  <c r="M302" i="1"/>
  <c r="Q302" i="1" s="1"/>
  <c r="L302" i="1"/>
  <c r="AG301" i="1"/>
  <c r="AH301" i="1" s="1"/>
  <c r="AE301" i="1"/>
  <c r="AF301" i="1" s="1"/>
  <c r="AB301" i="1"/>
  <c r="AC301" i="1" s="1"/>
  <c r="Z301" i="1"/>
  <c r="AA301" i="1" s="1"/>
  <c r="T301" i="1"/>
  <c r="S301" i="1"/>
  <c r="W301" i="1" s="1"/>
  <c r="R301" i="1"/>
  <c r="N301" i="1"/>
  <c r="M301" i="1"/>
  <c r="Q301" i="1" s="1"/>
  <c r="L301" i="1"/>
  <c r="AG300" i="1"/>
  <c r="AH300" i="1" s="1"/>
  <c r="AE300" i="1"/>
  <c r="AF300" i="1" s="1"/>
  <c r="AB300" i="1"/>
  <c r="AC300" i="1" s="1"/>
  <c r="Z300" i="1"/>
  <c r="AA300" i="1" s="1"/>
  <c r="T300" i="1"/>
  <c r="S300" i="1"/>
  <c r="W300" i="1" s="1"/>
  <c r="R300" i="1"/>
  <c r="N300" i="1"/>
  <c r="M300" i="1"/>
  <c r="Q300" i="1" s="1"/>
  <c r="L300" i="1"/>
  <c r="AG299" i="1"/>
  <c r="AH299" i="1" s="1"/>
  <c r="AE299" i="1"/>
  <c r="AF299" i="1" s="1"/>
  <c r="AB299" i="1"/>
  <c r="AC299" i="1" s="1"/>
  <c r="Z299" i="1"/>
  <c r="AA299" i="1" s="1"/>
  <c r="T299" i="1"/>
  <c r="S299" i="1"/>
  <c r="W299" i="1" s="1"/>
  <c r="R299" i="1"/>
  <c r="N299" i="1"/>
  <c r="M299" i="1"/>
  <c r="Q299" i="1" s="1"/>
  <c r="L299" i="1"/>
  <c r="AG298" i="1"/>
  <c r="AH298" i="1" s="1"/>
  <c r="AE298" i="1"/>
  <c r="AF298" i="1" s="1"/>
  <c r="AB298" i="1"/>
  <c r="AC298" i="1" s="1"/>
  <c r="Z298" i="1"/>
  <c r="AA298" i="1" s="1"/>
  <c r="T298" i="1"/>
  <c r="S298" i="1"/>
  <c r="W298" i="1" s="1"/>
  <c r="R298" i="1"/>
  <c r="N298" i="1"/>
  <c r="M298" i="1"/>
  <c r="Q298" i="1" s="1"/>
  <c r="L298" i="1"/>
  <c r="AG297" i="1"/>
  <c r="AH297" i="1" s="1"/>
  <c r="AE297" i="1"/>
  <c r="AF297" i="1" s="1"/>
  <c r="AB297" i="1"/>
  <c r="AC297" i="1" s="1"/>
  <c r="Z297" i="1"/>
  <c r="AA297" i="1" s="1"/>
  <c r="T297" i="1"/>
  <c r="S297" i="1"/>
  <c r="W297" i="1" s="1"/>
  <c r="R297" i="1"/>
  <c r="N297" i="1"/>
  <c r="M297" i="1"/>
  <c r="Q297" i="1" s="1"/>
  <c r="L297" i="1"/>
  <c r="AG296" i="1"/>
  <c r="AH296" i="1" s="1"/>
  <c r="AE296" i="1"/>
  <c r="AF296" i="1" s="1"/>
  <c r="AB296" i="1"/>
  <c r="AC296" i="1" s="1"/>
  <c r="Z296" i="1"/>
  <c r="AA296" i="1" s="1"/>
  <c r="T296" i="1"/>
  <c r="S296" i="1"/>
  <c r="R296" i="1"/>
  <c r="N296" i="1"/>
  <c r="M296" i="1"/>
  <c r="L296" i="1"/>
  <c r="AG295" i="1"/>
  <c r="AH295" i="1" s="1"/>
  <c r="AE295" i="1"/>
  <c r="AF295" i="1" s="1"/>
  <c r="AB295" i="1"/>
  <c r="AC295" i="1" s="1"/>
  <c r="Z295" i="1"/>
  <c r="AA295" i="1" s="1"/>
  <c r="T295" i="1"/>
  <c r="S295" i="1"/>
  <c r="R295" i="1"/>
  <c r="N295" i="1"/>
  <c r="M295" i="1"/>
  <c r="L295" i="1"/>
  <c r="AG294" i="1"/>
  <c r="AH294" i="1" s="1"/>
  <c r="AE294" i="1"/>
  <c r="AF294" i="1" s="1"/>
  <c r="AB294" i="1"/>
  <c r="AC294" i="1" s="1"/>
  <c r="Z294" i="1"/>
  <c r="AA294" i="1" s="1"/>
  <c r="T294" i="1"/>
  <c r="S294" i="1"/>
  <c r="R294" i="1"/>
  <c r="N294" i="1"/>
  <c r="M294" i="1"/>
  <c r="L294" i="1"/>
  <c r="AG293" i="1"/>
  <c r="AH293" i="1" s="1"/>
  <c r="AE293" i="1"/>
  <c r="AF293" i="1" s="1"/>
  <c r="AB293" i="1"/>
  <c r="AC293" i="1" s="1"/>
  <c r="Z293" i="1"/>
  <c r="AA293" i="1" s="1"/>
  <c r="T293" i="1"/>
  <c r="S293" i="1"/>
  <c r="W293" i="1" s="1"/>
  <c r="R293" i="1"/>
  <c r="N293" i="1"/>
  <c r="M293" i="1"/>
  <c r="Q293" i="1" s="1"/>
  <c r="L293" i="1"/>
  <c r="AG292" i="1"/>
  <c r="AH292" i="1" s="1"/>
  <c r="AE292" i="1"/>
  <c r="AF292" i="1" s="1"/>
  <c r="AB292" i="1"/>
  <c r="AC292" i="1" s="1"/>
  <c r="Z292" i="1"/>
  <c r="AA292" i="1" s="1"/>
  <c r="T292" i="1"/>
  <c r="S292" i="1"/>
  <c r="W292" i="1" s="1"/>
  <c r="R292" i="1"/>
  <c r="N292" i="1"/>
  <c r="M292" i="1"/>
  <c r="Q292" i="1" s="1"/>
  <c r="L292" i="1"/>
  <c r="AG291" i="1"/>
  <c r="AH291" i="1" s="1"/>
  <c r="AE291" i="1"/>
  <c r="AF291" i="1" s="1"/>
  <c r="AB291" i="1"/>
  <c r="AC291" i="1" s="1"/>
  <c r="Z291" i="1"/>
  <c r="AA291" i="1" s="1"/>
  <c r="T291" i="1"/>
  <c r="S291" i="1"/>
  <c r="R291" i="1"/>
  <c r="N291" i="1"/>
  <c r="M291" i="1"/>
  <c r="L291" i="1"/>
  <c r="AG290" i="1"/>
  <c r="AH290" i="1" s="1"/>
  <c r="AE290" i="1"/>
  <c r="AF290" i="1" s="1"/>
  <c r="AB290" i="1"/>
  <c r="AC290" i="1" s="1"/>
  <c r="Z290" i="1"/>
  <c r="AA290" i="1" s="1"/>
  <c r="T290" i="1"/>
  <c r="S290" i="1"/>
  <c r="R290" i="1"/>
  <c r="N290" i="1"/>
  <c r="M290" i="1"/>
  <c r="L290" i="1"/>
  <c r="AG289" i="1"/>
  <c r="AH289" i="1" s="1"/>
  <c r="AE289" i="1"/>
  <c r="AF289" i="1" s="1"/>
  <c r="AB289" i="1"/>
  <c r="AC289" i="1" s="1"/>
  <c r="Z289" i="1"/>
  <c r="AA289" i="1" s="1"/>
  <c r="T289" i="1"/>
  <c r="S289" i="1"/>
  <c r="R289" i="1"/>
  <c r="N289" i="1"/>
  <c r="M289" i="1"/>
  <c r="L289" i="1"/>
  <c r="AG288" i="1"/>
  <c r="AH288" i="1" s="1"/>
  <c r="AE288" i="1"/>
  <c r="AF288" i="1" s="1"/>
  <c r="AB288" i="1"/>
  <c r="AC288" i="1" s="1"/>
  <c r="Z288" i="1"/>
  <c r="AA288" i="1" s="1"/>
  <c r="T288" i="1"/>
  <c r="S288" i="1"/>
  <c r="R288" i="1"/>
  <c r="N288" i="1"/>
  <c r="M288" i="1"/>
  <c r="L288" i="1"/>
  <c r="AG287" i="1"/>
  <c r="AH287" i="1" s="1"/>
  <c r="AE287" i="1"/>
  <c r="AF287" i="1" s="1"/>
  <c r="AB287" i="1"/>
  <c r="AC287" i="1" s="1"/>
  <c r="Z287" i="1"/>
  <c r="AA287" i="1" s="1"/>
  <c r="T287" i="1"/>
  <c r="S287" i="1"/>
  <c r="W287" i="1" s="1"/>
  <c r="R287" i="1"/>
  <c r="N287" i="1"/>
  <c r="M287" i="1"/>
  <c r="L287" i="1"/>
  <c r="AG286" i="1"/>
  <c r="AH286" i="1" s="1"/>
  <c r="AE286" i="1"/>
  <c r="AF286" i="1" s="1"/>
  <c r="AB286" i="1"/>
  <c r="AC286" i="1" s="1"/>
  <c r="Z286" i="1"/>
  <c r="AA286" i="1" s="1"/>
  <c r="T286" i="1"/>
  <c r="S286" i="1"/>
  <c r="W286" i="1" s="1"/>
  <c r="R286" i="1"/>
  <c r="N286" i="1"/>
  <c r="M286" i="1"/>
  <c r="Q286" i="1" s="1"/>
  <c r="L286" i="1"/>
  <c r="AG285" i="1"/>
  <c r="AH285" i="1" s="1"/>
  <c r="AE285" i="1"/>
  <c r="AF285" i="1" s="1"/>
  <c r="AB285" i="1"/>
  <c r="AC285" i="1" s="1"/>
  <c r="Z285" i="1"/>
  <c r="AA285" i="1" s="1"/>
  <c r="T285" i="1"/>
  <c r="S285" i="1"/>
  <c r="R285" i="1"/>
  <c r="N285" i="1"/>
  <c r="M285" i="1"/>
  <c r="L285" i="1"/>
  <c r="AG284" i="1"/>
  <c r="AH284" i="1" s="1"/>
  <c r="AE284" i="1"/>
  <c r="AF284" i="1" s="1"/>
  <c r="AB284" i="1"/>
  <c r="AC284" i="1" s="1"/>
  <c r="Z284" i="1"/>
  <c r="AA284" i="1" s="1"/>
  <c r="T284" i="1"/>
  <c r="S284" i="1"/>
  <c r="W284" i="1" s="1"/>
  <c r="R284" i="1"/>
  <c r="N284" i="1"/>
  <c r="M284" i="1"/>
  <c r="Q284" i="1" s="1"/>
  <c r="L284" i="1"/>
  <c r="AG283" i="1"/>
  <c r="AH283" i="1" s="1"/>
  <c r="AE283" i="1"/>
  <c r="AF283" i="1" s="1"/>
  <c r="AB283" i="1"/>
  <c r="AC283" i="1" s="1"/>
  <c r="Z283" i="1"/>
  <c r="AA283" i="1" s="1"/>
  <c r="T283" i="1"/>
  <c r="S283" i="1"/>
  <c r="R283" i="1"/>
  <c r="N283" i="1"/>
  <c r="M283" i="1"/>
  <c r="L283" i="1"/>
  <c r="AG282" i="1"/>
  <c r="AH282" i="1" s="1"/>
  <c r="AE282" i="1"/>
  <c r="AF282" i="1" s="1"/>
  <c r="AB282" i="1"/>
  <c r="AC282" i="1" s="1"/>
  <c r="Z282" i="1"/>
  <c r="AA282" i="1" s="1"/>
  <c r="T282" i="1"/>
  <c r="S282" i="1"/>
  <c r="R282" i="1"/>
  <c r="N282" i="1"/>
  <c r="M282" i="1"/>
  <c r="L282" i="1"/>
  <c r="AG281" i="1"/>
  <c r="AH281" i="1" s="1"/>
  <c r="AE281" i="1"/>
  <c r="AF281" i="1" s="1"/>
  <c r="AB281" i="1"/>
  <c r="AC281" i="1" s="1"/>
  <c r="Z281" i="1"/>
  <c r="AA281" i="1" s="1"/>
  <c r="T281" i="1"/>
  <c r="S281" i="1"/>
  <c r="R281" i="1"/>
  <c r="N281" i="1"/>
  <c r="M281" i="1"/>
  <c r="L281" i="1"/>
  <c r="AG280" i="1"/>
  <c r="AH280" i="1" s="1"/>
  <c r="AE280" i="1"/>
  <c r="AF280" i="1" s="1"/>
  <c r="AB280" i="1"/>
  <c r="AC280" i="1" s="1"/>
  <c r="Z280" i="1"/>
  <c r="AA280" i="1" s="1"/>
  <c r="T280" i="1"/>
  <c r="S280" i="1"/>
  <c r="R280" i="1"/>
  <c r="N280" i="1"/>
  <c r="M280" i="1"/>
  <c r="L280" i="1"/>
  <c r="AG279" i="1"/>
  <c r="AH279" i="1" s="1"/>
  <c r="AE279" i="1"/>
  <c r="AF279" i="1" s="1"/>
  <c r="AB279" i="1"/>
  <c r="AC279" i="1" s="1"/>
  <c r="Z279" i="1"/>
  <c r="AA279" i="1" s="1"/>
  <c r="T279" i="1"/>
  <c r="S279" i="1"/>
  <c r="R279" i="1"/>
  <c r="N279" i="1"/>
  <c r="M279" i="1"/>
  <c r="L279" i="1"/>
  <c r="AG278" i="1"/>
  <c r="AH278" i="1" s="1"/>
  <c r="AE278" i="1"/>
  <c r="AF278" i="1" s="1"/>
  <c r="AB278" i="1"/>
  <c r="AC278" i="1" s="1"/>
  <c r="Z278" i="1"/>
  <c r="AA278" i="1" s="1"/>
  <c r="T278" i="1"/>
  <c r="S278" i="1"/>
  <c r="R278" i="1"/>
  <c r="N278" i="1"/>
  <c r="M278" i="1"/>
  <c r="Q278" i="1" s="1"/>
  <c r="L278" i="1"/>
  <c r="AG277" i="1"/>
  <c r="AH277" i="1" s="1"/>
  <c r="AE277" i="1"/>
  <c r="AF277" i="1" s="1"/>
  <c r="AB277" i="1"/>
  <c r="AC277" i="1" s="1"/>
  <c r="Z277" i="1"/>
  <c r="AA277" i="1" s="1"/>
  <c r="T277" i="1"/>
  <c r="S277" i="1"/>
  <c r="R277" i="1"/>
  <c r="N277" i="1"/>
  <c r="M277" i="1"/>
  <c r="L277" i="1"/>
  <c r="AG276" i="1"/>
  <c r="AH276" i="1" s="1"/>
  <c r="AE276" i="1"/>
  <c r="AF276" i="1" s="1"/>
  <c r="AC276" i="1"/>
  <c r="AB276" i="1"/>
  <c r="Z276" i="1"/>
  <c r="AA276" i="1" s="1"/>
  <c r="T276" i="1"/>
  <c r="S276" i="1"/>
  <c r="W276" i="1" s="1"/>
  <c r="R276" i="1"/>
  <c r="N276" i="1"/>
  <c r="M276" i="1"/>
  <c r="Q276" i="1" s="1"/>
  <c r="L276" i="1"/>
  <c r="AG275" i="1"/>
  <c r="AH275" i="1" s="1"/>
  <c r="AE275" i="1"/>
  <c r="AF275" i="1" s="1"/>
  <c r="AB275" i="1"/>
  <c r="AC275" i="1" s="1"/>
  <c r="Z275" i="1"/>
  <c r="AA275" i="1" s="1"/>
  <c r="T275" i="1"/>
  <c r="S275" i="1"/>
  <c r="W275" i="1" s="1"/>
  <c r="R275" i="1"/>
  <c r="N275" i="1"/>
  <c r="M275" i="1"/>
  <c r="Q275" i="1" s="1"/>
  <c r="L275" i="1"/>
  <c r="AG274" i="1"/>
  <c r="AH274" i="1" s="1"/>
  <c r="AE274" i="1"/>
  <c r="AF274" i="1" s="1"/>
  <c r="AB274" i="1"/>
  <c r="AC274" i="1" s="1"/>
  <c r="Z274" i="1"/>
  <c r="AA274" i="1" s="1"/>
  <c r="T274" i="1"/>
  <c r="S274" i="1"/>
  <c r="R274" i="1"/>
  <c r="N274" i="1"/>
  <c r="M274" i="1"/>
  <c r="Q274" i="1" s="1"/>
  <c r="L274" i="1"/>
  <c r="AG273" i="1"/>
  <c r="AH273" i="1" s="1"/>
  <c r="AE273" i="1"/>
  <c r="AF273" i="1" s="1"/>
  <c r="AB273" i="1"/>
  <c r="AC273" i="1" s="1"/>
  <c r="Z273" i="1"/>
  <c r="AA273" i="1" s="1"/>
  <c r="T273" i="1"/>
  <c r="S273" i="1"/>
  <c r="R273" i="1"/>
  <c r="N273" i="1"/>
  <c r="M273" i="1"/>
  <c r="L273" i="1"/>
  <c r="AG272" i="1"/>
  <c r="AH272" i="1" s="1"/>
  <c r="AE272" i="1"/>
  <c r="AF272" i="1" s="1"/>
  <c r="AB272" i="1"/>
  <c r="AC272" i="1" s="1"/>
  <c r="Z272" i="1"/>
  <c r="AA272" i="1" s="1"/>
  <c r="T272" i="1"/>
  <c r="S272" i="1"/>
  <c r="R272" i="1"/>
  <c r="N272" i="1"/>
  <c r="M272" i="1"/>
  <c r="L272" i="1"/>
  <c r="AG271" i="1"/>
  <c r="AH271" i="1" s="1"/>
  <c r="AE271" i="1"/>
  <c r="AF271" i="1" s="1"/>
  <c r="AB271" i="1"/>
  <c r="AC271" i="1" s="1"/>
  <c r="Z271" i="1"/>
  <c r="AA271" i="1" s="1"/>
  <c r="T271" i="1"/>
  <c r="S271" i="1"/>
  <c r="W271" i="1" s="1"/>
  <c r="R271" i="1"/>
  <c r="N271" i="1"/>
  <c r="M271" i="1"/>
  <c r="Q271" i="1" s="1"/>
  <c r="L271" i="1"/>
  <c r="AG270" i="1"/>
  <c r="AH270" i="1" s="1"/>
  <c r="AE270" i="1"/>
  <c r="AF270" i="1" s="1"/>
  <c r="AC270" i="1"/>
  <c r="AB270" i="1"/>
  <c r="Z270" i="1"/>
  <c r="AA270" i="1" s="1"/>
  <c r="T270" i="1"/>
  <c r="S270" i="1"/>
  <c r="R270" i="1"/>
  <c r="N270" i="1"/>
  <c r="M270" i="1"/>
  <c r="L270" i="1"/>
  <c r="AG269" i="1"/>
  <c r="AH269" i="1" s="1"/>
  <c r="AF269" i="1"/>
  <c r="AE269" i="1"/>
  <c r="AB269" i="1"/>
  <c r="AC269" i="1" s="1"/>
  <c r="Z269" i="1"/>
  <c r="AA269" i="1" s="1"/>
  <c r="T269" i="1"/>
  <c r="S269" i="1"/>
  <c r="R269" i="1"/>
  <c r="N269" i="1"/>
  <c r="M269" i="1"/>
  <c r="L269" i="1"/>
  <c r="AG268" i="1"/>
  <c r="AH268" i="1" s="1"/>
  <c r="AE268" i="1"/>
  <c r="AF268" i="1" s="1"/>
  <c r="AB268" i="1"/>
  <c r="AC268" i="1" s="1"/>
  <c r="Z268" i="1"/>
  <c r="AA268" i="1" s="1"/>
  <c r="T268" i="1"/>
  <c r="S268" i="1"/>
  <c r="R268" i="1"/>
  <c r="N268" i="1"/>
  <c r="M268" i="1"/>
  <c r="L268" i="1"/>
  <c r="AG267" i="1"/>
  <c r="AH267" i="1" s="1"/>
  <c r="AE267" i="1"/>
  <c r="AF267" i="1" s="1"/>
  <c r="AB267" i="1"/>
  <c r="AC267" i="1" s="1"/>
  <c r="Z267" i="1"/>
  <c r="AA267" i="1" s="1"/>
  <c r="T267" i="1"/>
  <c r="S267" i="1"/>
  <c r="W267" i="1" s="1"/>
  <c r="R267" i="1"/>
  <c r="N267" i="1"/>
  <c r="M267" i="1"/>
  <c r="Q267" i="1" s="1"/>
  <c r="L267" i="1"/>
  <c r="AG266" i="1"/>
  <c r="AH266" i="1" s="1"/>
  <c r="AE266" i="1"/>
  <c r="AF266" i="1" s="1"/>
  <c r="AB266" i="1"/>
  <c r="AC266" i="1" s="1"/>
  <c r="AA266" i="1"/>
  <c r="Z266" i="1"/>
  <c r="T266" i="1"/>
  <c r="S266" i="1"/>
  <c r="W266" i="1" s="1"/>
  <c r="R266" i="1"/>
  <c r="N266" i="1"/>
  <c r="M266" i="1"/>
  <c r="Q266" i="1" s="1"/>
  <c r="L266" i="1"/>
  <c r="AG265" i="1"/>
  <c r="AH265" i="1" s="1"/>
  <c r="AE265" i="1"/>
  <c r="AF265" i="1" s="1"/>
  <c r="AC265" i="1"/>
  <c r="AB265" i="1"/>
  <c r="Z265" i="1"/>
  <c r="AA265" i="1" s="1"/>
  <c r="T265" i="1"/>
  <c r="S265" i="1"/>
  <c r="R265" i="1"/>
  <c r="N265" i="1"/>
  <c r="M265" i="1"/>
  <c r="L265" i="1"/>
  <c r="AG264" i="1"/>
  <c r="AH264" i="1" s="1"/>
  <c r="AE264" i="1"/>
  <c r="AF264" i="1" s="1"/>
  <c r="AB264" i="1"/>
  <c r="AC264" i="1" s="1"/>
  <c r="Z264" i="1"/>
  <c r="AA264" i="1" s="1"/>
  <c r="T264" i="1"/>
  <c r="S264" i="1"/>
  <c r="R264" i="1"/>
  <c r="N264" i="1"/>
  <c r="M264" i="1"/>
  <c r="L264" i="1"/>
  <c r="AG263" i="1"/>
  <c r="AH263" i="1" s="1"/>
  <c r="AE263" i="1"/>
  <c r="AF263" i="1" s="1"/>
  <c r="AB263" i="1"/>
  <c r="AC263" i="1" s="1"/>
  <c r="Z263" i="1"/>
  <c r="AA263" i="1" s="1"/>
  <c r="T263" i="1"/>
  <c r="S263" i="1"/>
  <c r="R263" i="1"/>
  <c r="N263" i="1"/>
  <c r="M263" i="1"/>
  <c r="L263" i="1"/>
  <c r="AG262" i="1"/>
  <c r="AH262" i="1" s="1"/>
  <c r="AE262" i="1"/>
  <c r="AF262" i="1" s="1"/>
  <c r="AB262" i="1"/>
  <c r="AC262" i="1" s="1"/>
  <c r="Z262" i="1"/>
  <c r="AA262" i="1" s="1"/>
  <c r="W262" i="1"/>
  <c r="T262" i="1"/>
  <c r="S262" i="1"/>
  <c r="R262" i="1"/>
  <c r="N262" i="1"/>
  <c r="M262" i="1"/>
  <c r="Q262" i="1" s="1"/>
  <c r="L262" i="1"/>
  <c r="AH261" i="1"/>
  <c r="AG261" i="1"/>
  <c r="AE261" i="1"/>
  <c r="AF261" i="1" s="1"/>
  <c r="AB261" i="1"/>
  <c r="AC261" i="1" s="1"/>
  <c r="Z261" i="1"/>
  <c r="AA261" i="1" s="1"/>
  <c r="T261" i="1"/>
  <c r="S261" i="1"/>
  <c r="W261" i="1" s="1"/>
  <c r="R261" i="1"/>
  <c r="N261" i="1"/>
  <c r="M261" i="1"/>
  <c r="Q261" i="1" s="1"/>
  <c r="L261" i="1"/>
  <c r="AG260" i="1"/>
  <c r="AH260" i="1" s="1"/>
  <c r="AE260" i="1"/>
  <c r="AF260" i="1" s="1"/>
  <c r="AB260" i="1"/>
  <c r="AC260" i="1" s="1"/>
  <c r="Z260" i="1"/>
  <c r="AA260" i="1" s="1"/>
  <c r="T260" i="1"/>
  <c r="S260" i="1"/>
  <c r="R260" i="1"/>
  <c r="N260" i="1"/>
  <c r="M260" i="1"/>
  <c r="L260" i="1"/>
  <c r="AG259" i="1"/>
  <c r="AH259" i="1" s="1"/>
  <c r="AE259" i="1"/>
  <c r="AF259" i="1" s="1"/>
  <c r="AB259" i="1"/>
  <c r="AC259" i="1" s="1"/>
  <c r="Z259" i="1"/>
  <c r="AA259" i="1" s="1"/>
  <c r="T259" i="1"/>
  <c r="S259" i="1"/>
  <c r="R259" i="1"/>
  <c r="N259" i="1"/>
  <c r="M259" i="1"/>
  <c r="L259" i="1"/>
  <c r="AG258" i="1"/>
  <c r="AH258" i="1" s="1"/>
  <c r="AE258" i="1"/>
  <c r="AF258" i="1" s="1"/>
  <c r="AB258" i="1"/>
  <c r="AC258" i="1" s="1"/>
  <c r="Z258" i="1"/>
  <c r="AA258" i="1" s="1"/>
  <c r="T258" i="1"/>
  <c r="S258" i="1"/>
  <c r="W258" i="1" s="1"/>
  <c r="R258" i="1"/>
  <c r="N258" i="1"/>
  <c r="M258" i="1"/>
  <c r="Q258" i="1" s="1"/>
  <c r="L258" i="1"/>
  <c r="AG257" i="1"/>
  <c r="AH257" i="1" s="1"/>
  <c r="AE257" i="1"/>
  <c r="AF257" i="1" s="1"/>
  <c r="AB257" i="1"/>
  <c r="AC257" i="1" s="1"/>
  <c r="Z257" i="1"/>
  <c r="AA257" i="1" s="1"/>
  <c r="W257" i="1"/>
  <c r="T257" i="1"/>
  <c r="S257" i="1"/>
  <c r="R257" i="1"/>
  <c r="N257" i="1"/>
  <c r="M257" i="1"/>
  <c r="Q257" i="1" s="1"/>
  <c r="L257" i="1"/>
  <c r="AG256" i="1"/>
  <c r="AH256" i="1" s="1"/>
  <c r="AE256" i="1"/>
  <c r="AF256" i="1" s="1"/>
  <c r="AB256" i="1"/>
  <c r="AC256" i="1" s="1"/>
  <c r="Z256" i="1"/>
  <c r="AA256" i="1" s="1"/>
  <c r="T256" i="1"/>
  <c r="S256" i="1"/>
  <c r="R256" i="1"/>
  <c r="N256" i="1"/>
  <c r="M256" i="1"/>
  <c r="L256" i="1"/>
  <c r="AG255" i="1"/>
  <c r="AH255" i="1" s="1"/>
  <c r="AE255" i="1"/>
  <c r="AF255" i="1" s="1"/>
  <c r="AB255" i="1"/>
  <c r="AC255" i="1" s="1"/>
  <c r="Z255" i="1"/>
  <c r="AA255" i="1" s="1"/>
  <c r="T255" i="1"/>
  <c r="S255" i="1"/>
  <c r="R255" i="1"/>
  <c r="Q255" i="1"/>
  <c r="N255" i="1"/>
  <c r="M255" i="1"/>
  <c r="L255" i="1"/>
  <c r="AG254" i="1"/>
  <c r="AH254" i="1" s="1"/>
  <c r="AE254" i="1"/>
  <c r="AF254" i="1" s="1"/>
  <c r="AB254" i="1"/>
  <c r="AC254" i="1" s="1"/>
  <c r="Z254" i="1"/>
  <c r="AA254" i="1" s="1"/>
  <c r="T254" i="1"/>
  <c r="S254" i="1"/>
  <c r="W254" i="1" s="1"/>
  <c r="R254" i="1"/>
  <c r="N254" i="1"/>
  <c r="M254" i="1"/>
  <c r="Q254" i="1" s="1"/>
  <c r="L254" i="1"/>
  <c r="AG253" i="1"/>
  <c r="AH253" i="1" s="1"/>
  <c r="AE253" i="1"/>
  <c r="AF253" i="1" s="1"/>
  <c r="AB253" i="1"/>
  <c r="AC253" i="1" s="1"/>
  <c r="Z253" i="1"/>
  <c r="AA253" i="1" s="1"/>
  <c r="T253" i="1"/>
  <c r="S253" i="1"/>
  <c r="W253" i="1" s="1"/>
  <c r="R253" i="1"/>
  <c r="N253" i="1"/>
  <c r="M253" i="1"/>
  <c r="Q253" i="1" s="1"/>
  <c r="L253" i="1"/>
  <c r="AH252" i="1"/>
  <c r="AG252" i="1"/>
  <c r="AE252" i="1"/>
  <c r="AF252" i="1" s="1"/>
  <c r="AB252" i="1"/>
  <c r="AC252" i="1" s="1"/>
  <c r="Z252" i="1"/>
  <c r="AA252" i="1" s="1"/>
  <c r="T252" i="1"/>
  <c r="S252" i="1"/>
  <c r="R252" i="1"/>
  <c r="N252" i="1"/>
  <c r="M252" i="1"/>
  <c r="L252" i="1"/>
  <c r="AG251" i="1"/>
  <c r="AH251" i="1" s="1"/>
  <c r="AE251" i="1"/>
  <c r="AF251" i="1" s="1"/>
  <c r="AB251" i="1"/>
  <c r="AC251" i="1" s="1"/>
  <c r="Z251" i="1"/>
  <c r="AA251" i="1" s="1"/>
  <c r="T251" i="1"/>
  <c r="S251" i="1"/>
  <c r="W251" i="1" s="1"/>
  <c r="R251" i="1"/>
  <c r="N251" i="1"/>
  <c r="M251" i="1"/>
  <c r="Q251" i="1" s="1"/>
  <c r="L251" i="1"/>
  <c r="AG250" i="1"/>
  <c r="AH250" i="1" s="1"/>
  <c r="AF250" i="1"/>
  <c r="AE250" i="1"/>
  <c r="AB250" i="1"/>
  <c r="AC250" i="1" s="1"/>
  <c r="Z250" i="1"/>
  <c r="AA250" i="1" s="1"/>
  <c r="T250" i="1"/>
  <c r="S250" i="1"/>
  <c r="R250" i="1"/>
  <c r="W250" i="1" s="1"/>
  <c r="N250" i="1"/>
  <c r="M250" i="1"/>
  <c r="L250" i="1"/>
  <c r="AG249" i="1"/>
  <c r="AH249" i="1" s="1"/>
  <c r="AE249" i="1"/>
  <c r="AF249" i="1" s="1"/>
  <c r="AC249" i="1"/>
  <c r="AB249" i="1"/>
  <c r="Z249" i="1"/>
  <c r="AA249" i="1" s="1"/>
  <c r="T249" i="1"/>
  <c r="S249" i="1"/>
  <c r="W249" i="1" s="1"/>
  <c r="R249" i="1"/>
  <c r="N249" i="1"/>
  <c r="M249" i="1"/>
  <c r="Q249" i="1" s="1"/>
  <c r="L249" i="1"/>
  <c r="AG248" i="1"/>
  <c r="AH248" i="1" s="1"/>
  <c r="AF248" i="1"/>
  <c r="AE248" i="1"/>
  <c r="AB248" i="1"/>
  <c r="AC248" i="1" s="1"/>
  <c r="Z248" i="1"/>
  <c r="AA248" i="1" s="1"/>
  <c r="T248" i="1"/>
  <c r="S248" i="1"/>
  <c r="W248" i="1" s="1"/>
  <c r="R248" i="1"/>
  <c r="N248" i="1"/>
  <c r="M248" i="1"/>
  <c r="Q248" i="1" s="1"/>
  <c r="L248" i="1"/>
  <c r="AG247" i="1"/>
  <c r="AH247" i="1" s="1"/>
  <c r="AE247" i="1"/>
  <c r="AF247" i="1" s="1"/>
  <c r="AB247" i="1"/>
  <c r="AC247" i="1" s="1"/>
  <c r="Z247" i="1"/>
  <c r="AA247" i="1" s="1"/>
  <c r="T247" i="1"/>
  <c r="S247" i="1"/>
  <c r="W247" i="1" s="1"/>
  <c r="R247" i="1"/>
  <c r="N247" i="1"/>
  <c r="M247" i="1"/>
  <c r="Q247" i="1" s="1"/>
  <c r="L247" i="1"/>
  <c r="AH246" i="1"/>
  <c r="AG246" i="1"/>
  <c r="AF246" i="1"/>
  <c r="AE246" i="1"/>
  <c r="AB246" i="1"/>
  <c r="AC246" i="1" s="1"/>
  <c r="Z246" i="1"/>
  <c r="AA246" i="1" s="1"/>
  <c r="T246" i="1"/>
  <c r="S246" i="1"/>
  <c r="R246" i="1"/>
  <c r="N246" i="1"/>
  <c r="M246" i="1"/>
  <c r="L246" i="1"/>
  <c r="AG245" i="1"/>
  <c r="AH245" i="1" s="1"/>
  <c r="AE245" i="1"/>
  <c r="AF245" i="1" s="1"/>
  <c r="AB245" i="1"/>
  <c r="AC245" i="1" s="1"/>
  <c r="Z245" i="1"/>
  <c r="AA245" i="1" s="1"/>
  <c r="T245" i="1"/>
  <c r="S245" i="1"/>
  <c r="R245" i="1"/>
  <c r="N245" i="1"/>
  <c r="M245" i="1"/>
  <c r="L245" i="1"/>
  <c r="AG244" i="1"/>
  <c r="AH244" i="1" s="1"/>
  <c r="AE244" i="1"/>
  <c r="AF244" i="1" s="1"/>
  <c r="AB244" i="1"/>
  <c r="AC244" i="1" s="1"/>
  <c r="Z244" i="1"/>
  <c r="AA244" i="1" s="1"/>
  <c r="T244" i="1"/>
  <c r="S244" i="1"/>
  <c r="R244" i="1"/>
  <c r="N244" i="1"/>
  <c r="M244" i="1"/>
  <c r="L244" i="1"/>
  <c r="AG243" i="1"/>
  <c r="AH243" i="1" s="1"/>
  <c r="AE243" i="1"/>
  <c r="AF243" i="1" s="1"/>
  <c r="AB243" i="1"/>
  <c r="AC243" i="1" s="1"/>
  <c r="Z243" i="1"/>
  <c r="AA243" i="1" s="1"/>
  <c r="T243" i="1"/>
  <c r="S243" i="1"/>
  <c r="W243" i="1" s="1"/>
  <c r="R243" i="1"/>
  <c r="N243" i="1"/>
  <c r="M243" i="1"/>
  <c r="Q243" i="1" s="1"/>
  <c r="L243" i="1"/>
  <c r="AG242" i="1"/>
  <c r="AH242" i="1" s="1"/>
  <c r="AE242" i="1"/>
  <c r="AF242" i="1" s="1"/>
  <c r="AB242" i="1"/>
  <c r="AC242" i="1" s="1"/>
  <c r="Z242" i="1"/>
  <c r="AA242" i="1" s="1"/>
  <c r="T242" i="1"/>
  <c r="S242" i="1"/>
  <c r="W242" i="1" s="1"/>
  <c r="R242" i="1"/>
  <c r="N242" i="1"/>
  <c r="M242" i="1"/>
  <c r="Q242" i="1" s="1"/>
  <c r="L242" i="1"/>
  <c r="AG241" i="1"/>
  <c r="AH241" i="1" s="1"/>
  <c r="AE241" i="1"/>
  <c r="AF241" i="1" s="1"/>
  <c r="AB241" i="1"/>
  <c r="AC241" i="1" s="1"/>
  <c r="Z241" i="1"/>
  <c r="AA241" i="1" s="1"/>
  <c r="T241" i="1"/>
  <c r="S241" i="1"/>
  <c r="W241" i="1" s="1"/>
  <c r="R241" i="1"/>
  <c r="N241" i="1"/>
  <c r="M241" i="1"/>
  <c r="Q241" i="1" s="1"/>
  <c r="L241" i="1"/>
  <c r="AG240" i="1"/>
  <c r="AH240" i="1" s="1"/>
  <c r="AE240" i="1"/>
  <c r="AF240" i="1" s="1"/>
  <c r="AB240" i="1"/>
  <c r="AC240" i="1" s="1"/>
  <c r="Z240" i="1"/>
  <c r="AA240" i="1" s="1"/>
  <c r="T240" i="1"/>
  <c r="S240" i="1"/>
  <c r="W240" i="1" s="1"/>
  <c r="R240" i="1"/>
  <c r="N240" i="1"/>
  <c r="M240" i="1"/>
  <c r="Q240" i="1" s="1"/>
  <c r="L240" i="1"/>
  <c r="AG239" i="1"/>
  <c r="AH239" i="1" s="1"/>
  <c r="AE239" i="1"/>
  <c r="AF239" i="1" s="1"/>
  <c r="AB239" i="1"/>
  <c r="AC239" i="1" s="1"/>
  <c r="Z239" i="1"/>
  <c r="AA239" i="1" s="1"/>
  <c r="T239" i="1"/>
  <c r="S239" i="1"/>
  <c r="R239" i="1"/>
  <c r="N239" i="1"/>
  <c r="M239" i="1"/>
  <c r="L239" i="1"/>
  <c r="AG238" i="1"/>
  <c r="AH238" i="1" s="1"/>
  <c r="AE238" i="1"/>
  <c r="AF238" i="1" s="1"/>
  <c r="AB238" i="1"/>
  <c r="AC238" i="1" s="1"/>
  <c r="Z238" i="1"/>
  <c r="AA238" i="1" s="1"/>
  <c r="T238" i="1"/>
  <c r="S238" i="1"/>
  <c r="W238" i="1" s="1"/>
  <c r="R238" i="1"/>
  <c r="N238" i="1"/>
  <c r="M238" i="1"/>
  <c r="Q238" i="1" s="1"/>
  <c r="L238" i="1"/>
  <c r="AH237" i="1"/>
  <c r="AG237" i="1"/>
  <c r="AF237" i="1"/>
  <c r="AE237" i="1"/>
  <c r="AB237" i="1"/>
  <c r="AC237" i="1" s="1"/>
  <c r="Z237" i="1"/>
  <c r="AA237" i="1" s="1"/>
  <c r="T237" i="1"/>
  <c r="S237" i="1"/>
  <c r="W237" i="1" s="1"/>
  <c r="R237" i="1"/>
  <c r="N237" i="1"/>
  <c r="M237" i="1"/>
  <c r="Q237" i="1" s="1"/>
  <c r="L237" i="1"/>
  <c r="AG236" i="1"/>
  <c r="AH236" i="1" s="1"/>
  <c r="AE236" i="1"/>
  <c r="AF236" i="1" s="1"/>
  <c r="AB236" i="1"/>
  <c r="AC236" i="1" s="1"/>
  <c r="Z236" i="1"/>
  <c r="AA236" i="1" s="1"/>
  <c r="T236" i="1"/>
  <c r="S236" i="1"/>
  <c r="W236" i="1" s="1"/>
  <c r="R236" i="1"/>
  <c r="N236" i="1"/>
  <c r="M236" i="1"/>
  <c r="Q236" i="1" s="1"/>
  <c r="L236" i="1"/>
  <c r="AG235" i="1"/>
  <c r="AH235" i="1" s="1"/>
  <c r="AE235" i="1"/>
  <c r="AF235" i="1" s="1"/>
  <c r="AC235" i="1"/>
  <c r="AB235" i="1"/>
  <c r="Z235" i="1"/>
  <c r="AA235" i="1" s="1"/>
  <c r="T235" i="1"/>
  <c r="S235" i="1"/>
  <c r="W235" i="1" s="1"/>
  <c r="R235" i="1"/>
  <c r="N235" i="1"/>
  <c r="M235" i="1"/>
  <c r="Q235" i="1" s="1"/>
  <c r="L235" i="1"/>
  <c r="AG234" i="1"/>
  <c r="AH234" i="1" s="1"/>
  <c r="AF234" i="1"/>
  <c r="AE234" i="1"/>
  <c r="AB234" i="1"/>
  <c r="AC234" i="1" s="1"/>
  <c r="Z234" i="1"/>
  <c r="AA234" i="1" s="1"/>
  <c r="T234" i="1"/>
  <c r="S234" i="1"/>
  <c r="R234" i="1"/>
  <c r="N234" i="1"/>
  <c r="M234" i="1"/>
  <c r="L234" i="1"/>
  <c r="AG233" i="1"/>
  <c r="AH233" i="1" s="1"/>
  <c r="AE233" i="1"/>
  <c r="AF233" i="1" s="1"/>
  <c r="AB233" i="1"/>
  <c r="AC233" i="1" s="1"/>
  <c r="Z233" i="1"/>
  <c r="AA233" i="1" s="1"/>
  <c r="T233" i="1"/>
  <c r="S233" i="1"/>
  <c r="W233" i="1" s="1"/>
  <c r="R233" i="1"/>
  <c r="N233" i="1"/>
  <c r="M233" i="1"/>
  <c r="Q233" i="1" s="1"/>
  <c r="L233" i="1"/>
  <c r="AG232" i="1"/>
  <c r="AH232" i="1" s="1"/>
  <c r="AE232" i="1"/>
  <c r="AF232" i="1" s="1"/>
  <c r="AB232" i="1"/>
  <c r="AC232" i="1" s="1"/>
  <c r="Z232" i="1"/>
  <c r="AA232" i="1" s="1"/>
  <c r="T232" i="1"/>
  <c r="S232" i="1"/>
  <c r="W232" i="1" s="1"/>
  <c r="R232" i="1"/>
  <c r="N232" i="1"/>
  <c r="M232" i="1"/>
  <c r="Q232" i="1" s="1"/>
  <c r="L232" i="1"/>
  <c r="AG231" i="1"/>
  <c r="AH231" i="1" s="1"/>
  <c r="AE231" i="1"/>
  <c r="AF231" i="1" s="1"/>
  <c r="AB231" i="1"/>
  <c r="AC231" i="1" s="1"/>
  <c r="Z231" i="1"/>
  <c r="AA231" i="1" s="1"/>
  <c r="T231" i="1"/>
  <c r="S231" i="1"/>
  <c r="W231" i="1" s="1"/>
  <c r="R231" i="1"/>
  <c r="N231" i="1"/>
  <c r="M231" i="1"/>
  <c r="Q231" i="1" s="1"/>
  <c r="L231" i="1"/>
  <c r="AG230" i="1"/>
  <c r="AH230" i="1" s="1"/>
  <c r="AE230" i="1"/>
  <c r="AF230" i="1" s="1"/>
  <c r="AB230" i="1"/>
  <c r="AC230" i="1" s="1"/>
  <c r="Z230" i="1"/>
  <c r="AA230" i="1" s="1"/>
  <c r="T230" i="1"/>
  <c r="S230" i="1"/>
  <c r="W230" i="1" s="1"/>
  <c r="R230" i="1"/>
  <c r="N230" i="1"/>
  <c r="M230" i="1"/>
  <c r="Q230" i="1" s="1"/>
  <c r="L230" i="1"/>
  <c r="AG229" i="1"/>
  <c r="AH229" i="1" s="1"/>
  <c r="AE229" i="1"/>
  <c r="AF229" i="1" s="1"/>
  <c r="AB229" i="1"/>
  <c r="AC229" i="1" s="1"/>
  <c r="Z229" i="1"/>
  <c r="AA229" i="1" s="1"/>
  <c r="T229" i="1"/>
  <c r="S229" i="1"/>
  <c r="R229" i="1"/>
  <c r="N229" i="1"/>
  <c r="M229" i="1"/>
  <c r="L229" i="1"/>
  <c r="AG228" i="1"/>
  <c r="AH228" i="1" s="1"/>
  <c r="AF228" i="1"/>
  <c r="AE228" i="1"/>
  <c r="AB228" i="1"/>
  <c r="AC228" i="1" s="1"/>
  <c r="Z228" i="1"/>
  <c r="AA228" i="1" s="1"/>
  <c r="T228" i="1"/>
  <c r="S228" i="1"/>
  <c r="R228" i="1"/>
  <c r="N228" i="1"/>
  <c r="M228" i="1"/>
  <c r="L228" i="1"/>
  <c r="AG227" i="1"/>
  <c r="AH227" i="1" s="1"/>
  <c r="AE227" i="1"/>
  <c r="AF227" i="1" s="1"/>
  <c r="AB227" i="1"/>
  <c r="AC227" i="1" s="1"/>
  <c r="AA227" i="1"/>
  <c r="Z227" i="1"/>
  <c r="T227" i="1"/>
  <c r="S227" i="1"/>
  <c r="W227" i="1" s="1"/>
  <c r="R227" i="1"/>
  <c r="N227" i="1"/>
  <c r="M227" i="1"/>
  <c r="Q227" i="1" s="1"/>
  <c r="L227" i="1"/>
  <c r="AG226" i="1"/>
  <c r="AH226" i="1" s="1"/>
  <c r="AE226" i="1"/>
  <c r="AF226" i="1" s="1"/>
  <c r="AC226" i="1"/>
  <c r="AB226" i="1"/>
  <c r="Z226" i="1"/>
  <c r="AA226" i="1" s="1"/>
  <c r="T226" i="1"/>
  <c r="S226" i="1"/>
  <c r="W226" i="1" s="1"/>
  <c r="R226" i="1"/>
  <c r="N226" i="1"/>
  <c r="M226" i="1"/>
  <c r="Q226" i="1" s="1"/>
  <c r="L226" i="1"/>
  <c r="AH225" i="1"/>
  <c r="AG225" i="1"/>
  <c r="AE225" i="1"/>
  <c r="AF225" i="1" s="1"/>
  <c r="AB225" i="1"/>
  <c r="AC225" i="1" s="1"/>
  <c r="Z225" i="1"/>
  <c r="AA225" i="1" s="1"/>
  <c r="T225" i="1"/>
  <c r="S225" i="1"/>
  <c r="R225" i="1"/>
  <c r="N225" i="1"/>
  <c r="M225" i="1"/>
  <c r="Q225" i="1" s="1"/>
  <c r="L225" i="1"/>
  <c r="AG224" i="1"/>
  <c r="AH224" i="1" s="1"/>
  <c r="AE224" i="1"/>
  <c r="AF224" i="1" s="1"/>
  <c r="AB224" i="1"/>
  <c r="AC224" i="1" s="1"/>
  <c r="Z224" i="1"/>
  <c r="AA224" i="1" s="1"/>
  <c r="T224" i="1"/>
  <c r="S224" i="1"/>
  <c r="R224" i="1"/>
  <c r="N224" i="1"/>
  <c r="M224" i="1"/>
  <c r="L224" i="1"/>
  <c r="AG223" i="1"/>
  <c r="AH223" i="1" s="1"/>
  <c r="AE223" i="1"/>
  <c r="AF223" i="1" s="1"/>
  <c r="AB223" i="1"/>
  <c r="AC223" i="1" s="1"/>
  <c r="Z223" i="1"/>
  <c r="AA223" i="1" s="1"/>
  <c r="T223" i="1"/>
  <c r="S223" i="1"/>
  <c r="W223" i="1" s="1"/>
  <c r="R223" i="1"/>
  <c r="N223" i="1"/>
  <c r="M223" i="1"/>
  <c r="Q223" i="1" s="1"/>
  <c r="L223" i="1"/>
  <c r="AG222" i="1"/>
  <c r="AH222" i="1" s="1"/>
  <c r="AE222" i="1"/>
  <c r="AF222" i="1" s="1"/>
  <c r="AC222" i="1"/>
  <c r="AB222" i="1"/>
  <c r="Z222" i="1"/>
  <c r="AA222" i="1" s="1"/>
  <c r="T222" i="1"/>
  <c r="S222" i="1"/>
  <c r="W222" i="1" s="1"/>
  <c r="R222" i="1"/>
  <c r="N222" i="1"/>
  <c r="M222" i="1"/>
  <c r="Q222" i="1" s="1"/>
  <c r="L222" i="1"/>
  <c r="AG221" i="1"/>
  <c r="AH221" i="1" s="1"/>
  <c r="AE221" i="1"/>
  <c r="AF221" i="1" s="1"/>
  <c r="AB221" i="1"/>
  <c r="AC221" i="1" s="1"/>
  <c r="Z221" i="1"/>
  <c r="AA221" i="1" s="1"/>
  <c r="T221" i="1"/>
  <c r="S221" i="1"/>
  <c r="W221" i="1" s="1"/>
  <c r="R221" i="1"/>
  <c r="N221" i="1"/>
  <c r="M221" i="1"/>
  <c r="Q221" i="1" s="1"/>
  <c r="L221" i="1"/>
  <c r="AG220" i="1"/>
  <c r="AH220" i="1" s="1"/>
  <c r="AE220" i="1"/>
  <c r="AF220" i="1" s="1"/>
  <c r="AB220" i="1"/>
  <c r="AC220" i="1" s="1"/>
  <c r="Z220" i="1"/>
  <c r="AA220" i="1" s="1"/>
  <c r="T220" i="1"/>
  <c r="S220" i="1"/>
  <c r="W220" i="1" s="1"/>
  <c r="R220" i="1"/>
  <c r="N220" i="1"/>
  <c r="M220" i="1"/>
  <c r="Q220" i="1" s="1"/>
  <c r="L220" i="1"/>
  <c r="AG219" i="1"/>
  <c r="AH219" i="1" s="1"/>
  <c r="AE219" i="1"/>
  <c r="AF219" i="1" s="1"/>
  <c r="AB219" i="1"/>
  <c r="AC219" i="1" s="1"/>
  <c r="Z219" i="1"/>
  <c r="AA219" i="1" s="1"/>
  <c r="T219" i="1"/>
  <c r="S219" i="1"/>
  <c r="W219" i="1" s="1"/>
  <c r="R219" i="1"/>
  <c r="N219" i="1"/>
  <c r="M219" i="1"/>
  <c r="Q219" i="1" s="1"/>
  <c r="L219" i="1"/>
  <c r="AG218" i="1"/>
  <c r="AH218" i="1" s="1"/>
  <c r="AE218" i="1"/>
  <c r="AF218" i="1" s="1"/>
  <c r="AB218" i="1"/>
  <c r="AC218" i="1" s="1"/>
  <c r="Z218" i="1"/>
  <c r="AA218" i="1" s="1"/>
  <c r="T218" i="1"/>
  <c r="S218" i="1"/>
  <c r="W218" i="1" s="1"/>
  <c r="R218" i="1"/>
  <c r="N218" i="1"/>
  <c r="M218" i="1"/>
  <c r="Q218" i="1" s="1"/>
  <c r="L218" i="1"/>
  <c r="AG217" i="1"/>
  <c r="AH217" i="1" s="1"/>
  <c r="AE217" i="1"/>
  <c r="AF217" i="1" s="1"/>
  <c r="AB217" i="1"/>
  <c r="AC217" i="1" s="1"/>
  <c r="Z217" i="1"/>
  <c r="AA217" i="1" s="1"/>
  <c r="T217" i="1"/>
  <c r="S217" i="1"/>
  <c r="W217" i="1" s="1"/>
  <c r="R217" i="1"/>
  <c r="N217" i="1"/>
  <c r="M217" i="1"/>
  <c r="Q217" i="1" s="1"/>
  <c r="L217" i="1"/>
  <c r="AG216" i="1"/>
  <c r="AH216" i="1" s="1"/>
  <c r="AE216" i="1"/>
  <c r="AF216" i="1" s="1"/>
  <c r="AB216" i="1"/>
  <c r="AC216" i="1" s="1"/>
  <c r="Z216" i="1"/>
  <c r="AA216" i="1" s="1"/>
  <c r="T216" i="1"/>
  <c r="S216" i="1"/>
  <c r="W216" i="1" s="1"/>
  <c r="R216" i="1"/>
  <c r="N216" i="1"/>
  <c r="M216" i="1"/>
  <c r="Q216" i="1" s="1"/>
  <c r="L216" i="1"/>
  <c r="AG215" i="1"/>
  <c r="AH215" i="1" s="1"/>
  <c r="AE215" i="1"/>
  <c r="AF215" i="1" s="1"/>
  <c r="AB215" i="1"/>
  <c r="AC215" i="1" s="1"/>
  <c r="Z215" i="1"/>
  <c r="AA215" i="1" s="1"/>
  <c r="T215" i="1"/>
  <c r="S215" i="1"/>
  <c r="W215" i="1" s="1"/>
  <c r="R215" i="1"/>
  <c r="N215" i="1"/>
  <c r="M215" i="1"/>
  <c r="Q215" i="1" s="1"/>
  <c r="L215" i="1"/>
  <c r="AG214" i="1"/>
  <c r="AH214" i="1" s="1"/>
  <c r="AE214" i="1"/>
  <c r="AF214" i="1" s="1"/>
  <c r="AB214" i="1"/>
  <c r="AC214" i="1" s="1"/>
  <c r="Z214" i="1"/>
  <c r="AA214" i="1" s="1"/>
  <c r="T214" i="1"/>
  <c r="S214" i="1"/>
  <c r="W214" i="1" s="1"/>
  <c r="R214" i="1"/>
  <c r="N214" i="1"/>
  <c r="M214" i="1"/>
  <c r="Q214" i="1" s="1"/>
  <c r="L214" i="1"/>
  <c r="AG213" i="1"/>
  <c r="AH213" i="1" s="1"/>
  <c r="AE213" i="1"/>
  <c r="AF213" i="1" s="1"/>
  <c r="AB213" i="1"/>
  <c r="AC213" i="1" s="1"/>
  <c r="Z213" i="1"/>
  <c r="AA213" i="1" s="1"/>
  <c r="T213" i="1"/>
  <c r="S213" i="1"/>
  <c r="W213" i="1" s="1"/>
  <c r="R213" i="1"/>
  <c r="N213" i="1"/>
  <c r="M213" i="1"/>
  <c r="Q213" i="1" s="1"/>
  <c r="L213" i="1"/>
  <c r="AG212" i="1"/>
  <c r="AH212" i="1" s="1"/>
  <c r="AE212" i="1"/>
  <c r="AF212" i="1" s="1"/>
  <c r="AB212" i="1"/>
  <c r="AC212" i="1" s="1"/>
  <c r="Z212" i="1"/>
  <c r="AA212" i="1" s="1"/>
  <c r="T212" i="1"/>
  <c r="S212" i="1"/>
  <c r="W212" i="1" s="1"/>
  <c r="R212" i="1"/>
  <c r="N212" i="1"/>
  <c r="M212" i="1"/>
  <c r="Q212" i="1" s="1"/>
  <c r="L212" i="1"/>
  <c r="AG211" i="1"/>
  <c r="AH211" i="1" s="1"/>
  <c r="AE211" i="1"/>
  <c r="AF211" i="1" s="1"/>
  <c r="AB211" i="1"/>
  <c r="AC211" i="1" s="1"/>
  <c r="Z211" i="1"/>
  <c r="AA211" i="1" s="1"/>
  <c r="T211" i="1"/>
  <c r="S211" i="1"/>
  <c r="W211" i="1" s="1"/>
  <c r="R211" i="1"/>
  <c r="N211" i="1"/>
  <c r="M211" i="1"/>
  <c r="Q211" i="1" s="1"/>
  <c r="L211" i="1"/>
  <c r="AG210" i="1"/>
  <c r="AH210" i="1" s="1"/>
  <c r="AE210" i="1"/>
  <c r="AF210" i="1" s="1"/>
  <c r="AC210" i="1"/>
  <c r="AB210" i="1"/>
  <c r="Z210" i="1"/>
  <c r="AA210" i="1" s="1"/>
  <c r="T210" i="1"/>
  <c r="S210" i="1"/>
  <c r="W210" i="1" s="1"/>
  <c r="R210" i="1"/>
  <c r="N210" i="1"/>
  <c r="M210" i="1"/>
  <c r="Q210" i="1" s="1"/>
  <c r="L210" i="1"/>
  <c r="AG209" i="1"/>
  <c r="AH209" i="1" s="1"/>
  <c r="AE209" i="1"/>
  <c r="AF209" i="1" s="1"/>
  <c r="AB209" i="1"/>
  <c r="AC209" i="1" s="1"/>
  <c r="Z209" i="1"/>
  <c r="AA209" i="1" s="1"/>
  <c r="T209" i="1"/>
  <c r="S209" i="1"/>
  <c r="W209" i="1" s="1"/>
  <c r="R209" i="1"/>
  <c r="N209" i="1"/>
  <c r="M209" i="1"/>
  <c r="Q209" i="1" s="1"/>
  <c r="L209" i="1"/>
  <c r="AG208" i="1"/>
  <c r="AH208" i="1" s="1"/>
  <c r="AE208" i="1"/>
  <c r="AF208" i="1" s="1"/>
  <c r="AB208" i="1"/>
  <c r="AC208" i="1" s="1"/>
  <c r="Z208" i="1"/>
  <c r="AA208" i="1" s="1"/>
  <c r="W208" i="1"/>
  <c r="T208" i="1"/>
  <c r="S208" i="1"/>
  <c r="R208" i="1"/>
  <c r="N208" i="1"/>
  <c r="M208" i="1"/>
  <c r="Q208" i="1" s="1"/>
  <c r="L208" i="1"/>
  <c r="AG207" i="1"/>
  <c r="AH207" i="1" s="1"/>
  <c r="AE207" i="1"/>
  <c r="AF207" i="1" s="1"/>
  <c r="AC207" i="1"/>
  <c r="AB207" i="1"/>
  <c r="Z207" i="1"/>
  <c r="AA207" i="1" s="1"/>
  <c r="T207" i="1"/>
  <c r="S207" i="1"/>
  <c r="W207" i="1" s="1"/>
  <c r="R207" i="1"/>
  <c r="N207" i="1"/>
  <c r="M207" i="1"/>
  <c r="Q207" i="1" s="1"/>
  <c r="L207" i="1"/>
  <c r="AG206" i="1"/>
  <c r="AH206" i="1" s="1"/>
  <c r="AE206" i="1"/>
  <c r="AF206" i="1" s="1"/>
  <c r="AB206" i="1"/>
  <c r="AC206" i="1" s="1"/>
  <c r="Z206" i="1"/>
  <c r="AA206" i="1" s="1"/>
  <c r="T206" i="1"/>
  <c r="S206" i="1"/>
  <c r="W206" i="1" s="1"/>
  <c r="R206" i="1"/>
  <c r="N206" i="1"/>
  <c r="M206" i="1"/>
  <c r="Q206" i="1" s="1"/>
  <c r="L206" i="1"/>
  <c r="AG205" i="1"/>
  <c r="AH205" i="1" s="1"/>
  <c r="AE205" i="1"/>
  <c r="AF205" i="1" s="1"/>
  <c r="AB205" i="1"/>
  <c r="AC205" i="1" s="1"/>
  <c r="Z205" i="1"/>
  <c r="AA205" i="1" s="1"/>
  <c r="T205" i="1"/>
  <c r="S205" i="1"/>
  <c r="W205" i="1" s="1"/>
  <c r="R205" i="1"/>
  <c r="Q205" i="1"/>
  <c r="N205" i="1"/>
  <c r="M205" i="1"/>
  <c r="L205" i="1"/>
  <c r="AG204" i="1"/>
  <c r="AH204" i="1" s="1"/>
  <c r="AE204" i="1"/>
  <c r="AF204" i="1" s="1"/>
  <c r="AB204" i="1"/>
  <c r="AC204" i="1" s="1"/>
  <c r="Z204" i="1"/>
  <c r="AA204" i="1" s="1"/>
  <c r="T204" i="1"/>
  <c r="S204" i="1"/>
  <c r="W204" i="1" s="1"/>
  <c r="R204" i="1"/>
  <c r="N204" i="1"/>
  <c r="M204" i="1"/>
  <c r="Q204" i="1" s="1"/>
  <c r="L204" i="1"/>
  <c r="AG203" i="1"/>
  <c r="AH203" i="1" s="1"/>
  <c r="AE203" i="1"/>
  <c r="AF203" i="1" s="1"/>
  <c r="AB203" i="1"/>
  <c r="AC203" i="1" s="1"/>
  <c r="Z203" i="1"/>
  <c r="AA203" i="1" s="1"/>
  <c r="T203" i="1"/>
  <c r="S203" i="1"/>
  <c r="W203" i="1" s="1"/>
  <c r="R203" i="1"/>
  <c r="N203" i="1"/>
  <c r="M203" i="1"/>
  <c r="Q203" i="1" s="1"/>
  <c r="L203" i="1"/>
  <c r="AG202" i="1"/>
  <c r="AH202" i="1" s="1"/>
  <c r="AE202" i="1"/>
  <c r="AF202" i="1" s="1"/>
  <c r="AB202" i="1"/>
  <c r="AC202" i="1" s="1"/>
  <c r="Z202" i="1"/>
  <c r="AA202" i="1" s="1"/>
  <c r="T202" i="1"/>
  <c r="S202" i="1"/>
  <c r="W202" i="1" s="1"/>
  <c r="R202" i="1"/>
  <c r="N202" i="1"/>
  <c r="M202" i="1"/>
  <c r="Q202" i="1" s="1"/>
  <c r="L202" i="1"/>
  <c r="AG201" i="1"/>
  <c r="AH201" i="1" s="1"/>
  <c r="AE201" i="1"/>
  <c r="AF201" i="1" s="1"/>
  <c r="AB201" i="1"/>
  <c r="AC201" i="1" s="1"/>
  <c r="Z201" i="1"/>
  <c r="AA201" i="1" s="1"/>
  <c r="T201" i="1"/>
  <c r="S201" i="1"/>
  <c r="R201" i="1"/>
  <c r="N201" i="1"/>
  <c r="M201" i="1"/>
  <c r="L201" i="1"/>
  <c r="AG200" i="1"/>
  <c r="AH200" i="1" s="1"/>
  <c r="AE200" i="1"/>
  <c r="AF200" i="1" s="1"/>
  <c r="AB200" i="1"/>
  <c r="AC200" i="1" s="1"/>
  <c r="Z200" i="1"/>
  <c r="AA200" i="1" s="1"/>
  <c r="T200" i="1"/>
  <c r="S200" i="1"/>
  <c r="W200" i="1" s="1"/>
  <c r="R200" i="1"/>
  <c r="N200" i="1"/>
  <c r="M200" i="1"/>
  <c r="Q200" i="1" s="1"/>
  <c r="L200" i="1"/>
  <c r="AG199" i="1"/>
  <c r="AH199" i="1" s="1"/>
  <c r="AE199" i="1"/>
  <c r="AF199" i="1" s="1"/>
  <c r="AB199" i="1"/>
  <c r="AC199" i="1" s="1"/>
  <c r="Z199" i="1"/>
  <c r="AA199" i="1" s="1"/>
  <c r="T199" i="1"/>
  <c r="S199" i="1"/>
  <c r="W199" i="1" s="1"/>
  <c r="R199" i="1"/>
  <c r="N199" i="1"/>
  <c r="M199" i="1"/>
  <c r="Q199" i="1" s="1"/>
  <c r="L199" i="1"/>
  <c r="AG198" i="1"/>
  <c r="AH198" i="1" s="1"/>
  <c r="AE198" i="1"/>
  <c r="AF198" i="1" s="1"/>
  <c r="AB198" i="1"/>
  <c r="AC198" i="1" s="1"/>
  <c r="Z198" i="1"/>
  <c r="AA198" i="1" s="1"/>
  <c r="T198" i="1"/>
  <c r="S198" i="1"/>
  <c r="W198" i="1" s="1"/>
  <c r="R198" i="1"/>
  <c r="N198" i="1"/>
  <c r="M198" i="1"/>
  <c r="Q198" i="1" s="1"/>
  <c r="L198" i="1"/>
  <c r="AG197" i="1"/>
  <c r="AH197" i="1" s="1"/>
  <c r="AE197" i="1"/>
  <c r="AF197" i="1" s="1"/>
  <c r="AB197" i="1"/>
  <c r="AC197" i="1" s="1"/>
  <c r="Z197" i="1"/>
  <c r="AA197" i="1" s="1"/>
  <c r="T197" i="1"/>
  <c r="S197" i="1"/>
  <c r="W197" i="1" s="1"/>
  <c r="R197" i="1"/>
  <c r="N197" i="1"/>
  <c r="M197" i="1"/>
  <c r="Q197" i="1" s="1"/>
  <c r="L197" i="1"/>
  <c r="AG196" i="1"/>
  <c r="AH196" i="1" s="1"/>
  <c r="AE196" i="1"/>
  <c r="AF196" i="1" s="1"/>
  <c r="AB196" i="1"/>
  <c r="AC196" i="1" s="1"/>
  <c r="Z196" i="1"/>
  <c r="AA196" i="1" s="1"/>
  <c r="T196" i="1"/>
  <c r="S196" i="1"/>
  <c r="W196" i="1" s="1"/>
  <c r="R196" i="1"/>
  <c r="N196" i="1"/>
  <c r="M196" i="1"/>
  <c r="Q196" i="1" s="1"/>
  <c r="L196" i="1"/>
  <c r="AG195" i="1"/>
  <c r="AH195" i="1" s="1"/>
  <c r="AE195" i="1"/>
  <c r="AF195" i="1" s="1"/>
  <c r="AB195" i="1"/>
  <c r="AC195" i="1" s="1"/>
  <c r="Z195" i="1"/>
  <c r="AA195" i="1" s="1"/>
  <c r="T195" i="1"/>
  <c r="S195" i="1"/>
  <c r="W195" i="1" s="1"/>
  <c r="R195" i="1"/>
  <c r="N195" i="1"/>
  <c r="M195" i="1"/>
  <c r="Q195" i="1" s="1"/>
  <c r="L195" i="1"/>
  <c r="AG194" i="1"/>
  <c r="AH194" i="1" s="1"/>
  <c r="AE194" i="1"/>
  <c r="AF194" i="1" s="1"/>
  <c r="AB194" i="1"/>
  <c r="AC194" i="1" s="1"/>
  <c r="Z194" i="1"/>
  <c r="AA194" i="1" s="1"/>
  <c r="T194" i="1"/>
  <c r="S194" i="1"/>
  <c r="W194" i="1" s="1"/>
  <c r="R194" i="1"/>
  <c r="N194" i="1"/>
  <c r="M194" i="1"/>
  <c r="Q194" i="1" s="1"/>
  <c r="L194" i="1"/>
  <c r="AG193" i="1"/>
  <c r="AH193" i="1" s="1"/>
  <c r="AE193" i="1"/>
  <c r="AF193" i="1" s="1"/>
  <c r="AB193" i="1"/>
  <c r="AC193" i="1" s="1"/>
  <c r="Z193" i="1"/>
  <c r="AA193" i="1" s="1"/>
  <c r="T193" i="1"/>
  <c r="S193" i="1"/>
  <c r="W193" i="1" s="1"/>
  <c r="R193" i="1"/>
  <c r="N193" i="1"/>
  <c r="M193" i="1"/>
  <c r="Q193" i="1" s="1"/>
  <c r="L193" i="1"/>
  <c r="AG192" i="1"/>
  <c r="AH192" i="1" s="1"/>
  <c r="AE192" i="1"/>
  <c r="AF192" i="1" s="1"/>
  <c r="AB192" i="1"/>
  <c r="AC192" i="1" s="1"/>
  <c r="Z192" i="1"/>
  <c r="AA192" i="1" s="1"/>
  <c r="T192" i="1"/>
  <c r="S192" i="1"/>
  <c r="W192" i="1" s="1"/>
  <c r="R192" i="1"/>
  <c r="N192" i="1"/>
  <c r="M192" i="1"/>
  <c r="Q192" i="1" s="1"/>
  <c r="L192" i="1"/>
  <c r="AG191" i="1"/>
  <c r="AH191" i="1" s="1"/>
  <c r="AE191" i="1"/>
  <c r="AF191" i="1" s="1"/>
  <c r="AB191" i="1"/>
  <c r="AC191" i="1" s="1"/>
  <c r="Z191" i="1"/>
  <c r="AA191" i="1" s="1"/>
  <c r="T191" i="1"/>
  <c r="S191" i="1"/>
  <c r="W191" i="1" s="1"/>
  <c r="R191" i="1"/>
  <c r="N191" i="1"/>
  <c r="M191" i="1"/>
  <c r="Q191" i="1" s="1"/>
  <c r="L191" i="1"/>
  <c r="AG190" i="1"/>
  <c r="AH190" i="1" s="1"/>
  <c r="AE190" i="1"/>
  <c r="AF190" i="1" s="1"/>
  <c r="AB190" i="1"/>
  <c r="AC190" i="1" s="1"/>
  <c r="Z190" i="1"/>
  <c r="AA190" i="1" s="1"/>
  <c r="T190" i="1"/>
  <c r="S190" i="1"/>
  <c r="W190" i="1" s="1"/>
  <c r="R190" i="1"/>
  <c r="N190" i="1"/>
  <c r="M190" i="1"/>
  <c r="Q190" i="1" s="1"/>
  <c r="L190" i="1"/>
  <c r="AG189" i="1"/>
  <c r="AH189" i="1" s="1"/>
  <c r="AE189" i="1"/>
  <c r="AF189" i="1" s="1"/>
  <c r="AB189" i="1"/>
  <c r="AC189" i="1" s="1"/>
  <c r="Z189" i="1"/>
  <c r="AA189" i="1" s="1"/>
  <c r="T189" i="1"/>
  <c r="S189" i="1"/>
  <c r="W189" i="1" s="1"/>
  <c r="R189" i="1"/>
  <c r="N189" i="1"/>
  <c r="M189" i="1"/>
  <c r="Q189" i="1" s="1"/>
  <c r="L189" i="1"/>
  <c r="AG188" i="1"/>
  <c r="AH188" i="1" s="1"/>
  <c r="AE188" i="1"/>
  <c r="AF188" i="1" s="1"/>
  <c r="AB188" i="1"/>
  <c r="AC188" i="1" s="1"/>
  <c r="Z188" i="1"/>
  <c r="AA188" i="1" s="1"/>
  <c r="T188" i="1"/>
  <c r="S188" i="1"/>
  <c r="W188" i="1" s="1"/>
  <c r="R188" i="1"/>
  <c r="N188" i="1"/>
  <c r="M188" i="1"/>
  <c r="Q188" i="1" s="1"/>
  <c r="L188" i="1"/>
  <c r="AG187" i="1"/>
  <c r="AH187" i="1" s="1"/>
  <c r="AE187" i="1"/>
  <c r="AF187" i="1" s="1"/>
  <c r="AB187" i="1"/>
  <c r="AC187" i="1" s="1"/>
  <c r="Z187" i="1"/>
  <c r="AA187" i="1" s="1"/>
  <c r="T187" i="1"/>
  <c r="S187" i="1"/>
  <c r="W187" i="1" s="1"/>
  <c r="R187" i="1"/>
  <c r="N187" i="1"/>
  <c r="M187" i="1"/>
  <c r="Q187" i="1" s="1"/>
  <c r="L187" i="1"/>
  <c r="AG186" i="1"/>
  <c r="AH186" i="1" s="1"/>
  <c r="AE186" i="1"/>
  <c r="AF186" i="1" s="1"/>
  <c r="AB186" i="1"/>
  <c r="AC186" i="1" s="1"/>
  <c r="Z186" i="1"/>
  <c r="AA186" i="1" s="1"/>
  <c r="T186" i="1"/>
  <c r="S186" i="1"/>
  <c r="W186" i="1" s="1"/>
  <c r="R186" i="1"/>
  <c r="N186" i="1"/>
  <c r="M186" i="1"/>
  <c r="Q186" i="1" s="1"/>
  <c r="L186" i="1"/>
  <c r="AG185" i="1"/>
  <c r="AH185" i="1" s="1"/>
  <c r="AE185" i="1"/>
  <c r="AF185" i="1" s="1"/>
  <c r="AB185" i="1"/>
  <c r="AC185" i="1" s="1"/>
  <c r="Z185" i="1"/>
  <c r="AA185" i="1" s="1"/>
  <c r="T185" i="1"/>
  <c r="S185" i="1"/>
  <c r="W185" i="1" s="1"/>
  <c r="R185" i="1"/>
  <c r="N185" i="1"/>
  <c r="M185" i="1"/>
  <c r="Q185" i="1" s="1"/>
  <c r="L185" i="1"/>
  <c r="AG184" i="1"/>
  <c r="AH184" i="1" s="1"/>
  <c r="AE184" i="1"/>
  <c r="AF184" i="1" s="1"/>
  <c r="AB184" i="1"/>
  <c r="AC184" i="1" s="1"/>
  <c r="Z184" i="1"/>
  <c r="AA184" i="1" s="1"/>
  <c r="T184" i="1"/>
  <c r="S184" i="1"/>
  <c r="W184" i="1" s="1"/>
  <c r="R184" i="1"/>
  <c r="N184" i="1"/>
  <c r="M184" i="1"/>
  <c r="Q184" i="1" s="1"/>
  <c r="L184" i="1"/>
  <c r="AG183" i="1"/>
  <c r="AH183" i="1" s="1"/>
  <c r="AE183" i="1"/>
  <c r="AF183" i="1" s="1"/>
  <c r="AB183" i="1"/>
  <c r="AC183" i="1" s="1"/>
  <c r="Z183" i="1"/>
  <c r="AA183" i="1" s="1"/>
  <c r="T183" i="1"/>
  <c r="S183" i="1"/>
  <c r="W183" i="1" s="1"/>
  <c r="R183" i="1"/>
  <c r="N183" i="1"/>
  <c r="M183" i="1"/>
  <c r="Q183" i="1" s="1"/>
  <c r="L183" i="1"/>
  <c r="AG182" i="1"/>
  <c r="AH182" i="1" s="1"/>
  <c r="AE182" i="1"/>
  <c r="AF182" i="1" s="1"/>
  <c r="AB182" i="1"/>
  <c r="AC182" i="1" s="1"/>
  <c r="Z182" i="1"/>
  <c r="AA182" i="1" s="1"/>
  <c r="T182" i="1"/>
  <c r="S182" i="1"/>
  <c r="W182" i="1" s="1"/>
  <c r="R182" i="1"/>
  <c r="N182" i="1"/>
  <c r="M182" i="1"/>
  <c r="Q182" i="1" s="1"/>
  <c r="L182" i="1"/>
  <c r="AG181" i="1"/>
  <c r="AH181" i="1" s="1"/>
  <c r="AE181" i="1"/>
  <c r="AF181" i="1" s="1"/>
  <c r="AB181" i="1"/>
  <c r="AC181" i="1" s="1"/>
  <c r="Z181" i="1"/>
  <c r="AA181" i="1" s="1"/>
  <c r="T181" i="1"/>
  <c r="S181" i="1"/>
  <c r="W181" i="1" s="1"/>
  <c r="R181" i="1"/>
  <c r="N181" i="1"/>
  <c r="M181" i="1"/>
  <c r="L181" i="1"/>
  <c r="AG180" i="1"/>
  <c r="AH180" i="1" s="1"/>
  <c r="AE180" i="1"/>
  <c r="AF180" i="1" s="1"/>
  <c r="AB180" i="1"/>
  <c r="AC180" i="1" s="1"/>
  <c r="Z180" i="1"/>
  <c r="AA180" i="1" s="1"/>
  <c r="T180" i="1"/>
  <c r="S180" i="1"/>
  <c r="R180" i="1"/>
  <c r="N180" i="1"/>
  <c r="M180" i="1"/>
  <c r="L180" i="1"/>
  <c r="AG179" i="1"/>
  <c r="AH179" i="1" s="1"/>
  <c r="AE179" i="1"/>
  <c r="AF179" i="1" s="1"/>
  <c r="AB179" i="1"/>
  <c r="AC179" i="1" s="1"/>
  <c r="Z179" i="1"/>
  <c r="AA179" i="1" s="1"/>
  <c r="T179" i="1"/>
  <c r="S179" i="1"/>
  <c r="W179" i="1" s="1"/>
  <c r="R179" i="1"/>
  <c r="N179" i="1"/>
  <c r="M179" i="1"/>
  <c r="L179" i="1"/>
  <c r="AG178" i="1"/>
  <c r="AH178" i="1" s="1"/>
  <c r="AE178" i="1"/>
  <c r="AF178" i="1" s="1"/>
  <c r="AB178" i="1"/>
  <c r="AC178" i="1" s="1"/>
  <c r="Z178" i="1"/>
  <c r="AA178" i="1" s="1"/>
  <c r="T178" i="1"/>
  <c r="S178" i="1"/>
  <c r="R178" i="1"/>
  <c r="N178" i="1"/>
  <c r="M178" i="1"/>
  <c r="L178" i="1"/>
  <c r="AG177" i="1"/>
  <c r="AH177" i="1" s="1"/>
  <c r="AE177" i="1"/>
  <c r="AF177" i="1" s="1"/>
  <c r="AB177" i="1"/>
  <c r="AC177" i="1" s="1"/>
  <c r="Z177" i="1"/>
  <c r="AA177" i="1" s="1"/>
  <c r="T177" i="1"/>
  <c r="S177" i="1"/>
  <c r="R177" i="1"/>
  <c r="N177" i="1"/>
  <c r="M177" i="1"/>
  <c r="L177" i="1"/>
  <c r="AG176" i="1"/>
  <c r="AH176" i="1" s="1"/>
  <c r="AE176" i="1"/>
  <c r="AF176" i="1" s="1"/>
  <c r="AB176" i="1"/>
  <c r="AC176" i="1" s="1"/>
  <c r="Z176" i="1"/>
  <c r="AA176" i="1" s="1"/>
  <c r="T176" i="1"/>
  <c r="S176" i="1"/>
  <c r="R176" i="1"/>
  <c r="N176" i="1"/>
  <c r="M176" i="1"/>
  <c r="Q176" i="1" s="1"/>
  <c r="L176" i="1"/>
  <c r="AG175" i="1"/>
  <c r="AH175" i="1" s="1"/>
  <c r="AE175" i="1"/>
  <c r="AF175" i="1" s="1"/>
  <c r="AB175" i="1"/>
  <c r="AC175" i="1" s="1"/>
  <c r="Z175" i="1"/>
  <c r="AA175" i="1" s="1"/>
  <c r="T175" i="1"/>
  <c r="S175" i="1"/>
  <c r="W175" i="1" s="1"/>
  <c r="R175" i="1"/>
  <c r="N175" i="1"/>
  <c r="M175" i="1"/>
  <c r="L175" i="1"/>
  <c r="AG174" i="1"/>
  <c r="AH174" i="1" s="1"/>
  <c r="AE174" i="1"/>
  <c r="AF174" i="1" s="1"/>
  <c r="AB174" i="1"/>
  <c r="AC174" i="1" s="1"/>
  <c r="Z174" i="1"/>
  <c r="AA174" i="1" s="1"/>
  <c r="T174" i="1"/>
  <c r="S174" i="1"/>
  <c r="R174" i="1"/>
  <c r="N174" i="1"/>
  <c r="M174" i="1"/>
  <c r="L174" i="1"/>
  <c r="AG173" i="1"/>
  <c r="AH173" i="1" s="1"/>
  <c r="AE173" i="1"/>
  <c r="AF173" i="1" s="1"/>
  <c r="AB173" i="1"/>
  <c r="AC173" i="1" s="1"/>
  <c r="Z173" i="1"/>
  <c r="AA173" i="1" s="1"/>
  <c r="T173" i="1"/>
  <c r="S173" i="1"/>
  <c r="W173" i="1" s="1"/>
  <c r="R173" i="1"/>
  <c r="N173" i="1"/>
  <c r="M173" i="1"/>
  <c r="L173" i="1"/>
  <c r="AG172" i="1"/>
  <c r="AH172" i="1" s="1"/>
  <c r="AE172" i="1"/>
  <c r="AF172" i="1" s="1"/>
  <c r="AB172" i="1"/>
  <c r="AC172" i="1" s="1"/>
  <c r="Z172" i="1"/>
  <c r="AA172" i="1" s="1"/>
  <c r="T172" i="1"/>
  <c r="S172" i="1"/>
  <c r="R172" i="1"/>
  <c r="N172" i="1"/>
  <c r="M172" i="1"/>
  <c r="L172" i="1"/>
  <c r="AG171" i="1"/>
  <c r="AH171" i="1" s="1"/>
  <c r="AE171" i="1"/>
  <c r="AF171" i="1" s="1"/>
  <c r="AB171" i="1"/>
  <c r="AC171" i="1" s="1"/>
  <c r="Z171" i="1"/>
  <c r="AA171" i="1" s="1"/>
  <c r="T171" i="1"/>
  <c r="S171" i="1"/>
  <c r="R171" i="1"/>
  <c r="N171" i="1"/>
  <c r="M171" i="1"/>
  <c r="L171" i="1"/>
  <c r="AG170" i="1"/>
  <c r="AH170" i="1" s="1"/>
  <c r="AE170" i="1"/>
  <c r="AF170" i="1" s="1"/>
  <c r="AB170" i="1"/>
  <c r="AC170" i="1" s="1"/>
  <c r="Z170" i="1"/>
  <c r="AA170" i="1" s="1"/>
  <c r="T170" i="1"/>
  <c r="S170" i="1"/>
  <c r="R170" i="1"/>
  <c r="N170" i="1"/>
  <c r="M170" i="1"/>
  <c r="Q170" i="1" s="1"/>
  <c r="L170" i="1"/>
  <c r="AG169" i="1"/>
  <c r="AH169" i="1" s="1"/>
  <c r="AE169" i="1"/>
  <c r="AF169" i="1" s="1"/>
  <c r="AB169" i="1"/>
  <c r="AC169" i="1" s="1"/>
  <c r="Z169" i="1"/>
  <c r="AA169" i="1" s="1"/>
  <c r="T169" i="1"/>
  <c r="S169" i="1"/>
  <c r="W169" i="1" s="1"/>
  <c r="R169" i="1"/>
  <c r="N169" i="1"/>
  <c r="M169" i="1"/>
  <c r="Q169" i="1" s="1"/>
  <c r="L169" i="1"/>
  <c r="AG168" i="1"/>
  <c r="AH168" i="1" s="1"/>
  <c r="AE168" i="1"/>
  <c r="AF168" i="1" s="1"/>
  <c r="AB168" i="1"/>
  <c r="AC168" i="1" s="1"/>
  <c r="Z168" i="1"/>
  <c r="AA168" i="1" s="1"/>
  <c r="T168" i="1"/>
  <c r="S168" i="1"/>
  <c r="W168" i="1" s="1"/>
  <c r="R168" i="1"/>
  <c r="N168" i="1"/>
  <c r="M168" i="1"/>
  <c r="Q168" i="1" s="1"/>
  <c r="L168" i="1"/>
  <c r="AG167" i="1"/>
  <c r="AH167" i="1" s="1"/>
  <c r="AE167" i="1"/>
  <c r="AF167" i="1" s="1"/>
  <c r="AB167" i="1"/>
  <c r="AC167" i="1" s="1"/>
  <c r="Z167" i="1"/>
  <c r="AA167" i="1" s="1"/>
  <c r="T167" i="1"/>
  <c r="S167" i="1"/>
  <c r="W167" i="1" s="1"/>
  <c r="R167" i="1"/>
  <c r="N167" i="1"/>
  <c r="M167" i="1"/>
  <c r="Q167" i="1" s="1"/>
  <c r="L167" i="1"/>
  <c r="AG166" i="1"/>
  <c r="AH166" i="1" s="1"/>
  <c r="AE166" i="1"/>
  <c r="AF166" i="1" s="1"/>
  <c r="AB166" i="1"/>
  <c r="AC166" i="1" s="1"/>
  <c r="Z166" i="1"/>
  <c r="AA166" i="1" s="1"/>
  <c r="T166" i="1"/>
  <c r="S166" i="1"/>
  <c r="W166" i="1" s="1"/>
  <c r="R166" i="1"/>
  <c r="N166" i="1"/>
  <c r="M166" i="1"/>
  <c r="Q166" i="1" s="1"/>
  <c r="L166" i="1"/>
  <c r="AG165" i="1"/>
  <c r="AH165" i="1" s="1"/>
  <c r="AE165" i="1"/>
  <c r="AF165" i="1" s="1"/>
  <c r="AB165" i="1"/>
  <c r="AC165" i="1" s="1"/>
  <c r="Z165" i="1"/>
  <c r="AA165" i="1" s="1"/>
  <c r="T165" i="1"/>
  <c r="S165" i="1"/>
  <c r="W165" i="1" s="1"/>
  <c r="R165" i="1"/>
  <c r="N165" i="1"/>
  <c r="M165" i="1"/>
  <c r="Q165" i="1" s="1"/>
  <c r="L165" i="1"/>
  <c r="AG164" i="1"/>
  <c r="AH164" i="1" s="1"/>
  <c r="AE164" i="1"/>
  <c r="AF164" i="1" s="1"/>
  <c r="AB164" i="1"/>
  <c r="AC164" i="1" s="1"/>
  <c r="Z164" i="1"/>
  <c r="AA164" i="1" s="1"/>
  <c r="T164" i="1"/>
  <c r="S164" i="1"/>
  <c r="W164" i="1" s="1"/>
  <c r="R164" i="1"/>
  <c r="N164" i="1"/>
  <c r="M164" i="1"/>
  <c r="Q164" i="1" s="1"/>
  <c r="L164" i="1"/>
  <c r="AG163" i="1"/>
  <c r="AH163" i="1" s="1"/>
  <c r="AE163" i="1"/>
  <c r="AF163" i="1" s="1"/>
  <c r="AB163" i="1"/>
  <c r="AC163" i="1" s="1"/>
  <c r="Z163" i="1"/>
  <c r="AA163" i="1" s="1"/>
  <c r="V163" i="1"/>
  <c r="U163" i="1"/>
  <c r="T163" i="1"/>
  <c r="S163" i="1"/>
  <c r="R163" i="1"/>
  <c r="P163" i="1"/>
  <c r="Q163" i="1" s="1"/>
  <c r="O163" i="1"/>
  <c r="N163" i="1"/>
  <c r="M163" i="1"/>
  <c r="L163" i="1"/>
  <c r="AG162" i="1"/>
  <c r="AH162" i="1" s="1"/>
  <c r="AE162" i="1"/>
  <c r="AF162" i="1" s="1"/>
  <c r="AB162" i="1"/>
  <c r="AC162" i="1" s="1"/>
  <c r="Z162" i="1"/>
  <c r="AA162" i="1" s="1"/>
  <c r="V162" i="1"/>
  <c r="U162" i="1"/>
  <c r="T162" i="1"/>
  <c r="S162" i="1"/>
  <c r="R162" i="1"/>
  <c r="P162" i="1"/>
  <c r="Q162" i="1" s="1"/>
  <c r="O162" i="1"/>
  <c r="N162" i="1"/>
  <c r="M162" i="1"/>
  <c r="L162" i="1"/>
  <c r="AG161" i="1"/>
  <c r="AH161" i="1" s="1"/>
  <c r="AE161" i="1"/>
  <c r="AF161" i="1" s="1"/>
  <c r="AB161" i="1"/>
  <c r="AC161" i="1" s="1"/>
  <c r="Z161" i="1"/>
  <c r="AA161" i="1" s="1"/>
  <c r="V161" i="1"/>
  <c r="U161" i="1"/>
  <c r="T161" i="1"/>
  <c r="S161" i="1"/>
  <c r="R161" i="1"/>
  <c r="P161" i="1"/>
  <c r="Q161" i="1" s="1"/>
  <c r="O161" i="1"/>
  <c r="N161" i="1"/>
  <c r="M161" i="1"/>
  <c r="L161" i="1"/>
  <c r="AG160" i="1"/>
  <c r="AH160" i="1" s="1"/>
  <c r="AE160" i="1"/>
  <c r="AF160" i="1" s="1"/>
  <c r="AB160" i="1"/>
  <c r="AC160" i="1" s="1"/>
  <c r="Z160" i="1"/>
  <c r="AA160" i="1" s="1"/>
  <c r="V160" i="1"/>
  <c r="U160" i="1"/>
  <c r="T160" i="1"/>
  <c r="S160" i="1"/>
  <c r="R160" i="1"/>
  <c r="P160" i="1"/>
  <c r="O160" i="1"/>
  <c r="N160" i="1"/>
  <c r="M160" i="1"/>
  <c r="L160" i="1"/>
  <c r="AG159" i="1"/>
  <c r="AH159" i="1" s="1"/>
  <c r="AE159" i="1"/>
  <c r="AF159" i="1" s="1"/>
  <c r="AB159" i="1"/>
  <c r="AC159" i="1" s="1"/>
  <c r="Z159" i="1"/>
  <c r="AA159" i="1" s="1"/>
  <c r="V159" i="1"/>
  <c r="U159" i="1"/>
  <c r="T159" i="1"/>
  <c r="S159" i="1"/>
  <c r="R159" i="1"/>
  <c r="P159" i="1"/>
  <c r="O159" i="1"/>
  <c r="N159" i="1"/>
  <c r="M159" i="1"/>
  <c r="Q159" i="1" s="1"/>
  <c r="L159" i="1"/>
  <c r="AG158" i="1"/>
  <c r="AH158" i="1" s="1"/>
  <c r="AE158" i="1"/>
  <c r="AF158" i="1" s="1"/>
  <c r="AB158" i="1"/>
  <c r="AC158" i="1" s="1"/>
  <c r="Z158" i="1"/>
  <c r="AA158" i="1" s="1"/>
  <c r="V158" i="1"/>
  <c r="U158" i="1"/>
  <c r="T158" i="1"/>
  <c r="S158" i="1"/>
  <c r="R158" i="1"/>
  <c r="Q158" i="1"/>
  <c r="P158" i="1"/>
  <c r="O158" i="1"/>
  <c r="N158" i="1"/>
  <c r="M158" i="1"/>
  <c r="L158" i="1"/>
  <c r="AG157" i="1"/>
  <c r="AH157" i="1" s="1"/>
  <c r="AE157" i="1"/>
  <c r="AF157" i="1" s="1"/>
  <c r="AB157" i="1"/>
  <c r="AC157" i="1" s="1"/>
  <c r="Z157" i="1"/>
  <c r="AA157" i="1" s="1"/>
  <c r="V157" i="1"/>
  <c r="U157" i="1"/>
  <c r="T157" i="1"/>
  <c r="S157" i="1"/>
  <c r="R157" i="1"/>
  <c r="P157" i="1"/>
  <c r="O157" i="1"/>
  <c r="N157" i="1"/>
  <c r="M157" i="1"/>
  <c r="Q157" i="1" s="1"/>
  <c r="L157" i="1"/>
  <c r="AG156" i="1"/>
  <c r="AH156" i="1" s="1"/>
  <c r="AE156" i="1"/>
  <c r="AF156" i="1" s="1"/>
  <c r="AB156" i="1"/>
  <c r="AC156" i="1" s="1"/>
  <c r="Z156" i="1"/>
  <c r="AA156" i="1" s="1"/>
  <c r="V156" i="1"/>
  <c r="U156" i="1"/>
  <c r="T156" i="1"/>
  <c r="S156" i="1"/>
  <c r="R156" i="1"/>
  <c r="P156" i="1"/>
  <c r="O156" i="1"/>
  <c r="N156" i="1"/>
  <c r="M156" i="1"/>
  <c r="Q156" i="1" s="1"/>
  <c r="L156" i="1"/>
  <c r="AG155" i="1"/>
  <c r="AH155" i="1" s="1"/>
  <c r="AE155" i="1"/>
  <c r="AF155" i="1" s="1"/>
  <c r="AB155" i="1"/>
  <c r="AC155" i="1" s="1"/>
  <c r="Z155" i="1"/>
  <c r="AA155" i="1" s="1"/>
  <c r="V155" i="1"/>
  <c r="U155" i="1"/>
  <c r="T155" i="1"/>
  <c r="S155" i="1"/>
  <c r="R155" i="1"/>
  <c r="P155" i="1"/>
  <c r="O155" i="1"/>
  <c r="N155" i="1"/>
  <c r="M155" i="1"/>
  <c r="Q155" i="1" s="1"/>
  <c r="L155" i="1"/>
  <c r="AG154" i="1"/>
  <c r="AH154" i="1" s="1"/>
  <c r="AE154" i="1"/>
  <c r="AF154" i="1" s="1"/>
  <c r="AB154" i="1"/>
  <c r="AC154" i="1" s="1"/>
  <c r="Z154" i="1"/>
  <c r="AA154" i="1" s="1"/>
  <c r="V154" i="1"/>
  <c r="W154" i="1" s="1"/>
  <c r="U154" i="1"/>
  <c r="T154" i="1"/>
  <c r="S154" i="1"/>
  <c r="R154" i="1"/>
  <c r="P154" i="1"/>
  <c r="O154" i="1"/>
  <c r="N154" i="1"/>
  <c r="M154" i="1"/>
  <c r="L154" i="1"/>
  <c r="AG153" i="1"/>
  <c r="AH153" i="1" s="1"/>
  <c r="AF153" i="1"/>
  <c r="AE153" i="1"/>
  <c r="AB153" i="1"/>
  <c r="AC153" i="1" s="1"/>
  <c r="Z153" i="1"/>
  <c r="AA153" i="1" s="1"/>
  <c r="V153" i="1"/>
  <c r="U153" i="1"/>
  <c r="T153" i="1"/>
  <c r="S153" i="1"/>
  <c r="R153" i="1"/>
  <c r="P153" i="1"/>
  <c r="O153" i="1"/>
  <c r="N153" i="1"/>
  <c r="M153" i="1"/>
  <c r="L153" i="1"/>
  <c r="AG152" i="1"/>
  <c r="AH152" i="1" s="1"/>
  <c r="AE152" i="1"/>
  <c r="AF152" i="1" s="1"/>
  <c r="AB152" i="1"/>
  <c r="AC152" i="1" s="1"/>
  <c r="Z152" i="1"/>
  <c r="AA152" i="1" s="1"/>
  <c r="V152" i="1"/>
  <c r="U152" i="1"/>
  <c r="T152" i="1"/>
  <c r="S152" i="1"/>
  <c r="R152" i="1"/>
  <c r="Q152" i="1"/>
  <c r="P152" i="1"/>
  <c r="O152" i="1"/>
  <c r="N152" i="1"/>
  <c r="M152" i="1"/>
  <c r="L152" i="1"/>
  <c r="AG151" i="1"/>
  <c r="AH151" i="1" s="1"/>
  <c r="AE151" i="1"/>
  <c r="AF151" i="1" s="1"/>
  <c r="AB151" i="1"/>
  <c r="AC151" i="1" s="1"/>
  <c r="Z151" i="1"/>
  <c r="AA151" i="1" s="1"/>
  <c r="V151" i="1"/>
  <c r="U151" i="1"/>
  <c r="T151" i="1"/>
  <c r="S151" i="1"/>
  <c r="W151" i="1" s="1"/>
  <c r="R151" i="1"/>
  <c r="P151" i="1"/>
  <c r="O151" i="1"/>
  <c r="N151" i="1"/>
  <c r="M151" i="1"/>
  <c r="L151" i="1"/>
  <c r="AH150" i="1"/>
  <c r="AG150" i="1"/>
  <c r="AE150" i="1"/>
  <c r="AF150" i="1" s="1"/>
  <c r="AB150" i="1"/>
  <c r="AC150" i="1" s="1"/>
  <c r="Z150" i="1"/>
  <c r="AA150" i="1" s="1"/>
  <c r="V150" i="1"/>
  <c r="U150" i="1"/>
  <c r="T150" i="1"/>
  <c r="S150" i="1"/>
  <c r="R150" i="1"/>
  <c r="P150" i="1"/>
  <c r="O150" i="1"/>
  <c r="N150" i="1"/>
  <c r="M150" i="1"/>
  <c r="Q150" i="1" s="1"/>
  <c r="L150" i="1"/>
  <c r="AG149" i="1"/>
  <c r="AH149" i="1" s="1"/>
  <c r="AE149" i="1"/>
  <c r="AF149" i="1" s="1"/>
  <c r="AB149" i="1"/>
  <c r="AC149" i="1" s="1"/>
  <c r="Z149" i="1"/>
  <c r="AA149" i="1" s="1"/>
  <c r="V149" i="1"/>
  <c r="U149" i="1"/>
  <c r="T149" i="1"/>
  <c r="S149" i="1"/>
  <c r="R149" i="1"/>
  <c r="P149" i="1"/>
  <c r="O149" i="1"/>
  <c r="N149" i="1"/>
  <c r="M149" i="1"/>
  <c r="L149" i="1"/>
  <c r="AG148" i="1"/>
  <c r="AH148" i="1" s="1"/>
  <c r="AE148" i="1"/>
  <c r="AF148" i="1" s="1"/>
  <c r="AB148" i="1"/>
  <c r="AC148" i="1" s="1"/>
  <c r="Z148" i="1"/>
  <c r="AA148" i="1" s="1"/>
  <c r="V148" i="1"/>
  <c r="W148" i="1" s="1"/>
  <c r="U148" i="1"/>
  <c r="T148" i="1"/>
  <c r="S148" i="1"/>
  <c r="R148" i="1"/>
  <c r="Q148" i="1"/>
  <c r="P148" i="1"/>
  <c r="O148" i="1"/>
  <c r="N148" i="1"/>
  <c r="M148" i="1"/>
  <c r="L148" i="1"/>
  <c r="AG147" i="1"/>
  <c r="AH147" i="1" s="1"/>
  <c r="AE147" i="1"/>
  <c r="AF147" i="1" s="1"/>
  <c r="AB147" i="1"/>
  <c r="AC147" i="1" s="1"/>
  <c r="Z147" i="1"/>
  <c r="AA147" i="1" s="1"/>
  <c r="V147" i="1"/>
  <c r="U147" i="1"/>
  <c r="T147" i="1"/>
  <c r="S147" i="1"/>
  <c r="R147" i="1"/>
  <c r="P147" i="1"/>
  <c r="O147" i="1"/>
  <c r="N147" i="1"/>
  <c r="M147" i="1"/>
  <c r="L147" i="1"/>
  <c r="AG146" i="1"/>
  <c r="AH146" i="1" s="1"/>
  <c r="AE146" i="1"/>
  <c r="AF146" i="1" s="1"/>
  <c r="AB146" i="1"/>
  <c r="AC146" i="1" s="1"/>
  <c r="Z146" i="1"/>
  <c r="AA146" i="1" s="1"/>
  <c r="V146" i="1"/>
  <c r="U146" i="1"/>
  <c r="T146" i="1"/>
  <c r="S146" i="1"/>
  <c r="R146" i="1"/>
  <c r="Q146" i="1"/>
  <c r="P146" i="1"/>
  <c r="O146" i="1"/>
  <c r="N146" i="1"/>
  <c r="M146" i="1"/>
  <c r="L146" i="1"/>
  <c r="AG145" i="1"/>
  <c r="AH145" i="1" s="1"/>
  <c r="AE145" i="1"/>
  <c r="AF145" i="1" s="1"/>
  <c r="AB145" i="1"/>
  <c r="AC145" i="1" s="1"/>
  <c r="Z145" i="1"/>
  <c r="AA145" i="1" s="1"/>
  <c r="V145" i="1"/>
  <c r="U145" i="1"/>
  <c r="T145" i="1"/>
  <c r="S145" i="1"/>
  <c r="W145" i="1" s="1"/>
  <c r="R145" i="1"/>
  <c r="P145" i="1"/>
  <c r="O145" i="1"/>
  <c r="N145" i="1"/>
  <c r="M145" i="1"/>
  <c r="L145" i="1"/>
  <c r="AG144" i="1"/>
  <c r="AH144" i="1" s="1"/>
  <c r="AE144" i="1"/>
  <c r="AF144" i="1" s="1"/>
  <c r="AB144" i="1"/>
  <c r="AC144" i="1" s="1"/>
  <c r="Z144" i="1"/>
  <c r="AA144" i="1" s="1"/>
  <c r="V144" i="1"/>
  <c r="U144" i="1"/>
  <c r="T144" i="1"/>
  <c r="S144" i="1"/>
  <c r="R144" i="1"/>
  <c r="P144" i="1"/>
  <c r="O144" i="1"/>
  <c r="N144" i="1"/>
  <c r="M144" i="1"/>
  <c r="Q144" i="1" s="1"/>
  <c r="L144" i="1"/>
  <c r="AG143" i="1"/>
  <c r="AH143" i="1" s="1"/>
  <c r="AE143" i="1"/>
  <c r="AF143" i="1" s="1"/>
  <c r="AB143" i="1"/>
  <c r="AC143" i="1" s="1"/>
  <c r="Z143" i="1"/>
  <c r="AA143" i="1" s="1"/>
  <c r="V143" i="1"/>
  <c r="U143" i="1"/>
  <c r="T143" i="1"/>
  <c r="S143" i="1"/>
  <c r="R143" i="1"/>
  <c r="P143" i="1"/>
  <c r="O143" i="1"/>
  <c r="N143" i="1"/>
  <c r="M143" i="1"/>
  <c r="Q143" i="1" s="1"/>
  <c r="L143" i="1"/>
  <c r="AG142" i="1"/>
  <c r="AH142" i="1" s="1"/>
  <c r="AF142" i="1"/>
  <c r="AE142" i="1"/>
  <c r="AB142" i="1"/>
  <c r="AC142" i="1" s="1"/>
  <c r="Z142" i="1"/>
  <c r="AA142" i="1" s="1"/>
  <c r="V142" i="1"/>
  <c r="W142" i="1" s="1"/>
  <c r="U142" i="1"/>
  <c r="T142" i="1"/>
  <c r="S142" i="1"/>
  <c r="R142" i="1"/>
  <c r="P142" i="1"/>
  <c r="O142" i="1"/>
  <c r="N142" i="1"/>
  <c r="M142" i="1"/>
  <c r="Q142" i="1" s="1"/>
  <c r="L142" i="1"/>
  <c r="AG141" i="1"/>
  <c r="AH141" i="1" s="1"/>
  <c r="AE141" i="1"/>
  <c r="AF141" i="1" s="1"/>
  <c r="AB141" i="1"/>
  <c r="AC141" i="1" s="1"/>
  <c r="Z141" i="1"/>
  <c r="AA141" i="1" s="1"/>
  <c r="V141" i="1"/>
  <c r="U141" i="1"/>
  <c r="T141" i="1"/>
  <c r="S141" i="1"/>
  <c r="R141" i="1"/>
  <c r="P141" i="1"/>
  <c r="O141" i="1"/>
  <c r="N141" i="1"/>
  <c r="M141" i="1"/>
  <c r="L141" i="1"/>
  <c r="AG140" i="1"/>
  <c r="AH140" i="1" s="1"/>
  <c r="AE140" i="1"/>
  <c r="AF140" i="1" s="1"/>
  <c r="AB140" i="1"/>
  <c r="AC140" i="1" s="1"/>
  <c r="Z140" i="1"/>
  <c r="AA140" i="1" s="1"/>
  <c r="V140" i="1"/>
  <c r="U140" i="1"/>
  <c r="T140" i="1"/>
  <c r="S140" i="1"/>
  <c r="R140" i="1"/>
  <c r="Q140" i="1"/>
  <c r="P140" i="1"/>
  <c r="O140" i="1"/>
  <c r="N140" i="1"/>
  <c r="M140" i="1"/>
  <c r="L140" i="1"/>
  <c r="AG139" i="1"/>
  <c r="AH139" i="1" s="1"/>
  <c r="AE139" i="1"/>
  <c r="AF139" i="1" s="1"/>
  <c r="AB139" i="1"/>
  <c r="AC139" i="1" s="1"/>
  <c r="Z139" i="1"/>
  <c r="AA139" i="1" s="1"/>
  <c r="V139" i="1"/>
  <c r="U139" i="1"/>
  <c r="T139" i="1"/>
  <c r="S139" i="1"/>
  <c r="R139" i="1"/>
  <c r="P139" i="1"/>
  <c r="O139" i="1"/>
  <c r="N139" i="1"/>
  <c r="M139" i="1"/>
  <c r="Q139" i="1" s="1"/>
  <c r="L139" i="1"/>
  <c r="AG138" i="1"/>
  <c r="AH138" i="1" s="1"/>
  <c r="AE138" i="1"/>
  <c r="AF138" i="1" s="1"/>
  <c r="AB138" i="1"/>
  <c r="AC138" i="1" s="1"/>
  <c r="AA138" i="1"/>
  <c r="Z138" i="1"/>
  <c r="V138" i="1"/>
  <c r="U138" i="1"/>
  <c r="T138" i="1"/>
  <c r="S138" i="1"/>
  <c r="R138" i="1"/>
  <c r="P138" i="1"/>
  <c r="O138" i="1"/>
  <c r="N138" i="1"/>
  <c r="M138" i="1"/>
  <c r="L138" i="1"/>
  <c r="AH137" i="1"/>
  <c r="AG137" i="1"/>
  <c r="AE137" i="1"/>
  <c r="AF137" i="1" s="1"/>
  <c r="AB137" i="1"/>
  <c r="AC137" i="1" s="1"/>
  <c r="Z137" i="1"/>
  <c r="AA137" i="1" s="1"/>
  <c r="V137" i="1"/>
  <c r="U137" i="1"/>
  <c r="T137" i="1"/>
  <c r="S137" i="1"/>
  <c r="R137" i="1"/>
  <c r="P137" i="1"/>
  <c r="Q137" i="1" s="1"/>
  <c r="O137" i="1"/>
  <c r="N137" i="1"/>
  <c r="M137" i="1"/>
  <c r="L137" i="1"/>
  <c r="AG136" i="1"/>
  <c r="AH136" i="1" s="1"/>
  <c r="AE136" i="1"/>
  <c r="AF136" i="1" s="1"/>
  <c r="AB136" i="1"/>
  <c r="AC136" i="1" s="1"/>
  <c r="Z136" i="1"/>
  <c r="AA136" i="1" s="1"/>
  <c r="V136" i="1"/>
  <c r="U136" i="1"/>
  <c r="T136" i="1"/>
  <c r="S136" i="1"/>
  <c r="R136" i="1"/>
  <c r="P136" i="1"/>
  <c r="O136" i="1"/>
  <c r="N136" i="1"/>
  <c r="M136" i="1"/>
  <c r="Q136" i="1" s="1"/>
  <c r="L136" i="1"/>
  <c r="AG135" i="1"/>
  <c r="AH135" i="1" s="1"/>
  <c r="AE135" i="1"/>
  <c r="AF135" i="1" s="1"/>
  <c r="AB135" i="1"/>
  <c r="AC135" i="1" s="1"/>
  <c r="Z135" i="1"/>
  <c r="AA135" i="1" s="1"/>
  <c r="V135" i="1"/>
  <c r="U135" i="1"/>
  <c r="T135" i="1"/>
  <c r="S135" i="1"/>
  <c r="R135" i="1"/>
  <c r="P135" i="1"/>
  <c r="O135" i="1"/>
  <c r="N135" i="1"/>
  <c r="M135" i="1"/>
  <c r="L135" i="1"/>
  <c r="AG134" i="1"/>
  <c r="AH134" i="1" s="1"/>
  <c r="AF134" i="1"/>
  <c r="AE134" i="1"/>
  <c r="AB134" i="1"/>
  <c r="AC134" i="1" s="1"/>
  <c r="Z134" i="1"/>
  <c r="AA134" i="1" s="1"/>
  <c r="V134" i="1"/>
  <c r="U134" i="1"/>
  <c r="T134" i="1"/>
  <c r="S134" i="1"/>
  <c r="R134" i="1"/>
  <c r="P134" i="1"/>
  <c r="O134" i="1"/>
  <c r="N134" i="1"/>
  <c r="M134" i="1"/>
  <c r="L134" i="1"/>
  <c r="AG133" i="1"/>
  <c r="AH133" i="1" s="1"/>
  <c r="AF133" i="1"/>
  <c r="AE133" i="1"/>
  <c r="AC133" i="1"/>
  <c r="AB133" i="1"/>
  <c r="Z133" i="1"/>
  <c r="AA133" i="1" s="1"/>
  <c r="V133" i="1"/>
  <c r="U133" i="1"/>
  <c r="T133" i="1"/>
  <c r="S133" i="1"/>
  <c r="R133" i="1"/>
  <c r="P133" i="1"/>
  <c r="O133" i="1"/>
  <c r="N133" i="1"/>
  <c r="M133" i="1"/>
  <c r="Q133" i="1" s="1"/>
  <c r="L133" i="1"/>
  <c r="AG132" i="1"/>
  <c r="AH132" i="1" s="1"/>
  <c r="AE132" i="1"/>
  <c r="AF132" i="1" s="1"/>
  <c r="AB132" i="1"/>
  <c r="AC132" i="1" s="1"/>
  <c r="Z132" i="1"/>
  <c r="AA132" i="1" s="1"/>
  <c r="V132" i="1"/>
  <c r="U132" i="1"/>
  <c r="T132" i="1"/>
  <c r="S132" i="1"/>
  <c r="R132" i="1"/>
  <c r="P132" i="1"/>
  <c r="O132" i="1"/>
  <c r="N132" i="1"/>
  <c r="M132" i="1"/>
  <c r="L132" i="1"/>
  <c r="AG131" i="1"/>
  <c r="AH131" i="1" s="1"/>
  <c r="AE131" i="1"/>
  <c r="AF131" i="1" s="1"/>
  <c r="AB131" i="1"/>
  <c r="AC131" i="1" s="1"/>
  <c r="Z131" i="1"/>
  <c r="AA131" i="1" s="1"/>
  <c r="V131" i="1"/>
  <c r="U131" i="1"/>
  <c r="T131" i="1"/>
  <c r="S131" i="1"/>
  <c r="R131" i="1"/>
  <c r="P131" i="1"/>
  <c r="O131" i="1"/>
  <c r="N131" i="1"/>
  <c r="M131" i="1"/>
  <c r="L131" i="1"/>
  <c r="AG130" i="1"/>
  <c r="AH130" i="1" s="1"/>
  <c r="AE130" i="1"/>
  <c r="AF130" i="1" s="1"/>
  <c r="AB130" i="1"/>
  <c r="AC130" i="1" s="1"/>
  <c r="Z130" i="1"/>
  <c r="AA130" i="1" s="1"/>
  <c r="V130" i="1"/>
  <c r="U130" i="1"/>
  <c r="T130" i="1"/>
  <c r="S130" i="1"/>
  <c r="R130" i="1"/>
  <c r="P130" i="1"/>
  <c r="O130" i="1"/>
  <c r="N130" i="1"/>
  <c r="M130" i="1"/>
  <c r="Q130" i="1" s="1"/>
  <c r="L130" i="1"/>
  <c r="AG129" i="1"/>
  <c r="AH129" i="1" s="1"/>
  <c r="AE129" i="1"/>
  <c r="AF129" i="1" s="1"/>
  <c r="AB129" i="1"/>
  <c r="AC129" i="1" s="1"/>
  <c r="Z129" i="1"/>
  <c r="AA129" i="1" s="1"/>
  <c r="V129" i="1"/>
  <c r="U129" i="1"/>
  <c r="W129" i="1" s="1"/>
  <c r="T129" i="1"/>
  <c r="S129" i="1"/>
  <c r="R129" i="1"/>
  <c r="P129" i="1"/>
  <c r="O129" i="1"/>
  <c r="N129" i="1"/>
  <c r="M129" i="1"/>
  <c r="L129" i="1"/>
  <c r="AG128" i="1"/>
  <c r="AH128" i="1" s="1"/>
  <c r="AE128" i="1"/>
  <c r="AF128" i="1" s="1"/>
  <c r="AB128" i="1"/>
  <c r="AC128" i="1" s="1"/>
  <c r="Z128" i="1"/>
  <c r="AA128" i="1" s="1"/>
  <c r="V128" i="1"/>
  <c r="U128" i="1"/>
  <c r="T128" i="1"/>
  <c r="S128" i="1"/>
  <c r="R128" i="1"/>
  <c r="P128" i="1"/>
  <c r="O128" i="1"/>
  <c r="N128" i="1"/>
  <c r="M128" i="1"/>
  <c r="L128" i="1"/>
  <c r="AG127" i="1"/>
  <c r="AH127" i="1" s="1"/>
  <c r="AE127" i="1"/>
  <c r="AF127" i="1" s="1"/>
  <c r="AB127" i="1"/>
  <c r="AC127" i="1" s="1"/>
  <c r="Z127" i="1"/>
  <c r="AA127" i="1" s="1"/>
  <c r="V127" i="1"/>
  <c r="U127" i="1"/>
  <c r="T127" i="1"/>
  <c r="S127" i="1"/>
  <c r="R127" i="1"/>
  <c r="P127" i="1"/>
  <c r="O127" i="1"/>
  <c r="N127" i="1"/>
  <c r="M127" i="1"/>
  <c r="L127" i="1"/>
  <c r="AG126" i="1"/>
  <c r="AH126" i="1" s="1"/>
  <c r="AE126" i="1"/>
  <c r="AF126" i="1" s="1"/>
  <c r="AB126" i="1"/>
  <c r="AC126" i="1" s="1"/>
  <c r="Z126" i="1"/>
  <c r="AA126" i="1" s="1"/>
  <c r="V126" i="1"/>
  <c r="U126" i="1"/>
  <c r="T126" i="1"/>
  <c r="S126" i="1"/>
  <c r="R126" i="1"/>
  <c r="P126" i="1"/>
  <c r="O126" i="1"/>
  <c r="N126" i="1"/>
  <c r="M126" i="1"/>
  <c r="L126" i="1"/>
  <c r="AG125" i="1"/>
  <c r="AH125" i="1" s="1"/>
  <c r="AE125" i="1"/>
  <c r="AF125" i="1" s="1"/>
  <c r="AB125" i="1"/>
  <c r="AC125" i="1" s="1"/>
  <c r="Z125" i="1"/>
  <c r="AA125" i="1" s="1"/>
  <c r="V125" i="1"/>
  <c r="U125" i="1"/>
  <c r="T125" i="1"/>
  <c r="S125" i="1"/>
  <c r="R125" i="1"/>
  <c r="P125" i="1"/>
  <c r="O125" i="1"/>
  <c r="N125" i="1"/>
  <c r="M125" i="1"/>
  <c r="Q125" i="1" s="1"/>
  <c r="L125" i="1"/>
  <c r="AG124" i="1"/>
  <c r="AH124" i="1" s="1"/>
  <c r="AE124" i="1"/>
  <c r="AF124" i="1" s="1"/>
  <c r="AB124" i="1"/>
  <c r="AC124" i="1" s="1"/>
  <c r="Z124" i="1"/>
  <c r="AA124" i="1" s="1"/>
  <c r="V124" i="1"/>
  <c r="U124" i="1"/>
  <c r="T124" i="1"/>
  <c r="S124" i="1"/>
  <c r="R124" i="1"/>
  <c r="P124" i="1"/>
  <c r="O124" i="1"/>
  <c r="N124" i="1"/>
  <c r="M124" i="1"/>
  <c r="L124" i="1"/>
  <c r="AG123" i="1"/>
  <c r="AH123" i="1" s="1"/>
  <c r="AE123" i="1"/>
  <c r="AF123" i="1" s="1"/>
  <c r="AB123" i="1"/>
  <c r="AC123" i="1" s="1"/>
  <c r="Z123" i="1"/>
  <c r="AA123" i="1" s="1"/>
  <c r="V123" i="1"/>
  <c r="U123" i="1"/>
  <c r="T123" i="1"/>
  <c r="S123" i="1"/>
  <c r="R123" i="1"/>
  <c r="P123" i="1"/>
  <c r="O123" i="1"/>
  <c r="N123" i="1"/>
  <c r="M123" i="1"/>
  <c r="L123" i="1"/>
  <c r="AG122" i="1"/>
  <c r="AH122" i="1" s="1"/>
  <c r="AE122" i="1"/>
  <c r="AF122" i="1" s="1"/>
  <c r="AB122" i="1"/>
  <c r="AC122" i="1" s="1"/>
  <c r="Z122" i="1"/>
  <c r="AA122" i="1" s="1"/>
  <c r="V122" i="1"/>
  <c r="U122" i="1"/>
  <c r="T122" i="1"/>
  <c r="S122" i="1"/>
  <c r="R122" i="1"/>
  <c r="P122" i="1"/>
  <c r="O122" i="1"/>
  <c r="N122" i="1"/>
  <c r="M122" i="1"/>
  <c r="Q122" i="1" s="1"/>
  <c r="L122" i="1"/>
  <c r="AG121" i="1"/>
  <c r="AH121" i="1" s="1"/>
  <c r="AE121" i="1"/>
  <c r="AF121" i="1" s="1"/>
  <c r="AB121" i="1"/>
  <c r="AC121" i="1" s="1"/>
  <c r="Z121" i="1"/>
  <c r="AA121" i="1" s="1"/>
  <c r="V121" i="1"/>
  <c r="U121" i="1"/>
  <c r="T121" i="1"/>
  <c r="S121" i="1"/>
  <c r="R121" i="1"/>
  <c r="P121" i="1"/>
  <c r="O121" i="1"/>
  <c r="N121" i="1"/>
  <c r="M121" i="1"/>
  <c r="L121" i="1"/>
  <c r="AG120" i="1"/>
  <c r="AH120" i="1" s="1"/>
  <c r="AE120" i="1"/>
  <c r="AF120" i="1" s="1"/>
  <c r="AB120" i="1"/>
  <c r="AC120" i="1" s="1"/>
  <c r="Z120" i="1"/>
  <c r="AA120" i="1" s="1"/>
  <c r="V120" i="1"/>
  <c r="U120" i="1"/>
  <c r="T120" i="1"/>
  <c r="S120" i="1"/>
  <c r="R120" i="1"/>
  <c r="P120" i="1"/>
  <c r="O120" i="1"/>
  <c r="N120" i="1"/>
  <c r="M120" i="1"/>
  <c r="L120" i="1"/>
  <c r="AG119" i="1"/>
  <c r="AH119" i="1" s="1"/>
  <c r="AE119" i="1"/>
  <c r="AF119" i="1" s="1"/>
  <c r="AB119" i="1"/>
  <c r="AC119" i="1" s="1"/>
  <c r="Z119" i="1"/>
  <c r="AA119" i="1" s="1"/>
  <c r="V119" i="1"/>
  <c r="U119" i="1"/>
  <c r="T119" i="1"/>
  <c r="S119" i="1"/>
  <c r="R119" i="1"/>
  <c r="P119" i="1"/>
  <c r="O119" i="1"/>
  <c r="N119" i="1"/>
  <c r="M119" i="1"/>
  <c r="Q119" i="1" s="1"/>
  <c r="L119" i="1"/>
  <c r="AG118" i="1"/>
  <c r="AH118" i="1" s="1"/>
  <c r="AE118" i="1"/>
  <c r="AF118" i="1" s="1"/>
  <c r="AB118" i="1"/>
  <c r="AC118" i="1" s="1"/>
  <c r="Z118" i="1"/>
  <c r="AA118" i="1" s="1"/>
  <c r="V118" i="1"/>
  <c r="U118" i="1"/>
  <c r="T118" i="1"/>
  <c r="S118" i="1"/>
  <c r="R118" i="1"/>
  <c r="P118" i="1"/>
  <c r="O118" i="1"/>
  <c r="N118" i="1"/>
  <c r="M118" i="1"/>
  <c r="L118" i="1"/>
  <c r="AG117" i="1"/>
  <c r="AH117" i="1" s="1"/>
  <c r="AE117" i="1"/>
  <c r="AF117" i="1" s="1"/>
  <c r="AB117" i="1"/>
  <c r="AC117" i="1" s="1"/>
  <c r="Z117" i="1"/>
  <c r="AA117" i="1" s="1"/>
  <c r="V117" i="1"/>
  <c r="U117" i="1"/>
  <c r="T117" i="1"/>
  <c r="S117" i="1"/>
  <c r="R117" i="1"/>
  <c r="P117" i="1"/>
  <c r="Q117" i="1" s="1"/>
  <c r="O117" i="1"/>
  <c r="N117" i="1"/>
  <c r="M117" i="1"/>
  <c r="L117" i="1"/>
  <c r="AG116" i="1"/>
  <c r="AH116" i="1" s="1"/>
  <c r="AE116" i="1"/>
  <c r="AF116" i="1" s="1"/>
  <c r="AB116" i="1"/>
  <c r="AC116" i="1" s="1"/>
  <c r="Z116" i="1"/>
  <c r="AA116" i="1" s="1"/>
  <c r="V116" i="1"/>
  <c r="U116" i="1"/>
  <c r="T116" i="1"/>
  <c r="S116" i="1"/>
  <c r="R116" i="1"/>
  <c r="P116" i="1"/>
  <c r="O116" i="1"/>
  <c r="N116" i="1"/>
  <c r="M116" i="1"/>
  <c r="Q116" i="1" s="1"/>
  <c r="L116" i="1"/>
  <c r="AG115" i="1"/>
  <c r="AH115" i="1" s="1"/>
  <c r="AE115" i="1"/>
  <c r="AF115" i="1" s="1"/>
  <c r="AB115" i="1"/>
  <c r="AC115" i="1" s="1"/>
  <c r="Z115" i="1"/>
  <c r="AA115" i="1" s="1"/>
  <c r="V115" i="1"/>
  <c r="W115" i="1" s="1"/>
  <c r="U115" i="1"/>
  <c r="T115" i="1"/>
  <c r="S115" i="1"/>
  <c r="R115" i="1"/>
  <c r="P115" i="1"/>
  <c r="O115" i="1"/>
  <c r="N115" i="1"/>
  <c r="M115" i="1"/>
  <c r="L115" i="1"/>
  <c r="AG114" i="1"/>
  <c r="AH114" i="1" s="1"/>
  <c r="AE114" i="1"/>
  <c r="AF114" i="1" s="1"/>
  <c r="AB114" i="1"/>
  <c r="AC114" i="1" s="1"/>
  <c r="Z114" i="1"/>
  <c r="AA114" i="1" s="1"/>
  <c r="V114" i="1"/>
  <c r="U114" i="1"/>
  <c r="T114" i="1"/>
  <c r="S114" i="1"/>
  <c r="R114" i="1"/>
  <c r="P114" i="1"/>
  <c r="O114" i="1"/>
  <c r="N114" i="1"/>
  <c r="M114" i="1"/>
  <c r="L114" i="1"/>
  <c r="AG113" i="1"/>
  <c r="AH113" i="1" s="1"/>
  <c r="AE113" i="1"/>
  <c r="AF113" i="1" s="1"/>
  <c r="AB113" i="1"/>
  <c r="AC113" i="1" s="1"/>
  <c r="Z113" i="1"/>
  <c r="AA113" i="1" s="1"/>
  <c r="V113" i="1"/>
  <c r="U113" i="1"/>
  <c r="T113" i="1"/>
  <c r="S113" i="1"/>
  <c r="R113" i="1"/>
  <c r="P113" i="1"/>
  <c r="O113" i="1"/>
  <c r="N113" i="1"/>
  <c r="M113" i="1"/>
  <c r="Q113" i="1" s="1"/>
  <c r="L113" i="1"/>
  <c r="AG112" i="1"/>
  <c r="AH112" i="1" s="1"/>
  <c r="AE112" i="1"/>
  <c r="AF112" i="1" s="1"/>
  <c r="AB112" i="1"/>
  <c r="AC112" i="1" s="1"/>
  <c r="Z112" i="1"/>
  <c r="AA112" i="1" s="1"/>
  <c r="V112" i="1"/>
  <c r="U112" i="1"/>
  <c r="T112" i="1"/>
  <c r="S112" i="1"/>
  <c r="R112" i="1"/>
  <c r="P112" i="1"/>
  <c r="Q112" i="1" s="1"/>
  <c r="O112" i="1"/>
  <c r="N112" i="1"/>
  <c r="M112" i="1"/>
  <c r="L112" i="1"/>
  <c r="AG111" i="1"/>
  <c r="AH111" i="1" s="1"/>
  <c r="AE111" i="1"/>
  <c r="AF111" i="1" s="1"/>
  <c r="AB111" i="1"/>
  <c r="AC111" i="1" s="1"/>
  <c r="Z111" i="1"/>
  <c r="AA111" i="1" s="1"/>
  <c r="V111" i="1"/>
  <c r="U111" i="1"/>
  <c r="T111" i="1"/>
  <c r="S111" i="1"/>
  <c r="R111" i="1"/>
  <c r="P111" i="1"/>
  <c r="O111" i="1"/>
  <c r="N111" i="1"/>
  <c r="M111" i="1"/>
  <c r="L111" i="1"/>
  <c r="AG110" i="1"/>
  <c r="AH110" i="1" s="1"/>
  <c r="AE110" i="1"/>
  <c r="AF110" i="1" s="1"/>
  <c r="AB110" i="1"/>
  <c r="AC110" i="1" s="1"/>
  <c r="Z110" i="1"/>
  <c r="AA110" i="1" s="1"/>
  <c r="V110" i="1"/>
  <c r="U110" i="1"/>
  <c r="T110" i="1"/>
  <c r="S110" i="1"/>
  <c r="R110" i="1"/>
  <c r="P110" i="1"/>
  <c r="O110" i="1"/>
  <c r="N110" i="1"/>
  <c r="M110" i="1"/>
  <c r="Q110" i="1" s="1"/>
  <c r="L110" i="1"/>
  <c r="AG109" i="1"/>
  <c r="AH109" i="1" s="1"/>
  <c r="AE109" i="1"/>
  <c r="AF109" i="1" s="1"/>
  <c r="AB109" i="1"/>
  <c r="AC109" i="1" s="1"/>
  <c r="Z109" i="1"/>
  <c r="AA109" i="1" s="1"/>
  <c r="V109" i="1"/>
  <c r="U109" i="1"/>
  <c r="T109" i="1"/>
  <c r="S109" i="1"/>
  <c r="R109" i="1"/>
  <c r="P109" i="1"/>
  <c r="O109" i="1"/>
  <c r="N109" i="1"/>
  <c r="M109" i="1"/>
  <c r="L109" i="1"/>
  <c r="AG108" i="1"/>
  <c r="AH108" i="1" s="1"/>
  <c r="AE108" i="1"/>
  <c r="AF108" i="1" s="1"/>
  <c r="AB108" i="1"/>
  <c r="AC108" i="1" s="1"/>
  <c r="Z108" i="1"/>
  <c r="AA108" i="1" s="1"/>
  <c r="V108" i="1"/>
  <c r="U108" i="1"/>
  <c r="T108" i="1"/>
  <c r="S108" i="1"/>
  <c r="W108" i="1" s="1"/>
  <c r="R108" i="1"/>
  <c r="P108" i="1"/>
  <c r="O108" i="1"/>
  <c r="N108" i="1"/>
  <c r="M108" i="1"/>
  <c r="L108" i="1"/>
  <c r="AG107" i="1"/>
  <c r="AH107" i="1" s="1"/>
  <c r="AE107" i="1"/>
  <c r="AF107" i="1" s="1"/>
  <c r="AB107" i="1"/>
  <c r="AC107" i="1" s="1"/>
  <c r="Z107" i="1"/>
  <c r="AA107" i="1" s="1"/>
  <c r="V107" i="1"/>
  <c r="U107" i="1"/>
  <c r="T107" i="1"/>
  <c r="S107" i="1"/>
  <c r="R107" i="1"/>
  <c r="P107" i="1"/>
  <c r="O107" i="1"/>
  <c r="N107" i="1"/>
  <c r="M107" i="1"/>
  <c r="Q107" i="1" s="1"/>
  <c r="L107" i="1"/>
  <c r="AG106" i="1"/>
  <c r="AH106" i="1" s="1"/>
  <c r="AE106" i="1"/>
  <c r="AF106" i="1" s="1"/>
  <c r="AB106" i="1"/>
  <c r="AC106" i="1" s="1"/>
  <c r="Z106" i="1"/>
  <c r="AA106" i="1" s="1"/>
  <c r="V106" i="1"/>
  <c r="U106" i="1"/>
  <c r="T106" i="1"/>
  <c r="S106" i="1"/>
  <c r="R106" i="1"/>
  <c r="P106" i="1"/>
  <c r="O106" i="1"/>
  <c r="N106" i="1"/>
  <c r="M106" i="1"/>
  <c r="L106" i="1"/>
  <c r="AG105" i="1"/>
  <c r="AH105" i="1" s="1"/>
  <c r="AE105" i="1"/>
  <c r="AF105" i="1" s="1"/>
  <c r="AB105" i="1"/>
  <c r="AC105" i="1" s="1"/>
  <c r="Z105" i="1"/>
  <c r="AA105" i="1" s="1"/>
  <c r="V105" i="1"/>
  <c r="U105" i="1"/>
  <c r="T105" i="1"/>
  <c r="S105" i="1"/>
  <c r="W105" i="1" s="1"/>
  <c r="R105" i="1"/>
  <c r="P105" i="1"/>
  <c r="O105" i="1"/>
  <c r="N105" i="1"/>
  <c r="M105" i="1"/>
  <c r="L105" i="1"/>
  <c r="AG104" i="1"/>
  <c r="AH104" i="1" s="1"/>
  <c r="AE104" i="1"/>
  <c r="AF104" i="1" s="1"/>
  <c r="AB104" i="1"/>
  <c r="AC104" i="1" s="1"/>
  <c r="Z104" i="1"/>
  <c r="AA104" i="1" s="1"/>
  <c r="V104" i="1"/>
  <c r="U104" i="1"/>
  <c r="T104" i="1"/>
  <c r="S104" i="1"/>
  <c r="R104" i="1"/>
  <c r="P104" i="1"/>
  <c r="O104" i="1"/>
  <c r="N104" i="1"/>
  <c r="M104" i="1"/>
  <c r="Q104" i="1" s="1"/>
  <c r="L104" i="1"/>
  <c r="AG103" i="1"/>
  <c r="AH103" i="1" s="1"/>
  <c r="AE103" i="1"/>
  <c r="AF103" i="1" s="1"/>
  <c r="AB103" i="1"/>
  <c r="AC103" i="1" s="1"/>
  <c r="Z103" i="1"/>
  <c r="AA103" i="1" s="1"/>
  <c r="V103" i="1"/>
  <c r="U103" i="1"/>
  <c r="T103" i="1"/>
  <c r="S103" i="1"/>
  <c r="R103" i="1"/>
  <c r="P103" i="1"/>
  <c r="O103" i="1"/>
  <c r="N103" i="1"/>
  <c r="M103" i="1"/>
  <c r="L103" i="1"/>
  <c r="AG102" i="1"/>
  <c r="AH102" i="1" s="1"/>
  <c r="AE102" i="1"/>
  <c r="AF102" i="1" s="1"/>
  <c r="AB102" i="1"/>
  <c r="AC102" i="1" s="1"/>
  <c r="Z102" i="1"/>
  <c r="AA102" i="1" s="1"/>
  <c r="V102" i="1"/>
  <c r="U102" i="1"/>
  <c r="T102" i="1"/>
  <c r="S102" i="1"/>
  <c r="W102" i="1" s="1"/>
  <c r="R102" i="1"/>
  <c r="P102" i="1"/>
  <c r="Q102" i="1" s="1"/>
  <c r="O102" i="1"/>
  <c r="N102" i="1"/>
  <c r="M102" i="1"/>
  <c r="L102" i="1"/>
  <c r="AG101" i="1"/>
  <c r="AH101" i="1" s="1"/>
  <c r="AE101" i="1"/>
  <c r="AF101" i="1" s="1"/>
  <c r="AB101" i="1"/>
  <c r="AC101" i="1" s="1"/>
  <c r="Z101" i="1"/>
  <c r="AA101" i="1" s="1"/>
  <c r="V101" i="1"/>
  <c r="U101" i="1"/>
  <c r="T101" i="1"/>
  <c r="S101" i="1"/>
  <c r="R101" i="1"/>
  <c r="P101" i="1"/>
  <c r="O101" i="1"/>
  <c r="N101" i="1"/>
  <c r="M101" i="1"/>
  <c r="Q101" i="1" s="1"/>
  <c r="L101" i="1"/>
  <c r="AG100" i="1"/>
  <c r="AH100" i="1" s="1"/>
  <c r="AE100" i="1"/>
  <c r="AF100" i="1" s="1"/>
  <c r="AB100" i="1"/>
  <c r="AC100" i="1" s="1"/>
  <c r="Z100" i="1"/>
  <c r="AA100" i="1" s="1"/>
  <c r="V100" i="1"/>
  <c r="W100" i="1" s="1"/>
  <c r="U100" i="1"/>
  <c r="T100" i="1"/>
  <c r="S100" i="1"/>
  <c r="R100" i="1"/>
  <c r="P100" i="1"/>
  <c r="O100" i="1"/>
  <c r="N100" i="1"/>
  <c r="M100" i="1"/>
  <c r="L100" i="1"/>
  <c r="AG99" i="1"/>
  <c r="AH99" i="1" s="1"/>
  <c r="AE99" i="1"/>
  <c r="AF99" i="1" s="1"/>
  <c r="AB99" i="1"/>
  <c r="AC99" i="1" s="1"/>
  <c r="Z99" i="1"/>
  <c r="AA99" i="1" s="1"/>
  <c r="V99" i="1"/>
  <c r="U99" i="1"/>
  <c r="T99" i="1"/>
  <c r="S99" i="1"/>
  <c r="W99" i="1" s="1"/>
  <c r="R99" i="1"/>
  <c r="P99" i="1"/>
  <c r="O99" i="1"/>
  <c r="N99" i="1"/>
  <c r="M99" i="1"/>
  <c r="L99" i="1"/>
  <c r="AG98" i="1"/>
  <c r="AH98" i="1" s="1"/>
  <c r="AE98" i="1"/>
  <c r="AF98" i="1" s="1"/>
  <c r="AB98" i="1"/>
  <c r="AC98" i="1" s="1"/>
  <c r="Z98" i="1"/>
  <c r="AA98" i="1" s="1"/>
  <c r="V98" i="1"/>
  <c r="U98" i="1"/>
  <c r="T98" i="1"/>
  <c r="S98" i="1"/>
  <c r="R98" i="1"/>
  <c r="Q98" i="1"/>
  <c r="P98" i="1"/>
  <c r="O98" i="1"/>
  <c r="N98" i="1"/>
  <c r="M98" i="1"/>
  <c r="L98" i="1"/>
  <c r="AG97" i="1"/>
  <c r="AH97" i="1" s="1"/>
  <c r="AE97" i="1"/>
  <c r="AF97" i="1" s="1"/>
  <c r="AB97" i="1"/>
  <c r="AC97" i="1" s="1"/>
  <c r="AA97" i="1"/>
  <c r="Z97" i="1"/>
  <c r="V97" i="1"/>
  <c r="U97" i="1"/>
  <c r="T97" i="1"/>
  <c r="S97" i="1"/>
  <c r="R97" i="1"/>
  <c r="P97" i="1"/>
  <c r="O97" i="1"/>
  <c r="N97" i="1"/>
  <c r="M97" i="1"/>
  <c r="Q97" i="1" s="1"/>
  <c r="L97" i="1"/>
  <c r="AG96" i="1"/>
  <c r="AH96" i="1" s="1"/>
  <c r="AE96" i="1"/>
  <c r="AF96" i="1" s="1"/>
  <c r="AB96" i="1"/>
  <c r="AC96" i="1" s="1"/>
  <c r="Z96" i="1"/>
  <c r="AA96" i="1" s="1"/>
  <c r="V96" i="1"/>
  <c r="W96" i="1" s="1"/>
  <c r="U96" i="1"/>
  <c r="T96" i="1"/>
  <c r="S96" i="1"/>
  <c r="R96" i="1"/>
  <c r="P96" i="1"/>
  <c r="O96" i="1"/>
  <c r="N96" i="1"/>
  <c r="M96" i="1"/>
  <c r="L96" i="1"/>
  <c r="AG95" i="1"/>
  <c r="AH95" i="1" s="1"/>
  <c r="AE95" i="1"/>
  <c r="AF95" i="1" s="1"/>
  <c r="AB95" i="1"/>
  <c r="AC95" i="1" s="1"/>
  <c r="Z95" i="1"/>
  <c r="AA95" i="1" s="1"/>
  <c r="V95" i="1"/>
  <c r="U95" i="1"/>
  <c r="T95" i="1"/>
  <c r="S95" i="1"/>
  <c r="R95" i="1"/>
  <c r="P95" i="1"/>
  <c r="O95" i="1"/>
  <c r="N95" i="1"/>
  <c r="M95" i="1"/>
  <c r="L95" i="1"/>
  <c r="AG94" i="1"/>
  <c r="AH94" i="1" s="1"/>
  <c r="AE94" i="1"/>
  <c r="AF94" i="1" s="1"/>
  <c r="AC94" i="1"/>
  <c r="AB94" i="1"/>
  <c r="Z94" i="1"/>
  <c r="AA94" i="1" s="1"/>
  <c r="V94" i="1"/>
  <c r="U94" i="1"/>
  <c r="T94" i="1"/>
  <c r="S94" i="1"/>
  <c r="R94" i="1"/>
  <c r="P94" i="1"/>
  <c r="O94" i="1"/>
  <c r="N94" i="1"/>
  <c r="M94" i="1"/>
  <c r="L94" i="1"/>
  <c r="AG93" i="1"/>
  <c r="AH93" i="1" s="1"/>
  <c r="AE93" i="1"/>
  <c r="AF93" i="1" s="1"/>
  <c r="AB93" i="1"/>
  <c r="AC93" i="1" s="1"/>
  <c r="Z93" i="1"/>
  <c r="AA93" i="1" s="1"/>
  <c r="V93" i="1"/>
  <c r="U93" i="1"/>
  <c r="T93" i="1"/>
  <c r="S93" i="1"/>
  <c r="R93" i="1"/>
  <c r="P93" i="1"/>
  <c r="O93" i="1"/>
  <c r="N93" i="1"/>
  <c r="M93" i="1"/>
  <c r="L93" i="1"/>
  <c r="AG92" i="1"/>
  <c r="AH92" i="1" s="1"/>
  <c r="AE92" i="1"/>
  <c r="AF92" i="1" s="1"/>
  <c r="AB92" i="1"/>
  <c r="AC92" i="1" s="1"/>
  <c r="Z92" i="1"/>
  <c r="AA92" i="1" s="1"/>
  <c r="V92" i="1"/>
  <c r="U92" i="1"/>
  <c r="T92" i="1"/>
  <c r="S92" i="1"/>
  <c r="R92" i="1"/>
  <c r="P92" i="1"/>
  <c r="O92" i="1"/>
  <c r="N92" i="1"/>
  <c r="M92" i="1"/>
  <c r="Q92" i="1" s="1"/>
  <c r="L92" i="1"/>
  <c r="AG91" i="1"/>
  <c r="AH91" i="1" s="1"/>
  <c r="AE91" i="1"/>
  <c r="AF91" i="1" s="1"/>
  <c r="AB91" i="1"/>
  <c r="AC91" i="1" s="1"/>
  <c r="Z91" i="1"/>
  <c r="AA91" i="1" s="1"/>
  <c r="V91" i="1"/>
  <c r="U91" i="1"/>
  <c r="T91" i="1"/>
  <c r="S91" i="1"/>
  <c r="R91" i="1"/>
  <c r="P91" i="1"/>
  <c r="O91" i="1"/>
  <c r="N91" i="1"/>
  <c r="M91" i="1"/>
  <c r="Q91" i="1" s="1"/>
  <c r="L91" i="1"/>
  <c r="AG90" i="1"/>
  <c r="AH90" i="1" s="1"/>
  <c r="AE90" i="1"/>
  <c r="AF90" i="1" s="1"/>
  <c r="AB90" i="1"/>
  <c r="AC90" i="1" s="1"/>
  <c r="Z90" i="1"/>
  <c r="AA90" i="1" s="1"/>
  <c r="V90" i="1"/>
  <c r="U90" i="1"/>
  <c r="T90" i="1"/>
  <c r="S90" i="1"/>
  <c r="W90" i="1" s="1"/>
  <c r="R90" i="1"/>
  <c r="P90" i="1"/>
  <c r="O90" i="1"/>
  <c r="N90" i="1"/>
  <c r="M90" i="1"/>
  <c r="L90" i="1"/>
  <c r="AG89" i="1"/>
  <c r="AH89" i="1" s="1"/>
  <c r="AF89" i="1"/>
  <c r="AE89" i="1"/>
  <c r="AB89" i="1"/>
  <c r="AC89" i="1" s="1"/>
  <c r="Z89" i="1"/>
  <c r="AA89" i="1" s="1"/>
  <c r="V89" i="1"/>
  <c r="U89" i="1"/>
  <c r="T89" i="1"/>
  <c r="S89" i="1"/>
  <c r="R89" i="1"/>
  <c r="P89" i="1"/>
  <c r="O89" i="1"/>
  <c r="N89" i="1"/>
  <c r="M89" i="1"/>
  <c r="L89" i="1"/>
  <c r="AG88" i="1"/>
  <c r="AH88" i="1" s="1"/>
  <c r="AE88" i="1"/>
  <c r="AF88" i="1" s="1"/>
  <c r="AB88" i="1"/>
  <c r="AC88" i="1" s="1"/>
  <c r="Z88" i="1"/>
  <c r="AA88" i="1" s="1"/>
  <c r="V88" i="1"/>
  <c r="U88" i="1"/>
  <c r="T88" i="1"/>
  <c r="S88" i="1"/>
  <c r="R88" i="1"/>
  <c r="P88" i="1"/>
  <c r="O88" i="1"/>
  <c r="N88" i="1"/>
  <c r="M88" i="1"/>
  <c r="L88" i="1"/>
  <c r="AG87" i="1"/>
  <c r="AH87" i="1" s="1"/>
  <c r="AE87" i="1"/>
  <c r="AF87" i="1" s="1"/>
  <c r="AB87" i="1"/>
  <c r="AC87" i="1" s="1"/>
  <c r="Z87" i="1"/>
  <c r="AA87" i="1" s="1"/>
  <c r="V87" i="1"/>
  <c r="U87" i="1"/>
  <c r="T87" i="1"/>
  <c r="S87" i="1"/>
  <c r="W87" i="1" s="1"/>
  <c r="R87" i="1"/>
  <c r="P87" i="1"/>
  <c r="O87" i="1"/>
  <c r="N87" i="1"/>
  <c r="M87" i="1"/>
  <c r="L87" i="1"/>
  <c r="AG86" i="1"/>
  <c r="AH86" i="1" s="1"/>
  <c r="AE86" i="1"/>
  <c r="AF86" i="1" s="1"/>
  <c r="AB86" i="1"/>
  <c r="AC86" i="1" s="1"/>
  <c r="Z86" i="1"/>
  <c r="AA86" i="1" s="1"/>
  <c r="V86" i="1"/>
  <c r="U86" i="1"/>
  <c r="T86" i="1"/>
  <c r="S86" i="1"/>
  <c r="R86" i="1"/>
  <c r="P86" i="1"/>
  <c r="O86" i="1"/>
  <c r="N86" i="1"/>
  <c r="M86" i="1"/>
  <c r="Q86" i="1" s="1"/>
  <c r="L86" i="1"/>
  <c r="AG85" i="1"/>
  <c r="AH85" i="1" s="1"/>
  <c r="AE85" i="1"/>
  <c r="AF85" i="1" s="1"/>
  <c r="AB85" i="1"/>
  <c r="AC85" i="1" s="1"/>
  <c r="Z85" i="1"/>
  <c r="AA85" i="1" s="1"/>
  <c r="V85" i="1"/>
  <c r="W85" i="1" s="1"/>
  <c r="U85" i="1"/>
  <c r="T85" i="1"/>
  <c r="S85" i="1"/>
  <c r="R85" i="1"/>
  <c r="P85" i="1"/>
  <c r="O85" i="1"/>
  <c r="N85" i="1"/>
  <c r="M85" i="1"/>
  <c r="Q85" i="1" s="1"/>
  <c r="L85" i="1"/>
  <c r="AG84" i="1"/>
  <c r="AH84" i="1" s="1"/>
  <c r="AE84" i="1"/>
  <c r="AF84" i="1" s="1"/>
  <c r="AB84" i="1"/>
  <c r="AC84" i="1" s="1"/>
  <c r="Z84" i="1"/>
  <c r="AA84" i="1" s="1"/>
  <c r="V84" i="1"/>
  <c r="U84" i="1"/>
  <c r="T84" i="1"/>
  <c r="S84" i="1"/>
  <c r="R84" i="1"/>
  <c r="P84" i="1"/>
  <c r="Q84" i="1" s="1"/>
  <c r="O84" i="1"/>
  <c r="N84" i="1"/>
  <c r="M84" i="1"/>
  <c r="L84" i="1"/>
  <c r="AG83" i="1"/>
  <c r="AH83" i="1" s="1"/>
  <c r="AE83" i="1"/>
  <c r="AF83" i="1" s="1"/>
  <c r="AB83" i="1"/>
  <c r="AC83" i="1" s="1"/>
  <c r="Z83" i="1"/>
  <c r="AA83" i="1" s="1"/>
  <c r="V83" i="1"/>
  <c r="U83" i="1"/>
  <c r="T83" i="1"/>
  <c r="S83" i="1"/>
  <c r="R83" i="1"/>
  <c r="P83" i="1"/>
  <c r="O83" i="1"/>
  <c r="N83" i="1"/>
  <c r="M83" i="1"/>
  <c r="L83" i="1"/>
  <c r="AG82" i="1"/>
  <c r="AH82" i="1" s="1"/>
  <c r="AE82" i="1"/>
  <c r="AF82" i="1" s="1"/>
  <c r="AB82" i="1"/>
  <c r="AC82" i="1" s="1"/>
  <c r="AA82" i="1"/>
  <c r="Z82" i="1"/>
  <c r="V82" i="1"/>
  <c r="W82" i="1" s="1"/>
  <c r="U82" i="1"/>
  <c r="T82" i="1"/>
  <c r="S82" i="1"/>
  <c r="R82" i="1"/>
  <c r="P82" i="1"/>
  <c r="O82" i="1"/>
  <c r="N82" i="1"/>
  <c r="M82" i="1"/>
  <c r="L82" i="1"/>
  <c r="AG81" i="1"/>
  <c r="AH81" i="1" s="1"/>
  <c r="AE81" i="1"/>
  <c r="AF81" i="1" s="1"/>
  <c r="AB81" i="1"/>
  <c r="AC81" i="1" s="1"/>
  <c r="AA81" i="1"/>
  <c r="Z81" i="1"/>
  <c r="V81" i="1"/>
  <c r="U81" i="1"/>
  <c r="T81" i="1"/>
  <c r="S81" i="1"/>
  <c r="R81" i="1"/>
  <c r="P81" i="1"/>
  <c r="O81" i="1"/>
  <c r="N81" i="1"/>
  <c r="M81" i="1"/>
  <c r="L81" i="1"/>
  <c r="AH80" i="1"/>
  <c r="AG80" i="1"/>
  <c r="AE80" i="1"/>
  <c r="AF80" i="1" s="1"/>
  <c r="AB80" i="1"/>
  <c r="AC80" i="1" s="1"/>
  <c r="Z80" i="1"/>
  <c r="AA80" i="1" s="1"/>
  <c r="V80" i="1"/>
  <c r="U80" i="1"/>
  <c r="T80" i="1"/>
  <c r="S80" i="1"/>
  <c r="R80" i="1"/>
  <c r="P80" i="1"/>
  <c r="O80" i="1"/>
  <c r="N80" i="1"/>
  <c r="M80" i="1"/>
  <c r="Q80" i="1" s="1"/>
  <c r="L80" i="1"/>
  <c r="AG79" i="1"/>
  <c r="AH79" i="1" s="1"/>
  <c r="AE79" i="1"/>
  <c r="AF79" i="1" s="1"/>
  <c r="AB79" i="1"/>
  <c r="AC79" i="1" s="1"/>
  <c r="Z79" i="1"/>
  <c r="AA79" i="1" s="1"/>
  <c r="V79" i="1"/>
  <c r="U79" i="1"/>
  <c r="T79" i="1"/>
  <c r="S79" i="1"/>
  <c r="R79" i="1"/>
  <c r="P79" i="1"/>
  <c r="O79" i="1"/>
  <c r="N79" i="1"/>
  <c r="M79" i="1"/>
  <c r="Q79" i="1" s="1"/>
  <c r="L79" i="1"/>
  <c r="AG78" i="1"/>
  <c r="AH78" i="1" s="1"/>
  <c r="AE78" i="1"/>
  <c r="AF78" i="1" s="1"/>
  <c r="AB78" i="1"/>
  <c r="AC78" i="1" s="1"/>
  <c r="Z78" i="1"/>
  <c r="AA78" i="1" s="1"/>
  <c r="V78" i="1"/>
  <c r="U78" i="1"/>
  <c r="T78" i="1"/>
  <c r="S78" i="1"/>
  <c r="W78" i="1" s="1"/>
  <c r="R78" i="1"/>
  <c r="P78" i="1"/>
  <c r="O78" i="1"/>
  <c r="N78" i="1"/>
  <c r="M78" i="1"/>
  <c r="L78" i="1"/>
  <c r="AG77" i="1"/>
  <c r="AH77" i="1" s="1"/>
  <c r="AE77" i="1"/>
  <c r="AF77" i="1" s="1"/>
  <c r="AB77" i="1"/>
  <c r="AC77" i="1" s="1"/>
  <c r="Z77" i="1"/>
  <c r="AA77" i="1" s="1"/>
  <c r="V77" i="1"/>
  <c r="U77" i="1"/>
  <c r="T77" i="1"/>
  <c r="S77" i="1"/>
  <c r="R77" i="1"/>
  <c r="P77" i="1"/>
  <c r="O77" i="1"/>
  <c r="N77" i="1"/>
  <c r="M77" i="1"/>
  <c r="L77" i="1"/>
  <c r="AG76" i="1"/>
  <c r="AH76" i="1" s="1"/>
  <c r="AE76" i="1"/>
  <c r="AF76" i="1" s="1"/>
  <c r="AB76" i="1"/>
  <c r="AC76" i="1" s="1"/>
  <c r="Z76" i="1"/>
  <c r="AA76" i="1" s="1"/>
  <c r="V76" i="1"/>
  <c r="U76" i="1"/>
  <c r="T76" i="1"/>
  <c r="S76" i="1"/>
  <c r="R76" i="1"/>
  <c r="P76" i="1"/>
  <c r="Q76" i="1" s="1"/>
  <c r="O76" i="1"/>
  <c r="N76" i="1"/>
  <c r="M76" i="1"/>
  <c r="L76" i="1"/>
  <c r="AG75" i="1"/>
  <c r="AH75" i="1" s="1"/>
  <c r="AE75" i="1"/>
  <c r="AF75" i="1" s="1"/>
  <c r="AB75" i="1"/>
  <c r="AC75" i="1" s="1"/>
  <c r="Z75" i="1"/>
  <c r="AA75" i="1" s="1"/>
  <c r="V75" i="1"/>
  <c r="U75" i="1"/>
  <c r="T75" i="1"/>
  <c r="S75" i="1"/>
  <c r="R75" i="1"/>
  <c r="P75" i="1"/>
  <c r="O75" i="1"/>
  <c r="N75" i="1"/>
  <c r="M75" i="1"/>
  <c r="L75" i="1"/>
  <c r="AG74" i="1"/>
  <c r="AH74" i="1" s="1"/>
  <c r="AE74" i="1"/>
  <c r="AF74" i="1" s="1"/>
  <c r="AB74" i="1"/>
  <c r="AC74" i="1" s="1"/>
  <c r="Z74" i="1"/>
  <c r="AA74" i="1" s="1"/>
  <c r="V74" i="1"/>
  <c r="U74" i="1"/>
  <c r="T74" i="1"/>
  <c r="S74" i="1"/>
  <c r="R74" i="1"/>
  <c r="P74" i="1"/>
  <c r="O74" i="1"/>
  <c r="N74" i="1"/>
  <c r="M74" i="1"/>
  <c r="Q74" i="1" s="1"/>
  <c r="L74" i="1"/>
  <c r="AG73" i="1"/>
  <c r="AH73" i="1" s="1"/>
  <c r="AE73" i="1"/>
  <c r="AF73" i="1" s="1"/>
  <c r="AB73" i="1"/>
  <c r="AC73" i="1" s="1"/>
  <c r="Z73" i="1"/>
  <c r="AA73" i="1" s="1"/>
  <c r="V73" i="1"/>
  <c r="U73" i="1"/>
  <c r="T73" i="1"/>
  <c r="S73" i="1"/>
  <c r="R73" i="1"/>
  <c r="P73" i="1"/>
  <c r="O73" i="1"/>
  <c r="N73" i="1"/>
  <c r="M73" i="1"/>
  <c r="Q73" i="1" s="1"/>
  <c r="L73" i="1"/>
  <c r="AG72" i="1"/>
  <c r="AH72" i="1" s="1"/>
  <c r="AE72" i="1"/>
  <c r="AF72" i="1" s="1"/>
  <c r="AB72" i="1"/>
  <c r="AC72" i="1" s="1"/>
  <c r="Z72" i="1"/>
  <c r="AA72" i="1" s="1"/>
  <c r="V72" i="1"/>
  <c r="U72" i="1"/>
  <c r="T72" i="1"/>
  <c r="S72" i="1"/>
  <c r="R72" i="1"/>
  <c r="P72" i="1"/>
  <c r="O72" i="1"/>
  <c r="N72" i="1"/>
  <c r="M72" i="1"/>
  <c r="L72" i="1"/>
  <c r="AG71" i="1"/>
  <c r="AH71" i="1" s="1"/>
  <c r="AE71" i="1"/>
  <c r="AF71" i="1" s="1"/>
  <c r="AB71" i="1"/>
  <c r="AC71" i="1" s="1"/>
  <c r="Z71" i="1"/>
  <c r="AA71" i="1" s="1"/>
  <c r="V71" i="1"/>
  <c r="U71" i="1"/>
  <c r="T71" i="1"/>
  <c r="S71" i="1"/>
  <c r="R71" i="1"/>
  <c r="P71" i="1"/>
  <c r="O71" i="1"/>
  <c r="N71" i="1"/>
  <c r="M71" i="1"/>
  <c r="L71" i="1"/>
  <c r="AG70" i="1"/>
  <c r="AH70" i="1" s="1"/>
  <c r="AE70" i="1"/>
  <c r="AF70" i="1" s="1"/>
  <c r="AC70" i="1"/>
  <c r="AB70" i="1"/>
  <c r="Z70" i="1"/>
  <c r="AA70" i="1" s="1"/>
  <c r="V70" i="1"/>
  <c r="U70" i="1"/>
  <c r="T70" i="1"/>
  <c r="S70" i="1"/>
  <c r="R70" i="1"/>
  <c r="P70" i="1"/>
  <c r="O70" i="1"/>
  <c r="N70" i="1"/>
  <c r="M70" i="1"/>
  <c r="L70" i="1"/>
  <c r="AG69" i="1"/>
  <c r="AH69" i="1" s="1"/>
  <c r="AE69" i="1"/>
  <c r="AF69" i="1" s="1"/>
  <c r="AB69" i="1"/>
  <c r="AC69" i="1" s="1"/>
  <c r="Z69" i="1"/>
  <c r="AA69" i="1" s="1"/>
  <c r="V69" i="1"/>
  <c r="U69" i="1"/>
  <c r="T69" i="1"/>
  <c r="S69" i="1"/>
  <c r="R69" i="1"/>
  <c r="P69" i="1"/>
  <c r="O69" i="1"/>
  <c r="N69" i="1"/>
  <c r="M69" i="1"/>
  <c r="L69" i="1"/>
  <c r="AG68" i="1"/>
  <c r="AH68" i="1" s="1"/>
  <c r="AE68" i="1"/>
  <c r="AF68" i="1" s="1"/>
  <c r="AB68" i="1"/>
  <c r="AC68" i="1" s="1"/>
  <c r="Z68" i="1"/>
  <c r="AA68" i="1" s="1"/>
  <c r="V68" i="1"/>
  <c r="U68" i="1"/>
  <c r="T68" i="1"/>
  <c r="S68" i="1"/>
  <c r="R68" i="1"/>
  <c r="P68" i="1"/>
  <c r="O68" i="1"/>
  <c r="N68" i="1"/>
  <c r="M68" i="1"/>
  <c r="Q68" i="1" s="1"/>
  <c r="L68" i="1"/>
  <c r="AG67" i="1"/>
  <c r="AH67" i="1" s="1"/>
  <c r="AE67" i="1"/>
  <c r="AF67" i="1" s="1"/>
  <c r="AB67" i="1"/>
  <c r="AC67" i="1" s="1"/>
  <c r="Z67" i="1"/>
  <c r="AA67" i="1" s="1"/>
  <c r="V67" i="1"/>
  <c r="W67" i="1" s="1"/>
  <c r="U67" i="1"/>
  <c r="T67" i="1"/>
  <c r="S67" i="1"/>
  <c r="R67" i="1"/>
  <c r="P67" i="1"/>
  <c r="O67" i="1"/>
  <c r="N67" i="1"/>
  <c r="M67" i="1"/>
  <c r="Q67" i="1" s="1"/>
  <c r="L67" i="1"/>
  <c r="AG66" i="1"/>
  <c r="AH66" i="1" s="1"/>
  <c r="AE66" i="1"/>
  <c r="AF66" i="1" s="1"/>
  <c r="AB66" i="1"/>
  <c r="AC66" i="1" s="1"/>
  <c r="Z66" i="1"/>
  <c r="AA66" i="1" s="1"/>
  <c r="V66" i="1"/>
  <c r="U66" i="1"/>
  <c r="T66" i="1"/>
  <c r="S66" i="1"/>
  <c r="W66" i="1" s="1"/>
  <c r="R66" i="1"/>
  <c r="P66" i="1"/>
  <c r="O66" i="1"/>
  <c r="N66" i="1"/>
  <c r="M66" i="1"/>
  <c r="L66" i="1"/>
  <c r="AG65" i="1"/>
  <c r="AH65" i="1" s="1"/>
  <c r="AF65" i="1"/>
  <c r="AE65" i="1"/>
  <c r="AB65" i="1"/>
  <c r="AC65" i="1" s="1"/>
  <c r="Z65" i="1"/>
  <c r="AA65" i="1" s="1"/>
  <c r="V65" i="1"/>
  <c r="U65" i="1"/>
  <c r="T65" i="1"/>
  <c r="S65" i="1"/>
  <c r="R65" i="1"/>
  <c r="P65" i="1"/>
  <c r="O65" i="1"/>
  <c r="N65" i="1"/>
  <c r="M65" i="1"/>
  <c r="L65" i="1"/>
  <c r="AG64" i="1"/>
  <c r="AH64" i="1" s="1"/>
  <c r="AE64" i="1"/>
  <c r="AF64" i="1" s="1"/>
  <c r="AB64" i="1"/>
  <c r="AC64" i="1" s="1"/>
  <c r="Z64" i="1"/>
  <c r="AA64" i="1" s="1"/>
  <c r="V64" i="1"/>
  <c r="U64" i="1"/>
  <c r="T64" i="1"/>
  <c r="S64" i="1"/>
  <c r="R64" i="1"/>
  <c r="P64" i="1"/>
  <c r="Q64" i="1" s="1"/>
  <c r="O64" i="1"/>
  <c r="N64" i="1"/>
  <c r="M64" i="1"/>
  <c r="L64" i="1"/>
  <c r="AG63" i="1"/>
  <c r="AH63" i="1" s="1"/>
  <c r="AE63" i="1"/>
  <c r="AF63" i="1" s="1"/>
  <c r="AB63" i="1"/>
  <c r="AC63" i="1" s="1"/>
  <c r="Z63" i="1"/>
  <c r="AA63" i="1" s="1"/>
  <c r="V63" i="1"/>
  <c r="U63" i="1"/>
  <c r="T63" i="1"/>
  <c r="S63" i="1"/>
  <c r="R63" i="1"/>
  <c r="P63" i="1"/>
  <c r="O63" i="1"/>
  <c r="N63" i="1"/>
  <c r="M63" i="1"/>
  <c r="L63" i="1"/>
  <c r="AG62" i="1"/>
  <c r="AH62" i="1" s="1"/>
  <c r="AE62" i="1"/>
  <c r="AF62" i="1" s="1"/>
  <c r="AB62" i="1"/>
  <c r="AC62" i="1" s="1"/>
  <c r="Z62" i="1"/>
  <c r="AA62" i="1" s="1"/>
  <c r="V62" i="1"/>
  <c r="U62" i="1"/>
  <c r="T62" i="1"/>
  <c r="S62" i="1"/>
  <c r="R62" i="1"/>
  <c r="P62" i="1"/>
  <c r="O62" i="1"/>
  <c r="N62" i="1"/>
  <c r="M62" i="1"/>
  <c r="L62" i="1"/>
  <c r="AG61" i="1"/>
  <c r="AH61" i="1" s="1"/>
  <c r="AE61" i="1"/>
  <c r="AF61" i="1" s="1"/>
  <c r="AB61" i="1"/>
  <c r="AC61" i="1" s="1"/>
  <c r="AA61" i="1"/>
  <c r="Z61" i="1"/>
  <c r="V61" i="1"/>
  <c r="U61" i="1"/>
  <c r="T61" i="1"/>
  <c r="S61" i="1"/>
  <c r="R61" i="1"/>
  <c r="P61" i="1"/>
  <c r="Q61" i="1" s="1"/>
  <c r="O61" i="1"/>
  <c r="N61" i="1"/>
  <c r="M61" i="1"/>
  <c r="L61" i="1"/>
  <c r="AG60" i="1"/>
  <c r="AH60" i="1" s="1"/>
  <c r="AE60" i="1"/>
  <c r="AF60" i="1" s="1"/>
  <c r="AB60" i="1"/>
  <c r="AC60" i="1" s="1"/>
  <c r="Z60" i="1"/>
  <c r="AA60" i="1" s="1"/>
  <c r="V60" i="1"/>
  <c r="U60" i="1"/>
  <c r="T60" i="1"/>
  <c r="S60" i="1"/>
  <c r="R60" i="1"/>
  <c r="P60" i="1"/>
  <c r="Q60" i="1" s="1"/>
  <c r="O60" i="1"/>
  <c r="N60" i="1"/>
  <c r="M60" i="1"/>
  <c r="L60" i="1"/>
  <c r="AG59" i="1"/>
  <c r="AH59" i="1" s="1"/>
  <c r="AE59" i="1"/>
  <c r="AF59" i="1" s="1"/>
  <c r="AB59" i="1"/>
  <c r="AC59" i="1" s="1"/>
  <c r="Z59" i="1"/>
  <c r="AA59" i="1" s="1"/>
  <c r="V59" i="1"/>
  <c r="U59" i="1"/>
  <c r="T59" i="1"/>
  <c r="S59" i="1"/>
  <c r="R59" i="1"/>
  <c r="P59" i="1"/>
  <c r="O59" i="1"/>
  <c r="N59" i="1"/>
  <c r="M59" i="1"/>
  <c r="L59" i="1"/>
  <c r="AG58" i="1"/>
  <c r="AH58" i="1" s="1"/>
  <c r="AE58" i="1"/>
  <c r="AF58" i="1" s="1"/>
  <c r="AC58" i="1"/>
  <c r="AB58" i="1"/>
  <c r="Z58" i="1"/>
  <c r="AA58" i="1" s="1"/>
  <c r="V58" i="1"/>
  <c r="U58" i="1"/>
  <c r="T58" i="1"/>
  <c r="S58" i="1"/>
  <c r="R58" i="1"/>
  <c r="P58" i="1"/>
  <c r="O58" i="1"/>
  <c r="N58" i="1"/>
  <c r="M58" i="1"/>
  <c r="L58" i="1"/>
  <c r="AG57" i="1"/>
  <c r="AH57" i="1" s="1"/>
  <c r="AE57" i="1"/>
  <c r="AF57" i="1" s="1"/>
  <c r="AB57" i="1"/>
  <c r="AC57" i="1" s="1"/>
  <c r="Z57" i="1"/>
  <c r="AA57" i="1" s="1"/>
  <c r="V57" i="1"/>
  <c r="U57" i="1"/>
  <c r="T57" i="1"/>
  <c r="S57" i="1"/>
  <c r="R57" i="1"/>
  <c r="P57" i="1"/>
  <c r="Q57" i="1" s="1"/>
  <c r="O57" i="1"/>
  <c r="N57" i="1"/>
  <c r="M57" i="1"/>
  <c r="L57" i="1"/>
  <c r="AG56" i="1"/>
  <c r="AH56" i="1" s="1"/>
  <c r="AE56" i="1"/>
  <c r="AF56" i="1" s="1"/>
  <c r="AB56" i="1"/>
  <c r="AC56" i="1" s="1"/>
  <c r="Z56" i="1"/>
  <c r="AA56" i="1" s="1"/>
  <c r="V56" i="1"/>
  <c r="U56" i="1"/>
  <c r="T56" i="1"/>
  <c r="S56" i="1"/>
  <c r="R56" i="1"/>
  <c r="P56" i="1"/>
  <c r="O56" i="1"/>
  <c r="N56" i="1"/>
  <c r="M56" i="1"/>
  <c r="L56" i="1"/>
  <c r="AG55" i="1"/>
  <c r="AH55" i="1" s="1"/>
  <c r="AE55" i="1"/>
  <c r="AF55" i="1" s="1"/>
  <c r="AB55" i="1"/>
  <c r="AC55" i="1" s="1"/>
  <c r="Z55" i="1"/>
  <c r="AA55" i="1" s="1"/>
  <c r="V55" i="1"/>
  <c r="U55" i="1"/>
  <c r="T55" i="1"/>
  <c r="S55" i="1"/>
  <c r="R55" i="1"/>
  <c r="P55" i="1"/>
  <c r="Q55" i="1" s="1"/>
  <c r="O55" i="1"/>
  <c r="N55" i="1"/>
  <c r="M55" i="1"/>
  <c r="L55" i="1"/>
  <c r="AG54" i="1"/>
  <c r="AH54" i="1" s="1"/>
  <c r="AE54" i="1"/>
  <c r="AF54" i="1" s="1"/>
  <c r="AB54" i="1"/>
  <c r="AC54" i="1" s="1"/>
  <c r="Z54" i="1"/>
  <c r="AA54" i="1" s="1"/>
  <c r="V54" i="1"/>
  <c r="U54" i="1"/>
  <c r="T54" i="1"/>
  <c r="S54" i="1"/>
  <c r="R54" i="1"/>
  <c r="P54" i="1"/>
  <c r="O54" i="1"/>
  <c r="N54" i="1"/>
  <c r="M54" i="1"/>
  <c r="L54" i="1"/>
  <c r="AG53" i="1"/>
  <c r="AH53" i="1" s="1"/>
  <c r="AE53" i="1"/>
  <c r="AF53" i="1" s="1"/>
  <c r="AB53" i="1"/>
  <c r="AC53" i="1" s="1"/>
  <c r="Z53" i="1"/>
  <c r="AA53" i="1" s="1"/>
  <c r="V53" i="1"/>
  <c r="U53" i="1"/>
  <c r="T53" i="1"/>
  <c r="S53" i="1"/>
  <c r="R53" i="1"/>
  <c r="P53" i="1"/>
  <c r="O53" i="1"/>
  <c r="N53" i="1"/>
  <c r="M53" i="1"/>
  <c r="L53" i="1"/>
  <c r="AG52" i="1"/>
  <c r="AH52" i="1" s="1"/>
  <c r="AE52" i="1"/>
  <c r="AF52" i="1" s="1"/>
  <c r="AC52" i="1"/>
  <c r="AB52" i="1"/>
  <c r="Z52" i="1"/>
  <c r="AA52" i="1" s="1"/>
  <c r="V52" i="1"/>
  <c r="U52" i="1"/>
  <c r="T52" i="1"/>
  <c r="S52" i="1"/>
  <c r="R52" i="1"/>
  <c r="P52" i="1"/>
  <c r="Q52" i="1" s="1"/>
  <c r="O52" i="1"/>
  <c r="N52" i="1"/>
  <c r="M52" i="1"/>
  <c r="L52" i="1"/>
  <c r="AG51" i="1"/>
  <c r="AH51" i="1" s="1"/>
  <c r="AE51" i="1"/>
  <c r="AF51" i="1" s="1"/>
  <c r="AB51" i="1"/>
  <c r="AC51" i="1" s="1"/>
  <c r="Z51" i="1"/>
  <c r="AA51" i="1" s="1"/>
  <c r="V51" i="1"/>
  <c r="U51" i="1"/>
  <c r="T51" i="1"/>
  <c r="S51" i="1"/>
  <c r="R51" i="1"/>
  <c r="P51" i="1"/>
  <c r="O51" i="1"/>
  <c r="N51" i="1"/>
  <c r="M51" i="1"/>
  <c r="L51" i="1"/>
  <c r="AG50" i="1"/>
  <c r="AH50" i="1" s="1"/>
  <c r="AE50" i="1"/>
  <c r="AF50" i="1" s="1"/>
  <c r="AB50" i="1"/>
  <c r="AC50" i="1" s="1"/>
  <c r="Z50" i="1"/>
  <c r="AA50" i="1" s="1"/>
  <c r="V50" i="1"/>
  <c r="U50" i="1"/>
  <c r="T50" i="1"/>
  <c r="S50" i="1"/>
  <c r="R50" i="1"/>
  <c r="P50" i="1"/>
  <c r="O50" i="1"/>
  <c r="N50" i="1"/>
  <c r="M50" i="1"/>
  <c r="L50" i="1"/>
  <c r="AG49" i="1"/>
  <c r="AH49" i="1" s="1"/>
  <c r="AE49" i="1"/>
  <c r="AF49" i="1" s="1"/>
  <c r="AB49" i="1"/>
  <c r="AC49" i="1" s="1"/>
  <c r="Z49" i="1"/>
  <c r="AA49" i="1" s="1"/>
  <c r="V49" i="1"/>
  <c r="U49" i="1"/>
  <c r="T49" i="1"/>
  <c r="S49" i="1"/>
  <c r="R49" i="1"/>
  <c r="P49" i="1"/>
  <c r="Q49" i="1" s="1"/>
  <c r="O49" i="1"/>
  <c r="N49" i="1"/>
  <c r="M49" i="1"/>
  <c r="L49" i="1"/>
  <c r="AG48" i="1"/>
  <c r="AH48" i="1" s="1"/>
  <c r="AE48" i="1"/>
  <c r="AF48" i="1" s="1"/>
  <c r="AB48" i="1"/>
  <c r="AC48" i="1" s="1"/>
  <c r="AA48" i="1"/>
  <c r="Z48" i="1"/>
  <c r="V48" i="1"/>
  <c r="U48" i="1"/>
  <c r="T48" i="1"/>
  <c r="S48" i="1"/>
  <c r="R48" i="1"/>
  <c r="P48" i="1"/>
  <c r="O48" i="1"/>
  <c r="N48" i="1"/>
  <c r="M48" i="1"/>
  <c r="L48" i="1"/>
  <c r="AG47" i="1"/>
  <c r="AH47" i="1" s="1"/>
  <c r="AE47" i="1"/>
  <c r="AF47" i="1" s="1"/>
  <c r="AB47" i="1"/>
  <c r="AC47" i="1" s="1"/>
  <c r="Z47" i="1"/>
  <c r="AA47" i="1" s="1"/>
  <c r="V47" i="1"/>
  <c r="U47" i="1"/>
  <c r="T47" i="1"/>
  <c r="S47" i="1"/>
  <c r="R47" i="1"/>
  <c r="P47" i="1"/>
  <c r="O47" i="1"/>
  <c r="N47" i="1"/>
  <c r="M47" i="1"/>
  <c r="L47" i="1"/>
  <c r="AG46" i="1"/>
  <c r="AH46" i="1" s="1"/>
  <c r="AE46" i="1"/>
  <c r="AF46" i="1" s="1"/>
  <c r="AC46" i="1"/>
  <c r="AB46" i="1"/>
  <c r="Z46" i="1"/>
  <c r="AA46" i="1" s="1"/>
  <c r="V46" i="1"/>
  <c r="U46" i="1"/>
  <c r="T46" i="1"/>
  <c r="S46" i="1"/>
  <c r="R46" i="1"/>
  <c r="P46" i="1"/>
  <c r="O46" i="1"/>
  <c r="N46" i="1"/>
  <c r="M46" i="1"/>
  <c r="L46" i="1"/>
  <c r="AG45" i="1"/>
  <c r="AH45" i="1" s="1"/>
  <c r="AE45" i="1"/>
  <c r="AF45" i="1" s="1"/>
  <c r="AB45" i="1"/>
  <c r="AC45" i="1" s="1"/>
  <c r="Z45" i="1"/>
  <c r="AA45" i="1" s="1"/>
  <c r="V45" i="1"/>
  <c r="U45" i="1"/>
  <c r="T45" i="1"/>
  <c r="S45" i="1"/>
  <c r="R45" i="1"/>
  <c r="P45" i="1"/>
  <c r="Q45" i="1" s="1"/>
  <c r="O45" i="1"/>
  <c r="N45" i="1"/>
  <c r="M45" i="1"/>
  <c r="L45" i="1"/>
  <c r="AG44" i="1"/>
  <c r="AH44" i="1" s="1"/>
  <c r="AE44" i="1"/>
  <c r="AF44" i="1" s="1"/>
  <c r="AB44" i="1"/>
  <c r="AC44" i="1" s="1"/>
  <c r="Z44" i="1"/>
  <c r="AA44" i="1" s="1"/>
  <c r="V44" i="1"/>
  <c r="U44" i="1"/>
  <c r="T44" i="1"/>
  <c r="S44" i="1"/>
  <c r="R44" i="1"/>
  <c r="P44" i="1"/>
  <c r="Q44" i="1" s="1"/>
  <c r="O44" i="1"/>
  <c r="N44" i="1"/>
  <c r="M44" i="1"/>
  <c r="L44" i="1"/>
  <c r="AG43" i="1"/>
  <c r="AH43" i="1" s="1"/>
  <c r="AE43" i="1"/>
  <c r="AF43" i="1" s="1"/>
  <c r="AB43" i="1"/>
  <c r="AC43" i="1" s="1"/>
  <c r="AA43" i="1"/>
  <c r="Z43" i="1"/>
  <c r="V43" i="1"/>
  <c r="U43" i="1"/>
  <c r="T43" i="1"/>
  <c r="S43" i="1"/>
  <c r="R43" i="1"/>
  <c r="P43" i="1"/>
  <c r="O43" i="1"/>
  <c r="N43" i="1"/>
  <c r="M43" i="1"/>
  <c r="L43" i="1"/>
  <c r="AG42" i="1"/>
  <c r="AH42" i="1" s="1"/>
  <c r="AE42" i="1"/>
  <c r="AF42" i="1" s="1"/>
  <c r="AB42" i="1"/>
  <c r="AC42" i="1" s="1"/>
  <c r="Z42" i="1"/>
  <c r="AA42" i="1" s="1"/>
  <c r="V42" i="1"/>
  <c r="U42" i="1"/>
  <c r="T42" i="1"/>
  <c r="S42" i="1"/>
  <c r="R42" i="1"/>
  <c r="P42" i="1"/>
  <c r="O42" i="1"/>
  <c r="N42" i="1"/>
  <c r="M42" i="1"/>
  <c r="L42" i="1"/>
  <c r="AG41" i="1"/>
  <c r="AH41" i="1" s="1"/>
  <c r="AE41" i="1"/>
  <c r="AF41" i="1" s="1"/>
  <c r="AB41" i="1"/>
  <c r="AC41" i="1" s="1"/>
  <c r="Z41" i="1"/>
  <c r="AA41" i="1" s="1"/>
  <c r="V41" i="1"/>
  <c r="U41" i="1"/>
  <c r="T41" i="1"/>
  <c r="S41" i="1"/>
  <c r="R41" i="1"/>
  <c r="P41" i="1"/>
  <c r="O41" i="1"/>
  <c r="N41" i="1"/>
  <c r="M41" i="1"/>
  <c r="L41" i="1"/>
  <c r="AG40" i="1"/>
  <c r="AH40" i="1" s="1"/>
  <c r="AE40" i="1"/>
  <c r="AF40" i="1" s="1"/>
  <c r="AB40" i="1"/>
  <c r="AC40" i="1" s="1"/>
  <c r="Z40" i="1"/>
  <c r="AA40" i="1" s="1"/>
  <c r="V40" i="1"/>
  <c r="U40" i="1"/>
  <c r="T40" i="1"/>
  <c r="S40" i="1"/>
  <c r="R40" i="1"/>
  <c r="P40" i="1"/>
  <c r="Q40" i="1" s="1"/>
  <c r="O40" i="1"/>
  <c r="N40" i="1"/>
  <c r="M40" i="1"/>
  <c r="L40" i="1"/>
  <c r="AG39" i="1"/>
  <c r="AH39" i="1" s="1"/>
  <c r="AE39" i="1"/>
  <c r="AF39" i="1" s="1"/>
  <c r="AB39" i="1"/>
  <c r="AC39" i="1" s="1"/>
  <c r="Z39" i="1"/>
  <c r="AA39" i="1" s="1"/>
  <c r="V39" i="1"/>
  <c r="U39" i="1"/>
  <c r="T39" i="1"/>
  <c r="S39" i="1"/>
  <c r="W39" i="1" s="1"/>
  <c r="R39" i="1"/>
  <c r="P39" i="1"/>
  <c r="O39" i="1"/>
  <c r="N39" i="1"/>
  <c r="M39" i="1"/>
  <c r="Q39" i="1" s="1"/>
  <c r="L39" i="1"/>
  <c r="AH38" i="1"/>
  <c r="AG38" i="1"/>
  <c r="AE38" i="1"/>
  <c r="AF38" i="1" s="1"/>
  <c r="AB38" i="1"/>
  <c r="AC38" i="1" s="1"/>
  <c r="Z38" i="1"/>
  <c r="AA38" i="1" s="1"/>
  <c r="V38" i="1"/>
  <c r="U38" i="1"/>
  <c r="T38" i="1"/>
  <c r="S38" i="1"/>
  <c r="R38" i="1"/>
  <c r="P38" i="1"/>
  <c r="O38" i="1"/>
  <c r="N38" i="1"/>
  <c r="M38" i="1"/>
  <c r="Q38" i="1" s="1"/>
  <c r="L38" i="1"/>
  <c r="AG37" i="1"/>
  <c r="AH37" i="1" s="1"/>
  <c r="AE37" i="1"/>
  <c r="AF37" i="1" s="1"/>
  <c r="AB37" i="1"/>
  <c r="AC37" i="1" s="1"/>
  <c r="Z37" i="1"/>
  <c r="AA37" i="1" s="1"/>
  <c r="V37" i="1"/>
  <c r="U37" i="1"/>
  <c r="T37" i="1"/>
  <c r="S37" i="1"/>
  <c r="R37" i="1"/>
  <c r="P37" i="1"/>
  <c r="O37" i="1"/>
  <c r="N37" i="1"/>
  <c r="M37" i="1"/>
  <c r="Q37" i="1" s="1"/>
  <c r="L37" i="1"/>
  <c r="AG36" i="1"/>
  <c r="AH36" i="1" s="1"/>
  <c r="AE36" i="1"/>
  <c r="AF36" i="1" s="1"/>
  <c r="AB36" i="1"/>
  <c r="AC36" i="1" s="1"/>
  <c r="Z36" i="1"/>
  <c r="AA36" i="1" s="1"/>
  <c r="V36" i="1"/>
  <c r="W36" i="1" s="1"/>
  <c r="U36" i="1"/>
  <c r="T36" i="1"/>
  <c r="S36" i="1"/>
  <c r="R36" i="1"/>
  <c r="P36" i="1"/>
  <c r="O36" i="1"/>
  <c r="N36" i="1"/>
  <c r="M36" i="1"/>
  <c r="L36" i="1"/>
  <c r="AG35" i="1"/>
  <c r="AH35" i="1" s="1"/>
  <c r="AF35" i="1"/>
  <c r="AE35" i="1"/>
  <c r="AB35" i="1"/>
  <c r="AC35" i="1" s="1"/>
  <c r="Z35" i="1"/>
  <c r="AA35" i="1" s="1"/>
  <c r="V35" i="1"/>
  <c r="U35" i="1"/>
  <c r="T35" i="1"/>
  <c r="S35" i="1"/>
  <c r="W35" i="1" s="1"/>
  <c r="R35" i="1"/>
  <c r="P35" i="1"/>
  <c r="O35" i="1"/>
  <c r="N35" i="1"/>
  <c r="M35" i="1"/>
  <c r="Q35" i="1" s="1"/>
  <c r="L35" i="1"/>
  <c r="AG34" i="1"/>
  <c r="AH34" i="1" s="1"/>
  <c r="AF34" i="1"/>
  <c r="AE34" i="1"/>
  <c r="AB34" i="1"/>
  <c r="AC34" i="1" s="1"/>
  <c r="Z34" i="1"/>
  <c r="AA34" i="1" s="1"/>
  <c r="V34" i="1"/>
  <c r="U34" i="1"/>
  <c r="T34" i="1"/>
  <c r="S34" i="1"/>
  <c r="R34" i="1"/>
  <c r="P34" i="1"/>
  <c r="O34" i="1"/>
  <c r="N34" i="1"/>
  <c r="M34" i="1"/>
  <c r="Q34" i="1" s="1"/>
  <c r="L34" i="1"/>
  <c r="AG33" i="1"/>
  <c r="AH33" i="1" s="1"/>
  <c r="AE33" i="1"/>
  <c r="AF33" i="1" s="1"/>
  <c r="AB33" i="1"/>
  <c r="AC33" i="1" s="1"/>
  <c r="Z33" i="1"/>
  <c r="AA33" i="1" s="1"/>
  <c r="V33" i="1"/>
  <c r="U33" i="1"/>
  <c r="T33" i="1"/>
  <c r="S33" i="1"/>
  <c r="R33" i="1"/>
  <c r="P33" i="1"/>
  <c r="O33" i="1"/>
  <c r="N33" i="1"/>
  <c r="M33" i="1"/>
  <c r="L33" i="1"/>
  <c r="AG32" i="1"/>
  <c r="AH32" i="1" s="1"/>
  <c r="AF32" i="1"/>
  <c r="AE32" i="1"/>
  <c r="AB32" i="1"/>
  <c r="AC32" i="1" s="1"/>
  <c r="Z32" i="1"/>
  <c r="AA32" i="1" s="1"/>
  <c r="V32" i="1"/>
  <c r="U32" i="1"/>
  <c r="T32" i="1"/>
  <c r="S32" i="1"/>
  <c r="W32" i="1" s="1"/>
  <c r="R32" i="1"/>
  <c r="Q32" i="1"/>
  <c r="P32" i="1"/>
  <c r="O32" i="1"/>
  <c r="N32" i="1"/>
  <c r="M32" i="1"/>
  <c r="L32" i="1"/>
  <c r="AH31" i="1"/>
  <c r="AG31" i="1"/>
  <c r="AE31" i="1"/>
  <c r="AF31" i="1" s="1"/>
  <c r="AB31" i="1"/>
  <c r="AC31" i="1" s="1"/>
  <c r="Z31" i="1"/>
  <c r="AA31" i="1" s="1"/>
  <c r="V31" i="1"/>
  <c r="W31" i="1" s="1"/>
  <c r="U31" i="1"/>
  <c r="T31" i="1"/>
  <c r="S31" i="1"/>
  <c r="R31" i="1"/>
  <c r="P31" i="1"/>
  <c r="O31" i="1"/>
  <c r="N31" i="1"/>
  <c r="M31" i="1"/>
  <c r="Q31" i="1" s="1"/>
  <c r="L31" i="1"/>
  <c r="AG30" i="1"/>
  <c r="AH30" i="1" s="1"/>
  <c r="AE30" i="1"/>
  <c r="AF30" i="1" s="1"/>
  <c r="AB30" i="1"/>
  <c r="AC30" i="1" s="1"/>
  <c r="Z30" i="1"/>
  <c r="AA30" i="1" s="1"/>
  <c r="V30" i="1"/>
  <c r="U30" i="1"/>
  <c r="T30" i="1"/>
  <c r="S30" i="1"/>
  <c r="R30" i="1"/>
  <c r="P30" i="1"/>
  <c r="Q30" i="1" s="1"/>
  <c r="O30" i="1"/>
  <c r="N30" i="1"/>
  <c r="M30" i="1"/>
  <c r="L30" i="1"/>
  <c r="AG29" i="1"/>
  <c r="AH29" i="1" s="1"/>
  <c r="AE29" i="1"/>
  <c r="AF29" i="1" s="1"/>
  <c r="AB29" i="1"/>
  <c r="AC29" i="1" s="1"/>
  <c r="Z29" i="1"/>
  <c r="AA29" i="1" s="1"/>
  <c r="V29" i="1"/>
  <c r="U29" i="1"/>
  <c r="T29" i="1"/>
  <c r="S29" i="1"/>
  <c r="W29" i="1" s="1"/>
  <c r="R29" i="1"/>
  <c r="P29" i="1"/>
  <c r="O29" i="1"/>
  <c r="N29" i="1"/>
  <c r="M29" i="1"/>
  <c r="Q29" i="1" s="1"/>
  <c r="L29" i="1"/>
  <c r="AG28" i="1"/>
  <c r="AH28" i="1" s="1"/>
  <c r="AE28" i="1"/>
  <c r="AF28" i="1" s="1"/>
  <c r="AB28" i="1"/>
  <c r="AC28" i="1" s="1"/>
  <c r="Z28" i="1"/>
  <c r="AA28" i="1" s="1"/>
  <c r="V28" i="1"/>
  <c r="W28" i="1" s="1"/>
  <c r="U28" i="1"/>
  <c r="T28" i="1"/>
  <c r="S28" i="1"/>
  <c r="R28" i="1"/>
  <c r="P28" i="1"/>
  <c r="O28" i="1"/>
  <c r="N28" i="1"/>
  <c r="M28" i="1"/>
  <c r="Q28" i="1" s="1"/>
  <c r="L28" i="1"/>
  <c r="AG27" i="1"/>
  <c r="AH27" i="1" s="1"/>
  <c r="AE27" i="1"/>
  <c r="AF27" i="1" s="1"/>
  <c r="AB27" i="1"/>
  <c r="AC27" i="1" s="1"/>
  <c r="Z27" i="1"/>
  <c r="AA27" i="1" s="1"/>
  <c r="V27" i="1"/>
  <c r="U27" i="1"/>
  <c r="T27" i="1"/>
  <c r="S27" i="1"/>
  <c r="R27" i="1"/>
  <c r="P27" i="1"/>
  <c r="O27" i="1"/>
  <c r="N27" i="1"/>
  <c r="M27" i="1"/>
  <c r="L27" i="1"/>
  <c r="AG26" i="1"/>
  <c r="AH26" i="1" s="1"/>
  <c r="AE26" i="1"/>
  <c r="AF26" i="1" s="1"/>
  <c r="AB26" i="1"/>
  <c r="AC26" i="1" s="1"/>
  <c r="Z26" i="1"/>
  <c r="AA26" i="1" s="1"/>
  <c r="V26" i="1"/>
  <c r="U26" i="1"/>
  <c r="T26" i="1"/>
  <c r="S26" i="1"/>
  <c r="R26" i="1"/>
  <c r="P26" i="1"/>
  <c r="O26" i="1"/>
  <c r="N26" i="1"/>
  <c r="M26" i="1"/>
  <c r="Q26" i="1" s="1"/>
  <c r="L26" i="1"/>
  <c r="AG25" i="1"/>
  <c r="AH25" i="1" s="1"/>
  <c r="AE25" i="1"/>
  <c r="AF25" i="1" s="1"/>
  <c r="AB25" i="1"/>
  <c r="AC25" i="1" s="1"/>
  <c r="Z25" i="1"/>
  <c r="AA25" i="1" s="1"/>
  <c r="V25" i="1"/>
  <c r="U25" i="1"/>
  <c r="T25" i="1"/>
  <c r="S25" i="1"/>
  <c r="R25" i="1"/>
  <c r="P25" i="1"/>
  <c r="O25" i="1"/>
  <c r="N25" i="1"/>
  <c r="M25" i="1"/>
  <c r="Q25" i="1" s="1"/>
  <c r="L25" i="1"/>
  <c r="AG24" i="1"/>
  <c r="AH24" i="1" s="1"/>
  <c r="AE24" i="1"/>
  <c r="AF24" i="1" s="1"/>
  <c r="AB24" i="1"/>
  <c r="AC24" i="1" s="1"/>
  <c r="Z24" i="1"/>
  <c r="AA24" i="1" s="1"/>
  <c r="V24" i="1"/>
  <c r="U24" i="1"/>
  <c r="T24" i="1"/>
  <c r="S24" i="1"/>
  <c r="R24" i="1"/>
  <c r="P24" i="1"/>
  <c r="O24" i="1"/>
  <c r="N24" i="1"/>
  <c r="M24" i="1"/>
  <c r="L24" i="1"/>
  <c r="AG23" i="1"/>
  <c r="AH23" i="1" s="1"/>
  <c r="AF23" i="1"/>
  <c r="AE23" i="1"/>
  <c r="AB23" i="1"/>
  <c r="AC23" i="1" s="1"/>
  <c r="Z23" i="1"/>
  <c r="AA23" i="1" s="1"/>
  <c r="V23" i="1"/>
  <c r="U23" i="1"/>
  <c r="T23" i="1"/>
  <c r="S23" i="1"/>
  <c r="R23" i="1"/>
  <c r="Q23" i="1"/>
  <c r="P23" i="1"/>
  <c r="O23" i="1"/>
  <c r="N23" i="1"/>
  <c r="M23" i="1"/>
  <c r="L23" i="1"/>
  <c r="AG22" i="1"/>
  <c r="AH22" i="1" s="1"/>
  <c r="AE22" i="1"/>
  <c r="AF22" i="1" s="1"/>
  <c r="AB22" i="1"/>
  <c r="AC22" i="1" s="1"/>
  <c r="Z22" i="1"/>
  <c r="AA22" i="1" s="1"/>
  <c r="V22" i="1"/>
  <c r="U22" i="1"/>
  <c r="T22" i="1"/>
  <c r="S22" i="1"/>
  <c r="R22" i="1"/>
  <c r="P22" i="1"/>
  <c r="O22" i="1"/>
  <c r="N22" i="1"/>
  <c r="M22" i="1"/>
  <c r="L22" i="1"/>
  <c r="AG21" i="1"/>
  <c r="AH21" i="1" s="1"/>
  <c r="AE21" i="1"/>
  <c r="AF21" i="1" s="1"/>
  <c r="AB21" i="1"/>
  <c r="AC21" i="1" s="1"/>
  <c r="Z21" i="1"/>
  <c r="AA21" i="1" s="1"/>
  <c r="V21" i="1"/>
  <c r="U21" i="1"/>
  <c r="T21" i="1"/>
  <c r="S21" i="1"/>
  <c r="R21" i="1"/>
  <c r="P21" i="1"/>
  <c r="O21" i="1"/>
  <c r="N21" i="1"/>
  <c r="M21" i="1"/>
  <c r="L21" i="1"/>
  <c r="AG20" i="1"/>
  <c r="AH20" i="1" s="1"/>
  <c r="AE20" i="1"/>
  <c r="AF20" i="1" s="1"/>
  <c r="AB20" i="1"/>
  <c r="AC20" i="1" s="1"/>
  <c r="Z20" i="1"/>
  <c r="AA20" i="1" s="1"/>
  <c r="V20" i="1"/>
  <c r="U20" i="1"/>
  <c r="T20" i="1"/>
  <c r="S20" i="1"/>
  <c r="R20" i="1"/>
  <c r="P20" i="1"/>
  <c r="O20" i="1"/>
  <c r="N20" i="1"/>
  <c r="M20" i="1"/>
  <c r="L20" i="1"/>
  <c r="AG19" i="1"/>
  <c r="AH19" i="1" s="1"/>
  <c r="AE19" i="1"/>
  <c r="AF19" i="1" s="1"/>
  <c r="AB19" i="1"/>
  <c r="AC19" i="1" s="1"/>
  <c r="Z19" i="1"/>
  <c r="AA19" i="1" s="1"/>
  <c r="V19" i="1"/>
  <c r="U19" i="1"/>
  <c r="T19" i="1"/>
  <c r="S19" i="1"/>
  <c r="R19" i="1"/>
  <c r="P19" i="1"/>
  <c r="O19" i="1"/>
  <c r="N19" i="1"/>
  <c r="M19" i="1"/>
  <c r="L19" i="1"/>
  <c r="AG18" i="1"/>
  <c r="AH18" i="1" s="1"/>
  <c r="AE18" i="1"/>
  <c r="AF18" i="1" s="1"/>
  <c r="AB18" i="1"/>
  <c r="AC18" i="1" s="1"/>
  <c r="Z18" i="1"/>
  <c r="AA18" i="1" s="1"/>
  <c r="V18" i="1"/>
  <c r="U18" i="1"/>
  <c r="T18" i="1"/>
  <c r="S18" i="1"/>
  <c r="R18" i="1"/>
  <c r="P18" i="1"/>
  <c r="Q18" i="1" s="1"/>
  <c r="O18" i="1"/>
  <c r="N18" i="1"/>
  <c r="M18" i="1"/>
  <c r="L18" i="1"/>
  <c r="AG17" i="1"/>
  <c r="AH17" i="1" s="1"/>
  <c r="AE17" i="1"/>
  <c r="AF17" i="1" s="1"/>
  <c r="AB17" i="1"/>
  <c r="AC17" i="1" s="1"/>
  <c r="Z17" i="1"/>
  <c r="AA17" i="1" s="1"/>
  <c r="V17" i="1"/>
  <c r="U17" i="1"/>
  <c r="T17" i="1"/>
  <c r="S17" i="1"/>
  <c r="R17" i="1"/>
  <c r="P17" i="1"/>
  <c r="Q17" i="1" s="1"/>
  <c r="O17" i="1"/>
  <c r="N17" i="1"/>
  <c r="M17" i="1"/>
  <c r="L17" i="1"/>
  <c r="AG16" i="1"/>
  <c r="AH16" i="1" s="1"/>
  <c r="AE16" i="1"/>
  <c r="AF16" i="1" s="1"/>
  <c r="AB16" i="1"/>
  <c r="AC16" i="1" s="1"/>
  <c r="Z16" i="1"/>
  <c r="AA16" i="1" s="1"/>
  <c r="V16" i="1"/>
  <c r="U16" i="1"/>
  <c r="T16" i="1"/>
  <c r="S16" i="1"/>
  <c r="R16" i="1"/>
  <c r="P16" i="1"/>
  <c r="O16" i="1"/>
  <c r="N16" i="1"/>
  <c r="M16" i="1"/>
  <c r="L16" i="1"/>
  <c r="AG15" i="1"/>
  <c r="AH15" i="1" s="1"/>
  <c r="AE15" i="1"/>
  <c r="AF15" i="1" s="1"/>
  <c r="AB15" i="1"/>
  <c r="AC15" i="1" s="1"/>
  <c r="Z15" i="1"/>
  <c r="AA15" i="1" s="1"/>
  <c r="V15" i="1"/>
  <c r="U15" i="1"/>
  <c r="T15" i="1"/>
  <c r="S15" i="1"/>
  <c r="R15" i="1"/>
  <c r="P15" i="1"/>
  <c r="O15" i="1"/>
  <c r="N15" i="1"/>
  <c r="M15" i="1"/>
  <c r="L15" i="1"/>
  <c r="AG14" i="1"/>
  <c r="AH14" i="1" s="1"/>
  <c r="AE14" i="1"/>
  <c r="AF14" i="1" s="1"/>
  <c r="AB14" i="1"/>
  <c r="AC14" i="1" s="1"/>
  <c r="Z14" i="1"/>
  <c r="AA14" i="1" s="1"/>
  <c r="V14" i="1"/>
  <c r="W14" i="1" s="1"/>
  <c r="U14" i="1"/>
  <c r="T14" i="1"/>
  <c r="S14" i="1"/>
  <c r="R14" i="1"/>
  <c r="P14" i="1"/>
  <c r="O14" i="1"/>
  <c r="N14" i="1"/>
  <c r="M14" i="1"/>
  <c r="L14" i="1"/>
  <c r="AG13" i="1"/>
  <c r="AH13" i="1" s="1"/>
  <c r="AE13" i="1"/>
  <c r="AF13" i="1" s="1"/>
  <c r="AB13" i="1"/>
  <c r="AC13" i="1" s="1"/>
  <c r="Z13" i="1"/>
  <c r="AA13" i="1" s="1"/>
  <c r="V13" i="1"/>
  <c r="U13" i="1"/>
  <c r="T13" i="1"/>
  <c r="S13" i="1"/>
  <c r="R13" i="1"/>
  <c r="P13" i="1"/>
  <c r="O13" i="1"/>
  <c r="N13" i="1"/>
  <c r="M13" i="1"/>
  <c r="L13" i="1"/>
  <c r="AG12" i="1"/>
  <c r="AH12" i="1" s="1"/>
  <c r="AE12" i="1"/>
  <c r="AF12" i="1" s="1"/>
  <c r="AB12" i="1"/>
  <c r="AC12" i="1" s="1"/>
  <c r="Z12" i="1"/>
  <c r="AA12" i="1" s="1"/>
  <c r="V12" i="1"/>
  <c r="U12" i="1"/>
  <c r="T12" i="1"/>
  <c r="S12" i="1"/>
  <c r="R12" i="1"/>
  <c r="P12" i="1"/>
  <c r="O12" i="1"/>
  <c r="N12" i="1"/>
  <c r="M12" i="1"/>
  <c r="L12" i="1"/>
  <c r="AG11" i="1"/>
  <c r="AH11" i="1" s="1"/>
  <c r="AE11" i="1"/>
  <c r="AF11" i="1" s="1"/>
  <c r="AB11" i="1"/>
  <c r="AC11" i="1" s="1"/>
  <c r="Z11" i="1"/>
  <c r="AA11" i="1" s="1"/>
  <c r="V11" i="1"/>
  <c r="U11" i="1"/>
  <c r="T11" i="1"/>
  <c r="S11" i="1"/>
  <c r="R11" i="1"/>
  <c r="P11" i="1"/>
  <c r="Q11" i="1" s="1"/>
  <c r="O11" i="1"/>
  <c r="N11" i="1"/>
  <c r="M11" i="1"/>
  <c r="L11" i="1"/>
  <c r="AG10" i="1"/>
  <c r="AH10" i="1" s="1"/>
  <c r="AE10" i="1"/>
  <c r="AF10" i="1" s="1"/>
  <c r="AB10" i="1"/>
  <c r="AC10" i="1" s="1"/>
  <c r="Z10" i="1"/>
  <c r="AA10" i="1" s="1"/>
  <c r="V10" i="1"/>
  <c r="U10" i="1"/>
  <c r="T10" i="1"/>
  <c r="S10" i="1"/>
  <c r="R10" i="1"/>
  <c r="P10" i="1"/>
  <c r="O10" i="1"/>
  <c r="N10" i="1"/>
  <c r="M10" i="1"/>
  <c r="L10" i="1"/>
  <c r="AG9" i="1"/>
  <c r="AH9" i="1" s="1"/>
  <c r="AE9" i="1"/>
  <c r="AF9" i="1" s="1"/>
  <c r="AB9" i="1"/>
  <c r="AC9" i="1" s="1"/>
  <c r="Z9" i="1"/>
  <c r="AA9" i="1" s="1"/>
  <c r="V9" i="1"/>
  <c r="U9" i="1"/>
  <c r="T9" i="1"/>
  <c r="S9" i="1"/>
  <c r="R9" i="1"/>
  <c r="P9" i="1"/>
  <c r="O9" i="1"/>
  <c r="N9" i="1"/>
  <c r="M9" i="1"/>
  <c r="L9" i="1"/>
  <c r="AG8" i="1"/>
  <c r="AH8" i="1" s="1"/>
  <c r="AE8" i="1"/>
  <c r="AF8" i="1" s="1"/>
  <c r="AB8" i="1"/>
  <c r="AC8" i="1" s="1"/>
  <c r="Z8" i="1"/>
  <c r="AA8" i="1" s="1"/>
  <c r="V8" i="1"/>
  <c r="W8" i="1" s="1"/>
  <c r="U8" i="1"/>
  <c r="T8" i="1"/>
  <c r="S8" i="1"/>
  <c r="R8" i="1"/>
  <c r="P8" i="1"/>
  <c r="O8" i="1"/>
  <c r="N8" i="1"/>
  <c r="M8" i="1"/>
  <c r="L8" i="1"/>
  <c r="AG7" i="1"/>
  <c r="AH7" i="1" s="1"/>
  <c r="AE7" i="1"/>
  <c r="AF7" i="1" s="1"/>
  <c r="AB7" i="1"/>
  <c r="AC7" i="1" s="1"/>
  <c r="Z7" i="1"/>
  <c r="AA7" i="1" s="1"/>
  <c r="V7" i="1"/>
  <c r="U7" i="1"/>
  <c r="T7" i="1"/>
  <c r="S7" i="1"/>
  <c r="R7" i="1"/>
  <c r="P7" i="1"/>
  <c r="O7" i="1"/>
  <c r="N7" i="1"/>
  <c r="M7" i="1"/>
  <c r="L7" i="1"/>
  <c r="AG6" i="1"/>
  <c r="AH6" i="1" s="1"/>
  <c r="AE6" i="1"/>
  <c r="AF6" i="1" s="1"/>
  <c r="AB6" i="1"/>
  <c r="AC6" i="1" s="1"/>
  <c r="Z6" i="1"/>
  <c r="AA6" i="1" s="1"/>
  <c r="V6" i="1"/>
  <c r="U6" i="1"/>
  <c r="T6" i="1"/>
  <c r="S6" i="1"/>
  <c r="R6" i="1"/>
  <c r="P6" i="1"/>
  <c r="O6" i="1"/>
  <c r="N6" i="1"/>
  <c r="M6" i="1"/>
  <c r="L6" i="1"/>
  <c r="AG5" i="1"/>
  <c r="AH5" i="1" s="1"/>
  <c r="AE5" i="1"/>
  <c r="AF5" i="1" s="1"/>
  <c r="AB5" i="1"/>
  <c r="AC5" i="1" s="1"/>
  <c r="Z5" i="1"/>
  <c r="AA5" i="1" s="1"/>
  <c r="T5" i="1"/>
  <c r="S5" i="1"/>
  <c r="W5" i="1" s="1"/>
  <c r="R5" i="1"/>
  <c r="N5" i="1"/>
  <c r="M5" i="1"/>
  <c r="Q5" i="1" s="1"/>
  <c r="L5" i="1"/>
  <c r="AG4" i="1"/>
  <c r="AH4" i="1" s="1"/>
  <c r="AE4" i="1"/>
  <c r="AF4" i="1" s="1"/>
  <c r="AB4" i="1"/>
  <c r="AC4" i="1" s="1"/>
  <c r="Z4" i="1"/>
  <c r="AA4" i="1" s="1"/>
  <c r="V4" i="1"/>
  <c r="U4" i="1"/>
  <c r="T4" i="1"/>
  <c r="S4" i="1"/>
  <c r="R4" i="1"/>
  <c r="P4" i="1"/>
  <c r="O4" i="1"/>
  <c r="N4" i="1"/>
  <c r="M4" i="1"/>
  <c r="L4" i="1"/>
  <c r="AG3" i="1"/>
  <c r="AH3" i="1" s="1"/>
  <c r="AE3" i="1"/>
  <c r="AF3" i="1" s="1"/>
  <c r="AB3" i="1"/>
  <c r="AC3" i="1" s="1"/>
  <c r="Z3" i="1"/>
  <c r="AA3" i="1" s="1"/>
  <c r="V3" i="1"/>
  <c r="U3" i="1"/>
  <c r="T3" i="1"/>
  <c r="S3" i="1"/>
  <c r="R3" i="1"/>
  <c r="P3" i="1"/>
  <c r="Q3" i="1" s="1"/>
  <c r="O3" i="1"/>
  <c r="N3" i="1"/>
  <c r="M3" i="1"/>
  <c r="L3" i="1"/>
  <c r="W10" i="1" l="1"/>
  <c r="W16" i="1"/>
  <c r="W22" i="1"/>
  <c r="Q41" i="1"/>
  <c r="W63" i="1"/>
  <c r="Q65" i="1"/>
  <c r="Q106" i="1"/>
  <c r="W120" i="1"/>
  <c r="W135" i="1"/>
  <c r="W139" i="1"/>
  <c r="Q145" i="1"/>
  <c r="Q149" i="1"/>
  <c r="Q270" i="1"/>
  <c r="W274" i="1"/>
  <c r="W282" i="1"/>
  <c r="W288" i="1"/>
  <c r="W294" i="1"/>
  <c r="W15" i="1"/>
  <c r="Q51" i="1"/>
  <c r="W54" i="1"/>
  <c r="Q83" i="1"/>
  <c r="W109" i="1"/>
  <c r="Q111" i="1"/>
  <c r="Q259" i="1"/>
  <c r="Q269" i="1"/>
  <c r="Q56" i="1"/>
  <c r="W305" i="1"/>
  <c r="W311" i="1"/>
  <c r="W317" i="1"/>
  <c r="W132" i="1"/>
  <c r="W272" i="1"/>
  <c r="W322" i="1"/>
  <c r="W334" i="1"/>
  <c r="W79" i="1"/>
  <c r="Q94" i="1"/>
  <c r="W97" i="1"/>
  <c r="Q103" i="1"/>
  <c r="W7" i="1"/>
  <c r="W13" i="1"/>
  <c r="W19" i="1"/>
  <c r="W24" i="1"/>
  <c r="W33" i="1"/>
  <c r="Q43" i="1"/>
  <c r="Q48" i="1"/>
  <c r="W51" i="1"/>
  <c r="Q53" i="1"/>
  <c r="Q72" i="1"/>
  <c r="W75" i="1"/>
  <c r="Q22" i="1"/>
  <c r="Q90" i="1"/>
  <c r="W128" i="1"/>
  <c r="W157" i="1"/>
  <c r="W20" i="1"/>
  <c r="W25" i="1"/>
  <c r="Q27" i="1"/>
  <c r="W34" i="1"/>
  <c r="W42" i="1"/>
  <c r="W93" i="1"/>
  <c r="Q95" i="1"/>
  <c r="W229" i="1"/>
  <c r="Q234" i="1"/>
  <c r="W296" i="1"/>
  <c r="W332" i="1"/>
  <c r="W21" i="1"/>
  <c r="Q121" i="1"/>
  <c r="W124" i="1"/>
  <c r="Q126" i="1"/>
  <c r="W134" i="1"/>
  <c r="Q273" i="1"/>
  <c r="W289" i="1"/>
  <c r="W295" i="1"/>
  <c r="W9" i="1"/>
  <c r="Q4" i="1"/>
  <c r="W114" i="1"/>
  <c r="W3" i="1"/>
  <c r="Q77" i="1"/>
  <c r="Q88" i="1"/>
  <c r="W94" i="1"/>
  <c r="Q99" i="1"/>
  <c r="W106" i="1"/>
  <c r="Q108" i="1"/>
  <c r="W111" i="1"/>
  <c r="Q118" i="1"/>
  <c r="W121" i="1"/>
  <c r="W125" i="1"/>
  <c r="Q127" i="1"/>
  <c r="W133" i="1"/>
  <c r="Q134" i="1"/>
  <c r="W136" i="1"/>
  <c r="W155" i="1"/>
  <c r="Q175" i="1"/>
  <c r="Q181" i="1"/>
  <c r="Q224" i="1"/>
  <c r="Q268" i="1"/>
  <c r="Q272" i="1"/>
  <c r="Q280" i="1"/>
  <c r="W48" i="1"/>
  <c r="Q58" i="1"/>
  <c r="W60" i="1"/>
  <c r="Q66" i="1"/>
  <c r="Q70" i="1"/>
  <c r="W72" i="1"/>
  <c r="Q123" i="1"/>
  <c r="Q131" i="1"/>
  <c r="W152" i="1"/>
  <c r="W170" i="1"/>
  <c r="W176" i="1"/>
  <c r="Q7" i="1"/>
  <c r="W17" i="1"/>
  <c r="Q24" i="1"/>
  <c r="W26" i="1"/>
  <c r="W40" i="1"/>
  <c r="Q46" i="1"/>
  <c r="W4" i="1"/>
  <c r="Q8" i="1"/>
  <c r="Q14" i="1"/>
  <c r="Q20" i="1"/>
  <c r="Q42" i="1"/>
  <c r="Q54" i="1"/>
  <c r="W76" i="1"/>
  <c r="Q96" i="1"/>
  <c r="W117" i="1"/>
  <c r="W126" i="1"/>
  <c r="W130" i="1"/>
  <c r="Q138" i="1"/>
  <c r="Q141" i="1"/>
  <c r="Q147" i="1"/>
  <c r="W158" i="1"/>
  <c r="Q174" i="1"/>
  <c r="Q180" i="1"/>
  <c r="W245" i="1"/>
  <c r="Q264" i="1"/>
  <c r="W269" i="1"/>
  <c r="Q277" i="1"/>
  <c r="Q19" i="1"/>
  <c r="W37" i="1"/>
  <c r="Q33" i="1"/>
  <c r="W6" i="1"/>
  <c r="W12" i="1"/>
  <c r="W18" i="1"/>
  <c r="W23" i="1"/>
  <c r="Q36" i="1"/>
  <c r="Q50" i="1"/>
  <c r="Q62" i="1"/>
  <c r="W69" i="1"/>
  <c r="Q78" i="1"/>
  <c r="Q82" i="1"/>
  <c r="W84" i="1"/>
  <c r="Q89" i="1"/>
  <c r="W91" i="1"/>
  <c r="Q100" i="1"/>
  <c r="Q109" i="1"/>
  <c r="W112" i="1"/>
  <c r="Q114" i="1"/>
  <c r="Q124" i="1"/>
  <c r="Q128" i="1"/>
  <c r="W143" i="1"/>
  <c r="W146" i="1"/>
  <c r="Q154" i="1"/>
  <c r="W224" i="1"/>
  <c r="Q239" i="1"/>
  <c r="W244" i="1"/>
  <c r="Q260" i="1"/>
  <c r="W268" i="1"/>
  <c r="Q13" i="1"/>
  <c r="Q15" i="1"/>
  <c r="Q21" i="1"/>
  <c r="W27" i="1"/>
  <c r="W30" i="1"/>
  <c r="W45" i="1"/>
  <c r="Q47" i="1"/>
  <c r="W57" i="1"/>
  <c r="Q59" i="1"/>
  <c r="W73" i="1"/>
  <c r="W103" i="1"/>
  <c r="Q105" i="1"/>
  <c r="Q132" i="1"/>
  <c r="Q135" i="1"/>
  <c r="W137" i="1"/>
  <c r="W140" i="1"/>
  <c r="W156" i="1"/>
  <c r="Q160" i="1"/>
  <c r="Q173" i="1"/>
  <c r="Q179" i="1"/>
  <c r="Q296" i="1"/>
  <c r="Q332" i="1"/>
  <c r="Q12" i="1"/>
  <c r="Q63" i="1"/>
  <c r="Q71" i="1"/>
  <c r="W81" i="1"/>
  <c r="W88" i="1"/>
  <c r="Q115" i="1"/>
  <c r="W118" i="1"/>
  <c r="Q120" i="1"/>
  <c r="W123" i="1"/>
  <c r="W127" i="1"/>
  <c r="W174" i="1"/>
  <c r="W180" i="1"/>
  <c r="W239" i="1"/>
  <c r="Q252" i="1"/>
  <c r="W265" i="1"/>
  <c r="W291" i="1"/>
  <c r="W11" i="1"/>
  <c r="Q9" i="1"/>
  <c r="Q10" i="1"/>
  <c r="Q16" i="1"/>
  <c r="W70" i="1"/>
  <c r="Q129" i="1"/>
  <c r="W131" i="1"/>
  <c r="W138" i="1"/>
  <c r="W141" i="1"/>
  <c r="Q172" i="1"/>
  <c r="Q178" i="1"/>
  <c r="W260" i="1"/>
  <c r="W263" i="1"/>
  <c r="W277" i="1"/>
  <c r="Q319" i="1"/>
  <c r="Q337" i="1"/>
  <c r="W259" i="1"/>
  <c r="W278" i="1"/>
  <c r="W290" i="1"/>
  <c r="Q171" i="1"/>
  <c r="Q177" i="1"/>
  <c r="Q250" i="1"/>
  <c r="W256" i="1"/>
  <c r="W172" i="1"/>
  <c r="W178" i="1"/>
  <c r="W307" i="1"/>
  <c r="W319" i="1"/>
  <c r="W325" i="1"/>
  <c r="W337" i="1"/>
  <c r="Q287" i="1"/>
  <c r="Q6" i="1"/>
  <c r="W171" i="1"/>
  <c r="W177" i="1"/>
  <c r="W201" i="1"/>
  <c r="Q228" i="1"/>
  <c r="Q245" i="1"/>
  <c r="Q246" i="1"/>
  <c r="W306" i="1"/>
  <c r="W312" i="1"/>
  <c r="W318" i="1"/>
  <c r="W41" i="1"/>
  <c r="W43" i="1"/>
  <c r="W47" i="1"/>
  <c r="W49" i="1"/>
  <c r="W53" i="1"/>
  <c r="W55" i="1"/>
  <c r="W59" i="1"/>
  <c r="W61" i="1"/>
  <c r="W65" i="1"/>
  <c r="W77" i="1"/>
  <c r="W89" i="1"/>
  <c r="W38" i="1"/>
  <c r="Q69" i="1"/>
  <c r="Q81" i="1"/>
  <c r="Q93" i="1"/>
  <c r="Q153" i="1"/>
  <c r="W68" i="1"/>
  <c r="W80" i="1"/>
  <c r="W92" i="1"/>
  <c r="Q151" i="1"/>
  <c r="W144" i="1"/>
  <c r="W150" i="1"/>
  <c r="W44" i="1"/>
  <c r="W46" i="1"/>
  <c r="W50" i="1"/>
  <c r="W52" i="1"/>
  <c r="W56" i="1"/>
  <c r="W58" i="1"/>
  <c r="W62" i="1"/>
  <c r="W64" i="1"/>
  <c r="W71" i="1"/>
  <c r="W83" i="1"/>
  <c r="W95" i="1"/>
  <c r="Q75" i="1"/>
  <c r="Q87" i="1"/>
  <c r="W74" i="1"/>
  <c r="W86" i="1"/>
  <c r="W98" i="1"/>
  <c r="W101" i="1"/>
  <c r="W104" i="1"/>
  <c r="W107" i="1"/>
  <c r="W110" i="1"/>
  <c r="W113" i="1"/>
  <c r="W116" i="1"/>
  <c r="W119" i="1"/>
  <c r="W122" i="1"/>
  <c r="W162" i="1"/>
  <c r="Q201" i="1"/>
  <c r="W160" i="1"/>
  <c r="W147" i="1"/>
  <c r="W149" i="1"/>
  <c r="W153" i="1"/>
  <c r="W163" i="1"/>
  <c r="W161" i="1"/>
  <c r="W159" i="1"/>
  <c r="Q229" i="1"/>
  <c r="Q256" i="1"/>
  <c r="W228" i="1"/>
  <c r="W246" i="1"/>
  <c r="W255" i="1"/>
  <c r="Q281" i="1"/>
  <c r="Q244" i="1"/>
  <c r="W225" i="1"/>
  <c r="W234" i="1"/>
  <c r="W252" i="1"/>
  <c r="Q263" i="1"/>
  <c r="Q265" i="1"/>
  <c r="W264" i="1"/>
  <c r="W273" i="1"/>
  <c r="Q282" i="1"/>
  <c r="Q288" i="1"/>
  <c r="Q294" i="1"/>
  <c r="Q306" i="1"/>
  <c r="Q312" i="1"/>
  <c r="Q318" i="1"/>
  <c r="W283" i="1"/>
  <c r="Q305" i="1"/>
  <c r="Q311" i="1"/>
  <c r="Q317" i="1"/>
  <c r="W270" i="1"/>
  <c r="Q316" i="1"/>
  <c r="Q322" i="1"/>
  <c r="Q334" i="1"/>
  <c r="W281" i="1"/>
  <c r="Q279" i="1"/>
  <c r="Q285" i="1"/>
  <c r="Q291" i="1"/>
  <c r="Q315" i="1"/>
  <c r="Q321" i="1"/>
  <c r="W280" i="1"/>
  <c r="Q290" i="1"/>
  <c r="W279" i="1"/>
  <c r="W285" i="1"/>
  <c r="Q283" i="1"/>
  <c r="Q289" i="1"/>
  <c r="Q295" i="1"/>
  <c r="Q307" i="1"/>
  <c r="Q325" i="1"/>
  <c r="Q341" i="1"/>
</calcChain>
</file>

<file path=xl/sharedStrings.xml><?xml version="1.0" encoding="utf-8"?>
<sst xmlns="http://schemas.openxmlformats.org/spreadsheetml/2006/main" count="31559" uniqueCount="986">
  <si>
    <t>Proyección Marzo 2023</t>
  </si>
  <si>
    <t>Proyección Abril 2023</t>
  </si>
  <si>
    <t>Proyección Mayo 2023</t>
  </si>
  <si>
    <t>Sector</t>
  </si>
  <si>
    <t>Canal de Distribución</t>
  </si>
  <si>
    <t>Llave</t>
  </si>
  <si>
    <t>Oficina</t>
  </si>
  <si>
    <t>Material</t>
  </si>
  <si>
    <t>Descripción</t>
  </si>
  <si>
    <t>Nivel 2</t>
  </si>
  <si>
    <t>Venta Actual</t>
  </si>
  <si>
    <t>Plan total KG</t>
  </si>
  <si>
    <t>RV Final Producción [KG]</t>
  </si>
  <si>
    <t>RV Final Venta [KG]</t>
  </si>
  <si>
    <t>Plan - Prod. actual</t>
  </si>
  <si>
    <t>ETA Pesimista</t>
  </si>
  <si>
    <t>Puerto Chile Pes.</t>
  </si>
  <si>
    <t>Puerto Oficina</t>
  </si>
  <si>
    <t>Almacen oficina</t>
  </si>
  <si>
    <t>Proy. Pesimista</t>
  </si>
  <si>
    <t>ETA Optimista</t>
  </si>
  <si>
    <t>Puerto Chile Opt.</t>
  </si>
  <si>
    <t>Proy. Optimista</t>
  </si>
  <si>
    <t>RV Produccion</t>
  </si>
  <si>
    <t>RV Venta</t>
  </si>
  <si>
    <t>ETA Pesimista N+1</t>
  </si>
  <si>
    <t>Proy. Pesimista Abril</t>
  </si>
  <si>
    <t>ETA Optimista N+1</t>
  </si>
  <si>
    <t>Proy. Optimista Abril</t>
  </si>
  <si>
    <t>Asignación de venta</t>
  </si>
  <si>
    <t>ETA Pesimista N+2</t>
  </si>
  <si>
    <t>Proy. Pesimista Mayo</t>
  </si>
  <si>
    <t>ETA Optimista N+2</t>
  </si>
  <si>
    <t>Proy. Optimista Mayo</t>
  </si>
  <si>
    <t>Cerdo</t>
  </si>
  <si>
    <t>Venta Local</t>
  </si>
  <si>
    <t>andes asia1022751</t>
  </si>
  <si>
    <t>Andes Asia</t>
  </si>
  <si>
    <t>GO PpPal 1P Ex@ Cj 14k AS</t>
  </si>
  <si>
    <t>Paleta</t>
  </si>
  <si>
    <t>Se suma los pedidos de puerto oficina</t>
  </si>
  <si>
    <t>andes asia1022864</t>
  </si>
  <si>
    <t>GO Lom Vet L@ Cj 11k AS</t>
  </si>
  <si>
    <t>Lomo</t>
  </si>
  <si>
    <t>Se suma los pedidos que llegan este mes de agua</t>
  </si>
  <si>
    <t>agrosuper shanghai1022073</t>
  </si>
  <si>
    <t>Agrosuper Shanghai</t>
  </si>
  <si>
    <t>GO Mantec@ Cj 20k AS</t>
  </si>
  <si>
    <t>Grasas</t>
  </si>
  <si>
    <t>SI</t>
  </si>
  <si>
    <t>Pavo</t>
  </si>
  <si>
    <t>agro america1030745</t>
  </si>
  <si>
    <t>Agro America</t>
  </si>
  <si>
    <t>PV Higad 40Lb@ Bo Cj 18k SO</t>
  </si>
  <si>
    <t>Menudencias</t>
  </si>
  <si>
    <t>Mes 3</t>
  </si>
  <si>
    <t>Pollo</t>
  </si>
  <si>
    <t>agro america1012108</t>
  </si>
  <si>
    <t>PO PchDeh 5oz Mr@ Cj AS</t>
  </si>
  <si>
    <t>Pechuga Desh</t>
  </si>
  <si>
    <t>Mes 4</t>
  </si>
  <si>
    <t>agro america1012165</t>
  </si>
  <si>
    <t>PO Tru-Ctro Ala 4x10 Mr@ Zi Cj AS</t>
  </si>
  <si>
    <t>Ala</t>
  </si>
  <si>
    <t>Mes 5</t>
  </si>
  <si>
    <t>agro america1012518</t>
  </si>
  <si>
    <t>PO File s/t  RC´S 8x5@ Cj AS</t>
  </si>
  <si>
    <t>Filete</t>
  </si>
  <si>
    <t>agro america1012109</t>
  </si>
  <si>
    <t>PO PchDeh 6oz Mr@ Cj AS</t>
  </si>
  <si>
    <t>agro america1012167</t>
  </si>
  <si>
    <t>PO PchDeh 4x10 Mr@ Zi Cj 20k AS</t>
  </si>
  <si>
    <t>agro america1012160</t>
  </si>
  <si>
    <t>PO PchDeh 8x5 Mr@ Fi Cj AS</t>
  </si>
  <si>
    <t>agro america1020828</t>
  </si>
  <si>
    <t>GO BB Ribs 20-24 Oz@ Cj 10k AS</t>
  </si>
  <si>
    <t>Chuleta</t>
  </si>
  <si>
    <t>agro america1030452</t>
  </si>
  <si>
    <t>PV Pech USA 10 - 12 LB@ Bo Hor Cj 11k SO</t>
  </si>
  <si>
    <t>Pech Desh</t>
  </si>
  <si>
    <t>agro america1030782</t>
  </si>
  <si>
    <t>PV Pech USA 12-15 LB @BO Hor Cj 15k AS</t>
  </si>
  <si>
    <t>agro america1011701</t>
  </si>
  <si>
    <t>PO PchDeh NMr@ Cj 20k AS</t>
  </si>
  <si>
    <t>agro america1012145</t>
  </si>
  <si>
    <t>PO PchDeh S/p/g/f &lt;140@ Fi Cj 20k AS</t>
  </si>
  <si>
    <t>agro america1012158</t>
  </si>
  <si>
    <t>PO File s/t 8x5 Mr@ Fi Cj AS</t>
  </si>
  <si>
    <t>agro america1012159</t>
  </si>
  <si>
    <t>PO Tru Ctro Ala 60-80 8x5 Mr@ Fi Cj AS</t>
  </si>
  <si>
    <t>agro america1012483</t>
  </si>
  <si>
    <t>PO Tru-Ctro Ala 4x10 Mr@ Cj AS</t>
  </si>
  <si>
    <t>agro america1023050</t>
  </si>
  <si>
    <t>GO Lom Centro@ Cj 16k AS</t>
  </si>
  <si>
    <t>agro america1023276</t>
  </si>
  <si>
    <t>GO Rosada@ Va Cj 20k</t>
  </si>
  <si>
    <t>Pierna</t>
  </si>
  <si>
    <t>agro america1030379</t>
  </si>
  <si>
    <t>PV PchDeh S/p@ Bo Cj 20k SO</t>
  </si>
  <si>
    <t>agro america1012157</t>
  </si>
  <si>
    <t>PO Tru Ala 8x5@ Fi Cj AS</t>
  </si>
  <si>
    <t>agro america1012161</t>
  </si>
  <si>
    <t>PO Ala Ctro 8x5 Mr@ Cj 20k AS</t>
  </si>
  <si>
    <t>Elaborado</t>
  </si>
  <si>
    <t>agro america1100570</t>
  </si>
  <si>
    <t>Figuritas Pollo@ Bo 18x1.5 Lb Cj AS</t>
  </si>
  <si>
    <t>Empanizado</t>
  </si>
  <si>
    <t>agro america1100602</t>
  </si>
  <si>
    <t>File Pollo PR@ Bo 18x1.5 Lb Cj AS</t>
  </si>
  <si>
    <t>agro america1012110</t>
  </si>
  <si>
    <t>PO PchDeh 7oz Mr@ Cj AS</t>
  </si>
  <si>
    <t>agro america1012148</t>
  </si>
  <si>
    <t>PO Tru-Ctro Ala 60-80 Mr@ Fi Cj 20k AS</t>
  </si>
  <si>
    <t>agro america1012520</t>
  </si>
  <si>
    <t>agro america1012521</t>
  </si>
  <si>
    <t>agro america1012522</t>
  </si>
  <si>
    <t>agro america1012523</t>
  </si>
  <si>
    <t>PO PchDeh 8oz Mr@ Cj AS</t>
  </si>
  <si>
    <t>agro america1021398</t>
  </si>
  <si>
    <t>GO File C/cab@ Cj 5k AS</t>
  </si>
  <si>
    <t>agro america1022883</t>
  </si>
  <si>
    <t>GO BB Ribs 640g@ Cj 16k AS</t>
  </si>
  <si>
    <t>agro america1023175</t>
  </si>
  <si>
    <t>GO Pp Pna USA@ Cj Muestra SAG</t>
  </si>
  <si>
    <t>Muestra</t>
  </si>
  <si>
    <t>andes asia1021952</t>
  </si>
  <si>
    <t>andes asia1022141</t>
  </si>
  <si>
    <t>GO Posta Negra D@ Cj AS</t>
  </si>
  <si>
    <t>agro america1030461</t>
  </si>
  <si>
    <t>PV Pech USA 8 - 10 LB@ Bo Hor Cj 11k SO</t>
  </si>
  <si>
    <t>agro america1030783</t>
  </si>
  <si>
    <t>PV Pch MA 8% 18-20 Lb@ Bo Cj 20k AS</t>
  </si>
  <si>
    <t>Pech</t>
  </si>
  <si>
    <t>agro america1030818</t>
  </si>
  <si>
    <t>PV Fil C/ten MA NMr@ Cj 40 Lb AS</t>
  </si>
  <si>
    <t>agro america1100573</t>
  </si>
  <si>
    <t>Croq Pollo 80g@Bo 18x1,5 Lb Cj AS</t>
  </si>
  <si>
    <t>agro america1012111</t>
  </si>
  <si>
    <t>agro america1012112</t>
  </si>
  <si>
    <t>PO PchDeh 9oz Mr@ Cj AS</t>
  </si>
  <si>
    <t>agro america1012163</t>
  </si>
  <si>
    <t>PO File s/t 4x10 Mr@ Zi Cj 20k AS</t>
  </si>
  <si>
    <t>agro america1012164</t>
  </si>
  <si>
    <t>PO Ala Ctro 4x10 Mr@ Zi Cj 20k AS</t>
  </si>
  <si>
    <t>agro america1012524</t>
  </si>
  <si>
    <t>agro america1012579</t>
  </si>
  <si>
    <t>PO PchDeh 4x10 Mr@ MQNI Fi Cj AS</t>
  </si>
  <si>
    <t>agro america1012597</t>
  </si>
  <si>
    <t>PO Tru-Ctro Ala 4x10 Mr@ MAQ Fi Cj AS</t>
  </si>
  <si>
    <t>agro mexico1011150</t>
  </si>
  <si>
    <t>Agro Mexico</t>
  </si>
  <si>
    <t>PO Tru-Ctro Ala Mex@ Cj 9k AS</t>
  </si>
  <si>
    <t>agro mexico1011151</t>
  </si>
  <si>
    <t>PO File Mex@ Cj 9k AS</t>
  </si>
  <si>
    <t>agro mexico1012725</t>
  </si>
  <si>
    <t>PO File s/t 8x5 Mr@ Cj AS</t>
  </si>
  <si>
    <t>agrosuper shanghai1012451</t>
  </si>
  <si>
    <t>PO Ala Media@ Cj 15k AS</t>
  </si>
  <si>
    <t>agro america1022619</t>
  </si>
  <si>
    <t>GO Malaya 5-6mm@ Vp Cj AS</t>
  </si>
  <si>
    <t>Prolijado</t>
  </si>
  <si>
    <t>agro america1023274</t>
  </si>
  <si>
    <t>GO Ganso S/g S/abst @ Va Cj 12k</t>
  </si>
  <si>
    <t>agro america1023410</t>
  </si>
  <si>
    <t>GO File C/cab 1KG@ Cj k AS</t>
  </si>
  <si>
    <t>agrosuper shanghai1022183</t>
  </si>
  <si>
    <t>GO PernilP@ Bo Cj 20k AS</t>
  </si>
  <si>
    <t>Pernil</t>
  </si>
  <si>
    <t>agrosuper shanghai1022193</t>
  </si>
  <si>
    <t>GO Lom Vet 44@ Bo Cj 20k AS</t>
  </si>
  <si>
    <t>agrosuper shanghai1022388</t>
  </si>
  <si>
    <t>GO Mixto Hso@ Bo Cj 10k AS</t>
  </si>
  <si>
    <t>Huesos</t>
  </si>
  <si>
    <t>agrosuper shanghai1022417</t>
  </si>
  <si>
    <t>GO Cue granel@ Bo Cj 20k AS</t>
  </si>
  <si>
    <t>Cueros</t>
  </si>
  <si>
    <t>agrosuper shanghai1022646</t>
  </si>
  <si>
    <t>GO Pecho Belly S/p@ Vp Cj AS</t>
  </si>
  <si>
    <t>Panceta</t>
  </si>
  <si>
    <t>agrosuper shanghai1023093</t>
  </si>
  <si>
    <t>GO Cordon Lom@ Bo Cj 20k AS</t>
  </si>
  <si>
    <t>Recortes</t>
  </si>
  <si>
    <t>agrosuper shanghai1023143</t>
  </si>
  <si>
    <t>GO Platead@ Fi Cj 20k AS</t>
  </si>
  <si>
    <t>andes asia1021921</t>
  </si>
  <si>
    <t>GO Lom Tecla@ Cj 18k AS</t>
  </si>
  <si>
    <t>andes asia1021922</t>
  </si>
  <si>
    <t>andes asia1021924</t>
  </si>
  <si>
    <t>GO MM Loin L@ Cj 15k AS</t>
  </si>
  <si>
    <t>andes asia1021931</t>
  </si>
  <si>
    <t>GO Pta Cos 3h@ Bo Cj 10k AS</t>
  </si>
  <si>
    <t>Cost-Pec</t>
  </si>
  <si>
    <t>andes asia1021944</t>
  </si>
  <si>
    <t>GO Diafrag@ Va Cj 8k AS</t>
  </si>
  <si>
    <t>andes asia1021945</t>
  </si>
  <si>
    <t>GO Lengua Japon@ Cj 10k AS</t>
  </si>
  <si>
    <t>Cabeza</t>
  </si>
  <si>
    <t>andes asia1022515</t>
  </si>
  <si>
    <t>GO Panc Tec C/cue@ Fi Cj Panc AS</t>
  </si>
  <si>
    <t>andes asia1022621</t>
  </si>
  <si>
    <t>GO Panc S/tec N @ Fi Cj AS</t>
  </si>
  <si>
    <t>andes asia1022863</t>
  </si>
  <si>
    <t>GO Lom Vet M@ Cj 9k AS</t>
  </si>
  <si>
    <t>andes asia1022866</t>
  </si>
  <si>
    <t>GO Pan Tec S/cuero L@ Cj 19k AS</t>
  </si>
  <si>
    <t>agro america1030228</t>
  </si>
  <si>
    <t>PV TruDeh Cort S/p@ Bo Cj  SO</t>
  </si>
  <si>
    <t>Trutro Desh</t>
  </si>
  <si>
    <t>agro america1030239</t>
  </si>
  <si>
    <t>PV Ctro Pta Ala 30 Lb@ Bo Cj SO</t>
  </si>
  <si>
    <t>agro america1030773</t>
  </si>
  <si>
    <t>PV Pch Filete 1 kg @Bo CJ 14Kg AS</t>
  </si>
  <si>
    <t>agrosuper shanghai1030791</t>
  </si>
  <si>
    <t>PV MA Tru Lar@ Bo Cj 15k AS</t>
  </si>
  <si>
    <t>Trutro</t>
  </si>
  <si>
    <t>agro america1012107</t>
  </si>
  <si>
    <t>PO PchDeh 4oz Mr@ Cj AS</t>
  </si>
  <si>
    <t>agro america1012147</t>
  </si>
  <si>
    <t>PO File s/t Mr@ Fi Cj 17k AS</t>
  </si>
  <si>
    <t>agro america1012400</t>
  </si>
  <si>
    <t>PO File s/t 700g Mr@ Cj AS</t>
  </si>
  <si>
    <t>agro america1012519</t>
  </si>
  <si>
    <t>agro america1012806</t>
  </si>
  <si>
    <t>PO TruCrtoDeh s/p Mr@ Cj 20k AS</t>
  </si>
  <si>
    <t>Trutro Deshuesado</t>
  </si>
  <si>
    <t>agro europa1011748</t>
  </si>
  <si>
    <t>Agro Europa</t>
  </si>
  <si>
    <t>PO PchDeh &gt;170 NMr@ Cj 10k AS</t>
  </si>
  <si>
    <t>agro mexico1011127</t>
  </si>
  <si>
    <t>PO PchDeh Random Mr Mex@ Cj 10k AS</t>
  </si>
  <si>
    <t>agro mexico1012278</t>
  </si>
  <si>
    <t>PO Tru Ala Mex@ Cj 9k AS</t>
  </si>
  <si>
    <t>agro mexico1012534</t>
  </si>
  <si>
    <t>PO Pech c/h c/p Blo@ Cj 20k AS</t>
  </si>
  <si>
    <t>Pechuga</t>
  </si>
  <si>
    <t>agrosuper shanghai1012218</t>
  </si>
  <si>
    <t>PO Ala Media 1k@ Cj 20k AS</t>
  </si>
  <si>
    <t>agrosuper shanghai1012275</t>
  </si>
  <si>
    <t>PO Tru Ala 4x10 NMr@ Bo Cj 20k AS</t>
  </si>
  <si>
    <t>agrosuper shanghai1012434</t>
  </si>
  <si>
    <t>PO Pta Ala@ Cj 20k AS</t>
  </si>
  <si>
    <t>agrosuper shanghai1012453</t>
  </si>
  <si>
    <t>PO Ala Media IQF@ Cj 18k AS</t>
  </si>
  <si>
    <t>agrosuper shanghai1012525</t>
  </si>
  <si>
    <t>PO Garra J@ Bo Cj 20k AS</t>
  </si>
  <si>
    <t>Patas</t>
  </si>
  <si>
    <t>agrosuper shanghai1012526</t>
  </si>
  <si>
    <t>PO Garra L A@ Bo Cj 20k AS</t>
  </si>
  <si>
    <t>agrosuper shanghai1012595</t>
  </si>
  <si>
    <t>PO PchDeh@ Bo 16x1k Cj AS</t>
  </si>
  <si>
    <t>agrosuper shanghai1012622</t>
  </si>
  <si>
    <t>PO TruEnt Deh Tf@MUESTRA SAG</t>
  </si>
  <si>
    <t>andes asia1012326</t>
  </si>
  <si>
    <t>PO Corazon@Bo 12k Cj AS</t>
  </si>
  <si>
    <t>agro america1020822</t>
  </si>
  <si>
    <t>GO Resto Tira Hso@ Cj 20k AS</t>
  </si>
  <si>
    <t>agro america1021538</t>
  </si>
  <si>
    <t>agro america1023190</t>
  </si>
  <si>
    <t>GO Pana s/Corazon@ Bo Cj 20k AS</t>
  </si>
  <si>
    <t>Subprod</t>
  </si>
  <si>
    <t>agro america1023273</t>
  </si>
  <si>
    <t>GO Posta Negra@ Va Cj 20k</t>
  </si>
  <si>
    <t>agro europa1020853</t>
  </si>
  <si>
    <t>agro mexico1021272</t>
  </si>
  <si>
    <t>GO Pna Forro@ Bo Cj 20k AS</t>
  </si>
  <si>
    <t>agro mexico1023218</t>
  </si>
  <si>
    <t>GO Estomago Pouch@ 20k AS</t>
  </si>
  <si>
    <t>agro mexico1023219</t>
  </si>
  <si>
    <t>agro mexico1023302</t>
  </si>
  <si>
    <t>agro mexico1023324</t>
  </si>
  <si>
    <t>GO PpPna 59@ Cj 20k AS</t>
  </si>
  <si>
    <t>agro mexico1023421</t>
  </si>
  <si>
    <t>GO Cos 79@ Bo Cj 20k AS</t>
  </si>
  <si>
    <t>agrosuper shanghai1021731</t>
  </si>
  <si>
    <t>GO PernilM@ Cj 20k AS</t>
  </si>
  <si>
    <t>agrosuper shanghai1021732</t>
  </si>
  <si>
    <t>GO Hso femur@ Cj 20k AS</t>
  </si>
  <si>
    <t>agrosuper shanghai1021733</t>
  </si>
  <si>
    <t>agrosuper shanghai1021735</t>
  </si>
  <si>
    <t>GO Patas@ Cj 20k AS</t>
  </si>
  <si>
    <t>agrosuper shanghai1021737</t>
  </si>
  <si>
    <t>GO Manos B@ Cj 20k AS</t>
  </si>
  <si>
    <t>agrosuper shanghai1021738</t>
  </si>
  <si>
    <t>GO Patas B@ Cj 20k AS</t>
  </si>
  <si>
    <t>agrosuper shanghai1021740</t>
  </si>
  <si>
    <t>GO Pana S/Corazón@ Cj 20k AS</t>
  </si>
  <si>
    <t>agrosuper shanghai1021766</t>
  </si>
  <si>
    <t>GO Hso Cogote@ Cj 20k AS</t>
  </si>
  <si>
    <t>agrosuper shanghai1021767</t>
  </si>
  <si>
    <t>GO Tira Hso Ctro@ Cj 20k AS</t>
  </si>
  <si>
    <t>agrosuper shanghai1021992</t>
  </si>
  <si>
    <t>GO Lom Tocino@ Cj 20k AS</t>
  </si>
  <si>
    <t>agrosuper shanghai1022080</t>
  </si>
  <si>
    <t>GO Cola Nor@ Fi Cj 10k AS</t>
  </si>
  <si>
    <t>agrosuper shanghai1022099</t>
  </si>
  <si>
    <t>GO Hso Costilla@ Cj 18k AS</t>
  </si>
  <si>
    <t>agrosuper shanghai1022125</t>
  </si>
  <si>
    <t>GO PernilM C/M@ Cj 20k AS</t>
  </si>
  <si>
    <t>agrosuper shanghai1022169</t>
  </si>
  <si>
    <t>GO Cartilag Lom@ Cj 10k AS</t>
  </si>
  <si>
    <t>agrosuper shanghai1022212</t>
  </si>
  <si>
    <t>GO Cab Ent@ Cj 20k AS</t>
  </si>
  <si>
    <t>agrosuper shanghai1022373</t>
  </si>
  <si>
    <t>GO Reco 60/40 @ Cj 20k AS</t>
  </si>
  <si>
    <t>agrosuper shanghai1022378</t>
  </si>
  <si>
    <t>GO Resto Tira Hso@ Fi Cj 10k AS</t>
  </si>
  <si>
    <t>agrosuper shanghai1022379</t>
  </si>
  <si>
    <t>GO PpPal 77@ Bo Cj AS</t>
  </si>
  <si>
    <t>agrosuper shanghai1022414</t>
  </si>
  <si>
    <t>GO Caz Ent@ Bo Cj 10k AS</t>
  </si>
  <si>
    <t>agrosuper shanghai1022568</t>
  </si>
  <si>
    <t>GO Panc Tecla SCue@ 4 Bo Cj 20kg AS</t>
  </si>
  <si>
    <t>agrosuper shanghai1022636</t>
  </si>
  <si>
    <t>GO Hso Coxal@ Cj 15kg AS</t>
  </si>
  <si>
    <t>agrosuper shanghai1022637</t>
  </si>
  <si>
    <t>GO Hso Escapula@ Cj 15kg AS</t>
  </si>
  <si>
    <t>agrosuper shanghai1022639</t>
  </si>
  <si>
    <t>GO Cab Bca Ent S/L@ Cj 20k AS</t>
  </si>
  <si>
    <t>agrosuper shanghai1022640</t>
  </si>
  <si>
    <t>GO Cab Roj Ent S/L@ Cj 20k AS</t>
  </si>
  <si>
    <t>agrosuper shanghai1022753</t>
  </si>
  <si>
    <t>GO PernilM 1,3 kg up@ Cj 20k AS</t>
  </si>
  <si>
    <t>agrosuper shanghai1022851</t>
  </si>
  <si>
    <t>GO Pal Nor@ Cj 20k AS</t>
  </si>
  <si>
    <t>agrosuper shanghai1022943</t>
  </si>
  <si>
    <t>GO Lom Ctro@ Cj 16k AS</t>
  </si>
  <si>
    <t>agrosuper shanghai1023035</t>
  </si>
  <si>
    <t>GO Belly Strip@ Cj 20k AS</t>
  </si>
  <si>
    <t>agrosuper shanghai1023111</t>
  </si>
  <si>
    <t>GO Grasa Forro Pna Limp@ Bo Cj 20k AS</t>
  </si>
  <si>
    <t>agrosuper shanghai1023306</t>
  </si>
  <si>
    <t>agrosuper shanghai1023411</t>
  </si>
  <si>
    <t>GO  PpPna 54@ Bo Cj AS</t>
  </si>
  <si>
    <t>agrosuper shanghai1023412</t>
  </si>
  <si>
    <t>GO  PpPna 57@ Bo Cj AS</t>
  </si>
  <si>
    <t>andes asia1021929</t>
  </si>
  <si>
    <t>GO Panc Lam 3mm@ Cj 10k AS</t>
  </si>
  <si>
    <t>andes asia1022101</t>
  </si>
  <si>
    <t>GO Lom Tec@ Va Cj 20k AS</t>
  </si>
  <si>
    <t>andes asia1022293</t>
  </si>
  <si>
    <t>GO Malaya Japon@ Vp Fi Cj 5k AS</t>
  </si>
  <si>
    <t>andes asia1022561</t>
  </si>
  <si>
    <t>GO MM Loin LL@ Fi Cj 12k AA</t>
  </si>
  <si>
    <t>andes asia1022865</t>
  </si>
  <si>
    <t>GO Pan Tec S/cuero M@ Cj 17k AS</t>
  </si>
  <si>
    <t>andes asia1023123</t>
  </si>
  <si>
    <t>GO Lom Vet@ Cj 9k AS</t>
  </si>
  <si>
    <t>andes asia1023265</t>
  </si>
  <si>
    <t>GO Pta Cos 2h@ Bo Cj 10k AS</t>
  </si>
  <si>
    <t>agro america1030321</t>
  </si>
  <si>
    <t>PV Pch MA 8% 14-16 Lb@ Bo Cj 20k SO</t>
  </si>
  <si>
    <t>agro america1030360</t>
  </si>
  <si>
    <t>PV Pch MA 15% 14-16 Lb@ Bo Cj 20k SO</t>
  </si>
  <si>
    <t>agro america1030366</t>
  </si>
  <si>
    <t>PV Pch MA 8% 12-14 Lb@ Bo Cj 20k SO</t>
  </si>
  <si>
    <t>agro america1030370</t>
  </si>
  <si>
    <t>PV Triming Pch@ Cj 40 Lbs SO</t>
  </si>
  <si>
    <t>agro america1030376</t>
  </si>
  <si>
    <t>PV Pch MA 8% 16-18 Lb@ Bo Cj 15k SO</t>
  </si>
  <si>
    <t>agro america1030424</t>
  </si>
  <si>
    <t>PV PchDeh Mrps C/piel @ Cj 18k AS</t>
  </si>
  <si>
    <t>agro america1030735</t>
  </si>
  <si>
    <t>PV Cog MA 30Lb@ Bo Cj 15k SO</t>
  </si>
  <si>
    <t>agro america1030784</t>
  </si>
  <si>
    <t>PV Pch MA 15% 16-18 Lb@ Bo Cj 20k AS</t>
  </si>
  <si>
    <t>agro america1030785</t>
  </si>
  <si>
    <t>PV Pch MA 15% 18-20 Lb@ Bo Cj 20k AS</t>
  </si>
  <si>
    <t>agro europa1030265</t>
  </si>
  <si>
    <t>Pv PchDeh S/p@ Jp SO</t>
  </si>
  <si>
    <t>agro mexico1030337</t>
  </si>
  <si>
    <t>PV PchDeh@ Blo Cj 15k SO</t>
  </si>
  <si>
    <t>agro mexico1030658</t>
  </si>
  <si>
    <t>PV TruDeh Cort s/h S/p @ Cj AS</t>
  </si>
  <si>
    <t>agro mexico1030792</t>
  </si>
  <si>
    <t>PV Fil C/ten MA NMr@ Cj 15 kg AS</t>
  </si>
  <si>
    <t>agro mexico1030810</t>
  </si>
  <si>
    <t>PV Tru Lar MA Mr@ LP 15k AS</t>
  </si>
  <si>
    <t>agrosuper shanghai1030525</t>
  </si>
  <si>
    <t>PV Tru Ala@ Ex blo Cj 15k SO</t>
  </si>
  <si>
    <t>agrosuper shanghai1030683</t>
  </si>
  <si>
    <t>PV Tru Larg@ Bo Cj 15k AS</t>
  </si>
  <si>
    <t>agrosuper shanghai1030686</t>
  </si>
  <si>
    <t>PV Cog S/piel MA@ Bo Cj 15k AS</t>
  </si>
  <si>
    <t>agro america1100574</t>
  </si>
  <si>
    <t>Nugg Pollo@ Bo 18x1.5 Lb Cj AS</t>
  </si>
  <si>
    <t>agro europa1030355</t>
  </si>
  <si>
    <t>AGRO EUROPA</t>
  </si>
  <si>
    <t>agro europa1010877</t>
  </si>
  <si>
    <t>agrosuper shanghai1022186</t>
  </si>
  <si>
    <t>AGROSUPER SHANGHAI</t>
  </si>
  <si>
    <t>andes asia1022142</t>
  </si>
  <si>
    <t>ANDES ASIA</t>
  </si>
  <si>
    <t>agrosuper shanghai1022941</t>
  </si>
  <si>
    <t>andes asia1021204</t>
  </si>
  <si>
    <t>Venta Directa</t>
  </si>
  <si>
    <t>agrosuper asia1030535</t>
  </si>
  <si>
    <t>AGROSUPER ASIA</t>
  </si>
  <si>
    <t>agrosuper asia1023038</t>
  </si>
  <si>
    <t>agrosuper asia1021470</t>
  </si>
  <si>
    <t>agrosuper asia1021149</t>
  </si>
  <si>
    <t>agrosuper asia1020861</t>
  </si>
  <si>
    <t>agrosuper asia1022885</t>
  </si>
  <si>
    <t>agrosuper asia1021150</t>
  </si>
  <si>
    <t>agrosuper asia1020860</t>
  </si>
  <si>
    <t>agrosuper asia1022887</t>
  </si>
  <si>
    <t>agrosuper asia1022607</t>
  </si>
  <si>
    <t>agrosuper asia1021152</t>
  </si>
  <si>
    <t>agrosuper asia1023144</t>
  </si>
  <si>
    <t>agro america1030837</t>
  </si>
  <si>
    <t>AGRO AMERICA</t>
  </si>
  <si>
    <t>andes asia1022918</t>
  </si>
  <si>
    <t>andes asia1021936</t>
  </si>
  <si>
    <t>agro america1021140</t>
  </si>
  <si>
    <t>agrosuper shanghai1030685</t>
  </si>
  <si>
    <t>agrosuper shanghai1022291</t>
  </si>
  <si>
    <t>agrosuper shanghai1022033</t>
  </si>
  <si>
    <t>agrosuper shanghai1021739</t>
  </si>
  <si>
    <t>agrosuper shanghai1011969</t>
  </si>
  <si>
    <t>agrosuper shanghai1011967</t>
  </si>
  <si>
    <t>agrosuper shanghai1012452</t>
  </si>
  <si>
    <t>agrosuper shanghai1011586</t>
  </si>
  <si>
    <t>agrosuper shanghai1011417</t>
  </si>
  <si>
    <t>agro mexico1021555</t>
  </si>
  <si>
    <t>AGRO MEXICO</t>
  </si>
  <si>
    <t>agro mexico1021270</t>
  </si>
  <si>
    <t>agro europa1012745</t>
  </si>
  <si>
    <t>agro europa1012730</t>
  </si>
  <si>
    <t>agro europa1012724</t>
  </si>
  <si>
    <t>agro europa1022858</t>
  </si>
  <si>
    <t>agrosuper asia1012612</t>
  </si>
  <si>
    <t>agro america1021260</t>
  </si>
  <si>
    <t>andes asia1022398</t>
  </si>
  <si>
    <t>andes asia1021925</t>
  </si>
  <si>
    <t>andes asia1022975</t>
  </si>
  <si>
    <t>andes asia1022413</t>
  </si>
  <si>
    <t>andes asia1021987</t>
  </si>
  <si>
    <t>andes asia1023269</t>
  </si>
  <si>
    <t>agro america1021539</t>
  </si>
  <si>
    <t>agrosuper shanghai1011968</t>
  </si>
  <si>
    <t>agrosuper shanghai1030566</t>
  </si>
  <si>
    <t>agrosuper shanghai1022096</t>
  </si>
  <si>
    <t>agrosuper shanghai1023034</t>
  </si>
  <si>
    <t>agrosuper shanghai1022945</t>
  </si>
  <si>
    <t>agrosuper shanghai1021774</t>
  </si>
  <si>
    <t>agrosuper shanghai1022748</t>
  </si>
  <si>
    <t>agrosuper shanghai1022541</t>
  </si>
  <si>
    <t>agrosuper shanghai1022856</t>
  </si>
  <si>
    <t>agrosuper shanghai1022381</t>
  </si>
  <si>
    <t>agrosuper shanghai1012503</t>
  </si>
  <si>
    <t>agrosuper shanghai1012681</t>
  </si>
  <si>
    <t>agrosuper shanghai1012455</t>
  </si>
  <si>
    <t>agrosuper shanghai1012448</t>
  </si>
  <si>
    <t>agrosuper asia1021664</t>
  </si>
  <si>
    <t>agrosuper asia1021665</t>
  </si>
  <si>
    <t>agro europa1012432</t>
  </si>
  <si>
    <t>agro europa1030388</t>
  </si>
  <si>
    <t>agrosuper asia1022930</t>
  </si>
  <si>
    <t>africa1010877</t>
  </si>
  <si>
    <t>AFRICA</t>
  </si>
  <si>
    <t>agrosuper shanghai1023373</t>
  </si>
  <si>
    <t>andes asia1022914</t>
  </si>
  <si>
    <t>agro europa1030279</t>
  </si>
  <si>
    <t>andes asia1011948</t>
  </si>
  <si>
    <t>agrosuper asia1023397</t>
  </si>
  <si>
    <t>agro europa1012207</t>
  </si>
  <si>
    <t>andes asia1022767</t>
  </si>
  <si>
    <t>agrosuper shanghai1023109</t>
  </si>
  <si>
    <t>agrosuper shanghai1022932</t>
  </si>
  <si>
    <t>agrosuper asia1023283</t>
  </si>
  <si>
    <t>andes asia1022128</t>
  </si>
  <si>
    <t>agro europa1030635</t>
  </si>
  <si>
    <t>agro europa1030498</t>
  </si>
  <si>
    <t>agro america1100572</t>
  </si>
  <si>
    <t>agrosuper asia1023448</t>
  </si>
  <si>
    <t>agrosuper asia1020904</t>
  </si>
  <si>
    <t>agrosuper asia1023435</t>
  </si>
  <si>
    <t>andes asia1022570</t>
  </si>
  <si>
    <t>agrosuper shanghai1022940</t>
  </si>
  <si>
    <t>andes asia1023247</t>
  </si>
  <si>
    <t>agrosuper asia1023439</t>
  </si>
  <si>
    <t>agro europa1022145</t>
  </si>
  <si>
    <t>agrosuper asia1023326</t>
  </si>
  <si>
    <t>agro mexico1011748</t>
  </si>
  <si>
    <t>agro mexico1023343</t>
  </si>
  <si>
    <t>agro sudamerica1011421</t>
  </si>
  <si>
    <t>AGRO SUDAMERICA</t>
  </si>
  <si>
    <t>agro sudamerica1020412</t>
  </si>
  <si>
    <t>agro mexico1011614</t>
  </si>
  <si>
    <t>agro america1012334</t>
  </si>
  <si>
    <t>agro sudamerica1012556</t>
  </si>
  <si>
    <t>agro sudamerica1023433</t>
  </si>
  <si>
    <t>agro mexico1012764</t>
  </si>
  <si>
    <t>agro mexico1030802</t>
  </si>
  <si>
    <t>agro sudamerica1022709</t>
  </si>
  <si>
    <t>agro sudamerica1020925</t>
  </si>
  <si>
    <t>agro sudamerica1021385</t>
  </si>
  <si>
    <t>agro mexico1020845</t>
  </si>
  <si>
    <t>agro europa1020660</t>
  </si>
  <si>
    <t>agro sudamerica1020944</t>
  </si>
  <si>
    <t>agro sudamerica1021105</t>
  </si>
  <si>
    <t>agro sudamerica1022150</t>
  </si>
  <si>
    <t>andes asia1022791</t>
  </si>
  <si>
    <t>agro sudamerica1010877</t>
  </si>
  <si>
    <t>agro sudamerica1020848</t>
  </si>
  <si>
    <t>agro sudamerica1030817</t>
  </si>
  <si>
    <t>agrosuper shanghai1022939</t>
  </si>
  <si>
    <t>agrosuper shanghai1030506</t>
  </si>
  <si>
    <t>agrosuper asia1023490</t>
  </si>
  <si>
    <t>agro sudamerica1021023</t>
  </si>
  <si>
    <t>agro sudamerica1021868</t>
  </si>
  <si>
    <t>agro sudamerica1011042</t>
  </si>
  <si>
    <t>agro sudamerica1021085</t>
  </si>
  <si>
    <t>agro sudamerica1021976</t>
  </si>
  <si>
    <t>agro sudamerica1030792</t>
  </si>
  <si>
    <t>agro mexico1021874</t>
  </si>
  <si>
    <t>agrosuper asia1021156</t>
  </si>
  <si>
    <t>agro america1030838</t>
  </si>
  <si>
    <t>agrosuper asia1023090</t>
  </si>
  <si>
    <t>agrosuper asia1022283</t>
  </si>
  <si>
    <t>agrosuper asia1022182</t>
  </si>
  <si>
    <t>agro sudamerica1012362</t>
  </si>
  <si>
    <t>agro sudamerica1011560</t>
  </si>
  <si>
    <t>agrosuper shanghai1012823</t>
  </si>
  <si>
    <t>agro mexico1012796</t>
  </si>
  <si>
    <t>agro sudamerica1020017</t>
  </si>
  <si>
    <t>agro sudamerica1021092</t>
  </si>
  <si>
    <t>agro sudamerica1020086</t>
  </si>
  <si>
    <t>agro europa1030224</t>
  </si>
  <si>
    <t>agro europa1030332</t>
  </si>
  <si>
    <t>agrosuper shanghai1023066</t>
  </si>
  <si>
    <t>agrosuper shanghai1023291</t>
  </si>
  <si>
    <t>agrosuper shanghai1012005</t>
  </si>
  <si>
    <t>agro mexico1023450</t>
  </si>
  <si>
    <t>agro mexico1011611</t>
  </si>
  <si>
    <t>agro mexico1011047</t>
  </si>
  <si>
    <t>agro sudamerica1030816</t>
  </si>
  <si>
    <t>agro sudamerica1021078</t>
  </si>
  <si>
    <t>agro sudamerica1022149</t>
  </si>
  <si>
    <t>agro europa1022304</t>
  </si>
  <si>
    <t>agro europa1023422</t>
  </si>
  <si>
    <t>agro europa1011906</t>
  </si>
  <si>
    <t>agrosuper asia1022985</t>
  </si>
  <si>
    <t>agro sudamerica1022786</t>
  </si>
  <si>
    <t>agro europa1011749</t>
  </si>
  <si>
    <t>agro europa1030711</t>
  </si>
  <si>
    <t>agro sudamerica1012719</t>
  </si>
  <si>
    <t>agro sudamerica1030802</t>
  </si>
  <si>
    <t>agro sudamerica1023372</t>
  </si>
  <si>
    <t>agro sudamerica1022047</t>
  </si>
  <si>
    <t>agro sudamerica1023355</t>
  </si>
  <si>
    <t>agro mexico1022854</t>
  </si>
  <si>
    <t>agro sudamerica1022406</t>
  </si>
  <si>
    <t>agro sudamerica1022870</t>
  </si>
  <si>
    <t>agrosuper shanghai1022082</t>
  </si>
  <si>
    <t>agrosuper shanghai1021905</t>
  </si>
  <si>
    <t>agrosuper asia1023037</t>
  </si>
  <si>
    <t>agrosuper shanghai1021971</t>
  </si>
  <si>
    <t>agrosuper shanghai1012527</t>
  </si>
  <si>
    <t>agro america1012532</t>
  </si>
  <si>
    <t>agro mexico1023319</t>
  </si>
  <si>
    <t>agro mexico1023318</t>
  </si>
  <si>
    <t>andes asia1022989</t>
  </si>
  <si>
    <t>agro sudamerica1022847</t>
  </si>
  <si>
    <t>agrosuper shanghai1012504</t>
  </si>
  <si>
    <t>agrosuper asia1012012</t>
  </si>
  <si>
    <t>agrosuper shanghai1012502</t>
  </si>
  <si>
    <t>agro europa1030684</t>
  </si>
  <si>
    <t>agro sudamerica1012744</t>
  </si>
  <si>
    <t>agro europa1022097</t>
  </si>
  <si>
    <t>agrosuper shanghai1023110</t>
  </si>
  <si>
    <t>agro america1012488</t>
  </si>
  <si>
    <t>agrosuper asia1020660</t>
  </si>
  <si>
    <t>Almacén Oficina</t>
  </si>
  <si>
    <t>Stock liberado</t>
  </si>
  <si>
    <t>Stock no liberado</t>
  </si>
  <si>
    <t>Total KG</t>
  </si>
  <si>
    <t>Nº Días de Antigüedad Centro</t>
  </si>
  <si>
    <t>Nº Días de Antigüedad Oficina</t>
  </si>
  <si>
    <t>Status considerado</t>
  </si>
  <si>
    <t>OPTIMISTA</t>
  </si>
  <si>
    <t>PESIMISTA</t>
  </si>
  <si>
    <t>Pedido</t>
  </si>
  <si>
    <t>ETA</t>
  </si>
  <si>
    <t>Centro Agua Marzo</t>
  </si>
  <si>
    <t>Centro Agua Abril</t>
  </si>
  <si>
    <t>Centro Agua Mayo</t>
  </si>
  <si>
    <t>Centro Agua Junio</t>
  </si>
  <si>
    <t>Lead time 1</t>
  </si>
  <si>
    <t>Fecha final 1</t>
  </si>
  <si>
    <t>Lead time 2</t>
  </si>
  <si>
    <t>Fecha final 2</t>
  </si>
  <si>
    <t>Leftover days</t>
  </si>
  <si>
    <t>Considerar PES.</t>
  </si>
  <si>
    <t>Considerar OPT</t>
  </si>
  <si>
    <t>Mes 3</t>
  </si>
  <si>
    <t>agro sudamerica1020660</t>
  </si>
  <si>
    <t>agro sudamerica1020367</t>
  </si>
  <si>
    <t>agro sudamerica1030545</t>
  </si>
  <si>
    <t>Mes 4</t>
  </si>
  <si>
    <t>agro sudamerica1020339</t>
  </si>
  <si>
    <t>agro sudamerica1020352</t>
  </si>
  <si>
    <t>agro sudamerica1030821</t>
  </si>
  <si>
    <t>agro mexico1012811</t>
  </si>
  <si>
    <t>agro sudamerica1011558</t>
  </si>
  <si>
    <t>agro sudamerica1022196</t>
  </si>
  <si>
    <t>agro sudamerica1012432</t>
  </si>
  <si>
    <t>agro sudamerica1022273</t>
  </si>
  <si>
    <t>agro sudamerica1022290</t>
  </si>
  <si>
    <t>agro mexico1021020</t>
  </si>
  <si>
    <t>agro sudamerica1020886</t>
  </si>
  <si>
    <t>agro sudamerica1020869</t>
  </si>
  <si>
    <t>agrosuper asia1021046</t>
  </si>
  <si>
    <t>agrosuper asia1021012</t>
  </si>
  <si>
    <t>agro sudamerica1012778</t>
  </si>
  <si>
    <t>agro america1023446</t>
  </si>
  <si>
    <t>agrosuper asia1021045</t>
  </si>
  <si>
    <t>agro sudamerica1012300</t>
  </si>
  <si>
    <t>agro sudamerica1021187</t>
  </si>
  <si>
    <t>agro sudamerica1021971</t>
  </si>
  <si>
    <t>agro sudamerica1021101</t>
  </si>
  <si>
    <t>agro sudamerica1023336</t>
  </si>
  <si>
    <t>agrosuper shanghai1023354</t>
  </si>
  <si>
    <t>agrosuper shanghai1022645</t>
  </si>
  <si>
    <t>agro europa1030804</t>
  </si>
  <si>
    <t>agro sudamerica1011290</t>
  </si>
  <si>
    <t>agro mexico1023434</t>
  </si>
  <si>
    <t>agro sudamerica1012819</t>
  </si>
  <si>
    <t>agro america1012797</t>
  </si>
  <si>
    <t>agro sudamerica1022389</t>
  </si>
  <si>
    <t>agro sudamerica1023324</t>
  </si>
  <si>
    <t>agro sudamerica1021596</t>
  </si>
  <si>
    <t>agrosuper asia1020905</t>
  </si>
  <si>
    <t>agro sudamerica1022855</t>
  </si>
  <si>
    <t>agro sudamerica1012207</t>
  </si>
  <si>
    <t>agro sudamerica1021864</t>
  </si>
  <si>
    <t>agro sudamerica1021039</t>
  </si>
  <si>
    <t>agro sudamerica1022217</t>
  </si>
  <si>
    <t>agro sudamerica1023391</t>
  </si>
  <si>
    <t>agro sudamerica1022883</t>
  </si>
  <si>
    <t>agro sudamerica1023432</t>
  </si>
  <si>
    <t>agro sudamerica1012534</t>
  </si>
  <si>
    <t>agro sudamerica1012208</t>
  </si>
  <si>
    <t>agro sudamerica1012058</t>
  </si>
  <si>
    <t>agro sudamerica1012782</t>
  </si>
  <si>
    <t>agro sudamerica1022218</t>
  </si>
  <si>
    <t>agro sudamerica1022418</t>
  </si>
  <si>
    <t>agro sudamerica1022409</t>
  </si>
  <si>
    <t>Mes 5</t>
  </si>
  <si>
    <t>Mes 2</t>
  </si>
  <si>
    <t>agro america1012115</t>
  </si>
  <si>
    <t>agro mexico1011749</t>
  </si>
  <si>
    <t>agrosuper shanghai1012598</t>
  </si>
  <si>
    <t>Mes 13</t>
  </si>
  <si>
    <t>agro sudamerica1021106</t>
  </si>
  <si>
    <t>agro mexico1012432</t>
  </si>
  <si>
    <t>agro mexico1023432</t>
  </si>
  <si>
    <t>agrosuper asia1021151</t>
  </si>
  <si>
    <t>agro sudamerica1022842</t>
  </si>
  <si>
    <t>agro sudamerica1022102</t>
  </si>
  <si>
    <t>agro sudamerica1023417</t>
  </si>
  <si>
    <t>agro sudamerica1023400</t>
  </si>
  <si>
    <t>agro sudamerica1023090</t>
  </si>
  <si>
    <t>agrosuper asia1021204</t>
  </si>
  <si>
    <t>agro sudamerica1030506</t>
  </si>
  <si>
    <t>agro sudamerica1030773</t>
  </si>
  <si>
    <t>agro america1023456</t>
  </si>
  <si>
    <t>agro europa1023386</t>
  </si>
  <si>
    <t>agro america1030683</t>
  </si>
  <si>
    <t>agro sudamerica1030515</t>
  </si>
  <si>
    <t>agro europa1012805</t>
  </si>
  <si>
    <t>agro sudamerica1023126</t>
  </si>
  <si>
    <t>agro sudamerica1021622</t>
  </si>
  <si>
    <t>agro europa1030710</t>
  </si>
  <si>
    <t>agro mexico1021026</t>
  </si>
  <si>
    <t>agro mexico1021596</t>
  </si>
  <si>
    <t>agro sudamerica1023454</t>
  </si>
  <si>
    <t>agrosuper shanghai1022936</t>
  </si>
  <si>
    <t>agro sudamerica1023436</t>
  </si>
  <si>
    <t>agro sudamerica1022781</t>
  </si>
  <si>
    <t>andes asia1023102</t>
  </si>
  <si>
    <t>Mes 6</t>
  </si>
  <si>
    <t>agro sudamerica1030720</t>
  </si>
  <si>
    <t>Mes 7</t>
  </si>
  <si>
    <t>agro europa1023447</t>
  </si>
  <si>
    <t>Mes 8</t>
  </si>
  <si>
    <t>agro sudamerica1023334</t>
  </si>
  <si>
    <t>Mes 9</t>
  </si>
  <si>
    <t>Mes 10</t>
  </si>
  <si>
    <t>Mes 11</t>
  </si>
  <si>
    <t>andes asia1023357</t>
  </si>
  <si>
    <t>andes asia1022836</t>
  </si>
  <si>
    <t>andes asia1022823</t>
  </si>
  <si>
    <t>andes asia1022819</t>
  </si>
  <si>
    <t>andes asia1012682</t>
  </si>
  <si>
    <t>Mes 12</t>
  </si>
  <si>
    <t>agro sudamerica1023319</t>
  </si>
  <si>
    <t>Fecha</t>
  </si>
  <si>
    <t>Puerto Chile</t>
  </si>
  <si>
    <t>Días productivos desde
2023-03-03 hasta
 2023-03-31</t>
  </si>
  <si>
    <t>Días productivos mensual Marzo</t>
  </si>
  <si>
    <t>Porcentaje prod. Pes.</t>
  </si>
  <si>
    <t>Stock vendible Pes.</t>
  </si>
  <si>
    <t>Porcentaje prod Opt.</t>
  </si>
  <si>
    <t>Stock vendible Opt.</t>
  </si>
  <si>
    <t>01.2023</t>
  </si>
  <si>
    <t>Africa</t>
  </si>
  <si>
    <t>PO Pta Espinaz@ Cj 10k AS</t>
  </si>
  <si>
    <t>Cazuela</t>
  </si>
  <si>
    <t>africa1011042</t>
  </si>
  <si>
    <t>PO Ppa Esp@ 2 Blox10kg CJ AS SD</t>
  </si>
  <si>
    <t>Carne Recuperada</t>
  </si>
  <si>
    <t>africa1012719</t>
  </si>
  <si>
    <t>PO PchDeh 6oz 2x10 Mr@ Cj 9k AS</t>
  </si>
  <si>
    <t>PO TruEnt Deh s/p Tf Mr@Muestra SAG</t>
  </si>
  <si>
    <t>agro america1012310</t>
  </si>
  <si>
    <t>PO Contre 8x5 estuche@Cj 20k AS</t>
  </si>
  <si>
    <t>PO Pana S/Corazon@ Cj 18k AS</t>
  </si>
  <si>
    <t>agro america1012601</t>
  </si>
  <si>
    <t>PO Tru-Ctro Ala 4x10 Mr@MQ OOII Cj AS</t>
  </si>
  <si>
    <t>agro america1012837</t>
  </si>
  <si>
    <t>PO Molleja Mrps@ Cj 10k AS</t>
  </si>
  <si>
    <t>PO PchDeh NMr Blo@ Cj 10k AS</t>
  </si>
  <si>
    <t>PO File NMr@Bo Cj 15K AS</t>
  </si>
  <si>
    <t>PO Ctre Mrps@ Bo 12x1k Cj AS</t>
  </si>
  <si>
    <t>PO PchDeh BTI 18.6%@ MQOI Cj 10k AS</t>
  </si>
  <si>
    <t>agro europa1012405</t>
  </si>
  <si>
    <t>PO PchDeh IQF NMr@ Cj 10k AS</t>
  </si>
  <si>
    <t>PO PF Corazon@ Bo 19k Cj</t>
  </si>
  <si>
    <t>PO PF Corazón@ Placa 19kg Cj AS</t>
  </si>
  <si>
    <t>PO PF Corazon part@Blo 19 kg</t>
  </si>
  <si>
    <t>PO TruEnt Deh s/p@ Cj 10k AS</t>
  </si>
  <si>
    <t>PO PchDeh MEX@ Cj AS</t>
  </si>
  <si>
    <t>PO PchDeh Random Mr MEX@ Cj 20k AS</t>
  </si>
  <si>
    <t>PO Ppa Esp@ Bo Cj 20k AS</t>
  </si>
  <si>
    <t>PO Ala Puch Mex@ Cj 10k AS</t>
  </si>
  <si>
    <t>Agro Sudamerica</t>
  </si>
  <si>
    <t>PO Ppa Esp 50 Pim@ Cj 20k AS</t>
  </si>
  <si>
    <t>PO Ppa Esp@ 2 blo x 10k Cj AS</t>
  </si>
  <si>
    <t>PO PchDeh Random@ Cj 10k AS</t>
  </si>
  <si>
    <t>agro sudamerica1012552</t>
  </si>
  <si>
    <t>PO CDM 14% proteina@ Cj 20k AS</t>
  </si>
  <si>
    <t>Agrosuper Asia</t>
  </si>
  <si>
    <t>PO Ppa Esp Blo@ Bo Cj 20k AS</t>
  </si>
  <si>
    <t>PO Ala Ctro NMr 4x5@ Bo Cj 20k AS</t>
  </si>
  <si>
    <t>PO Ala Media B 4x10@ Cj 20k AS</t>
  </si>
  <si>
    <t>PO Garra L B@ Bo Cj 20k AS</t>
  </si>
  <si>
    <t>PO Garra IQF@ Bo Cj AS</t>
  </si>
  <si>
    <t>PO Garra Economy@ Cj 20k AS</t>
  </si>
  <si>
    <t>PO Ala Media Grado B@ Cj AS</t>
  </si>
  <si>
    <t>PO Ctro Pta Ala Choice@ Cj 20k AS</t>
  </si>
  <si>
    <t>PO Garra M B@ Cj 20k AS</t>
  </si>
  <si>
    <t>PO Garra M A@ Bo Cj 20k AS</t>
  </si>
  <si>
    <t>GA Garra G Large B@ Cj 20k AS</t>
  </si>
  <si>
    <t>PO Nudillo @ Cj 20Kg AS</t>
  </si>
  <si>
    <t>PO Ctre Mrps@ Cj 12k AS</t>
  </si>
  <si>
    <t>PO Cola @ Cj 10Kg</t>
  </si>
  <si>
    <t>GO Chu Ctro@ Fi Cj 20k US</t>
  </si>
  <si>
    <t>GO Estómago Crud@ Bo Cj 20k AS</t>
  </si>
  <si>
    <t>GO Pecho Belly C/Hso pec@ Vp Cj AS</t>
  </si>
  <si>
    <t>GO Cos 75 Mit@ Cj Tf 20k AS</t>
  </si>
  <si>
    <t>agro america1022814</t>
  </si>
  <si>
    <t>GO Panc C/cue@ IWP Cj 20k AS</t>
  </si>
  <si>
    <t>GO Triming 85/15@ Cj 20k AS</t>
  </si>
  <si>
    <t>agro europa1021550</t>
  </si>
  <si>
    <t>GO Chu Cent@ Bo Cj 5k AS</t>
  </si>
  <si>
    <t>agro europa1022816</t>
  </si>
  <si>
    <t>GO Lom Cent@ Bo Cj 5k AS</t>
  </si>
  <si>
    <t>agro europa1022818</t>
  </si>
  <si>
    <t>GO Lom Ctro 27@ Fi Cj 20k AS</t>
  </si>
  <si>
    <t>GO UF Mucosa# Isotanque AS</t>
  </si>
  <si>
    <t>agro europa1023477</t>
  </si>
  <si>
    <t>GO Lom Vet 44@ Fi Cj 20k AS</t>
  </si>
  <si>
    <t>GO Papda@ Bo Cj 20k AS</t>
  </si>
  <si>
    <t>Plancha</t>
  </si>
  <si>
    <t>GO Forro Pal@ Bo Cj 20k AS</t>
  </si>
  <si>
    <t>GO Grasa Desp Papda@ Cj 20k AS</t>
  </si>
  <si>
    <t>GO Gord chic@ Cj 20k AS</t>
  </si>
  <si>
    <t>GO Reco 80/20 @ Bo Cj 20k AS</t>
  </si>
  <si>
    <t>GO Reco 90/10 @ Bo Cj 20k AS</t>
  </si>
  <si>
    <t>GO Triming 60/40@ Bo Cj 20k AS</t>
  </si>
  <si>
    <t>GO PpPna 57@ Bo Cj AS</t>
  </si>
  <si>
    <t>GO Chu Ctro@ Fi Cj 20k AS</t>
  </si>
  <si>
    <t>GO Cue 20@ Cj 20k AS</t>
  </si>
  <si>
    <t>GO Gord Lom Tocino@ Cj t-f AS</t>
  </si>
  <si>
    <t>GO Cne Long@ Cj t-f AS</t>
  </si>
  <si>
    <t>GO Lom Ctro 27@ Cj 20k AS</t>
  </si>
  <si>
    <t>GO Panc Tecl Nor@ Cj 20k AS</t>
  </si>
  <si>
    <t>GO PpPna 59@ Fi Cj 20k AS</t>
  </si>
  <si>
    <t>agro sudamerica1021077</t>
  </si>
  <si>
    <t>GO Pulmon@ Cj 20k bca AS</t>
  </si>
  <si>
    <t>GO Cue Back@ Cj 20k t-f AS</t>
  </si>
  <si>
    <t>GO Cue granel Esp CC@ Cj 20k AS</t>
  </si>
  <si>
    <t>GO PpPal 77@ Cj 20k AS</t>
  </si>
  <si>
    <t>GO Pecho S/cue K@ Cj 20k AS</t>
  </si>
  <si>
    <t>GO Plancha Rebaje Ent@ Cj 20k AS</t>
  </si>
  <si>
    <t>GO Cne Falda Pan@ CJ 20k AS</t>
  </si>
  <si>
    <t>GO Papda Cab@ Cj 20k AS</t>
  </si>
  <si>
    <t>GO Lom Vet@ Cj 12k AK</t>
  </si>
  <si>
    <t>GO Lom Vet@ Cj 12k TJ</t>
  </si>
  <si>
    <t>GO Hso Pecho@ Cj Lom Vet TJ</t>
  </si>
  <si>
    <t>GO Estómago Pouch@ Bo Cj 10k AS</t>
  </si>
  <si>
    <t>agrosuper asia1021655</t>
  </si>
  <si>
    <t>GO Pecho S/cue K@ Cj 20k TJ</t>
  </si>
  <si>
    <t>GO Pecho S/cue K@ Cj 20k AK</t>
  </si>
  <si>
    <t>GO BB Ribs 20-24 oz@ Cj 10k AS</t>
  </si>
  <si>
    <t>GO Panc S/cue@ Cj Panc TJ</t>
  </si>
  <si>
    <t>GO Panc S/cue@ Cj Panc AK</t>
  </si>
  <si>
    <t>GO Panc S/cue Hem@ Cj Panc TJ AS</t>
  </si>
  <si>
    <t>GO Panc S/cue@ Cj Panc 16k AS</t>
  </si>
  <si>
    <t>GO Grasa Chaleco@ Cj 10k AS</t>
  </si>
  <si>
    <t>GO UF Mucosa # Isotanque AS</t>
  </si>
  <si>
    <t>agrosuper asia1023305</t>
  </si>
  <si>
    <t>Agrosuper Brasil</t>
  </si>
  <si>
    <t>GO Cue Papda CP@ Cj 20k AS</t>
  </si>
  <si>
    <t>agrosuper brasil1021864</t>
  </si>
  <si>
    <t>GO Lom Tocino@ Bo Cj 20k AS</t>
  </si>
  <si>
    <t>agrosuper brasil1022217</t>
  </si>
  <si>
    <t>GO Lom Tocino S/cue@ Cj 20k AS</t>
  </si>
  <si>
    <t>agrosuper brasil1022290</t>
  </si>
  <si>
    <t>Cue granel Esp CC@ Cj 20k AS</t>
  </si>
  <si>
    <t>agrosuper brasil1023334</t>
  </si>
  <si>
    <t>agrosuper shanghai1021204</t>
  </si>
  <si>
    <t>GO Cab Part@ Cj 20k AS</t>
  </si>
  <si>
    <t>GO Hso húmer@ Bo Cj 20k AS</t>
  </si>
  <si>
    <t>GO Reco 70/30 @ Cj 20k AS</t>
  </si>
  <si>
    <t>GO Cue Back@ Cj 20k bca AS</t>
  </si>
  <si>
    <t>GO Lengua@ Fi Cj 10k AS</t>
  </si>
  <si>
    <t>GO Sternum Bones@ Bo Cj 10k AS</t>
  </si>
  <si>
    <t>GO Resto Tira Hso Ctro@ Bo Cj 20k AS</t>
  </si>
  <si>
    <t>GO PernilM B@ Bo Cj 20k AS</t>
  </si>
  <si>
    <t>GO Gord Esp@ Bo Cj 10k AS</t>
  </si>
  <si>
    <t>GO Cue 20@ Bo Cj 20k AS</t>
  </si>
  <si>
    <t>agrosuper shanghai1022389</t>
  </si>
  <si>
    <t>GO Chu Vet Repas@ Bo Cj 21k AS</t>
  </si>
  <si>
    <t>agrosuper shanghai1022416</t>
  </si>
  <si>
    <t>GO Reco 20/80 @ Cj 20k AS</t>
  </si>
  <si>
    <t>GO Manos@ Cj 10k AS</t>
  </si>
  <si>
    <t>GO Reco 10/90 @ Cj 20k AS</t>
  </si>
  <si>
    <t>GO Pta Cost@ Bo Cj 20k AS</t>
  </si>
  <si>
    <t>GO PernilM 1 kg down@ Cj 20k AS</t>
  </si>
  <si>
    <t>GO PernilM 1-1.3 kg@ Cj 20k AS</t>
  </si>
  <si>
    <t>GO BB Ribs@ Cj 16k AS</t>
  </si>
  <si>
    <t>GO Hso Costilla 4x 5kg @ Cj 20k AS</t>
  </si>
  <si>
    <t>GO PernilM 1 kg down@ Cj 10k AS</t>
  </si>
  <si>
    <t>GO PernilM 1-1.3 kg@ Cj 10k AS</t>
  </si>
  <si>
    <t>GO MM Loin S@ Fi Cj 15k AS</t>
  </si>
  <si>
    <t>GO PpPal pimentada@ Cj 20k AS</t>
  </si>
  <si>
    <t>GO Recto@ Cj 10k AS</t>
  </si>
  <si>
    <t>GO Ganso C/asiento@ Bol Cj 14k AS</t>
  </si>
  <si>
    <t>GO Posta Rosada@ Cj AS</t>
  </si>
  <si>
    <t>GO Ganso C/asto S/g 3P@ Bo Cj AS</t>
  </si>
  <si>
    <t>GO Pta Tráquea@ Fi Cj 8k AS</t>
  </si>
  <si>
    <t>GO Panc Tec S/cue Mad@ Va Cj AS</t>
  </si>
  <si>
    <t>GO Gord Esp@ 20kg AA</t>
  </si>
  <si>
    <t>GO Grasa Forro Pna Limp@ Cj 20k AS</t>
  </si>
  <si>
    <t>GO Cos Tira@ Bo Cj 5k AS</t>
  </si>
  <si>
    <t>GO Gord rebaje@ Bo Cj 20k AS</t>
  </si>
  <si>
    <t>GO Epiplón@ Cj 20k AS</t>
  </si>
  <si>
    <t>GO Lom Tocino @ Bo Cj 20k AS</t>
  </si>
  <si>
    <t>GO Lom Tocino@ Cj 20k AA</t>
  </si>
  <si>
    <t>GO Hso Pecho@ Cj 10k AA</t>
  </si>
  <si>
    <t>GO MM LOIN S VP@ Cj 10k AS</t>
  </si>
  <si>
    <t>GO MM Loin LL VP@ Cj 20k AA</t>
  </si>
  <si>
    <t>GO CC Loin L S/Tec@ Fi Cj 16k AS</t>
  </si>
  <si>
    <t>andes asia1023184</t>
  </si>
  <si>
    <t>GO Panc Lam 2.5mm@ Cj 5k AS</t>
  </si>
  <si>
    <t>GO PpPna 54 s/a@ Cj 20k AS</t>
  </si>
  <si>
    <t>Exportacion Directa</t>
  </si>
  <si>
    <t>GO Lom Tecla@ Cj Lom Ctro JP</t>
  </si>
  <si>
    <t>exportacion directa1020105</t>
  </si>
  <si>
    <t>GO MM Loin L@ Cj 12k AP</t>
  </si>
  <si>
    <t>exportacion directa1020110</t>
  </si>
  <si>
    <t>GO MM Loin S@ Fi Cj 12k AP</t>
  </si>
  <si>
    <t>exportacion directa1020589</t>
  </si>
  <si>
    <t>GO Lom Vet &gt;2.0@ Fi Cj Lom Vet AP</t>
  </si>
  <si>
    <t>exportacion directa1020592</t>
  </si>
  <si>
    <t>GO File C/cab@ Va Cj 10k AP</t>
  </si>
  <si>
    <t>exportacion directa1020636</t>
  </si>
  <si>
    <t>GO Panc Tec S/cue@ Fi Cj ch AP</t>
  </si>
  <si>
    <t>exportacion directa1020637</t>
  </si>
  <si>
    <t>GO Lom Vet 2 a 2,3k@ Fi Verd Cj AP</t>
  </si>
  <si>
    <t>exportacion directa1022600</t>
  </si>
  <si>
    <t>GO File C/cab 6x1@ VP Cj AP</t>
  </si>
  <si>
    <t>exportacion directa1022931</t>
  </si>
  <si>
    <t>Lom Vet &gt;2.0@ VP Cj Lom Vet AP</t>
  </si>
  <si>
    <t>exportacion directa1023350</t>
  </si>
  <si>
    <t>GO Panc Tec S/cue@ R VP Cj ch AP</t>
  </si>
  <si>
    <t>exportacion directa1023352</t>
  </si>
  <si>
    <t>PV PchDeh Mrps C/piel @ Cj 40 Lb AS</t>
  </si>
  <si>
    <t>PV TruDeh Cort S/p@ Jp SO</t>
  </si>
  <si>
    <t>PV Rabadilla@ Bo Cj 10K AS</t>
  </si>
  <si>
    <t>Varios</t>
  </si>
  <si>
    <t>PV Garra B MA@ Bo Cj 15k SO</t>
  </si>
  <si>
    <t>PV Contre@ Bo Cj 10k AS</t>
  </si>
  <si>
    <t>PV Cog MA@ Bo Cj 10k AS</t>
  </si>
  <si>
    <t>PV PDM @ Bo Cj 15k AS</t>
  </si>
  <si>
    <t>agrosuper shanghai1030388</t>
  </si>
  <si>
    <t>PV PechDeh S/p@ Bo Cj 20k SO</t>
  </si>
  <si>
    <t>PV Ctro Pta Ala B MA@ Bo Cj SO</t>
  </si>
  <si>
    <t>PV Ctro Pta Ala@ Bo Cj 15k AS</t>
  </si>
  <si>
    <t>Strips Pollo@ Bo 18x1.5 Lb Cj AS</t>
  </si>
  <si>
    <t>02.2023</t>
  </si>
  <si>
    <t>PO PchDeh 8oz 2x10 NMr@ Cj 9k AS</t>
  </si>
  <si>
    <t>agro america1010888</t>
  </si>
  <si>
    <t>PO Tru-Ctro Ala 60-80 4x10 NMr@ Cj20k AS</t>
  </si>
  <si>
    <t>agro america1011105</t>
  </si>
  <si>
    <t>PO PchDeh 4x10 Mr@Cj 20k AS</t>
  </si>
  <si>
    <t>PO PchDeh Lam 110-130 NMr@ Bo Cj 10k AS</t>
  </si>
  <si>
    <t>agro europa1011973</t>
  </si>
  <si>
    <t>PO PchDeh Lam 130-150 NMr@ Bo Cj 10k AS</t>
  </si>
  <si>
    <t>agro europa1011974</t>
  </si>
  <si>
    <t>PO PchDeh Lam 150-170 NMr@ Bo Cj 10k AS</t>
  </si>
  <si>
    <t>agro europa1011975</t>
  </si>
  <si>
    <t>PO PchDeh Lam 170-190 NMr@ Bo Cj 10k AS</t>
  </si>
  <si>
    <t>agro europa1011976</t>
  </si>
  <si>
    <t>PO PchDeh &gt;170g NMr@ Cj 10k SP</t>
  </si>
  <si>
    <t>GA S/m@ Bo Cj AS</t>
  </si>
  <si>
    <t>Reproductor</t>
  </si>
  <si>
    <t>PO Garra Large B@ Cj 20k AS</t>
  </si>
  <si>
    <t>PO Tru Desh BL @ Bo Cj 20kg AS</t>
  </si>
  <si>
    <t>GO Tripa s/Cal# Bidon AS</t>
  </si>
  <si>
    <t>GO Plancha c/Cuero@ Cj 20k AS</t>
  </si>
  <si>
    <t>agro mexico1022115</t>
  </si>
  <si>
    <t>GO Hso Pecho@ Cj 10k AS</t>
  </si>
  <si>
    <t>GO Triming 85/15@ Cj t-f 20k AS</t>
  </si>
  <si>
    <t>GO Panc C/cue@ Cj Panc 230 TJ</t>
  </si>
  <si>
    <t>GO PernilM C/M@ Cj 15k TJ</t>
  </si>
  <si>
    <t>GO Tira Hso Ctro@ Cj 20k TJ</t>
  </si>
  <si>
    <t>GO Hso Cogote@ Bo Cj 20k TJ</t>
  </si>
  <si>
    <t>GO PernilM@ Cj 20k AK</t>
  </si>
  <si>
    <t>GO Reco 80/20 @ Cj 20k AS</t>
  </si>
  <si>
    <t>GO Riñon Ent@ Bo Cj 20k AS</t>
  </si>
  <si>
    <t>andes asia1023491</t>
  </si>
  <si>
    <t>GO Posta Negra 3P T@ Va Cj t-f JP</t>
  </si>
  <si>
    <t>exportacion directa1020284</t>
  </si>
  <si>
    <t>GO PpPal Pim@ Cj AP</t>
  </si>
  <si>
    <t>exportacion directa1020326</t>
  </si>
  <si>
    <t>GO Posta Rosada 3P@ Va Cj t-f AP</t>
  </si>
  <si>
    <t>exportacion directa1020665</t>
  </si>
  <si>
    <t>GO Lom Vet S/g@ Va Cj ch AP</t>
  </si>
  <si>
    <t>exportacion directa1020758</t>
  </si>
  <si>
    <t>GO Ganso S/g S/abst DA@ Cj 12k AP</t>
  </si>
  <si>
    <t>exportacion directa1020990</t>
  </si>
  <si>
    <t>GO Asiento C/g DA@ Cj 12k JP</t>
  </si>
  <si>
    <t>exportacion directa1020991</t>
  </si>
  <si>
    <t>GO CC Loin T@ Fi Cj AP</t>
  </si>
  <si>
    <t>exportacion directa1022313</t>
  </si>
  <si>
    <t>GO PpPal 1P Ex@ Bo AP</t>
  </si>
  <si>
    <t>exportacion directa1022346</t>
  </si>
  <si>
    <t>GO MM Loin LL (29-32 VP)@ Bo Cj AP</t>
  </si>
  <si>
    <t>exportacion directa1022370</t>
  </si>
  <si>
    <t>GO Panc S/tec SP@ Fi Cj AP</t>
  </si>
  <si>
    <t>exportacion directa1022371</t>
  </si>
  <si>
    <t>GO CC Loin L (S/T) (DF)@ Fi Cj AP</t>
  </si>
  <si>
    <t>exportacion directa1022664</t>
  </si>
  <si>
    <t>GO Lom Tocino@ Bo Cj 20k AP</t>
  </si>
  <si>
    <t>exportacion directa1023419</t>
  </si>
  <si>
    <t>Sin asignar</t>
  </si>
  <si>
    <t>sin asignar1023477</t>
  </si>
  <si>
    <t>africa1030635</t>
  </si>
  <si>
    <t>PV PchDeh C/p S/f@ Bo Cj SO</t>
  </si>
  <si>
    <t>agro america1030520</t>
  </si>
  <si>
    <t>PV Pch Deh S/p S/f@ Jp 600k AS</t>
  </si>
  <si>
    <t>PV Muestra Bistec Tru Deh S/p@ Bo Cj 14k</t>
  </si>
  <si>
    <t>Muestras</t>
  </si>
  <si>
    <t>agro sudamerica1030126</t>
  </si>
  <si>
    <t>PV Muestra PchDeh Mrps C/piel @ Cj 18k A</t>
  </si>
  <si>
    <t>agro sudamerica1030576</t>
  </si>
  <si>
    <t>PV PchDeh S/p c/f MA@ Cj 15k AS</t>
  </si>
  <si>
    <t>PV PchDeh S/p S/f@ Bo Cj 15k SO</t>
  </si>
  <si>
    <t>agrosuper asia1030542</t>
  </si>
  <si>
    <t>03.2023</t>
  </si>
  <si>
    <t>GO Tira Hso Ctro@ Cj 20k AK</t>
  </si>
  <si>
    <t>GO MM Loin D@ Fi Cj 12k AP</t>
  </si>
  <si>
    <t>exportacion directa1020681</t>
  </si>
  <si>
    <t>Etiquetas de fila</t>
  </si>
  <si>
    <t>Total general</t>
  </si>
  <si>
    <t>Suma de Proy. Optimista</t>
  </si>
  <si>
    <t>Suma de RV Final Producción [KG]</t>
  </si>
  <si>
    <t>13 km</t>
  </si>
  <si>
    <t>Suma de Plan - Prod. actual</t>
  </si>
  <si>
    <t>Suma de Plan - Prod. actual2</t>
  </si>
  <si>
    <t>Suma de ETA Optimista</t>
  </si>
  <si>
    <t>Suma de Puerto Chile Opt.</t>
  </si>
  <si>
    <t>Suma de Puerto Oficina2</t>
  </si>
  <si>
    <t>Suma de Almacen oficina2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</si>
</sst>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11"/>
      <color rgb="FF006100"/>
      <name val="Calibri"/>
      <family val="2"/>
    </font>
    <font>
      <b/>
      <sz val="11"/>
      <color rgb="FFFFFFFF"/>
      <name val="Calibri"/>
      <family val="2"/>
    </font>
    <font>
      <sz val="11"/>
      <color rgb="FF2F5496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ECD"/>
      </patternFill>
    </fill>
    <fill>
      <patternFill patternType="solid">
        <fgColor rgb="FF8BA9D7"/>
      </patternFill>
    </fill>
    <fill>
      <patternFill patternType="solid">
        <fgColor rgb="FFDBE5F1"/>
      </patternFill>
    </fill>
    <fill>
      <patternFill patternType="solid">
        <fgColor rgb="FFFFEB9C"/>
      </patternFill>
    </fill>
    <fill>
      <patternFill patternType="solid">
        <fgColor rgb="FF2F5496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F5496"/>
      </left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30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3" fillId="4" borderId="5" xfId="0" applyFont="1" applyFill="1" applyBorder="1"/>
    <xf numFmtId="3" fontId="0" fillId="0" borderId="4" xfId="0" applyNumberFormat="1" applyBorder="1"/>
    <xf numFmtId="2" fontId="0" fillId="0" borderId="0" xfId="0" applyNumberFormat="1"/>
    <xf numFmtId="3" fontId="1" fillId="2" borderId="0" xfId="0" applyNumberFormat="1" applyFont="1" applyFill="1"/>
    <xf numFmtId="3" fontId="0" fillId="0" borderId="0" xfId="0" applyNumberFormat="1"/>
    <xf numFmtId="0" fontId="0" fillId="0" borderId="4" xfId="0" applyBorder="1"/>
    <xf numFmtId="164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 vertical="center" wrapText="1"/>
    </xf>
    <xf numFmtId="164" fontId="0" fillId="5" borderId="0" xfId="0" applyNumberFormat="1" applyFill="1"/>
    <xf numFmtId="3" fontId="0" fillId="5" borderId="0" xfId="0" applyNumberFormat="1" applyFill="1"/>
    <xf numFmtId="9" fontId="0" fillId="0" borderId="0" xfId="0" applyNumberFormat="1"/>
    <xf numFmtId="0" fontId="2" fillId="6" borderId="1" xfId="0" applyFont="1" applyFill="1" applyBorder="1" applyAlignment="1">
      <alignment horizontal="center" vertical="center" wrapText="1"/>
    </xf>
    <xf numFmtId="3" fontId="4" fillId="5" borderId="0" xfId="0" applyNumberFormat="1" applyFont="1" applyFill="1"/>
    <xf numFmtId="3" fontId="4" fillId="2" borderId="0" xfId="0" applyNumberFormat="1" applyFont="1" applyFill="1"/>
    <xf numFmtId="3" fontId="4" fillId="0" borderId="0" xfId="0" applyNumberFormat="1" applyFont="1"/>
    <xf numFmtId="0" fontId="0" fillId="5" borderId="0" xfId="0" applyFill="1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1" fontId="0" fillId="0" borderId="0" xfId="0" applyNumberFormat="1"/>
    <xf numFmtId="41" fontId="0" fillId="0" borderId="0" xfId="1" applyFont="1"/>
  </cellXfs>
  <cellStyles count="2">
    <cellStyle name="Millares [0]" xfId="1" builtinId="6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33" formatCode="_-* #,##0_-;\-* #,##0_-;_-* &quot;-&quot;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arasilva/Downloads/Proyecciones%20OOII%20VL%20W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com.sap.ip.bi.xl.hiddensheet"/>
      <sheetName val="Maestro LT"/>
      <sheetName val="Stock Puerto"/>
      <sheetName val="Stock WH"/>
      <sheetName val="ETAs Puerto"/>
      <sheetName val="ETAs AP-Conf"/>
      <sheetName val="Facturación Mes N"/>
      <sheetName val="Vta Proy N y N+1"/>
      <sheetName val="Vta Proy N+2"/>
      <sheetName val="Base"/>
      <sheetName val="TD Proy"/>
      <sheetName val="TD E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2">
          <cell r="B12" t="str">
            <v>Agro America</v>
          </cell>
          <cell r="E12">
            <v>3563796.6033200007</v>
          </cell>
        </row>
        <row r="13">
          <cell r="B13" t="str">
            <v>Agro Europa</v>
          </cell>
          <cell r="E13">
            <v>339507.41100000002</v>
          </cell>
        </row>
        <row r="14">
          <cell r="B14" t="str">
            <v>Agro Mexico</v>
          </cell>
          <cell r="E14">
            <v>2473776.7919999999</v>
          </cell>
        </row>
        <row r="15">
          <cell r="B15" t="str">
            <v>Agrosuper Shanghai</v>
          </cell>
          <cell r="E15">
            <v>3103840.0699999994</v>
          </cell>
        </row>
        <row r="16">
          <cell r="B16" t="str">
            <v>Andes Asia</v>
          </cell>
          <cell r="E16">
            <v>313620.02699999994</v>
          </cell>
        </row>
      </sheetData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" refreshedDate="44991.660891898151" createdVersion="8" refreshedVersion="8" minRefreshableVersion="3" recordCount="339" xr:uid="{F187B2E1-052E-F346-8E4F-500492B0D291}">
  <cacheSource type="worksheet">
    <worksheetSource ref="A2:AH341" sheet="Rango proyecciones"/>
  </cacheSource>
  <cacheFields count="34">
    <cacheField name="Sector" numFmtId="0">
      <sharedItems containsBlank="1"/>
    </cacheField>
    <cacheField name="Canal de Distribución" numFmtId="0">
      <sharedItems count="2">
        <s v="Venta Local"/>
        <s v="Venta Directa"/>
      </sharedItems>
    </cacheField>
    <cacheField name="Llave" numFmtId="0">
      <sharedItems/>
    </cacheField>
    <cacheField name="Oficina" numFmtId="0">
      <sharedItems count="8">
        <s v="Andes Asia"/>
        <s v="Agrosuper Shanghai"/>
        <s v="Agro America"/>
        <s v="Agro Mexico"/>
        <s v="Agro Europa"/>
        <s v="AGROSUPER ASIA"/>
        <s v="AFRICA"/>
        <s v="AGRO SUDAMERICA"/>
      </sharedItems>
    </cacheField>
    <cacheField name="Material" numFmtId="0">
      <sharedItems containsSemiMixedTypes="0" containsString="0" containsNumber="1" containsInteger="1" minValue="1010877" maxValue="1100602"/>
    </cacheField>
    <cacheField name="Descripción" numFmtId="0">
      <sharedItems containsBlank="1"/>
    </cacheField>
    <cacheField name="Nivel 2" numFmtId="0">
      <sharedItems containsBlank="1"/>
    </cacheField>
    <cacheField name="Venta Actual" numFmtId="3">
      <sharedItems containsSemiMixedTypes="0" containsString="0" containsNumber="1" minValue="0" maxValue="10332"/>
    </cacheField>
    <cacheField name="Plan total KG" numFmtId="3">
      <sharedItems containsSemiMixedTypes="0" containsString="0" containsNumber="1" containsInteger="1" minValue="0" maxValue="0"/>
    </cacheField>
    <cacheField name="RV Final Producción [KG]" numFmtId="3">
      <sharedItems containsString="0" containsBlank="1" containsNumber="1" minValue="0" maxValue="160000" count="136">
        <n v="6547.8670000000002"/>
        <m/>
        <n v="0"/>
        <n v="35519.756000000001"/>
        <n v="59836"/>
        <n v="18000"/>
        <n v="56581.112000000001"/>
        <n v="39918"/>
        <n v="4734"/>
        <n v="8060"/>
        <n v="4420"/>
        <n v="8000"/>
        <n v="19569"/>
        <n v="23000"/>
        <n v="89616"/>
        <n v="11009"/>
        <n v="10400"/>
        <n v="1012"/>
        <n v="12782.06"/>
        <n v="520"/>
        <n v="13950"/>
        <n v="12000"/>
        <n v="18959"/>
        <n v="2300"/>
        <n v="76688.08"/>
        <n v="12477.272000000001"/>
        <n v="2341.056"/>
        <n v="1701"/>
        <n v="601"/>
        <n v="7857.9629999999997"/>
        <n v="3287.5830000000001"/>
        <n v="12600"/>
        <n v="19959"/>
        <n v="7400"/>
        <n v="116400"/>
        <n v="15000"/>
        <n v="10000"/>
        <n v="1200"/>
        <n v="1000"/>
        <n v="18021.873"/>
        <n v="20374.797999999999"/>
        <n v="28400"/>
        <n v="41277.599999999999"/>
        <n v="445.39800000000002"/>
        <n v="2964"/>
        <n v="34207.764999999999"/>
        <n v="16394"/>
        <n v="1372.3"/>
        <n v="10708.44"/>
        <n v="33684.300000000003"/>
        <n v="8265"/>
        <n v="16516.32"/>
        <n v="51355.962"/>
        <n v="17920"/>
        <n v="61942.75"/>
        <n v="9200"/>
        <n v="18617"/>
        <n v="1327"/>
        <n v="17162.04"/>
        <n v="9009.36"/>
        <n v="83193.894"/>
        <n v="12497.53"/>
        <n v="13765.84"/>
        <n v="30481.083999999999"/>
        <n v="5152.7219999999998"/>
        <n v="1800"/>
        <n v="1148"/>
        <n v="2200"/>
        <n v="11000"/>
        <n v="1372"/>
        <n v="252"/>
        <n v="8600"/>
        <n v="24177"/>
        <n v="10229"/>
        <n v="40245"/>
        <n v="6971"/>
        <n v="6200"/>
        <n v="5061.7979999999998"/>
        <n v="8218"/>
        <n v="5354"/>
        <n v="9230.7839999999997"/>
        <n v="6595.2979999999998"/>
        <n v="6282.11"/>
        <n v="60969.4"/>
        <n v="3316"/>
        <n v="11207"/>
        <n v="8120"/>
        <n v="4534.5600000000004"/>
        <n v="3286"/>
        <n v="2719.056"/>
        <n v="14000"/>
        <n v="16000"/>
        <n v="6000"/>
        <n v="7640"/>
        <n v="11292.817999999999"/>
        <n v="4000"/>
        <n v="5672.98"/>
        <n v="1495"/>
        <n v="1241"/>
        <n v="2000"/>
        <n v="21308.601999999999"/>
        <n v="6656.88"/>
        <n v="15545.8"/>
        <n v="7683.3940000000002"/>
        <n v="26000"/>
        <n v="4400"/>
        <n v="3200"/>
        <n v="1195"/>
        <n v="13671"/>
        <n v="8509.34"/>
        <n v="1201"/>
        <n v="3302.2979999999998"/>
        <n v="3779.451"/>
        <n v="160000"/>
        <n v="31092.47"/>
        <n v="37151.300000000003"/>
        <n v="2373.6990000000001"/>
        <n v="92996.15"/>
        <n v="5003"/>
        <n v="11800"/>
        <n v="82915.600000000006"/>
        <n v="3920.28"/>
        <n v="2518"/>
        <n v="1401"/>
        <n v="1777"/>
        <n v="8046"/>
        <n v="10734"/>
        <n v="2241"/>
        <n v="2157"/>
        <n v="60000"/>
        <n v="22856"/>
        <n v="701"/>
        <n v="1600"/>
        <n v="30912"/>
        <n v="4003"/>
        <n v="3000"/>
      </sharedItems>
    </cacheField>
    <cacheField name="RV Final Venta [KG]" numFmtId="3">
      <sharedItems containsString="0" containsBlank="1" containsNumber="1" minValue="0" maxValue="12997.53"/>
    </cacheField>
    <cacheField name="Plan - Prod. actual" numFmtId="3">
      <sharedItems containsSemiMixedTypes="0" containsString="0" containsNumber="1" minValue="0" maxValue="220503.70500000002" count="143">
        <n v="6291.6855000000005"/>
        <n v="0"/>
        <n v="50781.474000000002"/>
        <n v="89754"/>
        <n v="21503.9025"/>
        <n v="81001.547999999995"/>
        <n v="45044.381999999998"/>
        <n v="7101"/>
        <n v="12090"/>
        <n v="6630"/>
        <n v="6646.6049999999996"/>
        <n v="29353.5"/>
        <n v="34500"/>
        <n v="134424"/>
        <n v="16513.5"/>
        <n v="14243.744999999999"/>
        <n v="1518"/>
        <n v="17845.62"/>
        <n v="780"/>
        <n v="20925"/>
        <n v="16873.275000000001"/>
        <n v="28438.5"/>
        <n v="3172.9949999999999"/>
        <n v="104995.5"/>
        <n v="17533.278000000002"/>
        <n v="3511.5839999999998"/>
        <n v="2551.5"/>
        <n v="901.5"/>
        <n v="9143.4494999999988"/>
        <n v="4541.9894999999997"/>
        <n v="16427.9175"/>
        <n v="28351.587"/>
        <n v="10907.325000000001"/>
        <n v="136504.19899999999"/>
        <n v="22500"/>
        <n v="13888.68"/>
        <n v="1316.3249999999998"/>
        <n v="1258.26"/>
        <n v="20082.094499999999"/>
        <n v="27967.346999999994"/>
        <n v="34685.859000000004"/>
        <n v="45959.745000000003"/>
        <n v="579.01740000000007"/>
        <n v="2766.69"/>
        <n v="46115.152499999997"/>
        <n v="21932.175000000003"/>
        <n v="1786.35"/>
        <n v="14732.550000000001"/>
        <n v="45284.460000000006"/>
        <n v="11351.16"/>
        <n v="22288.784999999996"/>
        <n v="70428.603000000003"/>
        <n v="23959.14"/>
        <n v="86384.01"/>
        <n v="11614.695"/>
        <n v="25348.245000000003"/>
        <n v="1990.5"/>
        <n v="23324.28"/>
        <n v="11891.565000000002"/>
        <n v="108604.46100000001"/>
        <n v="18430.47"/>
        <n v="19398.675000000003"/>
        <n v="39990.650999999998"/>
        <n v="7627.9979999999996"/>
        <n v="2192.64"/>
        <n v="1722"/>
        <n v="3300"/>
        <n v="11856.986999999999"/>
        <n v="2058"/>
        <n v="378"/>
        <n v="31430.100000000002"/>
        <n v="6711.48"/>
        <n v="51715.575000000004"/>
        <n v="4447.5"/>
        <n v="6181.170000000001"/>
        <n v="6773.3069999999989"/>
        <n v="11707.664999999999"/>
        <n v="8031"/>
        <n v="12645.710999999999"/>
        <n v="9008.2619999999988"/>
        <n v="9423.1649999999991"/>
        <n v="75253.290000000008"/>
        <n v="4214.1749999999993"/>
        <n v="16810.5"/>
        <n v="7189.86"/>
        <n v="6096.0300000000007"/>
        <n v="4253.5650000000005"/>
        <n v="2948.3490000000002"/>
        <n v="17241.105"/>
        <n v="21743.97"/>
        <n v="9000"/>
        <n v="18000"/>
        <n v="11460"/>
        <n v="15362.531999999997"/>
        <n v="4523.8949999999995"/>
        <n v="8509.4699999999993"/>
        <n v="2242.5"/>
        <n v="1777.44"/>
        <n v="15000"/>
        <n v="2277.375"/>
        <n v="30014.297999999999"/>
        <n v="8802.7649999999994"/>
        <n v="21554.879999999997"/>
        <n v="10646.541000000001"/>
        <n v="33747.824999999997"/>
        <n v="4825.0050000000001"/>
        <n v="4649.25"/>
        <n v="5832.2849999999999"/>
        <n v="6600"/>
        <n v="4437.42"/>
        <n v="992.46"/>
        <n v="20506.5"/>
        <n v="12764.01"/>
        <n v="1801.5"/>
        <n v="4953.4470000000001"/>
        <n v="5669.1764999999996"/>
        <n v="220503.70500000002"/>
        <n v="42746.025000000001"/>
        <n v="53773.200000000004"/>
        <n v="27000"/>
        <n v="3560.5484999999999"/>
        <n v="123386.97"/>
        <n v="6507.6749999999993"/>
        <n v="15963.689999999999"/>
        <n v="13035.435000000001"/>
        <n v="121168.86000000002"/>
        <n v="5016.9000000000005"/>
        <n v="3777"/>
        <n v="2058.2400000000002"/>
        <n v="2545.2150000000001"/>
        <n v="1500"/>
        <n v="12069"/>
        <n v="15263.670000000002"/>
        <n v="3133.0950000000003"/>
        <n v="3235.5"/>
        <n v="82616.235000000001"/>
        <n v="34284"/>
        <n v="1051.5"/>
        <n v="2006.8500000000001"/>
        <n v="46368"/>
        <n v="5258.3250000000007"/>
        <n v="4469.76"/>
        <n v="926.31"/>
      </sharedItems>
    </cacheField>
    <cacheField name="ETA Pesimista" numFmtId="3">
      <sharedItems containsSemiMixedTypes="0" containsString="0" containsNumber="1" minValue="0" maxValue="1384800"/>
    </cacheField>
    <cacheField name="Puerto Chile Pes." numFmtId="3">
      <sharedItems containsSemiMixedTypes="0" containsString="0" containsNumber="1" minValue="0" maxValue="2575480.8695652173"/>
    </cacheField>
    <cacheField name="Puerto Oficina" numFmtId="3">
      <sharedItems containsString="0" containsBlank="1" containsNumber="1" minValue="0" maxValue="155569.27777777778"/>
    </cacheField>
    <cacheField name="Almacen oficina" numFmtId="3">
      <sharedItems containsString="0" containsBlank="1" containsNumber="1" minValue="0" maxValue="440882.24907407409"/>
    </cacheField>
    <cacheField name="Proy. Pesimista" numFmtId="3">
      <sharedItems containsSemiMixedTypes="0" containsString="0" containsNumber="1" minValue="0" maxValue="2422523.7231999999"/>
    </cacheField>
    <cacheField name="Plan - Prod. actual2" numFmtId="3">
      <sharedItems containsSemiMixedTypes="0" containsString="0" containsNumber="1" minValue="0" maxValue="378006.35142857145" count="143">
        <n v="10785.746571428574"/>
        <n v="0"/>
        <n v="87053.955428571426"/>
        <n v="153864"/>
        <n v="36863.832857142857"/>
        <n v="138859.79657142857"/>
        <n v="77218.940571428582"/>
        <n v="12173.142857142859"/>
        <n v="20725.714285714286"/>
        <n v="11365.714285714286"/>
        <n v="11394.18"/>
        <n v="50320.285714285717"/>
        <n v="59142.857142857145"/>
        <n v="230441.14285714287"/>
        <n v="28308.857142857145"/>
        <n v="24417.848571428574"/>
        <n v="2602.2857142857147"/>
        <n v="30592.491428571429"/>
        <n v="1337.1428571428573"/>
        <n v="35871.428571428572"/>
        <n v="28925.614285714288"/>
        <n v="48751.71428571429"/>
        <n v="5439.42"/>
        <n v="179992.28571428574"/>
        <n v="30057.048000000003"/>
        <n v="6019.8582857142865"/>
        <n v="4374"/>
        <n v="1545.4285714285716"/>
        <n v="15674.484857142857"/>
        <n v="7786.2677142857146"/>
        <n v="28162.144285714287"/>
        <n v="48602.720571428574"/>
        <n v="18698.271428571432"/>
        <n v="240007.38285714283"/>
        <n v="38571.428571428572"/>
        <n v="23809.165714285718"/>
        <n v="2256.5571428571429"/>
        <n v="2157.017142857143"/>
        <n v="34426.447714285714"/>
        <n v="47944.023428571425"/>
        <n v="60986.125714285714"/>
        <n v="80808.342857142852"/>
        <n v="1018.0525714285715"/>
        <n v="4742.8971428571431"/>
        <n v="79054.547142857147"/>
        <n v="37598.014285714293"/>
        <n v="3062.3142857142857"/>
        <n v="25255.800000000003"/>
        <n v="77630.50285714287"/>
        <n v="19459.131428571432"/>
        <n v="38209.345714285715"/>
        <n v="120734.74800000001"/>
        <n v="41072.811428571433"/>
        <n v="148086.87428571429"/>
        <n v="19910.905714285716"/>
        <n v="43454.134285714295"/>
        <n v="3412.2857142857147"/>
        <n v="39984.480000000003"/>
        <n v="20385.540000000005"/>
        <n v="186179.07600000003"/>
        <n v="31595.091428571435"/>
        <n v="33254.87142857143"/>
        <n v="68555.401714285719"/>
        <n v="13076.567999999999"/>
        <n v="3758.8114285714287"/>
        <n v="2952"/>
        <n v="5657.1428571428578"/>
        <n v="20326.26342857143"/>
        <n v="3528.0000000000005"/>
        <n v="648"/>
        <n v="55261.714285714283"/>
        <n v="11505.394285714287"/>
        <n v="88655.271428571446"/>
        <n v="7624.2857142857147"/>
        <n v="10596.291428571431"/>
        <n v="11611.383428571427"/>
        <n v="20070.282857142858"/>
        <n v="13767.428571428572"/>
        <n v="21678.361714285715"/>
        <n v="15442.734857142857"/>
        <n v="16153.997142857143"/>
        <n v="129005.64000000001"/>
        <n v="7224.3"/>
        <n v="28818.000000000004"/>
        <n v="12325.474285714286"/>
        <n v="10450.337142857144"/>
        <n v="7291.8257142857146"/>
        <n v="5054.3125714285716"/>
        <n v="29556.18"/>
        <n v="37275.377142857142"/>
        <n v="15428.571428571429"/>
        <n v="30857.142857142859"/>
        <n v="19645.714285714286"/>
        <n v="26335.769142857142"/>
        <n v="7755.2485714285713"/>
        <n v="14587.662857142857"/>
        <n v="3844.2857142857147"/>
        <n v="3047.0400000000004"/>
        <n v="25714.285714285717"/>
        <n v="3904.0714285714289"/>
        <n v="51453.082285714285"/>
        <n v="15090.454285714288"/>
        <n v="36951.222857142857"/>
        <n v="18251.213142857145"/>
        <n v="57853.414285714287"/>
        <n v="8271.437142857143"/>
        <n v="7970.1428571428578"/>
        <n v="9998.2028571428564"/>
        <n v="11314.285714285716"/>
        <n v="7607.0057142857149"/>
        <n v="1701.3600000000001"/>
        <n v="35154"/>
        <n v="21881.160000000003"/>
        <n v="3088.2857142857147"/>
        <n v="8491.623428571429"/>
        <n v="9718.588285714286"/>
        <n v="378006.35142857145"/>
        <n v="73278.900000000009"/>
        <n v="92182.628571428591"/>
        <n v="46285.71428571429"/>
        <n v="6103.797428571429"/>
        <n v="211520.52000000002"/>
        <n v="11156.014285714286"/>
        <n v="27366.325714285715"/>
        <n v="22346.460000000003"/>
        <n v="207718.04571428575"/>
        <n v="8600.4000000000015"/>
        <n v="6474.8571428571431"/>
        <n v="3528.411428571429"/>
        <n v="4363.2257142857143"/>
        <n v="2571.4285714285716"/>
        <n v="20689.714285714286"/>
        <n v="26166.291428571432"/>
        <n v="5371.02"/>
        <n v="5546.5714285714294"/>
        <n v="141627.83142857143"/>
        <n v="58772.571428571435"/>
        <n v="1802.5714285714287"/>
        <n v="3440.3142857142861"/>
        <n v="79488"/>
        <n v="9014.2714285714301"/>
        <n v="7662.4457142857154"/>
        <n v="1587.96"/>
      </sharedItems>
    </cacheField>
    <cacheField name="ETA Optimista" numFmtId="3">
      <sharedItems containsSemiMixedTypes="0" containsString="0" containsNumber="1" minValue="0" maxValue="1384800"/>
    </cacheField>
    <cacheField name="Puerto Chile Opt." numFmtId="3">
      <sharedItems containsSemiMixedTypes="0" containsString="0" containsNumber="1" minValue="0" maxValue="3169822.6086956519"/>
    </cacheField>
    <cacheField name="Puerto Oficina2" numFmtId="3">
      <sharedItems containsString="0" containsBlank="1" containsNumber="1" minValue="0" maxValue="155569.27777777778"/>
    </cacheField>
    <cacheField name="Almacen oficina2" numFmtId="3">
      <sharedItems containsString="0" containsBlank="1" containsNumber="1" minValue="0" maxValue="440882.24907407409" count="138">
        <n v="3707.4074074074074"/>
        <n v="18236.105555555554"/>
        <m/>
        <n v="1024.8000000000002"/>
        <n v="50382.890740740739"/>
        <n v="139204.8925925926"/>
        <n v="128721.26388888889"/>
        <n v="440882.24907407409"/>
        <n v="115989.65648148148"/>
        <n v="50803.199999999997"/>
        <n v="32898.148148148146"/>
        <n v="53383.774074074077"/>
        <n v="38823.268518518518"/>
        <n v="72273.393518518526"/>
        <n v="61173.994444444448"/>
        <n v="124387.20000000001"/>
        <n v="54549.599999999999"/>
        <n v="334907.93796296295"/>
        <n v="174.07037037037037"/>
        <n v="2598.1157407407409"/>
        <n v="298083.87037037039"/>
        <n v="739.18796296296296"/>
        <n v="82034.366666666669"/>
        <n v="226.66666666666669"/>
        <n v="464.66666666666663"/>
        <n v="361855.2"/>
        <n v="91927.315740740742"/>
        <n v="21420"/>
        <n v="120624"/>
        <n v="153199.19722222222"/>
        <n v="35313.599999999999"/>
        <n v="26356.481481481482"/>
        <n v="31051.85185185185"/>
        <n v="43.425925925925924"/>
        <n v="5657.4074074074078"/>
        <n v="840.07685185185187"/>
        <n v="8151.9037037037042"/>
        <n v="15.635185185185184"/>
        <n v="23901.129629629631"/>
        <n v="1371.3333333333333"/>
        <n v="87931.199999999997"/>
        <n v="51408"/>
        <n v="171124.80000000002"/>
        <n v="70408.800000000003"/>
        <n v="24360"/>
        <n v="2822.35"/>
        <n v="739.16666666666663"/>
        <n v="34523"/>
        <n v="17043"/>
        <n v="17001.600000000002"/>
        <n v="35987.916666666664"/>
        <n v="29543.092592592595"/>
        <n v="18710.193518518518"/>
        <n v="22.222222222222221"/>
        <n v="40995.20925925926"/>
        <n v="9834.959259259258"/>
        <n v="4759.2592592592591"/>
        <n v="7222.2222222222226"/>
        <n v="36630.227777777778"/>
        <n v="102163.88888888889"/>
        <n v="1407.4074074074074"/>
        <n v="821.41018518518524"/>
        <n v="2157.4074074074074"/>
        <n v="3246.478703703704"/>
        <n v="584.2898148148148"/>
        <n v="2222.2222222222222"/>
        <n v="6888.0361111111106"/>
        <n v="23993.961111111112"/>
        <n v="44824.637037037035"/>
        <n v="34470.176851851851"/>
        <n v="151.19999999999999"/>
        <n v="5935.4722222222226"/>
        <n v="13909.259259259259"/>
        <n v="3402.7777777777778"/>
        <n v="13557.6"/>
        <n v="8639.0740740740748"/>
        <n v="0"/>
        <n v="4334.3999999999996"/>
        <n v="2116.333333333333"/>
        <n v="14055.555555555557"/>
        <n v="106467"/>
        <n v="17027.568703703702"/>
        <n v="9027.7777777777774"/>
        <n v="22222.222222222223"/>
        <n v="8962.9629629629635"/>
        <n v="9537.0370370370365"/>
        <n v="8148.1481481481478"/>
        <n v="5488.8888888888887"/>
        <n v="9511.1851851851843"/>
        <n v="5034.5851851851849"/>
        <n v="16746.444444444445"/>
        <n v="18518.518518518518"/>
        <n v="20446.618370370372"/>
        <n v="40888.888888888891"/>
        <n v="20446.994037037035"/>
        <n v="34968.507444444447"/>
        <n v="45166.666666666664"/>
        <n v="89962.962962962964"/>
        <n v="13458.357407407408"/>
        <n v="44055.555555555555"/>
        <n v="44092.592592592591"/>
        <n v="30016.666666666668"/>
        <n v="22462.962962962964"/>
        <n v="22413.361111111113"/>
        <n v="45194.444444444445"/>
        <n v="44775.595370370371"/>
        <n v="21571.698148148149"/>
        <n v="22203.703703703704"/>
        <n v="7309.3212962962962"/>
        <n v="24706.81388888889"/>
        <n v="9208.3333333333339"/>
        <n v="63619.487962962878"/>
        <n v="22240.740740740741"/>
        <n v="22091.3"/>
        <n v="22235.880555555555"/>
        <n v="2670.1388888888887"/>
        <n v="6548.5916666666672"/>
        <n v="44481.481481481482"/>
        <n v="6373.9990740740741"/>
        <n v="46.296296296296298"/>
        <n v="789.80555555555554"/>
        <n v="675.92592592592598"/>
        <n v="1859.0731481481482"/>
        <n v="5503.875"/>
        <n v="3471.2851851851851"/>
        <n v="1854.5916666666667"/>
        <n v="3378.4537037037039"/>
        <n v="4360.4629629629635"/>
        <n v="806.77777777777783"/>
        <n v="2.2555555555555555"/>
        <n v="3708.0555555555552"/>
        <n v="21675.198148148149"/>
        <n v="20000"/>
        <n v="143111.11111111112"/>
        <n v="122755.39555555556"/>
        <n v="61333.333333333336"/>
        <n v="18400"/>
        <n v="566.66666666666663"/>
      </sharedItems>
    </cacheField>
    <cacheField name="Proy. Optimista" numFmtId="3">
      <sharedItems containsSemiMixedTypes="0" containsString="0" containsNumber="1" minValue="0" maxValue="2905351.3312685713" count="309">
        <n v="20129.407407407409"/>
        <n v="48538.195555555554"/>
        <n v="99550.69"/>
        <n v="1024.8000000000002"/>
        <n v="188274.85874074075"/>
        <n v="600434.1341925927"/>
        <n v="396809.13652888883"/>
        <n v="632679.09035407403"/>
        <n v="417541.03728148155"/>
        <n v="139982.8064"/>
        <n v="94209.271606148148"/>
        <n v="87865.073018888885"/>
        <n v="54704.898148148146"/>
        <n v="126686.77971851853"/>
        <n v="179724.79956444446"/>
        <n v="276659.74400000001"/>
        <n v="105023.2224"/>
        <n v="569970.36996296293"/>
        <n v="174.07037037037037"/>
        <n v="40493.974146962966"/>
        <n v="1179479.4403081478"/>
        <n v="40655.28396296296"/>
        <n v="193550.81466666667"/>
        <n v="6957.5183546666667"/>
        <n v="464.66666666666663"/>
        <n v="546164.45215999999"/>
        <n v="149739.8989288889"/>
        <n v="57707.360000000001"/>
        <n v="208619.80031999998"/>
        <n v="223338.23722222223"/>
        <n v="53793.599999999999"/>
        <n v="26356.481481481482"/>
        <n v="31051.85185185185"/>
        <n v="43.425925925925924"/>
        <n v="7157.4074074074078"/>
        <n v="44919.376851851848"/>
        <n v="19415.044334259259"/>
        <n v="2108.3388888888885"/>
        <n v="47905.218269629637"/>
        <n v="6878.3938053333322"/>
        <n v="204487.52416"/>
        <n v="51408"/>
        <n v="407496.92800000001"/>
        <n v="70408.800000000003"/>
        <n v="24360"/>
        <n v="2822.35"/>
        <n v="739.16666666666663"/>
        <n v="74537"/>
        <n v="37050"/>
        <n v="34003.200000000004"/>
        <n v="39737.916666666664"/>
        <n v="31707.824125592597"/>
        <n v="50662.782607037036"/>
        <n v="111.11111111111111"/>
        <n v="957224.78925925924"/>
        <n v="9834.959259259258"/>
        <n v="164399.25925925927"/>
        <n v="84642.222222222219"/>
        <n v="36630.227777777778"/>
        <n v="126163.88888888889"/>
        <n v="1407.4074074074074"/>
        <n v="821.41018518518524"/>
        <n v="2157.4074074074074"/>
        <n v="72369.028703703705"/>
        <n v="16578.129814814816"/>
        <n v="8222.2222222222226"/>
        <n v="5172.2222222222226"/>
        <n v="11916.59611111111"/>
        <n v="48044.981111111112"/>
        <n v="74379.777037037042"/>
        <n v="52427.236851851849"/>
        <n v="151.19999999999999"/>
        <n v="5935.4722222222226"/>
        <n v="13909.259259259259"/>
        <n v="3402.7777777777778"/>
        <n v="130711.34176000001"/>
        <n v="139264.49823407407"/>
        <n v="217.77777777777777"/>
        <n v="24727.89632"/>
        <n v="4215.8703703703704"/>
        <n v="293022.22222222225"/>
        <n v="1435655.5555555555"/>
        <n v="186495"/>
        <n v="77000.938703703694"/>
        <n v="72027.777777777781"/>
        <n v="1600"/>
        <n v="70222.222222222219"/>
        <n v="26365.629629629628"/>
        <n v="8962.9629629629635"/>
        <n v="28737.037037037036"/>
        <n v="12948.148148148148"/>
        <n v="74.074074074074076"/>
        <n v="6880.8888888888887"/>
        <n v="9511.1851851851843"/>
        <n v="164279.13775566668"/>
        <n v="47449.862804074073"/>
        <n v="47814.79108474074"/>
        <n v="250583.51851851851"/>
        <n v="278792.57837037038"/>
        <n v="80808.888888888891"/>
        <n v="20446.994037037035"/>
        <n v="294454.81481481483"/>
        <n v="68502.739629629621"/>
        <n v="34968.507444444447"/>
        <n v="187302.22222222222"/>
        <n v="619500"/>
        <n v="583284.68222222221"/>
        <n v="275935.55555555556"/>
        <n v="47187.564814814818"/>
        <n v="129232.59259259258"/>
        <n v="224046.99333333338"/>
        <n v="465119.33333333331"/>
        <n v="624620"/>
        <n v="126762.96296296296"/>
        <n v="70601.481481481489"/>
        <n v="272070"/>
        <n v="168806.38111111114"/>
        <n v="212714.44444444444"/>
        <n v="818199.45314814802"/>
        <n v="92321.068148148144"/>
        <n v="122503.70370370371"/>
        <n v="115525.42055555555"/>
        <n v="167732.22222222222"/>
        <n v="46942.619444444441"/>
        <n v="158259.44444444444"/>
        <n v="146278.33333333334"/>
        <n v="971318.17314814799"/>
        <n v="66100.011481481488"/>
        <n v="276096.29629629629"/>
        <n v="223288.50777777776"/>
        <n v="126435.71055555555"/>
        <n v="2670.1388888888887"/>
        <n v="6548.5916666666672"/>
        <n v="254921.48148148149"/>
        <n v="146144.40166666667"/>
        <n v="46435.792962962965"/>
        <n v="2046.2962962962963"/>
        <n v="2080.2655555555557"/>
        <n v="1675.9259259259261"/>
        <n v="1859.0731481481482"/>
        <n v="46478.665000000001"/>
        <n v="6505.0251851851845"/>
        <n v="11931.631666666668"/>
        <n v="6982.3240740740748"/>
        <n v="8004.5370370370374"/>
        <n v="1613.4722222222222"/>
        <n v="19284.820628148147"/>
        <n v="8930.0509259259252"/>
        <n v="66691.042608148156"/>
        <n v="17640"/>
        <n v="3151.1759259259261"/>
        <n v="123.33333333333333"/>
        <n v="84800"/>
        <n v="187555.55555555556"/>
        <n v="571914.56074074062"/>
        <n v="61333.333333333336"/>
        <n v="36800"/>
        <n v="58222.222222222219"/>
        <n v="92375"/>
        <n v="142222.22222222222"/>
        <n v="7297.5183546666676"/>
        <n v="96000"/>
        <n v="128070"/>
        <n v="27080.95"/>
        <n v="25010"/>
        <n v="23980"/>
        <n v="43998.645000000004"/>
        <n v="168995.95"/>
        <n v="163764.27091428573"/>
        <n v="198736"/>
        <n v="312331.19951999997"/>
        <n v="878875.32648000005"/>
        <n v="162642.73485714284"/>
        <n v="360936.62146285712"/>
        <n v="1508206.18808"/>
        <n v="43160.55"/>
        <n v="4736"/>
        <n v="76832.400000000009"/>
        <n v="18.139144080000001"/>
        <n v="144000"/>
        <n v="456000"/>
        <n v="24091.337056239998"/>
        <n v="120000"/>
        <n v="73146.83"/>
        <n v="24000"/>
        <n v="78731.100000000006"/>
        <n v="168000"/>
        <n v="72000"/>
        <n v="39952"/>
        <n v="99770"/>
        <n v="99000"/>
        <n v="156613.03"/>
        <n v="281621.30000000005"/>
        <n v="7400.87"/>
        <n v="28750.925000000003"/>
        <n v="7446.27"/>
        <n v="40012.69"/>
        <n v="956609.65760000004"/>
        <n v="47929.157019999999"/>
        <n v="57660.939999999995"/>
        <n v="25106.79"/>
        <n v="19030"/>
        <n v="3000"/>
        <n v="6060"/>
        <n v="8067.02"/>
        <n v="34074.27102"/>
        <n v="28660"/>
        <n v="36000"/>
        <n v="184610"/>
        <n v="73040"/>
        <n v="48380"/>
        <n v="121100"/>
        <n v="147690"/>
        <n v="106906.17"/>
        <n v="24551.74"/>
        <n v="48160"/>
        <n v="273520"/>
        <n v="83560"/>
        <n v="216000"/>
        <n v="280615.79736000003"/>
        <n v="283991.50943999999"/>
        <n v="108000"/>
        <n v="48000"/>
        <n v="195431.03784"/>
        <n v="207396.29142857142"/>
        <n v="32120"/>
        <n v="21600"/>
        <n v="1008"/>
        <n v="44931.48"/>
        <n v="32600.84"/>
        <n v="43560"/>
        <n v="400098.11135999992"/>
        <n v="3007.72"/>
        <n v="0"/>
        <n v="7954.6429039999994"/>
        <n v="35170.300000000003"/>
        <n v="157920.94136"/>
        <n v="23514.11"/>
        <n v="2030.73"/>
        <n v="16605"/>
        <n v="1000"/>
        <n v="13000"/>
        <n v="23102.31"/>
        <n v="24000.83"/>
        <n v="224580"/>
        <n v="96031.14"/>
        <n v="2905351.3312685713"/>
        <n v="310223.91000000003"/>
        <n v="59862"/>
        <n v="186270.89632"/>
        <n v="446399.22225142864"/>
        <n v="96028.52"/>
        <n v="120003.41200000001"/>
        <n v="498014.89944000001"/>
        <n v="35320.04"/>
        <n v="130102.30903999999"/>
        <n v="24018.02"/>
        <n v="1322483.1677600001"/>
        <n v="46547.107965714291"/>
        <n v="394345.43111999996"/>
        <n v="35596.291428571429"/>
        <n v="316389.73920000001"/>
        <n v="210293.66199999998"/>
        <n v="143255.0557142857"/>
        <n v="95631.47"/>
        <n v="45146.460000000006"/>
        <n v="24012"/>
        <n v="432658.84231999994"/>
        <n v="351455.16999999993"/>
        <n v="222680.4"/>
        <n v="23999.915590000001"/>
        <n v="28491.427142857145"/>
        <n v="20529.171428571426"/>
        <n v="261422.42571428569"/>
        <n v="2088"/>
        <n v="21906"/>
        <n v="59983.83"/>
        <n v="82550.888319999998"/>
        <n v="156918.02344000002"/>
        <n v="23918.89"/>
        <n v="72081.27"/>
        <n v="19954"/>
        <n v="43200"/>
        <n v="48007.6"/>
        <n v="88796.901428571437"/>
        <n v="70859.34448"/>
        <n v="27570.799999999999"/>
        <n v="21000"/>
        <n v="4947.0600000000004"/>
        <n v="13988.18182"/>
        <n v="64800"/>
        <n v="189641.46142857143"/>
        <n v="48284.764285714293"/>
        <n v="65241.721428571436"/>
        <n v="5753.02"/>
        <n v="18281.191428571427"/>
        <n v="46497.04"/>
        <n v="19975.900000000001"/>
        <n v="3952.76"/>
        <n v="478062.70032000006"/>
        <n v="25000"/>
        <n v="3646.87968"/>
        <n v="37080"/>
        <n v="36502.11"/>
        <n v="18310.55"/>
        <n v="83406.590948571422"/>
        <n v="23986.44"/>
        <n v="24001.439999999999"/>
        <n v="24231.32"/>
      </sharedItems>
    </cacheField>
    <cacheField name="RV Produccion" numFmtId="3">
      <sharedItems containsString="0" containsBlank="1" containsNumber="1" containsInteger="1" minValue="243" maxValue="1000000"/>
    </cacheField>
    <cacheField name="RV Venta" numFmtId="3">
      <sharedItems containsString="0" containsBlank="1" containsNumber="1" containsInteger="1" minValue="243" maxValue="1000000"/>
    </cacheField>
    <cacheField name="ETA Pesimista N+1" numFmtId="3">
      <sharedItems containsSemiMixedTypes="0" containsString="0" containsNumber="1" minValue="0" maxValue="720637.37"/>
    </cacheField>
    <cacheField name="Proy. Pesimista Abril" numFmtId="3">
      <sharedItems containsSemiMixedTypes="0" containsString="0" containsNumber="1" minValue="0" maxValue="1569237.16"/>
    </cacheField>
    <cacheField name="ETA Optimista N+1" numFmtId="3">
      <sharedItems containsSemiMixedTypes="0" containsString="0" containsNumber="1" minValue="0" maxValue="720637.37"/>
    </cacheField>
    <cacheField name="Proy. Optimista Abril" numFmtId="3">
      <sharedItems containsSemiMixedTypes="0" containsString="0" containsNumber="1" minValue="0" maxValue="1569237.16"/>
    </cacheField>
    <cacheField name="Asignación de venta" numFmtId="3">
      <sharedItems containsString="0" containsBlank="1" containsNumber="1" containsInteger="1" minValue="840" maxValue="1032674"/>
    </cacheField>
    <cacheField name="ETA Pesimista N+2" numFmtId="3">
      <sharedItems containsSemiMixedTypes="0" containsString="0" containsNumber="1" minValue="0" maxValue="156703.85"/>
    </cacheField>
    <cacheField name="Proy. Pesimista Mayo" numFmtId="3">
      <sharedItems containsSemiMixedTypes="0" containsString="0" containsNumber="1" minValue="0" maxValue="826139.20000000007"/>
    </cacheField>
    <cacheField name="ETA Optimista N+2" numFmtId="3">
      <sharedItems containsSemiMixedTypes="0" containsString="0" containsNumber="1" minValue="0" maxValue="156703.85"/>
    </cacheField>
    <cacheField name="Proy. Optimista Mayo" numFmtId="3">
      <sharedItems containsSemiMixedTypes="0" containsString="0" containsNumber="1" minValue="0" maxValue="826139.2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9">
  <r>
    <s v="Cerdo"/>
    <x v="0"/>
    <s v="andes asia1022751"/>
    <x v="0"/>
    <n v="1022751"/>
    <s v="GO PpPal 1P Ex@ Cj 14k AS"/>
    <s v="Paleta"/>
    <n v="10332"/>
    <n v="0"/>
    <x v="0"/>
    <n v="2353.41"/>
    <x v="0"/>
    <n v="6090"/>
    <n v="40840.799999999996"/>
    <n v="0"/>
    <n v="3707.4074074074074"/>
    <n v="20129.407407407409"/>
    <x v="0"/>
    <n v="6090"/>
    <n v="49008.959999999999"/>
    <n v="0"/>
    <x v="0"/>
    <x v="0"/>
    <m/>
    <m/>
    <n v="38066"/>
    <n v="38066"/>
    <n v="38066"/>
    <n v="38066"/>
    <m/>
    <n v="0"/>
    <n v="0"/>
    <n v="0"/>
    <n v="0"/>
  </r>
  <r>
    <s v="Cerdo"/>
    <x v="0"/>
    <s v="andes asia1022864"/>
    <x v="0"/>
    <n v="1022864"/>
    <s v="GO Lom Vet L@ Cj 11k AS"/>
    <s v="Lomo"/>
    <n v="3578.9"/>
    <n v="0"/>
    <x v="1"/>
    <n v="1727.92"/>
    <x v="1"/>
    <n v="26723.19"/>
    <n v="48690.192000000003"/>
    <n v="0"/>
    <n v="18236.105555555554"/>
    <n v="48538.195555555554"/>
    <x v="1"/>
    <n v="26723.19"/>
    <n v="58428.2304"/>
    <n v="0"/>
    <x v="1"/>
    <x v="1"/>
    <n v="60000"/>
    <n v="60000"/>
    <n v="53572.360000000008"/>
    <n v="113572.36000000002"/>
    <n v="53572.360000000008"/>
    <n v="113572.36000000002"/>
    <n v="60000"/>
    <n v="11017.73"/>
    <n v="53017.729999999996"/>
    <n v="11017.73"/>
    <n v="53017.729999999996"/>
  </r>
  <r>
    <s v="Cerdo"/>
    <x v="0"/>
    <s v="agrosuper shanghai1022073"/>
    <x v="1"/>
    <n v="1022073"/>
    <s v="GO Mantec@ Cj 20k AS"/>
    <s v="Grasas"/>
    <n v="0"/>
    <n v="0"/>
    <x v="2"/>
    <n v="0"/>
    <x v="1"/>
    <n v="99550.69"/>
    <n v="0"/>
    <m/>
    <m/>
    <n v="99550.69"/>
    <x v="1"/>
    <n v="99550.69"/>
    <n v="0"/>
    <m/>
    <x v="2"/>
    <x v="2"/>
    <m/>
    <m/>
    <n v="24010.799999999999"/>
    <n v="24010.799999999999"/>
    <n v="24010.799999999999"/>
    <n v="24010.799999999999"/>
    <m/>
    <n v="0"/>
    <n v="0"/>
    <n v="0"/>
    <n v="0"/>
  </r>
  <r>
    <s v="Pavo"/>
    <x v="0"/>
    <s v="agro america1030745"/>
    <x v="2"/>
    <n v="1030745"/>
    <s v="PV Higad 40Lb@ Bo Cj 18k SO"/>
    <s v="Menudencias"/>
    <n v="0"/>
    <n v="0"/>
    <x v="2"/>
    <n v="0"/>
    <x v="1"/>
    <n v="0"/>
    <n v="0"/>
    <n v="0"/>
    <n v="1024.8000000000002"/>
    <n v="1024.8000000000002"/>
    <x v="1"/>
    <n v="0"/>
    <n v="0"/>
    <n v="0"/>
    <x v="3"/>
    <x v="3"/>
    <m/>
    <m/>
    <n v="0"/>
    <n v="0"/>
    <n v="0"/>
    <n v="0"/>
    <m/>
    <n v="0"/>
    <n v="0"/>
    <n v="0"/>
    <n v="0"/>
  </r>
  <r>
    <s v="Pollo"/>
    <x v="0"/>
    <s v="agro america1012108"/>
    <x v="2"/>
    <n v="1012108"/>
    <s v="PO PchDeh 5oz Mr@ Cj AS"/>
    <s v="Pechuga Desh"/>
    <n v="0"/>
    <n v="0"/>
    <x v="3"/>
    <n v="1665.44"/>
    <x v="2"/>
    <n v="137891.96800000002"/>
    <n v="227525.76000000001"/>
    <n v="0"/>
    <n v="50382.890740740739"/>
    <n v="188274.85874074075"/>
    <x v="2"/>
    <n v="137891.96800000002"/>
    <n v="273030.91200000001"/>
    <n v="0"/>
    <x v="4"/>
    <x v="4"/>
    <m/>
    <m/>
    <n v="127912.94400000002"/>
    <n v="127912.94400000002"/>
    <n v="127912.94400000002"/>
    <n v="127912.94400000002"/>
    <m/>
    <n v="0"/>
    <n v="0"/>
    <n v="0"/>
    <n v="0"/>
  </r>
  <r>
    <s v="Pollo"/>
    <x v="0"/>
    <s v="agro america1012165"/>
    <x v="2"/>
    <n v="1012165"/>
    <s v="PO Tru-Ctro Ala 4x10 Mr@ Zi Cj AS"/>
    <s v="Ala"/>
    <n v="0"/>
    <n v="0"/>
    <x v="4"/>
    <m/>
    <x v="3"/>
    <n v="455769.24160000012"/>
    <n v="509527.06560000003"/>
    <n v="5460"/>
    <n v="139204.8925925926"/>
    <n v="594974.1341925927"/>
    <x v="3"/>
    <n v="455769.24160000012"/>
    <n v="611432.47872000001"/>
    <n v="5460"/>
    <x v="5"/>
    <x v="5"/>
    <n v="334736"/>
    <n v="334736"/>
    <n v="297266.05312000006"/>
    <n v="632002.05312000006"/>
    <n v="297266.05312000006"/>
    <n v="632002.05312000006"/>
    <n v="309915"/>
    <n v="19958.047999999999"/>
    <n v="205907.04800000001"/>
    <n v="19958.047999999999"/>
    <n v="205907.04800000001"/>
  </r>
  <r>
    <s v="Pollo"/>
    <x v="0"/>
    <s v="agro america1012518"/>
    <x v="2"/>
    <n v="1012518"/>
    <s v="PO File s/t  RC´S 8x5@ Cj AS"/>
    <s v="Filete"/>
    <n v="0"/>
    <n v="0"/>
    <x v="5"/>
    <n v="3664.0650000000001"/>
    <x v="4"/>
    <n v="217687.87263999996"/>
    <n v="195955.19999999998"/>
    <n v="50400"/>
    <n v="128721.26388888889"/>
    <n v="346409.13652888883"/>
    <x v="4"/>
    <n v="217687.87263999996"/>
    <n v="235146.23999999999"/>
    <n v="50400"/>
    <x v="6"/>
    <x v="6"/>
    <n v="99791"/>
    <n v="99791"/>
    <n v="36287.360000000001"/>
    <n v="136078.35999999999"/>
    <n v="36287.360000000001"/>
    <n v="136078.35999999999"/>
    <n v="99791"/>
    <n v="0"/>
    <n v="59874.6"/>
    <n v="0"/>
    <n v="59874.6"/>
  </r>
  <r>
    <s v="Pollo"/>
    <x v="0"/>
    <s v="agro america1012109"/>
    <x v="2"/>
    <n v="1012109"/>
    <s v="PO PchDeh 6oz Mr@ Cj AS"/>
    <s v="Pechuga Desh"/>
    <n v="0"/>
    <n v="0"/>
    <x v="6"/>
    <n v="2580.08"/>
    <x v="5"/>
    <n v="191796.84127999999"/>
    <n v="610727.04"/>
    <n v="0"/>
    <n v="440882.24907407409"/>
    <n v="632679.09035407403"/>
    <x v="5"/>
    <n v="191796.84127999999"/>
    <n v="732872.44800000009"/>
    <n v="0"/>
    <x v="7"/>
    <x v="7"/>
    <m/>
    <m/>
    <n v="259454.62400000001"/>
    <n v="259454.62400000001"/>
    <n v="259454.62400000001"/>
    <n v="259454.62400000001"/>
    <m/>
    <n v="0"/>
    <n v="0"/>
    <n v="0"/>
    <n v="0"/>
  </r>
  <r>
    <s v="Pollo"/>
    <x v="0"/>
    <s v="agro america1012167"/>
    <x v="2"/>
    <n v="1012167"/>
    <s v="PO PchDeh 4x10 Mr@ Zi Cj 20k AS"/>
    <s v="Pechuga Desh"/>
    <n v="0"/>
    <n v="0"/>
    <x v="7"/>
    <n v="9888.4120000000003"/>
    <x v="6"/>
    <n v="298191.38080000004"/>
    <n v="395938.36800000002"/>
    <n v="3360"/>
    <n v="115989.65648148148"/>
    <n v="414181.03728148155"/>
    <x v="6"/>
    <n v="298191.38080000004"/>
    <n v="475126.04159999994"/>
    <n v="3360"/>
    <x v="8"/>
    <x v="8"/>
    <n v="399165"/>
    <n v="399165"/>
    <n v="279412.67200000002"/>
    <n v="678577.67200000002"/>
    <n v="279412.67200000002"/>
    <n v="678577.67200000002"/>
    <n v="399165"/>
    <n v="39916.095999999998"/>
    <n v="279415.09600000002"/>
    <n v="39916.095999999998"/>
    <n v="279415.09600000002"/>
  </r>
  <r>
    <s v="Pollo"/>
    <x v="0"/>
    <s v="agro america1012160"/>
    <x v="2"/>
    <n v="1012160"/>
    <s v="PO PchDeh 8x5 Mr@ Fi Cj AS"/>
    <s v="Pechuga Desh"/>
    <n v="0"/>
    <n v="0"/>
    <x v="2"/>
    <n v="0"/>
    <x v="1"/>
    <n v="85819.60639999999"/>
    <n v="94341.542400000006"/>
    <n v="3360"/>
    <n v="50803.199999999997"/>
    <n v="136622.8064"/>
    <x v="1"/>
    <n v="85819.60639999999"/>
    <n v="113209.85088000001"/>
    <n v="3360"/>
    <x v="9"/>
    <x v="9"/>
    <n v="36288"/>
    <n v="36288"/>
    <n v="59874.144"/>
    <n v="96162.144"/>
    <n v="59874.144"/>
    <n v="96162.144"/>
    <n v="54432"/>
    <n v="0"/>
    <n v="32659.199999999997"/>
    <n v="0"/>
    <n v="32659.199999999997"/>
  </r>
  <r>
    <s v="Cerdo"/>
    <x v="0"/>
    <s v="agro america1020828"/>
    <x v="2"/>
    <n v="1020828"/>
    <s v="GO BB Ribs 20-24 Oz@ Cj 10k AS"/>
    <s v="Chuleta"/>
    <n v="0"/>
    <n v="0"/>
    <x v="8"/>
    <m/>
    <x v="7"/>
    <n v="61311.123458000002"/>
    <n v="0"/>
    <n v="0"/>
    <n v="32898.148148148146"/>
    <n v="94209.271606148148"/>
    <x v="7"/>
    <n v="61311.123458000002"/>
    <n v="0"/>
    <n v="0"/>
    <x v="10"/>
    <x v="10"/>
    <m/>
    <m/>
    <n v="0"/>
    <n v="0"/>
    <n v="0"/>
    <n v="0"/>
    <n v="19740"/>
    <n v="0"/>
    <n v="11844"/>
    <n v="0"/>
    <n v="11844"/>
  </r>
  <r>
    <s v="Pavo"/>
    <x v="0"/>
    <s v="agro america1030452"/>
    <x v="2"/>
    <n v="1030452"/>
    <s v="PV Pech USA 10 - 12 LB@ Bo Hor Cj 11k SO"/>
    <s v="Pech Desh"/>
    <n v="0"/>
    <n v="0"/>
    <x v="9"/>
    <m/>
    <x v="8"/>
    <n v="12797.25913"/>
    <n v="45123.304199999999"/>
    <n v="21684.039814814812"/>
    <n v="53383.774074074077"/>
    <n v="66181.033204074076"/>
    <x v="8"/>
    <n v="12797.25913"/>
    <n v="54147.965039999995"/>
    <n v="21684.039814814812"/>
    <x v="11"/>
    <x v="11"/>
    <n v="48081"/>
    <n v="48081"/>
    <n v="12800.7654"/>
    <n v="60881.765400000004"/>
    <n v="12800.7654"/>
    <n v="60881.765400000004"/>
    <n v="48081"/>
    <n v="0"/>
    <n v="28848.6"/>
    <n v="0"/>
    <n v="28848.6"/>
  </r>
  <r>
    <s v="Pavo"/>
    <x v="0"/>
    <s v="agro america1030782"/>
    <x v="2"/>
    <n v="1030782"/>
    <s v="PV Pech USA 12-15 LB @BO Hor Cj 15k AS"/>
    <s v="Pech Desh"/>
    <n v="0"/>
    <n v="0"/>
    <x v="10"/>
    <m/>
    <x v="9"/>
    <n v="0"/>
    <n v="0"/>
    <n v="15881.62962962963"/>
    <n v="38823.268518518518"/>
    <n v="38823.268518518518"/>
    <x v="9"/>
    <n v="0"/>
    <n v="0"/>
    <n v="15881.62962962963"/>
    <x v="12"/>
    <x v="12"/>
    <m/>
    <m/>
    <n v="0"/>
    <n v="0"/>
    <n v="0"/>
    <n v="0"/>
    <m/>
    <n v="0"/>
    <n v="0"/>
    <n v="0"/>
    <n v="0"/>
  </r>
  <r>
    <s v="Pollo"/>
    <x v="0"/>
    <s v="agro america1011701"/>
    <x v="2"/>
    <n v="1011701"/>
    <s v="PO PchDeh NMr@ Cj 20k AS"/>
    <s v="Pechuga Desh"/>
    <n v="0"/>
    <n v="0"/>
    <x v="2"/>
    <n v="0"/>
    <x v="1"/>
    <n v="54413.386200000008"/>
    <n v="43533.228000000003"/>
    <n v="0"/>
    <n v="72273.393518518526"/>
    <n v="126686.77971851853"/>
    <x v="1"/>
    <n v="54413.386200000008"/>
    <n v="52239.873599999999"/>
    <n v="0"/>
    <x v="13"/>
    <x v="13"/>
    <n v="72576"/>
    <n v="72576"/>
    <n v="118904.05348999999"/>
    <n v="191480.05348999999"/>
    <n v="118904.05348999999"/>
    <n v="191480.05348999999"/>
    <n v="72576"/>
    <n v="0"/>
    <n v="43545.599999999999"/>
    <n v="0"/>
    <n v="43545.599999999999"/>
  </r>
  <r>
    <s v="Pollo"/>
    <x v="0"/>
    <s v="agro america1012145"/>
    <x v="2"/>
    <n v="1012145"/>
    <s v="PO PchDeh S/p/g/f &lt;140@ Fi Cj 20k AS"/>
    <s v="Pechuga Desh"/>
    <n v="0"/>
    <n v="0"/>
    <x v="11"/>
    <n v="3568.93"/>
    <x v="10"/>
    <n v="118550.80512"/>
    <n v="47422.32"/>
    <n v="0"/>
    <n v="61173.994444444448"/>
    <n v="179724.79956444446"/>
    <x v="10"/>
    <n v="118550.80512"/>
    <n v="56906.783999999992"/>
    <n v="0"/>
    <x v="14"/>
    <x v="14"/>
    <n v="188350"/>
    <n v="188350"/>
    <n v="19758.467519999998"/>
    <n v="208108.46752000001"/>
    <n v="19758.467519999998"/>
    <n v="208108.46752000001"/>
    <n v="139708"/>
    <n v="39516.935039999997"/>
    <n v="123341.73504"/>
    <n v="39516.935039999997"/>
    <n v="123341.73504"/>
  </r>
  <r>
    <s v="Pollo"/>
    <x v="0"/>
    <s v="agro america1012158"/>
    <x v="2"/>
    <n v="1012158"/>
    <s v="PO File s/t 8x5 Mr@ Fi Cj AS"/>
    <s v="Filete"/>
    <n v="0"/>
    <n v="0"/>
    <x v="2"/>
    <n v="0"/>
    <x v="1"/>
    <n v="150592.54399999999"/>
    <n v="145877.76000000001"/>
    <n v="1680"/>
    <n v="124387.20000000001"/>
    <n v="274979.74400000001"/>
    <x v="1"/>
    <n v="150592.54399999999"/>
    <n v="175053.31200000001"/>
    <n v="1680"/>
    <x v="15"/>
    <x v="15"/>
    <n v="105688"/>
    <n v="105688"/>
    <n v="19958.047999999999"/>
    <n v="125646.048"/>
    <n v="19958.047999999999"/>
    <n v="125646.048"/>
    <n v="145605"/>
    <n v="0"/>
    <n v="87363"/>
    <n v="0"/>
    <n v="87363"/>
  </r>
  <r>
    <s v="Pollo"/>
    <x v="0"/>
    <s v="agro america1012159"/>
    <x v="2"/>
    <n v="1012159"/>
    <s v="PO Tru Ctro Ala 60-80 8x5 Mr@ Fi Cj AS"/>
    <s v="Ala"/>
    <n v="0"/>
    <n v="0"/>
    <x v="12"/>
    <m/>
    <x v="11"/>
    <n v="16873.6224"/>
    <n v="2177.2800000000002"/>
    <n v="33600"/>
    <n v="54549.599999999999"/>
    <n v="71423.222399999999"/>
    <x v="11"/>
    <n v="16873.6224"/>
    <n v="2612.7359999999999"/>
    <n v="33600"/>
    <x v="16"/>
    <x v="16"/>
    <m/>
    <m/>
    <n v="79832.191999999995"/>
    <n v="79832.191999999995"/>
    <n v="79832.191999999995"/>
    <n v="79832.191999999995"/>
    <n v="339291"/>
    <n v="0"/>
    <n v="203574.6"/>
    <n v="0"/>
    <n v="203574.6"/>
  </r>
  <r>
    <s v="Pollo"/>
    <x v="0"/>
    <s v="agro america1012483"/>
    <x v="2"/>
    <n v="1012483"/>
    <s v="PO Tru-Ctro Ala 4x10 Mr@ Cj AS"/>
    <s v="Ala"/>
    <n v="0"/>
    <n v="0"/>
    <x v="13"/>
    <m/>
    <x v="12"/>
    <n v="179622.432"/>
    <n v="347428.56959999999"/>
    <n v="55440"/>
    <n v="334907.93796296295"/>
    <n v="514530.36996296293"/>
    <x v="12"/>
    <n v="179622.432"/>
    <n v="416914.28351999994"/>
    <n v="55440"/>
    <x v="17"/>
    <x v="17"/>
    <n v="299374"/>
    <n v="299374"/>
    <n v="199580.47999999998"/>
    <n v="498954.48"/>
    <n v="199580.47999999998"/>
    <n v="498954.48"/>
    <n v="299374"/>
    <n v="19958.047999999999"/>
    <n v="199582.448"/>
    <n v="19958.047999999999"/>
    <n v="199582.448"/>
  </r>
  <r>
    <s v="Cerdo"/>
    <x v="0"/>
    <s v="agro america1023050"/>
    <x v="2"/>
    <n v="1023050"/>
    <s v="GO Lom Centro@ Cj 16k AS"/>
    <s v="Lomo"/>
    <n v="0"/>
    <n v="0"/>
    <x v="1"/>
    <n v="1010.54"/>
    <x v="1"/>
    <n v="0"/>
    <n v="0"/>
    <n v="0"/>
    <n v="174.07037037037037"/>
    <n v="174.07037037037037"/>
    <x v="1"/>
    <n v="0"/>
    <n v="0"/>
    <n v="0"/>
    <x v="18"/>
    <x v="18"/>
    <m/>
    <m/>
    <n v="0"/>
    <n v="0"/>
    <n v="0"/>
    <n v="0"/>
    <m/>
    <n v="0"/>
    <n v="0"/>
    <n v="0"/>
    <n v="0"/>
  </r>
  <r>
    <s v="Cerdo"/>
    <x v="0"/>
    <s v="agro america1023276"/>
    <x v="2"/>
    <n v="1023276"/>
    <s v="GO Rosada@ Va Cj 20k"/>
    <s v="Pierna"/>
    <n v="0"/>
    <n v="0"/>
    <x v="2"/>
    <n v="0"/>
    <x v="1"/>
    <n v="21088.136183999999"/>
    <n v="0"/>
    <n v="16807.722222222223"/>
    <n v="2598.1157407407409"/>
    <n v="23686.25192474074"/>
    <x v="1"/>
    <n v="21088.136183999999"/>
    <n v="0"/>
    <n v="16807.722222222223"/>
    <x v="19"/>
    <x v="19"/>
    <m/>
    <m/>
    <n v="0"/>
    <n v="0"/>
    <n v="0"/>
    <n v="0"/>
    <m/>
    <n v="0"/>
    <n v="0"/>
    <n v="0"/>
    <n v="0"/>
  </r>
  <r>
    <s v="Pavo"/>
    <x v="0"/>
    <s v="agro america1030379"/>
    <x v="2"/>
    <n v="1030379"/>
    <s v="PV PchDeh S/p@ Bo Cj 20k SO"/>
    <s v="Pech Desh"/>
    <n v="0"/>
    <n v="0"/>
    <x v="14"/>
    <m/>
    <x v="13"/>
    <n v="756128.79215999972"/>
    <n v="585537.43199999991"/>
    <n v="125266.77777777778"/>
    <n v="298083.87037037039"/>
    <n v="1054212.6625303701"/>
    <x v="13"/>
    <n v="756128.79215999972"/>
    <n v="702644.91840000008"/>
    <n v="125266.77777777778"/>
    <x v="20"/>
    <x v="20"/>
    <n v="636217"/>
    <n v="636217"/>
    <n v="600174.79071999993"/>
    <n v="1236391.7907199999"/>
    <n v="600174.79071999993"/>
    <n v="1236391.7907199999"/>
    <n v="792217"/>
    <n v="24004.088640000002"/>
    <n v="499334.28863999993"/>
    <n v="24004.088640000002"/>
    <n v="499334.28863999993"/>
  </r>
  <r>
    <s v="Pollo"/>
    <x v="0"/>
    <s v="agro america1012157"/>
    <x v="2"/>
    <n v="1012157"/>
    <s v="PO Tru Ala 8x5@ Fi Cj AS"/>
    <s v="Ala"/>
    <n v="0"/>
    <n v="0"/>
    <x v="2"/>
    <n v="0"/>
    <x v="1"/>
    <n v="39916.095999999998"/>
    <n v="47900.160000000003"/>
    <n v="0"/>
    <n v="739.18796296296296"/>
    <n v="40655.28396296296"/>
    <x v="1"/>
    <n v="39916.095999999998"/>
    <n v="57480.192000000003"/>
    <n v="0"/>
    <x v="21"/>
    <x v="21"/>
    <n v="39917"/>
    <n v="39917"/>
    <n v="19958.047999999999"/>
    <n v="59875.047999999995"/>
    <n v="19958.047999999999"/>
    <n v="59875.047999999995"/>
    <n v="63504"/>
    <n v="0"/>
    <n v="38102.400000000001"/>
    <n v="0"/>
    <n v="38102.400000000001"/>
  </r>
  <r>
    <s v="Pollo"/>
    <x v="0"/>
    <s v="agro america1012161"/>
    <x v="2"/>
    <n v="1012161"/>
    <s v="PO Ala Ctro 8x5 Mr@ Cj 20k AS"/>
    <s v="Ala"/>
    <n v="0"/>
    <n v="0"/>
    <x v="15"/>
    <m/>
    <x v="14"/>
    <n v="110676.44799999999"/>
    <n v="133902.72"/>
    <n v="840"/>
    <n v="82034.366666666669"/>
    <n v="192710.81466666667"/>
    <x v="14"/>
    <n v="110676.44799999999"/>
    <n v="160683.264"/>
    <n v="840"/>
    <x v="22"/>
    <x v="22"/>
    <n v="159666"/>
    <n v="159666"/>
    <n v="89811.215999999986"/>
    <n v="249477.21599999999"/>
    <n v="89811.215999999986"/>
    <n v="249477.21599999999"/>
    <n v="159666"/>
    <n v="0"/>
    <n v="95799.599999999991"/>
    <n v="0"/>
    <n v="95799.599999999991"/>
  </r>
  <r>
    <s v="Elaborado"/>
    <x v="0"/>
    <s v="agro america1100570"/>
    <x v="2"/>
    <n v="1100570"/>
    <s v="Figuritas Pollo@ Bo 18x1.5 Lb Cj AS"/>
    <s v="Empanizado"/>
    <n v="0"/>
    <n v="0"/>
    <x v="2"/>
    <n v="0"/>
    <x v="1"/>
    <n v="6730.8516879999997"/>
    <n v="0"/>
    <n v="0"/>
    <n v="226.66666666666669"/>
    <n v="6957.5183546666667"/>
    <x v="1"/>
    <n v="6730.8516879999997"/>
    <n v="0"/>
    <n v="0"/>
    <x v="23"/>
    <x v="23"/>
    <m/>
    <m/>
    <n v="4895.1648640000003"/>
    <n v="4895.1648640000003"/>
    <n v="4895.1648640000003"/>
    <n v="4895.1648640000003"/>
    <m/>
    <n v="0"/>
    <n v="0"/>
    <n v="0"/>
    <n v="0"/>
  </r>
  <r>
    <s v="Elaborado"/>
    <x v="0"/>
    <s v="agro america1100602"/>
    <x v="2"/>
    <n v="1100602"/>
    <s v="File Pollo PR@ Bo 18x1.5 Lb Cj AS"/>
    <s v="Empanizado"/>
    <n v="0"/>
    <n v="0"/>
    <x v="2"/>
    <n v="0"/>
    <x v="1"/>
    <n v="0"/>
    <n v="0"/>
    <n v="0"/>
    <n v="464.66666666666663"/>
    <n v="464.66666666666663"/>
    <x v="1"/>
    <n v="0"/>
    <n v="0"/>
    <n v="0"/>
    <x v="24"/>
    <x v="24"/>
    <m/>
    <m/>
    <n v="0"/>
    <n v="0"/>
    <n v="0"/>
    <n v="0"/>
    <m/>
    <n v="0"/>
    <n v="0"/>
    <n v="0"/>
    <n v="0"/>
  </r>
  <r>
    <s v="Pollo"/>
    <x v="0"/>
    <s v="agro america1012110"/>
    <x v="2"/>
    <n v="1012110"/>
    <s v="PO PchDeh 7oz Mr@ Cj AS"/>
    <s v="Pechuga Desh"/>
    <n v="0"/>
    <n v="0"/>
    <x v="2"/>
    <n v="0"/>
    <x v="1"/>
    <n v="163057.25215999997"/>
    <n v="71850.239999999991"/>
    <n v="21252"/>
    <n v="361855.2"/>
    <n v="524912.45215999999"/>
    <x v="1"/>
    <n v="163057.25215999997"/>
    <n v="86220.287999999986"/>
    <n v="21252"/>
    <x v="25"/>
    <x v="25"/>
    <m/>
    <m/>
    <n v="0"/>
    <n v="0"/>
    <n v="0"/>
    <n v="0"/>
    <m/>
    <n v="0"/>
    <n v="0"/>
    <n v="0"/>
    <n v="0"/>
  </r>
  <r>
    <s v="Pollo"/>
    <x v="0"/>
    <s v="agro america1012148"/>
    <x v="2"/>
    <n v="1012148"/>
    <s v="PO Tru-Ctro Ala 60-80 Mr@ Fi Cj 20k AS"/>
    <s v="Ala"/>
    <n v="0"/>
    <n v="0"/>
    <x v="2"/>
    <n v="0"/>
    <x v="1"/>
    <n v="39516.935039999997"/>
    <n v="0"/>
    <n v="18295.648148148146"/>
    <n v="91927.315740740742"/>
    <n v="131444.25078074075"/>
    <x v="1"/>
    <n v="39516.935039999997"/>
    <n v="0"/>
    <n v="18295.648148148146"/>
    <x v="26"/>
    <x v="26"/>
    <n v="199583"/>
    <n v="199583"/>
    <n v="39516.935039999997"/>
    <n v="239099.93504000001"/>
    <n v="39516.935039999997"/>
    <n v="239099.93504000001"/>
    <n v="319332"/>
    <n v="0"/>
    <n v="191599.19999999998"/>
    <n v="0"/>
    <n v="191599.19999999998"/>
  </r>
  <r>
    <s v="Pollo"/>
    <x v="0"/>
    <s v="agro america1012520"/>
    <x v="2"/>
    <n v="1012520"/>
    <s v="PO PchDeh 5oz Mr@ Cj AS"/>
    <s v="Pechuga Desh"/>
    <n v="0"/>
    <n v="0"/>
    <x v="2"/>
    <n v="0"/>
    <x v="1"/>
    <n v="36287.360000000001"/>
    <n v="0"/>
    <n v="0"/>
    <n v="21420"/>
    <n v="57707.360000000001"/>
    <x v="1"/>
    <n v="36287.360000000001"/>
    <n v="0"/>
    <n v="0"/>
    <x v="27"/>
    <x v="27"/>
    <n v="449061"/>
    <n v="449061"/>
    <n v="38101.728000000003"/>
    <n v="487162.728"/>
    <n v="38101.728000000003"/>
    <n v="487162.728"/>
    <n v="449061"/>
    <n v="0"/>
    <n v="269436.59999999998"/>
    <n v="0"/>
    <n v="269436.59999999998"/>
  </r>
  <r>
    <s v="Pollo"/>
    <x v="0"/>
    <s v="agro america1012521"/>
    <x v="2"/>
    <n v="1012521"/>
    <s v="PO PchDeh 6oz Mr@ Cj AS"/>
    <s v="Pechuga Desh"/>
    <n v="0"/>
    <n v="0"/>
    <x v="2"/>
    <n v="0"/>
    <x v="1"/>
    <n v="71195.800319999995"/>
    <n v="0"/>
    <n v="16800"/>
    <n v="120624"/>
    <n v="191819.80031999998"/>
    <x v="1"/>
    <n v="71195.800319999995"/>
    <n v="0"/>
    <n v="16800"/>
    <x v="28"/>
    <x v="28"/>
    <n v="747948"/>
    <n v="747948"/>
    <n v="96524.377599999978"/>
    <n v="844472.37760000001"/>
    <n v="96524.377599999978"/>
    <n v="844472.37760000001"/>
    <n v="762043"/>
    <n v="0"/>
    <n v="457225.8"/>
    <n v="0"/>
    <n v="457225.8"/>
  </r>
  <r>
    <s v="Pollo"/>
    <x v="0"/>
    <s v="agro america1012522"/>
    <x v="2"/>
    <n v="1012522"/>
    <s v="PO PchDeh 7oz Mr@ Cj AS"/>
    <s v="Pechuga Desh"/>
    <n v="0"/>
    <n v="0"/>
    <x v="16"/>
    <n v="904.17"/>
    <x v="15"/>
    <n v="54431.040000000001"/>
    <n v="35925.119999999995"/>
    <n v="15708"/>
    <n v="153199.19722222222"/>
    <n v="207630.23722222223"/>
    <x v="15"/>
    <n v="54431.040000000001"/>
    <n v="43110.143999999993"/>
    <n v="15708"/>
    <x v="29"/>
    <x v="29"/>
    <n v="79833"/>
    <n v="79833"/>
    <n v="18143.68"/>
    <n v="97976.68"/>
    <n v="18143.68"/>
    <n v="97976.68"/>
    <n v="123378"/>
    <n v="0"/>
    <n v="74026.8"/>
    <n v="0"/>
    <n v="74026.8"/>
  </r>
  <r>
    <s v="Pollo"/>
    <x v="0"/>
    <s v="agro america1012523"/>
    <x v="2"/>
    <n v="1012523"/>
    <s v="PO PchDeh 8oz Mr@ Cj AS"/>
    <s v="Pechuga Desh"/>
    <n v="0"/>
    <n v="0"/>
    <x v="2"/>
    <n v="0"/>
    <x v="1"/>
    <n v="0"/>
    <n v="0"/>
    <n v="18480"/>
    <n v="35313.599999999999"/>
    <n v="35313.599999999999"/>
    <x v="1"/>
    <n v="0"/>
    <n v="0"/>
    <n v="18480"/>
    <x v="30"/>
    <x v="30"/>
    <n v="87681"/>
    <n v="87681"/>
    <n v="997.90239999999994"/>
    <n v="88678.902400000006"/>
    <n v="997.90239999999994"/>
    <n v="88678.902400000006"/>
    <n v="149687"/>
    <n v="0"/>
    <n v="89812.2"/>
    <n v="0"/>
    <n v="89812.2"/>
  </r>
  <r>
    <s v="Cerdo"/>
    <x v="0"/>
    <s v="agro america1021398"/>
    <x v="2"/>
    <n v="1021398"/>
    <s v="GO File C/cab@ Cj 5k AS"/>
    <s v="Filete"/>
    <n v="0"/>
    <n v="0"/>
    <x v="2"/>
    <n v="0"/>
    <x v="1"/>
    <n v="0"/>
    <n v="0"/>
    <n v="0"/>
    <n v="26356.481481481482"/>
    <n v="26356.481481481482"/>
    <x v="1"/>
    <n v="0"/>
    <n v="0"/>
    <n v="0"/>
    <x v="31"/>
    <x v="31"/>
    <n v="24041"/>
    <n v="24041"/>
    <n v="0"/>
    <n v="24041"/>
    <n v="0"/>
    <n v="24041"/>
    <n v="24041"/>
    <n v="0"/>
    <n v="14424.6"/>
    <n v="0"/>
    <n v="14424.6"/>
  </r>
  <r>
    <s v="Cerdo"/>
    <x v="0"/>
    <s v="agro america1022883"/>
    <x v="2"/>
    <n v="1022883"/>
    <s v="GO BB Ribs 640g@ Cj 16k AS"/>
    <s v="Chuleta"/>
    <n v="0"/>
    <n v="0"/>
    <x v="2"/>
    <n v="0"/>
    <x v="1"/>
    <n v="0"/>
    <n v="0"/>
    <n v="0"/>
    <n v="31051.85185185185"/>
    <n v="31051.85185185185"/>
    <x v="1"/>
    <n v="0"/>
    <n v="0"/>
    <n v="0"/>
    <x v="32"/>
    <x v="32"/>
    <n v="14775"/>
    <n v="14775"/>
    <n v="0"/>
    <n v="14775"/>
    <n v="0"/>
    <n v="14775"/>
    <n v="23587"/>
    <n v="0"/>
    <n v="14152.199999999999"/>
    <n v="0"/>
    <n v="14152.199999999999"/>
  </r>
  <r>
    <s v="Cerdo"/>
    <x v="0"/>
    <s v="agro america1023175"/>
    <x v="2"/>
    <n v="1023175"/>
    <s v="GO Pp Pna USA@ Cj Muestra SAG"/>
    <s v="Muestra"/>
    <n v="0"/>
    <n v="0"/>
    <x v="2"/>
    <n v="0"/>
    <x v="1"/>
    <n v="0"/>
    <n v="0"/>
    <n v="0"/>
    <n v="43.425925925925924"/>
    <n v="43.425925925925924"/>
    <x v="1"/>
    <n v="0"/>
    <n v="0"/>
    <n v="0"/>
    <x v="33"/>
    <x v="33"/>
    <m/>
    <m/>
    <n v="0"/>
    <n v="0"/>
    <n v="0"/>
    <n v="0"/>
    <m/>
    <n v="0"/>
    <n v="0"/>
    <n v="0"/>
    <n v="0"/>
  </r>
  <r>
    <s v="Cerdo"/>
    <x v="0"/>
    <s v="andes asia1021952"/>
    <x v="0"/>
    <n v="1021952"/>
    <s v="GO BB Ribs 20-24 Oz@ Cj 10k AS"/>
    <s v="Chuleta"/>
    <n v="0"/>
    <n v="0"/>
    <x v="17"/>
    <m/>
    <x v="16"/>
    <n v="1500"/>
    <n v="0"/>
    <n v="0"/>
    <n v="5657.4074074074078"/>
    <n v="7157.4074074074078"/>
    <x v="16"/>
    <n v="1500"/>
    <n v="0"/>
    <n v="0"/>
    <x v="34"/>
    <x v="34"/>
    <n v="3000"/>
    <n v="3000"/>
    <n v="0"/>
    <n v="3000"/>
    <n v="0"/>
    <n v="3000"/>
    <n v="3000"/>
    <n v="0"/>
    <n v="2100"/>
    <n v="0"/>
    <n v="2100"/>
  </r>
  <r>
    <s v="Cerdo"/>
    <x v="0"/>
    <s v="andes asia1022141"/>
    <x v="0"/>
    <n v="1022141"/>
    <s v="GO Posta Negra D@ Cj AS"/>
    <s v="Pierna"/>
    <n v="0"/>
    <n v="0"/>
    <x v="18"/>
    <n v="884.98"/>
    <x v="17"/>
    <n v="44079.299999999996"/>
    <n v="46911.643799999998"/>
    <n v="0"/>
    <n v="840.07685185185187"/>
    <n v="44919.376851851848"/>
    <x v="17"/>
    <n v="44079.299999999996"/>
    <n v="56293.972559999995"/>
    <n v="0"/>
    <x v="35"/>
    <x v="35"/>
    <n v="42065"/>
    <n v="42065"/>
    <n v="30748.45"/>
    <n v="72813.45"/>
    <n v="30748.45"/>
    <n v="72813.45"/>
    <n v="49847"/>
    <n v="6012.68"/>
    <n v="40905.579999999994"/>
    <n v="6012.68"/>
    <n v="40905.579999999994"/>
  </r>
  <r>
    <s v="Pavo"/>
    <x v="0"/>
    <s v="agro america1030461"/>
    <x v="2"/>
    <n v="1030461"/>
    <s v="PV Pech USA 8 - 10 LB@ Bo Hor Cj 11k SO"/>
    <s v="Pech Desh"/>
    <n v="0"/>
    <n v="0"/>
    <x v="19"/>
    <m/>
    <x v="18"/>
    <n v="7996.210075"/>
    <n v="107434.98899999999"/>
    <n v="3266.9305555555557"/>
    <n v="8151.9037037037042"/>
    <n v="16148.113778703704"/>
    <x v="18"/>
    <n v="7996.210075"/>
    <n v="128921.9868"/>
    <n v="3266.9305555555557"/>
    <x v="36"/>
    <x v="36"/>
    <m/>
    <m/>
    <n v="7995.7428749999999"/>
    <n v="7995.7428749999999"/>
    <n v="7995.7428749999999"/>
    <n v="7995.7428749999999"/>
    <m/>
    <n v="0"/>
    <n v="0"/>
    <n v="0"/>
    <n v="0"/>
  </r>
  <r>
    <s v="Pavo"/>
    <x v="0"/>
    <s v="agro america1030783"/>
    <x v="2"/>
    <n v="1030783"/>
    <s v="PV Pch MA 8% 18-20 Lb@ Bo Cj 20k AS"/>
    <s v="Pech"/>
    <n v="0"/>
    <n v="0"/>
    <x v="2"/>
    <n v="0"/>
    <x v="1"/>
    <n v="0"/>
    <n v="0"/>
    <n v="2092.7037037037035"/>
    <n v="15.635185185185184"/>
    <n v="15.635185185185184"/>
    <x v="1"/>
    <n v="0"/>
    <n v="0"/>
    <n v="2092.7037037037035"/>
    <x v="37"/>
    <x v="37"/>
    <n v="1320"/>
    <n v="1320"/>
    <n v="0"/>
    <n v="1320"/>
    <n v="0"/>
    <n v="1320"/>
    <n v="1320"/>
    <n v="0"/>
    <n v="792"/>
    <n v="0"/>
    <n v="792"/>
  </r>
  <r>
    <s v="Pavo"/>
    <x v="0"/>
    <s v="agro america1030818"/>
    <x v="2"/>
    <n v="1030818"/>
    <s v="PV Fil C/ten MA NMr@ Cj 40 Lb AS"/>
    <s v="Pech Desh"/>
    <n v="0"/>
    <n v="0"/>
    <x v="20"/>
    <m/>
    <x v="19"/>
    <n v="24004.088640000002"/>
    <n v="0"/>
    <n v="0"/>
    <n v="23901.129629629631"/>
    <n v="47905.218269629637"/>
    <x v="19"/>
    <n v="24004.088640000002"/>
    <n v="0"/>
    <n v="0"/>
    <x v="38"/>
    <x v="38"/>
    <n v="48000"/>
    <n v="48000"/>
    <n v="72066.696960000001"/>
    <n v="120066.69696"/>
    <n v="72066.696960000001"/>
    <n v="120066.69696"/>
    <n v="24000"/>
    <n v="0"/>
    <n v="14400"/>
    <n v="0"/>
    <n v="14400"/>
  </r>
  <r>
    <s v="Elaborado"/>
    <x v="0"/>
    <s v="agro america1100573"/>
    <x v="2"/>
    <n v="1100573"/>
    <s v="Croq Pollo 80g@Bo 18x1,5 Lb Cj AS"/>
    <s v="Empanizado"/>
    <n v="0"/>
    <n v="0"/>
    <x v="2"/>
    <n v="0"/>
    <x v="1"/>
    <n v="5507.0604719999992"/>
    <n v="0"/>
    <n v="0"/>
    <n v="1371.3333333333333"/>
    <n v="6878.3938053333322"/>
    <x v="1"/>
    <n v="5507.0604719999992"/>
    <n v="0"/>
    <n v="0"/>
    <x v="39"/>
    <x v="39"/>
    <m/>
    <m/>
    <n v="3671.3736479999998"/>
    <n v="3671.3736479999998"/>
    <n v="3671.3736479999998"/>
    <n v="3671.3736479999998"/>
    <m/>
    <n v="0"/>
    <n v="0"/>
    <n v="0"/>
    <n v="0"/>
  </r>
  <r>
    <s v="Pollo"/>
    <x v="0"/>
    <s v="agro america1012111"/>
    <x v="2"/>
    <n v="1012111"/>
    <s v="PO PchDeh 8oz Mr@ Cj AS"/>
    <s v="Pechuga Desh"/>
    <n v="0"/>
    <n v="0"/>
    <x v="21"/>
    <n v="751.15"/>
    <x v="20"/>
    <n v="79596.324160000004"/>
    <n v="41912.639999999999"/>
    <n v="36960"/>
    <n v="87931.199999999997"/>
    <n v="167527.52416"/>
    <x v="20"/>
    <n v="79596.324160000004"/>
    <n v="50295.167999999998"/>
    <n v="36960"/>
    <x v="40"/>
    <x v="40"/>
    <m/>
    <m/>
    <n v="114758.77600000001"/>
    <n v="114758.77600000001"/>
    <n v="114758.77600000001"/>
    <n v="114758.77600000001"/>
    <m/>
    <n v="0"/>
    <n v="0"/>
    <n v="0"/>
    <n v="0"/>
  </r>
  <r>
    <s v="Pollo"/>
    <x v="0"/>
    <s v="agro america1012112"/>
    <x v="2"/>
    <n v="1012112"/>
    <s v="PO PchDeh 9oz Mr@ Cj AS"/>
    <s v="Pechuga Desh"/>
    <n v="0"/>
    <n v="0"/>
    <x v="2"/>
    <n v="0"/>
    <x v="1"/>
    <n v="0"/>
    <n v="0"/>
    <n v="0"/>
    <n v="51408"/>
    <n v="51408"/>
    <x v="1"/>
    <n v="0"/>
    <n v="0"/>
    <n v="0"/>
    <x v="41"/>
    <x v="41"/>
    <m/>
    <m/>
    <n v="0"/>
    <n v="0"/>
    <n v="0"/>
    <n v="0"/>
    <m/>
    <n v="0"/>
    <n v="0"/>
    <n v="0"/>
    <n v="0"/>
  </r>
  <r>
    <s v="Pollo"/>
    <x v="0"/>
    <s v="agro america1012163"/>
    <x v="2"/>
    <n v="1012163"/>
    <s v="PO File s/t 4x10 Mr@ Zi Cj 20k AS"/>
    <s v="Filete"/>
    <n v="0"/>
    <n v="0"/>
    <x v="22"/>
    <m/>
    <x v="21"/>
    <n v="219538.52800000002"/>
    <n v="179625.60000000001"/>
    <n v="16833.600000000002"/>
    <n v="171124.80000000002"/>
    <n v="390663.32800000004"/>
    <x v="21"/>
    <n v="219538.52800000002"/>
    <n v="215550.72"/>
    <n v="16833.600000000002"/>
    <x v="42"/>
    <x v="42"/>
    <n v="168738"/>
    <n v="168738"/>
    <n v="159664.38399999999"/>
    <n v="328402.38399999996"/>
    <n v="159664.38399999999"/>
    <n v="328402.38399999996"/>
    <n v="168738"/>
    <n v="0"/>
    <n v="101242.8"/>
    <n v="0"/>
    <n v="101242.8"/>
  </r>
  <r>
    <s v="Pollo"/>
    <x v="0"/>
    <s v="agro america1012164"/>
    <x v="2"/>
    <n v="1012164"/>
    <s v="PO Ala Ctro 4x10 Mr@ Zi Cj 20k AS"/>
    <s v="Ala"/>
    <n v="0"/>
    <n v="0"/>
    <x v="2"/>
    <n v="0"/>
    <x v="1"/>
    <n v="0"/>
    <n v="0"/>
    <n v="0"/>
    <n v="70408.800000000003"/>
    <n v="70408.800000000003"/>
    <x v="1"/>
    <n v="0"/>
    <n v="0"/>
    <n v="0"/>
    <x v="43"/>
    <x v="43"/>
    <n v="59875"/>
    <n v="59875"/>
    <n v="39716.515520000001"/>
    <n v="99591.515520000001"/>
    <n v="39716.515520000001"/>
    <n v="99591.515520000001"/>
    <n v="59875"/>
    <n v="0"/>
    <n v="35925"/>
    <n v="0"/>
    <n v="35925"/>
  </r>
  <r>
    <s v="Pollo"/>
    <x v="0"/>
    <s v="agro america1012524"/>
    <x v="2"/>
    <n v="1012524"/>
    <s v="PO PchDeh 9oz Mr@ Cj AS"/>
    <s v="Pechuga Desh"/>
    <n v="0"/>
    <n v="0"/>
    <x v="23"/>
    <n v="184.67"/>
    <x v="22"/>
    <n v="0"/>
    <n v="0"/>
    <n v="0"/>
    <n v="24360"/>
    <n v="24360"/>
    <x v="22"/>
    <n v="0"/>
    <n v="0"/>
    <n v="0"/>
    <x v="44"/>
    <x v="44"/>
    <n v="39917"/>
    <n v="39917"/>
    <n v="18143.68"/>
    <n v="58060.68"/>
    <n v="18143.68"/>
    <n v="58060.68"/>
    <n v="39917"/>
    <n v="0"/>
    <n v="23950.2"/>
    <n v="0"/>
    <n v="23950.2"/>
  </r>
  <r>
    <s v="Pollo"/>
    <x v="0"/>
    <s v="agro america1012579"/>
    <x v="2"/>
    <n v="1012579"/>
    <s v="PO PchDeh 4x10 Mr@ MQNI Fi Cj AS"/>
    <s v="Pechuga Desh"/>
    <n v="0"/>
    <n v="0"/>
    <x v="2"/>
    <n v="0"/>
    <x v="1"/>
    <n v="0"/>
    <n v="0"/>
    <n v="0"/>
    <n v="2822.35"/>
    <n v="2822.35"/>
    <x v="1"/>
    <n v="0"/>
    <n v="0"/>
    <n v="0"/>
    <x v="45"/>
    <x v="45"/>
    <m/>
    <m/>
    <n v="0"/>
    <n v="0"/>
    <n v="0"/>
    <n v="0"/>
    <m/>
    <n v="0"/>
    <n v="0"/>
    <n v="0"/>
    <n v="0"/>
  </r>
  <r>
    <s v="Pollo"/>
    <x v="0"/>
    <s v="agro america1012597"/>
    <x v="2"/>
    <n v="1012597"/>
    <s v="PO Tru-Ctro Ala 4x10 Mr@ MAQ Fi Cj AS"/>
    <s v="Ala"/>
    <n v="0"/>
    <n v="0"/>
    <x v="2"/>
    <n v="0"/>
    <x v="1"/>
    <n v="0"/>
    <n v="0"/>
    <n v="0"/>
    <n v="739.16666666666663"/>
    <n v="739.16666666666663"/>
    <x v="1"/>
    <n v="0"/>
    <n v="0"/>
    <n v="0"/>
    <x v="46"/>
    <x v="46"/>
    <m/>
    <m/>
    <n v="0"/>
    <n v="0"/>
    <n v="0"/>
    <n v="0"/>
    <m/>
    <n v="0"/>
    <n v="0"/>
    <n v="0"/>
    <n v="0"/>
  </r>
  <r>
    <s v="Pollo"/>
    <x v="0"/>
    <s v="agro mexico1011150"/>
    <x v="3"/>
    <n v="1011150"/>
    <s v="PO Tru-Ctro Ala Mex@ Cj 9k AS"/>
    <s v="Ala"/>
    <n v="0"/>
    <n v="0"/>
    <x v="2"/>
    <n v="0"/>
    <x v="1"/>
    <n v="40014"/>
    <n v="159186.13043478259"/>
    <n v="0"/>
    <n v="34523"/>
    <n v="74537"/>
    <x v="1"/>
    <n v="40014"/>
    <n v="195921.39130434781"/>
    <n v="0"/>
    <x v="47"/>
    <x v="47"/>
    <n v="80000"/>
    <n v="80000"/>
    <n v="0"/>
    <n v="80000"/>
    <n v="0"/>
    <n v="80000"/>
    <n v="80000"/>
    <n v="0"/>
    <n v="64000"/>
    <n v="0"/>
    <n v="64000"/>
  </r>
  <r>
    <s v="Pollo"/>
    <x v="0"/>
    <s v="agro mexico1011151"/>
    <x v="3"/>
    <n v="1011151"/>
    <s v="PO File Mex@ Cj 9k AS"/>
    <s v="Filete"/>
    <n v="0"/>
    <n v="0"/>
    <x v="2"/>
    <n v="0"/>
    <x v="1"/>
    <n v="20007"/>
    <n v="158316.26086956519"/>
    <n v="0"/>
    <n v="17043"/>
    <n v="37050"/>
    <x v="1"/>
    <n v="20007"/>
    <n v="194850.78260869565"/>
    <n v="0"/>
    <x v="48"/>
    <x v="48"/>
    <m/>
    <m/>
    <n v="0"/>
    <n v="0"/>
    <n v="0"/>
    <n v="0"/>
    <m/>
    <n v="0"/>
    <n v="0"/>
    <n v="0"/>
    <n v="0"/>
  </r>
  <r>
    <s v="Pollo"/>
    <x v="0"/>
    <s v="agro mexico1012725"/>
    <x v="3"/>
    <n v="1012725"/>
    <s v="PO File s/t 8x5 Mr@ Cj AS"/>
    <s v="Filete"/>
    <n v="0"/>
    <n v="0"/>
    <x v="2"/>
    <n v="0"/>
    <x v="1"/>
    <n v="0"/>
    <n v="0"/>
    <n v="17001.600000000002"/>
    <n v="17001.600000000002"/>
    <n v="17001.600000000002"/>
    <x v="1"/>
    <n v="0"/>
    <n v="0"/>
    <n v="17001.600000000002"/>
    <x v="49"/>
    <x v="49"/>
    <m/>
    <m/>
    <n v="0"/>
    <n v="0"/>
    <n v="0"/>
    <n v="0"/>
    <m/>
    <n v="0"/>
    <n v="0"/>
    <n v="0"/>
    <n v="0"/>
  </r>
  <r>
    <s v="Pollo"/>
    <x v="0"/>
    <s v="agrosuper shanghai1012451"/>
    <x v="1"/>
    <n v="1012451"/>
    <s v="PO Ala Media@ Cj 15k AS"/>
    <s v="Ala"/>
    <n v="0"/>
    <n v="0"/>
    <x v="2"/>
    <n v="0"/>
    <x v="1"/>
    <n v="0"/>
    <n v="91854"/>
    <n v="3750"/>
    <n v="35987.916666666664"/>
    <n v="35987.916666666664"/>
    <x v="1"/>
    <n v="0"/>
    <n v="110224.79999999999"/>
    <n v="3750"/>
    <x v="50"/>
    <x v="50"/>
    <m/>
    <m/>
    <n v="870"/>
    <n v="870"/>
    <n v="870"/>
    <n v="870"/>
    <m/>
    <n v="0"/>
    <n v="0"/>
    <n v="0"/>
    <n v="0"/>
  </r>
  <r>
    <s v="Cerdo"/>
    <x v="0"/>
    <s v="agro america1022619"/>
    <x v="2"/>
    <n v="1022619"/>
    <s v="GO Malaya 5-6mm@ Vp Cj AS"/>
    <s v="Prolijado"/>
    <n v="0"/>
    <n v="0"/>
    <x v="2"/>
    <n v="0"/>
    <x v="1"/>
    <n v="2164.7315330000001"/>
    <n v="2602.2395999999999"/>
    <n v="0"/>
    <n v="29543.092592592595"/>
    <n v="31707.824125592597"/>
    <x v="1"/>
    <n v="2164.7315330000001"/>
    <n v="3122.6875199999999"/>
    <n v="0"/>
    <x v="51"/>
    <x v="51"/>
    <m/>
    <m/>
    <n v="0"/>
    <n v="0"/>
    <n v="0"/>
    <n v="0"/>
    <m/>
    <n v="0"/>
    <n v="0"/>
    <n v="0"/>
    <n v="0"/>
  </r>
  <r>
    <s v="Cerdo"/>
    <x v="0"/>
    <s v="agro america1023274"/>
    <x v="2"/>
    <n v="1023274"/>
    <s v="GO Ganso S/g S/abst @ Va Cj 12k"/>
    <s v="Pierna"/>
    <n v="0"/>
    <n v="0"/>
    <x v="2"/>
    <n v="0"/>
    <x v="1"/>
    <n v="18070.32057"/>
    <n v="0"/>
    <n v="13882.268518518518"/>
    <n v="18710.193518518518"/>
    <n v="36780.514088518517"/>
    <x v="1"/>
    <n v="18070.32057"/>
    <n v="0"/>
    <n v="13882.268518518518"/>
    <x v="52"/>
    <x v="52"/>
    <n v="243"/>
    <n v="243"/>
    <n v="0"/>
    <n v="243"/>
    <n v="0"/>
    <n v="243"/>
    <n v="15364"/>
    <n v="0"/>
    <n v="9218.4"/>
    <n v="0"/>
    <n v="9218.4"/>
  </r>
  <r>
    <s v="Cerdo"/>
    <x v="0"/>
    <s v="agro america1023410"/>
    <x v="2"/>
    <n v="1023410"/>
    <s v="GO File C/cab 1KG@ Cj k AS"/>
    <s v="Filete"/>
    <n v="0"/>
    <n v="0"/>
    <x v="2"/>
    <n v="0"/>
    <x v="1"/>
    <n v="0"/>
    <n v="0"/>
    <n v="88.888888888888886"/>
    <n v="22.222222222222221"/>
    <n v="22.222222222222221"/>
    <x v="1"/>
    <n v="0"/>
    <n v="0"/>
    <n v="88.888888888888886"/>
    <x v="53"/>
    <x v="53"/>
    <m/>
    <m/>
    <n v="0"/>
    <n v="0"/>
    <n v="0"/>
    <n v="0"/>
    <m/>
    <n v="0"/>
    <n v="0"/>
    <n v="0"/>
    <n v="0"/>
  </r>
  <r>
    <s v="Cerdo"/>
    <x v="0"/>
    <s v="agrosuper shanghai1022183"/>
    <x v="1"/>
    <n v="1022183"/>
    <s v="GO PernilP@ Bo Cj 20k AS"/>
    <s v="Pernil"/>
    <n v="0"/>
    <n v="0"/>
    <x v="24"/>
    <n v="6691.08"/>
    <x v="23"/>
    <n v="916229.58"/>
    <n v="1303382.1017999998"/>
    <n v="0"/>
    <n v="40995.20925925926"/>
    <n v="957224.78925925924"/>
    <x v="23"/>
    <n v="916229.58"/>
    <n v="1564058.5221599997"/>
    <n v="0"/>
    <x v="54"/>
    <x v="54"/>
    <n v="685505"/>
    <n v="685505"/>
    <n v="642279.27999999991"/>
    <n v="1327784.2799999998"/>
    <n v="642279.27999999991"/>
    <n v="1327784.2799999998"/>
    <n v="700000"/>
    <n v="0"/>
    <n v="420000"/>
    <n v="0"/>
    <n v="420000"/>
  </r>
  <r>
    <s v="Cerdo"/>
    <x v="0"/>
    <s v="agrosuper shanghai1022193"/>
    <x v="1"/>
    <n v="1022193"/>
    <s v="GO Lom Vet 44@ Bo Cj 20k AS"/>
    <s v="Lomo"/>
    <n v="0"/>
    <n v="0"/>
    <x v="2"/>
    <n v="0"/>
    <x v="1"/>
    <n v="0"/>
    <n v="0"/>
    <n v="0"/>
    <n v="9834.959259259258"/>
    <n v="9834.959259259258"/>
    <x v="1"/>
    <n v="0"/>
    <n v="0"/>
    <n v="0"/>
    <x v="55"/>
    <x v="55"/>
    <m/>
    <m/>
    <n v="0"/>
    <n v="0"/>
    <n v="0"/>
    <n v="0"/>
    <m/>
    <n v="0"/>
    <n v="0"/>
    <n v="0"/>
    <n v="0"/>
  </r>
  <r>
    <s v="Cerdo"/>
    <x v="0"/>
    <s v="agrosuper shanghai1022388"/>
    <x v="1"/>
    <n v="1022388"/>
    <s v="GO Mixto Hso@ Bo Cj 10k AS"/>
    <s v="Huesos"/>
    <n v="0"/>
    <n v="0"/>
    <x v="25"/>
    <n v="788.42"/>
    <x v="24"/>
    <n v="159640"/>
    <n v="317544"/>
    <n v="0"/>
    <n v="4759.2592592592591"/>
    <n v="164399.25925925927"/>
    <x v="24"/>
    <n v="159640"/>
    <n v="381052.79999999993"/>
    <n v="0"/>
    <x v="56"/>
    <x v="56"/>
    <n v="120000"/>
    <n v="120000"/>
    <n v="126040"/>
    <n v="246040"/>
    <n v="126040"/>
    <n v="246040"/>
    <n v="120000"/>
    <n v="0"/>
    <n v="72000"/>
    <n v="0"/>
    <n v="72000"/>
  </r>
  <r>
    <s v="Cerdo"/>
    <x v="0"/>
    <s v="agrosuper shanghai1022417"/>
    <x v="1"/>
    <n v="1022417"/>
    <s v="GO Cue granel@ Bo Cj 20k AS"/>
    <s v="Cueros"/>
    <n v="0"/>
    <n v="0"/>
    <x v="2"/>
    <n v="0"/>
    <x v="1"/>
    <n v="77420"/>
    <n v="0"/>
    <n v="0"/>
    <n v="7222.2222222222226"/>
    <n v="84642.222222222219"/>
    <x v="1"/>
    <n v="77420"/>
    <n v="0"/>
    <n v="0"/>
    <x v="57"/>
    <x v="57"/>
    <m/>
    <m/>
    <n v="73500"/>
    <n v="73500"/>
    <n v="73500"/>
    <n v="73500"/>
    <m/>
    <n v="0"/>
    <n v="0"/>
    <n v="0"/>
    <n v="0"/>
  </r>
  <r>
    <s v="Cerdo"/>
    <x v="0"/>
    <s v="agrosuper shanghai1022646"/>
    <x v="1"/>
    <n v="1022646"/>
    <s v="GO Pecho Belly S/p@ Vp Cj AS"/>
    <s v="Panceta"/>
    <n v="0"/>
    <n v="0"/>
    <x v="2"/>
    <n v="0"/>
    <x v="1"/>
    <n v="0"/>
    <n v="0"/>
    <n v="0"/>
    <n v="36630.227777777778"/>
    <n v="36630.227777777778"/>
    <x v="1"/>
    <n v="0"/>
    <n v="0"/>
    <n v="0"/>
    <x v="58"/>
    <x v="58"/>
    <m/>
    <m/>
    <n v="35232.79"/>
    <n v="35232.79"/>
    <n v="35232.79"/>
    <n v="35232.79"/>
    <m/>
    <n v="0"/>
    <n v="0"/>
    <n v="0"/>
    <n v="0"/>
  </r>
  <r>
    <s v="Cerdo"/>
    <x v="0"/>
    <s v="agrosuper shanghai1023093"/>
    <x v="1"/>
    <n v="1023093"/>
    <s v="GO Cordon Lom@ Bo Cj 20k AS"/>
    <s v="Recortes"/>
    <n v="0"/>
    <n v="0"/>
    <x v="2"/>
    <n v="0"/>
    <x v="1"/>
    <n v="24000"/>
    <n v="0"/>
    <n v="0"/>
    <n v="102163.88888888889"/>
    <n v="126163.88888888889"/>
    <x v="1"/>
    <n v="24000"/>
    <n v="0"/>
    <n v="0"/>
    <x v="59"/>
    <x v="59"/>
    <n v="48000"/>
    <n v="48000"/>
    <n v="61440"/>
    <n v="109440"/>
    <n v="61440"/>
    <n v="109440"/>
    <n v="48000"/>
    <n v="0"/>
    <n v="28800"/>
    <n v="0"/>
    <n v="28800"/>
  </r>
  <r>
    <s v="Cerdo"/>
    <x v="0"/>
    <s v="agrosuper shanghai1023143"/>
    <x v="1"/>
    <n v="1023143"/>
    <s v="GO Platead@ Fi Cj 20k AS"/>
    <s v="Prolijado"/>
    <n v="0"/>
    <n v="0"/>
    <x v="2"/>
    <n v="0"/>
    <x v="1"/>
    <n v="0"/>
    <n v="0"/>
    <n v="0"/>
    <n v="1407.4074074074074"/>
    <n v="1407.4074074074074"/>
    <x v="1"/>
    <n v="0"/>
    <n v="0"/>
    <n v="0"/>
    <x v="60"/>
    <x v="60"/>
    <m/>
    <m/>
    <n v="0"/>
    <n v="0"/>
    <n v="0"/>
    <n v="0"/>
    <m/>
    <n v="0"/>
    <n v="0"/>
    <n v="0"/>
    <n v="0"/>
  </r>
  <r>
    <s v="Cerdo"/>
    <x v="0"/>
    <s v="andes asia1021921"/>
    <x v="0"/>
    <n v="1021921"/>
    <s v="GO Lom Tecla@ Cj 18k AS"/>
    <s v="Lomo"/>
    <n v="0"/>
    <n v="0"/>
    <x v="26"/>
    <m/>
    <x v="25"/>
    <n v="0"/>
    <n v="0"/>
    <n v="0"/>
    <n v="821.41018518518524"/>
    <n v="821.41018518518524"/>
    <x v="25"/>
    <n v="0"/>
    <n v="0"/>
    <n v="0"/>
    <x v="61"/>
    <x v="61"/>
    <n v="2000"/>
    <n v="2000"/>
    <n v="5012.82"/>
    <n v="7012.82"/>
    <n v="5012.82"/>
    <n v="7012.82"/>
    <n v="2000"/>
    <n v="2016.73"/>
    <n v="3416.73"/>
    <n v="2016.73"/>
    <n v="3416.73"/>
  </r>
  <r>
    <s v="Cerdo"/>
    <x v="0"/>
    <s v="andes asia1021922"/>
    <x v="0"/>
    <n v="1021922"/>
    <s v="GO File C/cab@ Cj 5k AS"/>
    <s v="Filete"/>
    <n v="0"/>
    <n v="0"/>
    <x v="2"/>
    <n v="0"/>
    <x v="1"/>
    <n v="0"/>
    <n v="0"/>
    <n v="0"/>
    <n v="2157.4074074074074"/>
    <n v="2157.4074074074074"/>
    <x v="1"/>
    <n v="0"/>
    <n v="0"/>
    <n v="0"/>
    <x v="62"/>
    <x v="62"/>
    <m/>
    <m/>
    <n v="0"/>
    <n v="0"/>
    <n v="0"/>
    <n v="0"/>
    <m/>
    <n v="0"/>
    <n v="0"/>
    <n v="0"/>
    <n v="0"/>
  </r>
  <r>
    <s v="Cerdo"/>
    <x v="0"/>
    <s v="andes asia1021924"/>
    <x v="0"/>
    <n v="1021924"/>
    <s v="GO MM Loin L@ Cj 15k AS"/>
    <s v="Lomo"/>
    <n v="0"/>
    <n v="0"/>
    <x v="1"/>
    <n v="2360.06"/>
    <x v="1"/>
    <n v="69122.55"/>
    <n v="69657.338399999993"/>
    <n v="0"/>
    <n v="3246.478703703704"/>
    <n v="72369.028703703705"/>
    <x v="1"/>
    <n v="69122.55"/>
    <n v="83588.806080000009"/>
    <n v="0"/>
    <x v="63"/>
    <x v="63"/>
    <n v="250000"/>
    <n v="250000"/>
    <n v="52047.69"/>
    <n v="302047.69"/>
    <n v="52047.69"/>
    <n v="302047.69"/>
    <n v="250000"/>
    <n v="33011.949999999997"/>
    <n v="208011.95"/>
    <n v="33011.949999999997"/>
    <n v="208011.95"/>
  </r>
  <r>
    <s v="Cerdo"/>
    <x v="0"/>
    <s v="andes asia1021931"/>
    <x v="0"/>
    <n v="1021931"/>
    <s v="GO Pta Cos 3h@ Bo Cj 10k AS"/>
    <s v="Cost-Pec"/>
    <n v="0"/>
    <n v="0"/>
    <x v="27"/>
    <m/>
    <x v="26"/>
    <n v="15993.84"/>
    <n v="31312.490399999999"/>
    <n v="0"/>
    <n v="584.2898148148148"/>
    <n v="16578.129814814816"/>
    <x v="26"/>
    <n v="15993.84"/>
    <n v="37574.98848"/>
    <n v="0"/>
    <x v="64"/>
    <x v="64"/>
    <n v="7516"/>
    <n v="7516"/>
    <n v="21246.47"/>
    <n v="28762.47"/>
    <n v="21246.47"/>
    <n v="28762.47"/>
    <n v="5144"/>
    <n v="0"/>
    <n v="3600.7999999999997"/>
    <n v="0"/>
    <n v="3600.7999999999997"/>
  </r>
  <r>
    <s v="Cerdo"/>
    <x v="0"/>
    <s v="andes asia1021944"/>
    <x v="0"/>
    <n v="1021944"/>
    <s v="GO Diafrag@ Va Cj 8k AS"/>
    <s v="Recortes"/>
    <n v="0"/>
    <n v="0"/>
    <x v="28"/>
    <m/>
    <x v="27"/>
    <n v="6000"/>
    <n v="4800"/>
    <n v="0"/>
    <n v="2222.2222222222222"/>
    <n v="8222.2222222222226"/>
    <x v="27"/>
    <n v="6000"/>
    <n v="5760"/>
    <n v="0"/>
    <x v="65"/>
    <x v="65"/>
    <n v="2883"/>
    <n v="2883"/>
    <n v="8976"/>
    <n v="11859"/>
    <n v="8976"/>
    <n v="11859"/>
    <n v="4325"/>
    <n v="0"/>
    <n v="3027.5"/>
    <n v="0"/>
    <n v="3027.5"/>
  </r>
  <r>
    <s v="Cerdo"/>
    <x v="0"/>
    <s v="andes asia1021945"/>
    <x v="0"/>
    <n v="1021945"/>
    <s v="GO Lengua Japon@ Cj 10k AS"/>
    <s v="Cabeza"/>
    <n v="0"/>
    <n v="0"/>
    <x v="2"/>
    <n v="0"/>
    <x v="1"/>
    <n v="2950"/>
    <n v="0"/>
    <n v="0"/>
    <n v="2222.2222222222222"/>
    <n v="5172.2222222222226"/>
    <x v="1"/>
    <n v="2950"/>
    <n v="0"/>
    <n v="0"/>
    <x v="65"/>
    <x v="66"/>
    <m/>
    <m/>
    <n v="0"/>
    <n v="0"/>
    <n v="0"/>
    <n v="0"/>
    <m/>
    <n v="0"/>
    <n v="0"/>
    <n v="0"/>
    <n v="0"/>
  </r>
  <r>
    <s v="Cerdo"/>
    <x v="0"/>
    <s v="andes asia1022515"/>
    <x v="0"/>
    <n v="1022515"/>
    <s v="GO Panc Tec C/cue@ Fi Cj Panc AS"/>
    <s v="Panceta"/>
    <n v="0"/>
    <n v="0"/>
    <x v="2"/>
    <n v="0"/>
    <x v="1"/>
    <n v="5028.5599999999995"/>
    <n v="7205.8487999999998"/>
    <n v="0"/>
    <n v="6888.0361111111106"/>
    <n v="11916.59611111111"/>
    <x v="1"/>
    <n v="5028.5599999999995"/>
    <n v="8647.0185599999986"/>
    <n v="0"/>
    <x v="66"/>
    <x v="67"/>
    <n v="10000"/>
    <n v="10000"/>
    <n v="5013.3099999999995"/>
    <n v="15013.31"/>
    <n v="5013.3099999999995"/>
    <n v="15013.31"/>
    <n v="10000"/>
    <n v="0"/>
    <n v="7000"/>
    <n v="0"/>
    <n v="7000"/>
  </r>
  <r>
    <s v="Cerdo"/>
    <x v="0"/>
    <s v="andes asia1022621"/>
    <x v="0"/>
    <n v="1022621"/>
    <s v="GO Panc S/tec N @ Fi Cj AS"/>
    <s v="Panceta"/>
    <n v="0"/>
    <n v="0"/>
    <x v="29"/>
    <n v="1762.33"/>
    <x v="28"/>
    <n v="24051.02"/>
    <n v="124636.4988"/>
    <n v="0"/>
    <n v="23993.961111111112"/>
    <n v="48044.981111111112"/>
    <x v="28"/>
    <n v="24051.02"/>
    <n v="149563.79856"/>
    <n v="0"/>
    <x v="67"/>
    <x v="68"/>
    <n v="60000"/>
    <n v="60000"/>
    <n v="42021.210000000006"/>
    <n v="102021.21"/>
    <n v="42021.210000000006"/>
    <n v="102021.21"/>
    <n v="60000"/>
    <n v="10005.74"/>
    <n v="52005.74"/>
    <n v="10005.74"/>
    <n v="52005.74"/>
  </r>
  <r>
    <s v="Cerdo"/>
    <x v="0"/>
    <s v="andes asia1022863"/>
    <x v="0"/>
    <n v="1022863"/>
    <s v="GO Lom Vet M@ Cj 9k AS"/>
    <s v="Lomo"/>
    <n v="0"/>
    <n v="0"/>
    <x v="1"/>
    <n v="651.53"/>
    <x v="1"/>
    <n v="29555.14"/>
    <n v="52254.067799999997"/>
    <n v="0"/>
    <n v="44824.637037037035"/>
    <n v="74379.777037037042"/>
    <x v="1"/>
    <n v="29555.14"/>
    <n v="62704.881359999999"/>
    <n v="0"/>
    <x v="68"/>
    <x v="69"/>
    <n v="60000"/>
    <n v="60000"/>
    <n v="62318.12"/>
    <n v="122318.12"/>
    <n v="62318.12"/>
    <n v="122318.12"/>
    <n v="60000"/>
    <n v="0"/>
    <n v="42000"/>
    <n v="0"/>
    <n v="42000"/>
  </r>
  <r>
    <s v="Cerdo"/>
    <x v="0"/>
    <s v="andes asia1022866"/>
    <x v="0"/>
    <n v="1022866"/>
    <s v="GO Pan Tec S/cuero L@ Cj 19k AS"/>
    <s v="Panceta"/>
    <n v="0"/>
    <n v="0"/>
    <x v="30"/>
    <n v="259.58999999999997"/>
    <x v="29"/>
    <n v="17957.060000000001"/>
    <n v="57694.179000000004"/>
    <n v="0"/>
    <n v="34470.176851851851"/>
    <n v="52427.236851851849"/>
    <x v="29"/>
    <n v="17957.060000000001"/>
    <n v="69233.014800000004"/>
    <n v="0"/>
    <x v="69"/>
    <x v="70"/>
    <n v="60000"/>
    <n v="60000"/>
    <n v="78175.69"/>
    <n v="138175.69"/>
    <n v="78175.69"/>
    <n v="138175.69"/>
    <n v="60000"/>
    <n v="10060.200000000001"/>
    <n v="52060.2"/>
    <n v="10060.200000000001"/>
    <n v="52060.2"/>
  </r>
  <r>
    <s v="Pavo"/>
    <x v="0"/>
    <s v="agro america1030228"/>
    <x v="2"/>
    <n v="1030228"/>
    <s v="PV TruDeh Cort S/p@ Bo Cj  SO"/>
    <s v="Trutro Desh"/>
    <n v="0"/>
    <n v="0"/>
    <x v="2"/>
    <n v="0"/>
    <x v="1"/>
    <n v="0"/>
    <n v="148980.38399999999"/>
    <n v="0"/>
    <n v="151.19999999999999"/>
    <n v="151.19999999999999"/>
    <x v="1"/>
    <n v="0"/>
    <n v="178776.4608"/>
    <n v="0"/>
    <x v="70"/>
    <x v="71"/>
    <m/>
    <m/>
    <n v="0"/>
    <n v="0"/>
    <n v="0"/>
    <n v="0"/>
    <m/>
    <n v="0"/>
    <n v="0"/>
    <n v="0"/>
    <n v="0"/>
  </r>
  <r>
    <s v="Pavo"/>
    <x v="0"/>
    <s v="agro america1030239"/>
    <x v="2"/>
    <n v="1030239"/>
    <s v="PV Ctro Pta Ala 30 Lb@ Bo Cj SO"/>
    <s v="Ala"/>
    <n v="0"/>
    <n v="0"/>
    <x v="2"/>
    <n v="0"/>
    <x v="1"/>
    <n v="0"/>
    <n v="0"/>
    <n v="0"/>
    <n v="5935.4722222222226"/>
    <n v="5935.4722222222226"/>
    <x v="1"/>
    <n v="0"/>
    <n v="0"/>
    <n v="0"/>
    <x v="71"/>
    <x v="72"/>
    <n v="24041"/>
    <n v="24041"/>
    <n v="0"/>
    <n v="24041"/>
    <n v="0"/>
    <n v="24041"/>
    <n v="48081"/>
    <n v="0"/>
    <n v="28848.6"/>
    <n v="0"/>
    <n v="28848.6"/>
  </r>
  <r>
    <s v="Pavo"/>
    <x v="0"/>
    <s v="agro america1030773"/>
    <x v="2"/>
    <n v="1030773"/>
    <s v="PV Pch Filete 1 kg @Bo CJ 14Kg AS"/>
    <s v="Pech Desh"/>
    <n v="0"/>
    <n v="0"/>
    <x v="2"/>
    <n v="0"/>
    <x v="1"/>
    <n v="0"/>
    <n v="0"/>
    <n v="0"/>
    <n v="13909.259259259259"/>
    <n v="13909.259259259259"/>
    <x v="1"/>
    <n v="0"/>
    <n v="0"/>
    <n v="0"/>
    <x v="72"/>
    <x v="73"/>
    <m/>
    <m/>
    <n v="0"/>
    <n v="0"/>
    <n v="0"/>
    <n v="0"/>
    <m/>
    <n v="0"/>
    <n v="0"/>
    <n v="0"/>
    <n v="0"/>
  </r>
  <r>
    <s v="Pavo"/>
    <x v="0"/>
    <s v="agrosuper shanghai1030791"/>
    <x v="1"/>
    <n v="1030791"/>
    <s v="PV MA Tru Lar@ Bo Cj 15k AS"/>
    <s v="Trutro"/>
    <n v="0"/>
    <n v="0"/>
    <x v="2"/>
    <n v="0"/>
    <x v="1"/>
    <n v="0"/>
    <n v="6678"/>
    <n v="0"/>
    <n v="3402.7777777777778"/>
    <n v="3402.7777777777778"/>
    <x v="1"/>
    <n v="0"/>
    <n v="8013.6"/>
    <n v="0"/>
    <x v="73"/>
    <x v="74"/>
    <m/>
    <m/>
    <n v="4980"/>
    <n v="4980"/>
    <n v="4980"/>
    <n v="4980"/>
    <m/>
    <n v="0"/>
    <n v="0"/>
    <n v="0"/>
    <n v="0"/>
  </r>
  <r>
    <s v="Pollo"/>
    <x v="0"/>
    <s v="agro america1012107"/>
    <x v="2"/>
    <n v="1012107"/>
    <s v="PO PchDeh 4oz Mr@ Cj AS"/>
    <s v="Pechuga Desh"/>
    <n v="0"/>
    <n v="0"/>
    <x v="31"/>
    <n v="1648.0550000000001"/>
    <x v="30"/>
    <n v="117153.74176"/>
    <n v="103420.8"/>
    <n v="0"/>
    <n v="13557.6"/>
    <n v="130711.34176000001"/>
    <x v="30"/>
    <n v="117153.74176"/>
    <n v="124104.95999999999"/>
    <n v="0"/>
    <x v="74"/>
    <x v="75"/>
    <m/>
    <m/>
    <n v="79832.191999999995"/>
    <n v="79832.191999999995"/>
    <n v="79832.191999999995"/>
    <n v="79832.191999999995"/>
    <m/>
    <n v="0"/>
    <n v="0"/>
    <n v="0"/>
    <n v="0"/>
  </r>
  <r>
    <s v="Pollo"/>
    <x v="0"/>
    <s v="agro america1012147"/>
    <x v="2"/>
    <n v="1012147"/>
    <s v="PO File s/t Mr@ Fi Cj 17k AS"/>
    <s v="Filete"/>
    <n v="0"/>
    <n v="0"/>
    <x v="32"/>
    <n v="1057.942"/>
    <x v="31"/>
    <n v="130625.42416"/>
    <n v="145551.12"/>
    <n v="0"/>
    <n v="8639.0740740740748"/>
    <n v="139264.49823407407"/>
    <x v="31"/>
    <n v="130625.42416"/>
    <n v="174661.34400000001"/>
    <n v="0"/>
    <x v="75"/>
    <x v="76"/>
    <n v="139708"/>
    <n v="139708"/>
    <n v="130625.42416000001"/>
    <n v="270333.42416"/>
    <n v="130625.42416000001"/>
    <n v="270333.42416"/>
    <n v="139708"/>
    <n v="37321.549760000002"/>
    <n v="121146.34976000001"/>
    <n v="37321.549760000002"/>
    <n v="121146.34976000001"/>
  </r>
  <r>
    <s v="Pollo"/>
    <x v="0"/>
    <s v="agro america1012400"/>
    <x v="2"/>
    <n v="1012400"/>
    <s v="PO File s/t 700g Mr@ Cj AS"/>
    <s v="Filete"/>
    <n v="0"/>
    <n v="0"/>
    <x v="2"/>
    <n v="0"/>
    <x v="1"/>
    <n v="0"/>
    <n v="0"/>
    <n v="217.77777777777777"/>
    <n v="0"/>
    <n v="0"/>
    <x v="1"/>
    <n v="0"/>
    <n v="0"/>
    <n v="217.77777777777777"/>
    <x v="76"/>
    <x v="77"/>
    <m/>
    <m/>
    <n v="0"/>
    <n v="0"/>
    <n v="0"/>
    <n v="0"/>
    <m/>
    <n v="0"/>
    <n v="0"/>
    <n v="0"/>
    <n v="0"/>
  </r>
  <r>
    <s v="Pollo"/>
    <x v="0"/>
    <s v="agro america1012519"/>
    <x v="2"/>
    <n v="1012519"/>
    <s v="PO PchDeh 4oz Mr@ Cj AS"/>
    <s v="Pechuga Desh"/>
    <n v="0"/>
    <n v="0"/>
    <x v="33"/>
    <n v="128.44999999999999"/>
    <x v="32"/>
    <n v="20393.496319999998"/>
    <n v="41912.639999999999"/>
    <n v="0"/>
    <n v="4334.3999999999996"/>
    <n v="24727.89632"/>
    <x v="32"/>
    <n v="20393.496319999998"/>
    <n v="50295.167999999998"/>
    <n v="0"/>
    <x v="77"/>
    <x v="78"/>
    <n v="113853"/>
    <n v="113853"/>
    <n v="0"/>
    <n v="113853"/>
    <n v="0"/>
    <n v="113853"/>
    <n v="293477"/>
    <n v="0"/>
    <n v="176086.19999999998"/>
    <n v="0"/>
    <n v="176086.19999999998"/>
  </r>
  <r>
    <s v="Pollo"/>
    <x v="0"/>
    <s v="agro america1012806"/>
    <x v="2"/>
    <n v="1012806"/>
    <s v="PO TruCrtoDeh s/p Mr@ Cj 20k AS"/>
    <s v="Trutro Deshuesado"/>
    <n v="0"/>
    <n v="0"/>
    <x v="2"/>
    <n v="0"/>
    <x v="1"/>
    <n v="0"/>
    <n v="0"/>
    <n v="2099.537037037037"/>
    <n v="2116.333333333333"/>
    <n v="2116.333333333333"/>
    <x v="1"/>
    <n v="0"/>
    <n v="0"/>
    <n v="2099.537037037037"/>
    <x v="78"/>
    <x v="79"/>
    <m/>
    <m/>
    <n v="0"/>
    <n v="0"/>
    <n v="0"/>
    <n v="0"/>
    <m/>
    <n v="0"/>
    <n v="0"/>
    <n v="0"/>
    <n v="0"/>
  </r>
  <r>
    <s v="Pollo"/>
    <x v="0"/>
    <s v="agro europa1011748"/>
    <x v="4"/>
    <n v="1011748"/>
    <s v="PO PchDeh &gt;170 NMr@ Cj 10k AS"/>
    <s v="Pechuga Desh"/>
    <n v="0"/>
    <n v="0"/>
    <x v="2"/>
    <n v="0"/>
    <x v="1"/>
    <n v="250800"/>
    <n v="203040"/>
    <n v="42222.222222222219"/>
    <n v="0"/>
    <n v="250800"/>
    <x v="1"/>
    <n v="250800"/>
    <n v="243648"/>
    <n v="42222.222222222219"/>
    <x v="76"/>
    <x v="80"/>
    <n v="136800"/>
    <n v="136800"/>
    <n v="22800"/>
    <n v="159600"/>
    <n v="22800"/>
    <n v="159600"/>
    <n v="250800"/>
    <n v="0"/>
    <n v="175560"/>
    <n v="0"/>
    <n v="175560"/>
  </r>
  <r>
    <s v="Pollo"/>
    <x v="0"/>
    <s v="agro mexico1011127"/>
    <x v="3"/>
    <n v="1011127"/>
    <s v="PO PchDeh Random Mr Mex@ Cj 10k AS"/>
    <s v="Pechuga Desh"/>
    <n v="0"/>
    <n v="0"/>
    <x v="34"/>
    <n v="11396.77"/>
    <x v="33"/>
    <n v="1384800"/>
    <n v="2575480.8695652173"/>
    <n v="36800"/>
    <n v="14055.555555555557"/>
    <n v="1398855.5555555555"/>
    <x v="33"/>
    <n v="1384800"/>
    <n v="3169822.6086956519"/>
    <n v="36800"/>
    <x v="79"/>
    <x v="81"/>
    <n v="181513"/>
    <n v="181513"/>
    <n v="147600"/>
    <n v="329113"/>
    <n v="147600"/>
    <n v="329113"/>
    <n v="1032674"/>
    <n v="0"/>
    <n v="826139.20000000007"/>
    <n v="0"/>
    <n v="826139.20000000007"/>
  </r>
  <r>
    <s v="Pollo"/>
    <x v="0"/>
    <s v="agro mexico1012278"/>
    <x v="3"/>
    <n v="1012278"/>
    <s v="PO Tru Ala Mex@ Cj 9k AS"/>
    <s v="Ala"/>
    <n v="0"/>
    <n v="0"/>
    <x v="2"/>
    <n v="0"/>
    <x v="1"/>
    <n v="80028"/>
    <n v="67208.869565217392"/>
    <n v="0"/>
    <n v="106467"/>
    <n v="186495"/>
    <x v="1"/>
    <n v="80028"/>
    <n v="82718.608695652176"/>
    <n v="0"/>
    <x v="80"/>
    <x v="82"/>
    <m/>
    <m/>
    <n v="0"/>
    <n v="0"/>
    <n v="0"/>
    <n v="0"/>
    <m/>
    <n v="0"/>
    <n v="0"/>
    <n v="0"/>
    <n v="0"/>
  </r>
  <r>
    <s v="Pollo"/>
    <x v="0"/>
    <s v="agro mexico1012534"/>
    <x v="3"/>
    <n v="1012534"/>
    <s v="PO Pech c/h c/p Blo@ Cj 20k AS"/>
    <s v="Pechuga"/>
    <n v="0"/>
    <n v="0"/>
    <x v="2"/>
    <n v="0"/>
    <x v="1"/>
    <n v="59973.369999999995"/>
    <n v="90393.37817391305"/>
    <n v="0"/>
    <n v="17027.568703703702"/>
    <n v="77000.938703703694"/>
    <x v="1"/>
    <n v="59973.369999999995"/>
    <n v="111253.38852173914"/>
    <n v="0"/>
    <x v="81"/>
    <x v="83"/>
    <m/>
    <m/>
    <n v="0"/>
    <n v="0"/>
    <n v="0"/>
    <n v="0"/>
    <m/>
    <n v="0"/>
    <n v="0"/>
    <n v="0"/>
    <n v="0"/>
  </r>
  <r>
    <s v="Pollo"/>
    <x v="0"/>
    <s v="agrosuper shanghai1012218"/>
    <x v="1"/>
    <n v="1012218"/>
    <s v="PO Ala Media 1k@ Cj 20k AS"/>
    <s v="Ala"/>
    <n v="0"/>
    <n v="0"/>
    <x v="35"/>
    <m/>
    <x v="34"/>
    <n v="63000"/>
    <n v="0"/>
    <n v="0"/>
    <n v="9027.7777777777774"/>
    <n v="72027.777777777781"/>
    <x v="34"/>
    <n v="63000"/>
    <n v="0"/>
    <n v="0"/>
    <x v="82"/>
    <x v="84"/>
    <n v="56083"/>
    <n v="56083"/>
    <n v="38115"/>
    <n v="94198"/>
    <n v="38115"/>
    <n v="94198"/>
    <n v="53588"/>
    <n v="0"/>
    <n v="32152.799999999999"/>
    <n v="0"/>
    <n v="32152.799999999999"/>
  </r>
  <r>
    <s v="Pollo"/>
    <x v="0"/>
    <s v="agrosuper shanghai1012275"/>
    <x v="1"/>
    <n v="1012275"/>
    <s v="PO Tru Ala 4x10 NMr@ Bo Cj 20k AS"/>
    <s v="Ala"/>
    <n v="0"/>
    <n v="0"/>
    <x v="2"/>
    <n v="0"/>
    <x v="1"/>
    <n v="0"/>
    <n v="0"/>
    <n v="1600"/>
    <n v="0"/>
    <n v="0"/>
    <x v="1"/>
    <n v="0"/>
    <n v="0"/>
    <n v="1600"/>
    <x v="76"/>
    <x v="85"/>
    <m/>
    <m/>
    <n v="0"/>
    <n v="0"/>
    <n v="0"/>
    <n v="0"/>
    <m/>
    <n v="0"/>
    <n v="0"/>
    <n v="0"/>
    <n v="0"/>
  </r>
  <r>
    <s v="Pollo"/>
    <x v="0"/>
    <s v="agrosuper shanghai1012434"/>
    <x v="1"/>
    <n v="1012434"/>
    <s v="PO Pta Ala@ Cj 20k AS"/>
    <s v="Ala"/>
    <n v="0"/>
    <n v="0"/>
    <x v="36"/>
    <n v="740.88"/>
    <x v="35"/>
    <n v="48000"/>
    <n v="0"/>
    <n v="0"/>
    <n v="22222.222222222223"/>
    <n v="70222.222222222219"/>
    <x v="35"/>
    <n v="48000"/>
    <n v="0"/>
    <n v="0"/>
    <x v="83"/>
    <x v="86"/>
    <n v="53052"/>
    <n v="53052"/>
    <n v="48000"/>
    <n v="101052"/>
    <n v="48000"/>
    <n v="101052"/>
    <n v="63731"/>
    <n v="0"/>
    <n v="38238.6"/>
    <n v="0"/>
    <n v="38238.6"/>
  </r>
  <r>
    <s v="Pollo"/>
    <x v="0"/>
    <s v="agrosuper shanghai1012453"/>
    <x v="1"/>
    <n v="1012453"/>
    <s v="PO Ala Media IQF@ Cj 18k AS"/>
    <s v="Ala"/>
    <n v="0"/>
    <n v="0"/>
    <x v="2"/>
    <n v="0"/>
    <x v="1"/>
    <n v="19976"/>
    <n v="4194.96"/>
    <n v="6389.6296296296296"/>
    <n v="0"/>
    <n v="19976"/>
    <x v="1"/>
    <n v="19976"/>
    <n v="5033.9519999999993"/>
    <n v="6389.6296296296296"/>
    <x v="76"/>
    <x v="87"/>
    <m/>
    <m/>
    <n v="998.8"/>
    <n v="998.8"/>
    <n v="998.8"/>
    <n v="998.8"/>
    <m/>
    <n v="0"/>
    <n v="0"/>
    <n v="0"/>
    <n v="0"/>
  </r>
  <r>
    <s v="Pollo"/>
    <x v="0"/>
    <s v="agrosuper shanghai1012525"/>
    <x v="1"/>
    <n v="1012525"/>
    <s v="PO Garra J@ Bo Cj 20k AS"/>
    <s v="Patas"/>
    <n v="0"/>
    <n v="0"/>
    <x v="37"/>
    <n v="322.45"/>
    <x v="36"/>
    <n v="0"/>
    <n v="0"/>
    <n v="0"/>
    <n v="8962.9629629629635"/>
    <n v="8962.9629629629635"/>
    <x v="36"/>
    <n v="0"/>
    <n v="0"/>
    <n v="0"/>
    <x v="84"/>
    <x v="88"/>
    <n v="10014"/>
    <n v="10014"/>
    <n v="24000"/>
    <n v="34014"/>
    <n v="24000"/>
    <n v="34014"/>
    <n v="11806"/>
    <n v="0"/>
    <n v="7083.5999999999995"/>
    <n v="0"/>
    <n v="7083.5999999999995"/>
  </r>
  <r>
    <s v="Pollo"/>
    <x v="0"/>
    <s v="agrosuper shanghai1012526"/>
    <x v="1"/>
    <n v="1012526"/>
    <s v="PO Garra L A@ Bo Cj 20k AS"/>
    <s v="Patas"/>
    <n v="0"/>
    <n v="0"/>
    <x v="38"/>
    <n v="161.16"/>
    <x v="37"/>
    <n v="19200"/>
    <n v="39864"/>
    <n v="0"/>
    <n v="9537.0370370370365"/>
    <n v="28737.037037037036"/>
    <x v="37"/>
    <n v="19200"/>
    <n v="47836.800000000003"/>
    <n v="0"/>
    <x v="85"/>
    <x v="89"/>
    <n v="9996"/>
    <n v="9996"/>
    <n v="0"/>
    <n v="9996"/>
    <n v="0"/>
    <n v="9996"/>
    <n v="11785"/>
    <n v="0"/>
    <n v="7071"/>
    <n v="0"/>
    <n v="7071"/>
  </r>
  <r>
    <s v="Pollo"/>
    <x v="0"/>
    <s v="agrosuper shanghai1012595"/>
    <x v="1"/>
    <n v="1012595"/>
    <s v="PO PchDeh@ Bo 16x1k Cj AS"/>
    <s v="Pechuga Desh"/>
    <n v="0"/>
    <n v="0"/>
    <x v="2"/>
    <n v="0"/>
    <x v="1"/>
    <n v="0"/>
    <n v="0"/>
    <n v="4800"/>
    <n v="8148.1481481481478"/>
    <n v="8148.1481481481478"/>
    <x v="1"/>
    <n v="0"/>
    <n v="0"/>
    <n v="4800"/>
    <x v="86"/>
    <x v="90"/>
    <n v="12000"/>
    <n v="12000"/>
    <n v="28640"/>
    <n v="40640"/>
    <n v="28640"/>
    <n v="40640"/>
    <n v="24000"/>
    <n v="0"/>
    <n v="14400"/>
    <n v="0"/>
    <n v="14400"/>
  </r>
  <r>
    <s v="Pollo"/>
    <x v="0"/>
    <s v="agrosuper shanghai1012622"/>
    <x v="1"/>
    <n v="1012622"/>
    <s v="PO TruEnt Deh Tf@MUESTRA SAG"/>
    <s v="Muestra"/>
    <n v="0"/>
    <n v="0"/>
    <x v="2"/>
    <n v="0"/>
    <x v="1"/>
    <n v="0"/>
    <n v="0"/>
    <n v="74.074074074074076"/>
    <n v="0"/>
    <n v="0"/>
    <x v="1"/>
    <n v="0"/>
    <n v="0"/>
    <n v="74.074074074074076"/>
    <x v="76"/>
    <x v="91"/>
    <m/>
    <m/>
    <n v="0"/>
    <n v="0"/>
    <n v="0"/>
    <n v="0"/>
    <m/>
    <n v="0"/>
    <n v="0"/>
    <n v="0"/>
    <n v="0"/>
  </r>
  <r>
    <s v="Pollo"/>
    <x v="0"/>
    <s v="andes asia1012326"/>
    <x v="0"/>
    <n v="1012326"/>
    <s v="PO Corazon@Bo 12k Cj AS"/>
    <s v="Menudencias"/>
    <n v="0"/>
    <n v="0"/>
    <x v="2"/>
    <n v="0"/>
    <x v="1"/>
    <n v="1392"/>
    <n v="0"/>
    <n v="0"/>
    <n v="5488.8888888888887"/>
    <n v="6880.8888888888887"/>
    <x v="1"/>
    <n v="1392"/>
    <n v="0"/>
    <n v="0"/>
    <x v="87"/>
    <x v="92"/>
    <m/>
    <m/>
    <n v="0"/>
    <n v="0"/>
    <n v="0"/>
    <n v="0"/>
    <m/>
    <n v="0"/>
    <n v="0"/>
    <n v="0"/>
    <n v="0"/>
  </r>
  <r>
    <s v="Cerdo"/>
    <x v="0"/>
    <s v="agro america1020822"/>
    <x v="2"/>
    <n v="1020822"/>
    <s v="GO Resto Tira Hso@ Cj 20k AS"/>
    <s v="Huesos"/>
    <n v="0"/>
    <n v="0"/>
    <x v="2"/>
    <n v="0"/>
    <x v="1"/>
    <n v="0"/>
    <n v="0"/>
    <n v="0"/>
    <n v="9511.1851851851843"/>
    <n v="9511.1851851851843"/>
    <x v="1"/>
    <n v="0"/>
    <n v="0"/>
    <n v="0"/>
    <x v="88"/>
    <x v="93"/>
    <m/>
    <m/>
    <n v="0"/>
    <n v="0"/>
    <n v="0"/>
    <n v="0"/>
    <m/>
    <n v="0"/>
    <n v="0"/>
    <n v="0"/>
    <n v="0"/>
  </r>
  <r>
    <s v="Cerdo"/>
    <x v="0"/>
    <s v="agro america1021538"/>
    <x v="2"/>
    <n v="1021538"/>
    <s v="GO Pecho Belly S/p@ Vp Cj AS"/>
    <s v="Panceta"/>
    <n v="0"/>
    <n v="0"/>
    <x v="39"/>
    <n v="4633.8100000000004"/>
    <x v="38"/>
    <n v="136999.571089"/>
    <n v="230477.21280000001"/>
    <n v="22244.981481481482"/>
    <n v="5034.5851851851849"/>
    <n v="142034.1562741852"/>
    <x v="38"/>
    <n v="136999.571089"/>
    <n v="276572.65536000003"/>
    <n v="22244.981481481482"/>
    <x v="89"/>
    <x v="94"/>
    <n v="120162"/>
    <n v="120162"/>
    <n v="189461.4639"/>
    <n v="309623.46389999997"/>
    <n v="189461.4639"/>
    <n v="309623.46389999997"/>
    <n v="120162"/>
    <n v="12012.1821"/>
    <n v="84109.382100000003"/>
    <n v="12012.1821"/>
    <n v="84109.382100000003"/>
  </r>
  <r>
    <s v="Cerdo"/>
    <x v="0"/>
    <s v="agro america1023190"/>
    <x v="2"/>
    <n v="1023190"/>
    <s v="GO Pana s/Corazon@ Bo Cj 20k AS"/>
    <s v="Subprod"/>
    <n v="0"/>
    <n v="0"/>
    <x v="2"/>
    <n v="0"/>
    <x v="1"/>
    <n v="47430.763729999999"/>
    <n v="0"/>
    <n v="19.099074074074075"/>
    <n v="0"/>
    <n v="47430.763729999999"/>
    <x v="1"/>
    <n v="47430.763729999999"/>
    <n v="0"/>
    <n v="19.099074074074075"/>
    <x v="76"/>
    <x v="95"/>
    <m/>
    <m/>
    <n v="23732.831549999999"/>
    <n v="23732.831549999999"/>
    <n v="23732.831549999999"/>
    <n v="23732.831549999999"/>
    <m/>
    <n v="0"/>
    <n v="0"/>
    <n v="0"/>
    <n v="0"/>
  </r>
  <r>
    <s v="Cerdo"/>
    <x v="0"/>
    <s v="agro america1023273"/>
    <x v="2"/>
    <n v="1023273"/>
    <s v="GO Posta Negra@ Va Cj 20k"/>
    <s v="Pierna"/>
    <n v="0"/>
    <n v="0"/>
    <x v="2"/>
    <n v="0"/>
    <x v="1"/>
    <n v="23090.300343999999"/>
    <n v="0"/>
    <n v="7978.0462962962974"/>
    <n v="16746.444444444445"/>
    <n v="39836.744788444441"/>
    <x v="1"/>
    <n v="23090.300343999999"/>
    <n v="0"/>
    <n v="7978.0462962962974"/>
    <x v="90"/>
    <x v="96"/>
    <m/>
    <m/>
    <n v="0"/>
    <n v="0"/>
    <n v="0"/>
    <n v="0"/>
    <m/>
    <n v="0"/>
    <n v="0"/>
    <n v="0"/>
    <n v="0"/>
  </r>
  <r>
    <s v="Cerdo"/>
    <x v="0"/>
    <s v="agro europa1020853"/>
    <x v="4"/>
    <n v="1020853"/>
    <s v="GO File C/cab@ Cj 5k AS"/>
    <s v="Filete"/>
    <n v="0"/>
    <n v="0"/>
    <x v="40"/>
    <n v="1729.9"/>
    <x v="39"/>
    <n v="232065"/>
    <n v="528000"/>
    <n v="0"/>
    <n v="18518.518518518518"/>
    <n v="250583.51851851851"/>
    <x v="39"/>
    <n v="232065"/>
    <n v="633600"/>
    <n v="0"/>
    <x v="91"/>
    <x v="97"/>
    <n v="100000"/>
    <n v="100000"/>
    <n v="98485"/>
    <n v="198485"/>
    <n v="98485"/>
    <n v="198485"/>
    <n v="100000"/>
    <n v="0"/>
    <n v="70000"/>
    <n v="0"/>
    <n v="70000"/>
  </r>
  <r>
    <s v="Cerdo"/>
    <x v="0"/>
    <s v="agro mexico1021272"/>
    <x v="3"/>
    <n v="1021272"/>
    <s v="GO Pna Forro@ Bo Cj 20k AS"/>
    <s v="Cueros"/>
    <n v="0"/>
    <n v="0"/>
    <x v="41"/>
    <n v="1718.57"/>
    <x v="40"/>
    <n v="258345.96000000002"/>
    <n v="583616.67791304342"/>
    <n v="0"/>
    <n v="20446.618370370372"/>
    <n v="278792.57837037038"/>
    <x v="40"/>
    <n v="258345.96000000002"/>
    <n v="718297.44973913045"/>
    <n v="0"/>
    <x v="92"/>
    <x v="98"/>
    <n v="291618"/>
    <n v="291618"/>
    <n v="72025.42"/>
    <n v="363643.42"/>
    <n v="72025.42"/>
    <n v="363643.42"/>
    <n v="342617"/>
    <n v="0"/>
    <n v="274093.60000000003"/>
    <n v="0"/>
    <n v="274093.60000000003"/>
  </r>
  <r>
    <s v="Cerdo"/>
    <x v="0"/>
    <s v="agro mexico1023218"/>
    <x v="3"/>
    <n v="1023218"/>
    <s v="GO Estomago Pouch@ 20k AS"/>
    <s v="Subprod"/>
    <n v="0"/>
    <n v="0"/>
    <x v="2"/>
    <n v="0"/>
    <x v="1"/>
    <n v="39920"/>
    <n v="148346.95652173911"/>
    <n v="0"/>
    <n v="40888.888888888891"/>
    <n v="80808.888888888891"/>
    <x v="1"/>
    <n v="39920"/>
    <n v="182580.86956521738"/>
    <n v="0"/>
    <x v="93"/>
    <x v="99"/>
    <m/>
    <m/>
    <n v="0"/>
    <n v="0"/>
    <n v="0"/>
    <n v="0"/>
    <m/>
    <n v="0"/>
    <n v="0"/>
    <n v="0"/>
    <n v="0"/>
  </r>
  <r>
    <s v="Cerdo"/>
    <x v="0"/>
    <s v="agro mexico1023219"/>
    <x v="3"/>
    <n v="1023219"/>
    <s v="GO PernilP@ Bo Cj 20k AS"/>
    <s v="Pernil"/>
    <n v="0"/>
    <n v="0"/>
    <x v="2"/>
    <n v="0"/>
    <x v="1"/>
    <n v="0"/>
    <n v="0"/>
    <n v="0"/>
    <n v="20446.994037037035"/>
    <n v="20446.994037037035"/>
    <x v="1"/>
    <n v="0"/>
    <n v="0"/>
    <n v="0"/>
    <x v="94"/>
    <x v="100"/>
    <m/>
    <m/>
    <n v="0"/>
    <n v="0"/>
    <n v="0"/>
    <n v="0"/>
    <n v="48000"/>
    <n v="0"/>
    <n v="38400"/>
    <n v="0"/>
    <n v="38400"/>
  </r>
  <r>
    <s v="Cerdo"/>
    <x v="0"/>
    <s v="agro mexico1023302"/>
    <x v="3"/>
    <n v="1023302"/>
    <s v="GO Mantec@ Cj 20k AS"/>
    <s v="Grasas"/>
    <n v="0"/>
    <n v="0"/>
    <x v="42"/>
    <n v="5923.95"/>
    <x v="41"/>
    <n v="253600"/>
    <n v="802789.56521739135"/>
    <n v="40854.814814814818"/>
    <n v="0"/>
    <n v="253600"/>
    <x v="41"/>
    <n v="253600"/>
    <n v="988048.69565217395"/>
    <n v="40854.814814814818"/>
    <x v="76"/>
    <x v="101"/>
    <n v="145572"/>
    <n v="145572"/>
    <n v="150440"/>
    <n v="296012"/>
    <n v="150440"/>
    <n v="296012"/>
    <n v="154860"/>
    <n v="0"/>
    <n v="123888"/>
    <n v="0"/>
    <n v="123888"/>
  </r>
  <r>
    <s v="Cerdo"/>
    <x v="0"/>
    <s v="agro mexico1023324"/>
    <x v="3"/>
    <n v="1023324"/>
    <s v="GO PpPna 59@ Cj 20k AS"/>
    <s v="Pierna"/>
    <n v="0"/>
    <n v="0"/>
    <x v="43"/>
    <m/>
    <x v="42"/>
    <n v="48062.35"/>
    <n v="149221.37382608693"/>
    <n v="20440.38962962963"/>
    <n v="0"/>
    <n v="48062.35"/>
    <x v="42"/>
    <n v="48062.35"/>
    <n v="183657.07547826084"/>
    <n v="20440.38962962963"/>
    <x v="76"/>
    <x v="102"/>
    <n v="40877"/>
    <n v="40877"/>
    <n v="0"/>
    <n v="40877"/>
    <n v="0"/>
    <n v="40877"/>
    <n v="240000"/>
    <n v="0"/>
    <n v="192000"/>
    <n v="0"/>
    <n v="192000"/>
  </r>
  <r>
    <s v="Cerdo"/>
    <x v="0"/>
    <s v="agro mexico1023421"/>
    <x v="3"/>
    <n v="1023421"/>
    <s v="GO Cos 79@ Bo Cj 20k AS"/>
    <s v="Cost-Pec"/>
    <n v="0"/>
    <n v="0"/>
    <x v="2"/>
    <n v="0"/>
    <x v="1"/>
    <n v="0"/>
    <n v="0"/>
    <n v="0"/>
    <n v="34968.507444444447"/>
    <n v="34968.507444444447"/>
    <x v="1"/>
    <n v="0"/>
    <n v="0"/>
    <n v="0"/>
    <x v="95"/>
    <x v="103"/>
    <m/>
    <m/>
    <n v="0"/>
    <n v="0"/>
    <n v="0"/>
    <n v="0"/>
    <m/>
    <n v="0"/>
    <n v="0"/>
    <n v="0"/>
    <n v="0"/>
  </r>
  <r>
    <s v="Cerdo"/>
    <x v="0"/>
    <s v="agrosuper shanghai1021731"/>
    <x v="1"/>
    <n v="1021731"/>
    <s v="GO PernilM@ Cj 20k AS"/>
    <s v="Pernil"/>
    <n v="0"/>
    <n v="0"/>
    <x v="44"/>
    <n v="1119.54"/>
    <x v="43"/>
    <n v="120080"/>
    <n v="216372"/>
    <n v="22055.555555555555"/>
    <n v="45166.666666666664"/>
    <n v="165246.66666666666"/>
    <x v="43"/>
    <n v="120080"/>
    <n v="259646.40000000002"/>
    <n v="22055.555555555555"/>
    <x v="96"/>
    <x v="104"/>
    <n v="120000"/>
    <n v="120000"/>
    <n v="177000"/>
    <n v="297000"/>
    <n v="177000"/>
    <n v="297000"/>
    <n v="120000"/>
    <n v="0"/>
    <n v="72000"/>
    <n v="0"/>
    <n v="72000"/>
  </r>
  <r>
    <s v="Cerdo"/>
    <x v="0"/>
    <s v="agrosuper shanghai1021732"/>
    <x v="1"/>
    <n v="1021732"/>
    <s v="GO Hso femur@ Cj 20k AS"/>
    <s v="Huesos"/>
    <n v="0"/>
    <n v="0"/>
    <x v="45"/>
    <n v="3464.33"/>
    <x v="44"/>
    <n v="440500"/>
    <n v="562704"/>
    <n v="89037.037037037036"/>
    <n v="89962.962962962964"/>
    <n v="530462.96296296292"/>
    <x v="44"/>
    <n v="440500"/>
    <n v="675244.8"/>
    <n v="89037.037037037036"/>
    <x v="97"/>
    <x v="105"/>
    <n v="302601"/>
    <n v="302601"/>
    <n v="483500.45999999996"/>
    <n v="786101.46"/>
    <n v="483500.45999999996"/>
    <n v="786101.46"/>
    <n v="366401"/>
    <n v="74000"/>
    <n v="293840.59999999998"/>
    <n v="74000"/>
    <n v="293840.59999999998"/>
  </r>
  <r>
    <s v="Cerdo"/>
    <x v="0"/>
    <s v="agrosuper shanghai1021733"/>
    <x v="1"/>
    <n v="1021733"/>
    <s v="GO PpPna 59@ Cj 20k AS"/>
    <s v="Pierna"/>
    <n v="0"/>
    <n v="0"/>
    <x v="2"/>
    <n v="0"/>
    <x v="1"/>
    <n v="547252.76"/>
    <n v="323234.82719999994"/>
    <n v="22573.564814814814"/>
    <n v="13458.357407407408"/>
    <n v="560711.11740740738"/>
    <x v="1"/>
    <n v="547252.76"/>
    <n v="387881.79263999994"/>
    <n v="22573.564814814814"/>
    <x v="98"/>
    <x v="106"/>
    <m/>
    <m/>
    <n v="132468.78999999998"/>
    <n v="132468.78999999998"/>
    <n v="132468.78999999998"/>
    <n v="132468.78999999998"/>
    <m/>
    <n v="24205.07"/>
    <n v="24205.07"/>
    <n v="24205.07"/>
    <n v="24205.07"/>
  </r>
  <r>
    <s v="Cerdo"/>
    <x v="0"/>
    <s v="agrosuper shanghai1021735"/>
    <x v="1"/>
    <n v="1021735"/>
    <s v="GO Patas@ Cj 20k AS"/>
    <s v="Subprod"/>
    <n v="0"/>
    <n v="0"/>
    <x v="46"/>
    <n v="1772.55"/>
    <x v="45"/>
    <n v="231880"/>
    <n v="334404"/>
    <n v="0"/>
    <n v="44055.555555555555"/>
    <n v="275935.55555555556"/>
    <x v="45"/>
    <n v="231880"/>
    <n v="401284.79999999993"/>
    <n v="0"/>
    <x v="99"/>
    <x v="107"/>
    <n v="120000"/>
    <n v="120000"/>
    <n v="96660"/>
    <n v="216660"/>
    <n v="96660"/>
    <n v="216660"/>
    <n v="120000"/>
    <n v="0"/>
    <n v="72000"/>
    <n v="0"/>
    <n v="72000"/>
  </r>
  <r>
    <s v="Cerdo"/>
    <x v="0"/>
    <s v="agrosuper shanghai1021737"/>
    <x v="1"/>
    <n v="1021737"/>
    <s v="GO Manos B@ Cj 20k AS"/>
    <s v="Subprod"/>
    <n v="0"/>
    <n v="0"/>
    <x v="47"/>
    <n v="181.4"/>
    <x v="46"/>
    <n v="25000"/>
    <n v="0"/>
    <n v="22187.564814814814"/>
    <n v="0"/>
    <n v="25000"/>
    <x v="46"/>
    <n v="25000"/>
    <n v="0"/>
    <n v="22187.564814814814"/>
    <x v="76"/>
    <x v="108"/>
    <n v="12850"/>
    <n v="12850"/>
    <n v="24160"/>
    <n v="37010"/>
    <n v="24160"/>
    <n v="37010"/>
    <n v="16006"/>
    <n v="0"/>
    <n v="9603.6"/>
    <n v="0"/>
    <n v="9603.6"/>
  </r>
  <r>
    <s v="Cerdo"/>
    <x v="0"/>
    <s v="agrosuper shanghai1021738"/>
    <x v="1"/>
    <n v="1021738"/>
    <s v="GO Patas B@ Cj 20k AS"/>
    <s v="Subprod"/>
    <n v="0"/>
    <n v="0"/>
    <x v="48"/>
    <n v="886.74"/>
    <x v="47"/>
    <n v="85140"/>
    <n v="29004"/>
    <n v="0"/>
    <n v="44092.592592592591"/>
    <n v="129232.59259259258"/>
    <x v="47"/>
    <n v="85140"/>
    <n v="34804.799999999996"/>
    <n v="0"/>
    <x v="100"/>
    <x v="109"/>
    <n v="81942"/>
    <n v="81942"/>
    <n v="121920"/>
    <n v="203862"/>
    <n v="121920"/>
    <n v="203862"/>
    <n v="105501"/>
    <n v="0"/>
    <n v="63300.6"/>
    <n v="0"/>
    <n v="63300.6"/>
  </r>
  <r>
    <s v="Cerdo"/>
    <x v="0"/>
    <s v="agrosuper shanghai1021740"/>
    <x v="1"/>
    <n v="1021740"/>
    <s v="GO Pana S/Corazón@ Cj 20k AS"/>
    <s v="Subprod"/>
    <n v="0"/>
    <n v="0"/>
    <x v="2"/>
    <n v="0"/>
    <x v="1"/>
    <n v="179590.91000000003"/>
    <n v="0"/>
    <n v="44456.083333333336"/>
    <n v="0"/>
    <n v="179590.91000000003"/>
    <x v="1"/>
    <n v="179590.91000000003"/>
    <n v="0"/>
    <n v="44456.083333333336"/>
    <x v="76"/>
    <x v="110"/>
    <n v="182388"/>
    <n v="182388"/>
    <n v="0"/>
    <n v="182388"/>
    <n v="0"/>
    <n v="182388"/>
    <n v="240000"/>
    <n v="0"/>
    <n v="144000"/>
    <n v="0"/>
    <n v="144000"/>
  </r>
  <r>
    <s v="Cerdo"/>
    <x v="0"/>
    <s v="agrosuper shanghai1021766"/>
    <x v="1"/>
    <n v="1021766"/>
    <s v="GO Hso Cogote@ Cj 20k AS"/>
    <s v="Huesos"/>
    <n v="0"/>
    <n v="0"/>
    <x v="49"/>
    <n v="3494.66"/>
    <x v="48"/>
    <n v="398286"/>
    <n v="661208.4"/>
    <n v="66833.333333333328"/>
    <n v="0"/>
    <n v="398286"/>
    <x v="48"/>
    <n v="398286"/>
    <n v="793450.08"/>
    <n v="66833.333333333328"/>
    <x v="76"/>
    <x v="111"/>
    <n v="384691"/>
    <n v="384691"/>
    <n v="330408"/>
    <n v="715099"/>
    <n v="330408"/>
    <n v="715099"/>
    <n v="463760"/>
    <n v="72576"/>
    <n v="350832"/>
    <n v="72576"/>
    <n v="350832"/>
  </r>
  <r>
    <s v="Cerdo"/>
    <x v="0"/>
    <s v="agrosuper shanghai1021767"/>
    <x v="1"/>
    <n v="1021767"/>
    <s v="GO Tira Hso Ctro@ Cj 20k AS"/>
    <s v="Huesos"/>
    <n v="0"/>
    <n v="0"/>
    <x v="1"/>
    <n v="3287.04"/>
    <x v="1"/>
    <n v="502920"/>
    <n v="690228"/>
    <n v="91683.333333333328"/>
    <n v="30016.666666666668"/>
    <n v="532936.66666666663"/>
    <x v="1"/>
    <n v="502920"/>
    <n v="828273.6"/>
    <n v="91683.333333333328"/>
    <x v="101"/>
    <x v="112"/>
    <n v="480000"/>
    <n v="480000"/>
    <n v="391464"/>
    <n v="871464"/>
    <n v="391464"/>
    <n v="871464"/>
    <n v="480000"/>
    <n v="25002"/>
    <n v="313002"/>
    <n v="25002"/>
    <n v="313002"/>
  </r>
  <r>
    <s v="Cerdo"/>
    <x v="0"/>
    <s v="agrosuper shanghai1021992"/>
    <x v="1"/>
    <n v="1021992"/>
    <s v="GO Lom Tocino@ Cj 20k AS"/>
    <s v="Grasas"/>
    <n v="0"/>
    <n v="0"/>
    <x v="2"/>
    <n v="0"/>
    <x v="1"/>
    <n v="104300"/>
    <n v="86376"/>
    <n v="0"/>
    <n v="22462.962962962964"/>
    <n v="126762.96296296296"/>
    <x v="1"/>
    <n v="104300"/>
    <n v="103651.2"/>
    <n v="0"/>
    <x v="102"/>
    <x v="113"/>
    <n v="37669"/>
    <n v="37669"/>
    <n v="0"/>
    <n v="37669"/>
    <n v="0"/>
    <n v="37669"/>
    <n v="57403"/>
    <n v="0"/>
    <n v="34441.799999999996"/>
    <n v="0"/>
    <n v="34441.799999999996"/>
  </r>
  <r>
    <s v="Cerdo"/>
    <x v="0"/>
    <s v="agrosuper shanghai1022080"/>
    <x v="1"/>
    <n v="1022080"/>
    <s v="GO Cola Nor@ Fi Cj 10k AS"/>
    <s v="Subprod"/>
    <n v="0"/>
    <n v="0"/>
    <x v="50"/>
    <n v="697.56"/>
    <x v="49"/>
    <n v="48370"/>
    <n v="260982"/>
    <n v="22231.481481481482"/>
    <n v="0"/>
    <n v="48370"/>
    <x v="49"/>
    <n v="48370"/>
    <n v="313178.40000000002"/>
    <n v="22231.481481481482"/>
    <x v="76"/>
    <x v="114"/>
    <n v="117287"/>
    <n v="117287"/>
    <n v="71670"/>
    <n v="188957"/>
    <n v="71670"/>
    <n v="188957"/>
    <n v="141880"/>
    <n v="0"/>
    <n v="85128"/>
    <n v="0"/>
    <n v="85128"/>
  </r>
  <r>
    <s v="Cerdo"/>
    <x v="0"/>
    <s v="agrosuper shanghai1022099"/>
    <x v="1"/>
    <n v="1022099"/>
    <s v="GO Hso Costilla@ Cj 18k AS"/>
    <s v="Huesos"/>
    <n v="0"/>
    <n v="0"/>
    <x v="51"/>
    <n v="1657.13"/>
    <x v="50"/>
    <n v="260820"/>
    <n v="189961.2"/>
    <n v="11250"/>
    <n v="0"/>
    <n v="260820"/>
    <x v="50"/>
    <n v="260820"/>
    <n v="227953.44"/>
    <n v="11250"/>
    <x v="76"/>
    <x v="115"/>
    <n v="195971"/>
    <n v="195971"/>
    <n v="177982"/>
    <n v="373953"/>
    <n v="177982"/>
    <n v="373953"/>
    <n v="232226"/>
    <n v="0"/>
    <n v="139335.6"/>
    <n v="0"/>
    <n v="139335.6"/>
  </r>
  <r>
    <s v="Cerdo"/>
    <x v="0"/>
    <s v="agrosuper shanghai1022125"/>
    <x v="1"/>
    <n v="1022125"/>
    <s v="GO PernilM C/M@ Cj 20k AS"/>
    <s v="Pernil"/>
    <n v="0"/>
    <n v="0"/>
    <x v="52"/>
    <n v="4403.5600000000004"/>
    <x v="51"/>
    <n v="146393.02000000002"/>
    <n v="441716.88779999991"/>
    <n v="0"/>
    <n v="22413.361111111113"/>
    <n v="168806.38111111114"/>
    <x v="51"/>
    <n v="146393.02000000002"/>
    <n v="530060.26535999996"/>
    <n v="0"/>
    <x v="103"/>
    <x v="116"/>
    <n v="240000"/>
    <n v="240000"/>
    <n v="332884.11000000004"/>
    <n v="572884.1100000001"/>
    <n v="332884.11000000004"/>
    <n v="572884.1100000001"/>
    <n v="240000"/>
    <n v="0"/>
    <n v="144000"/>
    <n v="0"/>
    <n v="144000"/>
  </r>
  <r>
    <s v="Cerdo"/>
    <x v="0"/>
    <s v="agrosuper shanghai1022169"/>
    <x v="1"/>
    <n v="1022169"/>
    <s v="GO Cartilag Lom@ Cj 10k AS"/>
    <s v="Recortes"/>
    <n v="0"/>
    <n v="0"/>
    <x v="53"/>
    <n v="1947.24"/>
    <x v="52"/>
    <n v="167520"/>
    <n v="460410"/>
    <n v="0"/>
    <n v="45194.444444444445"/>
    <n v="212714.44444444444"/>
    <x v="52"/>
    <n v="167520"/>
    <n v="552492"/>
    <n v="0"/>
    <x v="104"/>
    <x v="117"/>
    <n v="196988"/>
    <n v="196988"/>
    <n v="158280"/>
    <n v="355268"/>
    <n v="158280"/>
    <n v="355268"/>
    <n v="214964"/>
    <n v="0"/>
    <n v="128978.4"/>
    <n v="0"/>
    <n v="128978.4"/>
  </r>
  <r>
    <s v="Cerdo"/>
    <x v="0"/>
    <s v="agrosuper shanghai1022212"/>
    <x v="1"/>
    <n v="1022212"/>
    <s v="GO Cab Ent@ Cj 20k AS"/>
    <s v="Cabeza"/>
    <n v="0"/>
    <n v="0"/>
    <x v="54"/>
    <n v="4353.41"/>
    <x v="53"/>
    <n v="617854.57999999984"/>
    <n v="927737.01839999994"/>
    <n v="155569.27777777778"/>
    <n v="44775.595370370371"/>
    <n v="662630.17537037027"/>
    <x v="53"/>
    <n v="617854.57999999984"/>
    <n v="1113284.4220799999"/>
    <n v="155569.27777777778"/>
    <x v="105"/>
    <x v="118"/>
    <n v="663542"/>
    <n v="663542"/>
    <n v="381351.48"/>
    <n v="1044893.48"/>
    <n v="381351.48"/>
    <n v="1044893.48"/>
    <n v="778460"/>
    <n v="48460.3"/>
    <n v="515536.3"/>
    <n v="48460.3"/>
    <n v="515536.3"/>
  </r>
  <r>
    <s v="Cerdo"/>
    <x v="0"/>
    <s v="agrosuper shanghai1022373"/>
    <x v="1"/>
    <n v="1022373"/>
    <s v="GO Reco 60/40 @ Cj 20k AS"/>
    <s v="Recortes"/>
    <n v="0"/>
    <n v="0"/>
    <x v="2"/>
    <n v="0"/>
    <x v="1"/>
    <n v="70749.37"/>
    <n v="0"/>
    <n v="0"/>
    <n v="21571.698148148149"/>
    <n v="92321.068148148144"/>
    <x v="1"/>
    <n v="70749.37"/>
    <n v="0"/>
    <n v="0"/>
    <x v="106"/>
    <x v="119"/>
    <n v="142412"/>
    <n v="142412"/>
    <n v="44497.07"/>
    <n v="186909.07"/>
    <n v="44497.07"/>
    <n v="186909.07"/>
    <n v="227220"/>
    <n v="24016.07"/>
    <n v="160348.07"/>
    <n v="24016.07"/>
    <n v="160348.07"/>
  </r>
  <r>
    <s v="Cerdo"/>
    <x v="0"/>
    <s v="agrosuper shanghai1022378"/>
    <x v="1"/>
    <n v="1022378"/>
    <s v="GO Resto Tira Hso@ Fi Cj 10k AS"/>
    <s v="Huesos"/>
    <n v="0"/>
    <n v="0"/>
    <x v="55"/>
    <n v="1456.87"/>
    <x v="54"/>
    <n v="100300"/>
    <n v="158400"/>
    <n v="0"/>
    <n v="22203.703703703704"/>
    <n v="122503.70370370371"/>
    <x v="54"/>
    <n v="100300"/>
    <n v="190080"/>
    <n v="0"/>
    <x v="107"/>
    <x v="120"/>
    <n v="73659"/>
    <n v="73659"/>
    <n v="98650"/>
    <n v="172309"/>
    <n v="98650"/>
    <n v="172309"/>
    <n v="87286"/>
    <n v="0"/>
    <n v="52371.6"/>
    <n v="0"/>
    <n v="52371.6"/>
  </r>
  <r>
    <s v="Cerdo"/>
    <x v="0"/>
    <s v="agrosuper shanghai1022379"/>
    <x v="1"/>
    <n v="1022379"/>
    <s v="GO PpPal 77@ Bo Cj AS"/>
    <s v="Paleta"/>
    <n v="0"/>
    <n v="0"/>
    <x v="2"/>
    <n v="0"/>
    <x v="1"/>
    <n v="85955.34"/>
    <n v="14574.477599999998"/>
    <n v="22260.759259259259"/>
    <n v="7309.3212962962962"/>
    <n v="93264.661296296297"/>
    <x v="1"/>
    <n v="85955.34"/>
    <n v="17489.373119999997"/>
    <n v="22260.759259259259"/>
    <x v="108"/>
    <x v="121"/>
    <m/>
    <m/>
    <n v="170148.99000000002"/>
    <n v="170148.99000000002"/>
    <n v="170148.99000000002"/>
    <n v="170148.99000000002"/>
    <m/>
    <n v="0"/>
    <n v="0"/>
    <n v="0"/>
    <n v="0"/>
  </r>
  <r>
    <s v="Cerdo"/>
    <x v="0"/>
    <s v="agrosuper shanghai1022414"/>
    <x v="1"/>
    <n v="1022414"/>
    <s v="GO Caz Ent@ Bo Cj 10k AS"/>
    <s v="Chuleta"/>
    <n v="0"/>
    <n v="0"/>
    <x v="56"/>
    <n v="1718.17"/>
    <x v="55"/>
    <n v="145510"/>
    <n v="566544"/>
    <n v="0"/>
    <n v="22222.222222222223"/>
    <n v="167732.22222222222"/>
    <x v="55"/>
    <n v="145510"/>
    <n v="679852.79999999993"/>
    <n v="0"/>
    <x v="83"/>
    <x v="122"/>
    <n v="120000"/>
    <n v="120000"/>
    <n v="177140"/>
    <n v="297140"/>
    <n v="177140"/>
    <n v="297140"/>
    <n v="120000"/>
    <n v="0"/>
    <n v="72000"/>
    <n v="0"/>
    <n v="72000"/>
  </r>
  <r>
    <s v="Cerdo"/>
    <x v="0"/>
    <s v="agrosuper shanghai1022568"/>
    <x v="1"/>
    <n v="1022568"/>
    <s v="GO Panc Tecla SCue@ 4 Bo Cj 20kg AS"/>
    <s v="Panceta"/>
    <n v="0"/>
    <n v="0"/>
    <x v="57"/>
    <m/>
    <x v="56"/>
    <n v="0"/>
    <n v="0"/>
    <n v="22235.805555555555"/>
    <n v="24706.81388888889"/>
    <n v="24706.81388888889"/>
    <x v="56"/>
    <n v="0"/>
    <n v="0"/>
    <n v="22235.805555555555"/>
    <x v="109"/>
    <x v="123"/>
    <m/>
    <m/>
    <n v="24014.46"/>
    <n v="24014.46"/>
    <n v="24014.46"/>
    <n v="24014.46"/>
    <n v="72000"/>
    <n v="0"/>
    <n v="43200"/>
    <n v="0"/>
    <n v="43200"/>
  </r>
  <r>
    <s v="Cerdo"/>
    <x v="0"/>
    <s v="agrosuper shanghai1022636"/>
    <x v="1"/>
    <n v="1022636"/>
    <s v="GO Hso Coxal@ Cj 15kg AS"/>
    <s v="Huesos"/>
    <n v="0"/>
    <n v="0"/>
    <x v="58"/>
    <n v="1612.52"/>
    <x v="57"/>
    <n v="136065"/>
    <n v="181323"/>
    <n v="22194.444444444445"/>
    <n v="0"/>
    <n v="136065"/>
    <x v="57"/>
    <n v="136065"/>
    <n v="217587.59999999998"/>
    <n v="22194.444444444445"/>
    <x v="76"/>
    <x v="124"/>
    <n v="161886"/>
    <n v="161886"/>
    <n v="270960"/>
    <n v="432846"/>
    <n v="270960"/>
    <n v="432846"/>
    <n v="193924"/>
    <n v="0"/>
    <n v="116354.4"/>
    <n v="0"/>
    <n v="116354.4"/>
  </r>
  <r>
    <s v="Cerdo"/>
    <x v="0"/>
    <s v="agrosuper shanghai1022637"/>
    <x v="1"/>
    <n v="1022637"/>
    <s v="GO Hso Escapula@ Cj 15kg AS"/>
    <s v="Huesos"/>
    <n v="0"/>
    <n v="0"/>
    <x v="59"/>
    <n v="1081.6500000000001"/>
    <x v="58"/>
    <n v="137070"/>
    <n v="196425"/>
    <n v="0"/>
    <n v="9208.3333333333339"/>
    <n v="146278.33333333334"/>
    <x v="58"/>
    <n v="137070"/>
    <n v="235709.99999999997"/>
    <n v="0"/>
    <x v="110"/>
    <x v="125"/>
    <n v="96784"/>
    <n v="96784"/>
    <n v="116445"/>
    <n v="213229"/>
    <n v="116445"/>
    <n v="213229"/>
    <n v="114689"/>
    <n v="0"/>
    <n v="68813.399999999994"/>
    <n v="0"/>
    <n v="68813.399999999994"/>
  </r>
  <r>
    <s v="Cerdo"/>
    <x v="0"/>
    <s v="agrosuper shanghai1022639"/>
    <x v="1"/>
    <n v="1022639"/>
    <s v="GO Cab Bca Ent S/L@ Cj 20k AS"/>
    <s v="Cabeza"/>
    <n v="0"/>
    <n v="0"/>
    <x v="60"/>
    <n v="10790.92"/>
    <x v="59"/>
    <n v="823128"/>
    <n v="1317760.2923999999"/>
    <n v="84570.685185185182"/>
    <n v="63619.487962962878"/>
    <n v="886747.48796296283"/>
    <x v="59"/>
    <n v="823128"/>
    <n v="1581312.35088"/>
    <n v="84570.685185185182"/>
    <x v="111"/>
    <x v="126"/>
    <n v="816298"/>
    <n v="816298"/>
    <n v="720637.37"/>
    <n v="1536935.37"/>
    <n v="720637.37"/>
    <n v="1536935.37"/>
    <n v="840000"/>
    <n v="156703.85"/>
    <n v="660703.85"/>
    <n v="156703.85"/>
    <n v="660703.85"/>
  </r>
  <r>
    <s v="Cerdo"/>
    <x v="0"/>
    <s v="agrosuper shanghai1022640"/>
    <x v="1"/>
    <n v="1022640"/>
    <s v="GO Cab Roj Ent S/L@ Cj 20k AS"/>
    <s v="Cabeza"/>
    <n v="0"/>
    <n v="0"/>
    <x v="61"/>
    <n v="210.55"/>
    <x v="60"/>
    <n v="45082.28"/>
    <n v="63992.960399999996"/>
    <n v="21017.731481481482"/>
    <n v="0"/>
    <n v="45082.28"/>
    <x v="60"/>
    <n v="45082.28"/>
    <n v="76791.552479999998"/>
    <n v="21017.731481481482"/>
    <x v="76"/>
    <x v="127"/>
    <n v="130871"/>
    <n v="130871"/>
    <n v="46109.86"/>
    <n v="176980.86"/>
    <n v="46109.86"/>
    <n v="176980.86"/>
    <n v="240000"/>
    <n v="0"/>
    <n v="144000"/>
    <n v="0"/>
    <n v="144000"/>
  </r>
  <r>
    <s v="Cerdo"/>
    <x v="0"/>
    <s v="agrosuper shanghai1022753"/>
    <x v="1"/>
    <n v="1022753"/>
    <s v="GO PernilM 1,3 kg up@ Cj 20k AS"/>
    <s v="Pernil"/>
    <n v="0"/>
    <n v="0"/>
    <x v="62"/>
    <n v="833.39"/>
    <x v="61"/>
    <n v="231800"/>
    <n v="250452"/>
    <n v="22055.555555555555"/>
    <n v="22240.740740740741"/>
    <n v="254040.74074074073"/>
    <x v="61"/>
    <n v="231800"/>
    <n v="300542.39999999997"/>
    <n v="22055.555555555555"/>
    <x v="112"/>
    <x v="128"/>
    <n v="208147"/>
    <n v="208147"/>
    <n v="266520"/>
    <n v="474667"/>
    <n v="266520"/>
    <n v="474667"/>
    <n v="246655"/>
    <n v="25000"/>
    <n v="172993"/>
    <n v="25000"/>
    <n v="172993"/>
  </r>
  <r>
    <s v="Cerdo"/>
    <x v="0"/>
    <s v="agrosuper shanghai1022851"/>
    <x v="1"/>
    <n v="1022851"/>
    <s v="GO Pal Nor@ Cj 20k AS"/>
    <s v="Paleta"/>
    <n v="0"/>
    <n v="0"/>
    <x v="2"/>
    <n v="0"/>
    <x v="1"/>
    <n v="157339.18"/>
    <n v="0"/>
    <n v="43858.027777777774"/>
    <n v="22091.3"/>
    <n v="179430.47999999998"/>
    <x v="1"/>
    <n v="157339.18"/>
    <n v="0"/>
    <n v="43858.027777777774"/>
    <x v="113"/>
    <x v="129"/>
    <m/>
    <m/>
    <n v="24165.3"/>
    <n v="24165.3"/>
    <n v="24165.3"/>
    <n v="24165.3"/>
    <m/>
    <n v="22099.68"/>
    <n v="22099.68"/>
    <n v="22099.68"/>
    <n v="22099.68"/>
  </r>
  <r>
    <s v="Cerdo"/>
    <x v="0"/>
    <s v="agrosuper shanghai1022943"/>
    <x v="1"/>
    <n v="1022943"/>
    <s v="GO Lom Ctro@ Cj 16k AS"/>
    <s v="Lomo"/>
    <n v="0"/>
    <n v="0"/>
    <x v="2"/>
    <n v="0"/>
    <x v="1"/>
    <n v="104199.82999999999"/>
    <n v="28685.006399999998"/>
    <n v="0"/>
    <n v="22235.880555555555"/>
    <n v="126435.71055555555"/>
    <x v="1"/>
    <n v="104199.82999999999"/>
    <n v="34422.007679999995"/>
    <n v="0"/>
    <x v="114"/>
    <x v="130"/>
    <n v="96000"/>
    <n v="96000"/>
    <n v="0"/>
    <n v="96000"/>
    <n v="0"/>
    <n v="96000"/>
    <n v="96000"/>
    <n v="25003.55"/>
    <n v="82603.55"/>
    <n v="25003.55"/>
    <n v="82603.55"/>
  </r>
  <r>
    <s v="Cerdo"/>
    <x v="0"/>
    <s v="agrosuper shanghai1023035"/>
    <x v="1"/>
    <n v="1023035"/>
    <s v="GO Belly Strip@ Cj 20k AS"/>
    <s v="Recortes"/>
    <n v="0"/>
    <n v="0"/>
    <x v="2"/>
    <n v="0"/>
    <x v="1"/>
    <n v="0"/>
    <n v="0"/>
    <n v="0"/>
    <n v="2670.1388888888887"/>
    <n v="2670.1388888888887"/>
    <x v="1"/>
    <n v="0"/>
    <n v="0"/>
    <n v="0"/>
    <x v="115"/>
    <x v="131"/>
    <m/>
    <m/>
    <n v="0"/>
    <n v="0"/>
    <n v="0"/>
    <n v="0"/>
    <m/>
    <n v="0"/>
    <n v="0"/>
    <n v="0"/>
    <n v="0"/>
  </r>
  <r>
    <s v="Cerdo"/>
    <x v="0"/>
    <s v="agrosuper shanghai1023111"/>
    <x v="1"/>
    <n v="1023111"/>
    <s v="GO Grasa Forro Pna Limp@ Bo Cj 20k AS"/>
    <s v="Grasas"/>
    <n v="0"/>
    <n v="0"/>
    <x v="2"/>
    <n v="0"/>
    <x v="1"/>
    <n v="0"/>
    <n v="0"/>
    <n v="0"/>
    <n v="6548.5916666666672"/>
    <n v="6548.5916666666672"/>
    <x v="1"/>
    <n v="0"/>
    <n v="0"/>
    <n v="0"/>
    <x v="116"/>
    <x v="132"/>
    <m/>
    <m/>
    <n v="0"/>
    <n v="0"/>
    <n v="0"/>
    <n v="0"/>
    <m/>
    <n v="0"/>
    <n v="0"/>
    <n v="0"/>
    <n v="0"/>
  </r>
  <r>
    <s v="Cerdo"/>
    <x v="0"/>
    <s v="agrosuper shanghai1023306"/>
    <x v="1"/>
    <n v="1023306"/>
    <s v="GO Cue granel@ Bo Cj 20k AS"/>
    <s v="Cueros"/>
    <n v="0"/>
    <n v="0"/>
    <x v="63"/>
    <n v="3820.65"/>
    <x v="62"/>
    <n v="210440"/>
    <n v="376308"/>
    <n v="0"/>
    <n v="44481.481481481482"/>
    <n v="254921.48148148149"/>
    <x v="62"/>
    <n v="210440"/>
    <n v="451569.6"/>
    <n v="0"/>
    <x v="117"/>
    <x v="133"/>
    <n v="289235"/>
    <n v="289235"/>
    <n v="240800"/>
    <n v="530035"/>
    <n v="240800"/>
    <n v="530035"/>
    <n v="342744"/>
    <n v="0"/>
    <n v="205646.4"/>
    <n v="0"/>
    <n v="205646.4"/>
  </r>
  <r>
    <s v="Cerdo"/>
    <x v="0"/>
    <s v="agrosuper shanghai1023411"/>
    <x v="1"/>
    <n v="1023411"/>
    <s v="GO  PpPna 54@ Bo Cj AS"/>
    <s v="Pierna"/>
    <n v="0"/>
    <n v="0"/>
    <x v="2"/>
    <n v="0"/>
    <x v="1"/>
    <n v="72665.06"/>
    <n v="155210.80379999999"/>
    <n v="67105.342592592599"/>
    <n v="6373.9990740740741"/>
    <n v="79039.059074074074"/>
    <x v="1"/>
    <n v="72665.06"/>
    <n v="186252.96455999999"/>
    <n v="67105.342592592599"/>
    <x v="118"/>
    <x v="134"/>
    <n v="120000"/>
    <n v="120000"/>
    <n v="101302.23"/>
    <n v="221302.22999999998"/>
    <n v="101302.23"/>
    <n v="221302.22999999998"/>
    <n v="120000"/>
    <n v="0"/>
    <n v="72000"/>
    <n v="0"/>
    <n v="72000"/>
  </r>
  <r>
    <s v="Cerdo"/>
    <x v="0"/>
    <s v="agrosuper shanghai1023412"/>
    <x v="1"/>
    <n v="1023412"/>
    <s v="GO  PpPna 57@ Bo Cj AS"/>
    <s v="Pierna"/>
    <n v="0"/>
    <n v="0"/>
    <x v="2"/>
    <n v="0"/>
    <x v="1"/>
    <n v="24285.08"/>
    <n v="57503.88"/>
    <n v="22150.712962962964"/>
    <n v="0"/>
    <n v="24285.08"/>
    <x v="1"/>
    <n v="24285.08"/>
    <n v="69004.656000000003"/>
    <n v="22150.712962962964"/>
    <x v="76"/>
    <x v="135"/>
    <n v="120000"/>
    <n v="120000"/>
    <n v="96312.299999999988"/>
    <n v="216312.3"/>
    <n v="96312.299999999988"/>
    <n v="216312.3"/>
    <n v="120000"/>
    <n v="0"/>
    <n v="72000"/>
    <n v="0"/>
    <n v="72000"/>
  </r>
  <r>
    <s v="Cerdo"/>
    <x v="0"/>
    <s v="andes asia1021929"/>
    <x v="0"/>
    <n v="1021929"/>
    <s v="GO Panc Lam 3mm@ Cj 10k AS"/>
    <s v="Panceta"/>
    <n v="0"/>
    <n v="0"/>
    <x v="2"/>
    <n v="0"/>
    <x v="1"/>
    <n v="2000"/>
    <n v="4200"/>
    <n v="0"/>
    <n v="46.296296296296298"/>
    <n v="2046.2962962962963"/>
    <x v="1"/>
    <n v="2000"/>
    <n v="5040"/>
    <n v="0"/>
    <x v="119"/>
    <x v="136"/>
    <n v="2000"/>
    <n v="2000"/>
    <n v="970"/>
    <n v="2970"/>
    <n v="970"/>
    <n v="2970"/>
    <n v="2000"/>
    <n v="0"/>
    <n v="1400"/>
    <n v="0"/>
    <n v="1400"/>
  </r>
  <r>
    <s v="Cerdo"/>
    <x v="0"/>
    <s v="andes asia1022101"/>
    <x v="0"/>
    <n v="1022101"/>
    <s v="GO Lom Tec@ Va Cj 20k AS"/>
    <s v="Lomo"/>
    <n v="0"/>
    <n v="0"/>
    <x v="2"/>
    <n v="0"/>
    <x v="1"/>
    <n v="1290.46"/>
    <n v="1985.8319999999999"/>
    <n v="0"/>
    <n v="789.80555555555554"/>
    <n v="2080.2655555555557"/>
    <x v="1"/>
    <n v="1290.46"/>
    <n v="2382.9983999999999"/>
    <n v="0"/>
    <x v="120"/>
    <x v="137"/>
    <n v="6000"/>
    <n v="6000"/>
    <n v="827.44"/>
    <n v="6827.4400000000005"/>
    <n v="827.44"/>
    <n v="6827.4400000000005"/>
    <n v="6000"/>
    <n v="0"/>
    <n v="4200"/>
    <n v="0"/>
    <n v="4200"/>
  </r>
  <r>
    <s v="Cerdo"/>
    <x v="0"/>
    <s v="andes asia1022293"/>
    <x v="0"/>
    <n v="1022293"/>
    <s v="GO Malaya Japon@ Vp Fi Cj 5k AS"/>
    <s v="Prolijado"/>
    <n v="0"/>
    <n v="0"/>
    <x v="2"/>
    <n v="0"/>
    <x v="1"/>
    <n v="1000"/>
    <n v="2376"/>
    <n v="0"/>
    <n v="675.92592592592598"/>
    <n v="1675.9259259259261"/>
    <x v="1"/>
    <n v="1000"/>
    <n v="2851.2"/>
    <n v="0"/>
    <x v="121"/>
    <x v="138"/>
    <n v="824"/>
    <n v="824"/>
    <n v="10540"/>
    <n v="11364"/>
    <n v="10540"/>
    <n v="11364"/>
    <n v="3012"/>
    <n v="0"/>
    <n v="2108.4"/>
    <n v="0"/>
    <n v="2108.4"/>
  </r>
  <r>
    <s v="Cerdo"/>
    <x v="0"/>
    <s v="andes asia1022561"/>
    <x v="0"/>
    <n v="1022561"/>
    <s v="GO MM Loin LL@ Fi Cj 12k AA"/>
    <s v="Lomo"/>
    <n v="0"/>
    <n v="0"/>
    <x v="2"/>
    <n v="0"/>
    <x v="1"/>
    <n v="0"/>
    <n v="0"/>
    <n v="0"/>
    <n v="1859.0731481481482"/>
    <n v="1859.0731481481482"/>
    <x v="1"/>
    <n v="0"/>
    <n v="0"/>
    <n v="0"/>
    <x v="122"/>
    <x v="139"/>
    <m/>
    <m/>
    <n v="0"/>
    <n v="0"/>
    <n v="0"/>
    <n v="0"/>
    <m/>
    <n v="0"/>
    <n v="0"/>
    <n v="0"/>
    <n v="0"/>
  </r>
  <r>
    <s v="Cerdo"/>
    <x v="0"/>
    <s v="andes asia1022865"/>
    <x v="0"/>
    <n v="1022865"/>
    <s v="GO Pan Tec S/cuero M@ Cj 17k AS"/>
    <s v="Panceta"/>
    <n v="0"/>
    <n v="0"/>
    <x v="64"/>
    <n v="67.39"/>
    <x v="63"/>
    <n v="40974.79"/>
    <n v="46005.981599999999"/>
    <n v="0"/>
    <n v="5503.875"/>
    <n v="46478.665000000001"/>
    <x v="63"/>
    <n v="40974.79"/>
    <n v="55207.177919999995"/>
    <n v="0"/>
    <x v="123"/>
    <x v="140"/>
    <n v="60000"/>
    <n v="60000"/>
    <n v="65077.79"/>
    <n v="125077.79000000001"/>
    <n v="65077.79"/>
    <n v="125077.79000000001"/>
    <n v="60000"/>
    <n v="0"/>
    <n v="42000"/>
    <n v="0"/>
    <n v="42000"/>
  </r>
  <r>
    <s v="Cerdo"/>
    <x v="0"/>
    <s v="andes asia1023123"/>
    <x v="0"/>
    <n v="1023123"/>
    <s v="GO Lom Vet@ Cj 9k AS"/>
    <s v="Lomo"/>
    <n v="0"/>
    <n v="0"/>
    <x v="2"/>
    <n v="0"/>
    <x v="1"/>
    <n v="3033.74"/>
    <n v="4931.9112000000005"/>
    <n v="0"/>
    <n v="3471.2851851851851"/>
    <n v="6505.0251851851845"/>
    <x v="1"/>
    <n v="3033.74"/>
    <n v="5918.2934400000004"/>
    <n v="0"/>
    <x v="124"/>
    <x v="141"/>
    <n v="3000"/>
    <n v="3000"/>
    <n v="6002.21"/>
    <n v="9002.2099999999991"/>
    <n v="6002.21"/>
    <n v="9002.2099999999991"/>
    <n v="3000"/>
    <n v="0"/>
    <n v="2100"/>
    <n v="0"/>
    <n v="2100"/>
  </r>
  <r>
    <s v="Cerdo"/>
    <x v="0"/>
    <s v="andes asia1023265"/>
    <x v="0"/>
    <n v="1023265"/>
    <s v="GO Pta Cos 2h@ Bo Cj 10k AS"/>
    <s v="Cost-Pec"/>
    <n v="0"/>
    <n v="0"/>
    <x v="65"/>
    <n v="338.24"/>
    <x v="64"/>
    <n v="10077.040000000001"/>
    <n v="13251.052199999998"/>
    <n v="0"/>
    <n v="1854.5916666666667"/>
    <n v="11931.631666666668"/>
    <x v="64"/>
    <n v="10077.040000000001"/>
    <n v="15901.262639999999"/>
    <n v="0"/>
    <x v="125"/>
    <x v="142"/>
    <n v="20000"/>
    <n v="20000"/>
    <n v="11898.599999999999"/>
    <n v="31898.6"/>
    <n v="11898.599999999999"/>
    <n v="31898.6"/>
    <n v="20000"/>
    <n v="0"/>
    <n v="14000"/>
    <n v="0"/>
    <n v="14000"/>
  </r>
  <r>
    <s v="Pavo"/>
    <x v="0"/>
    <s v="agro america1030321"/>
    <x v="2"/>
    <n v="1030321"/>
    <s v="PV Pch MA 8% 14-16 Lb@ Bo Cj 20k SO"/>
    <s v="Pech"/>
    <n v="0"/>
    <n v="0"/>
    <x v="2"/>
    <n v="0"/>
    <x v="1"/>
    <n v="0"/>
    <n v="34230.604800000001"/>
    <n v="3603.8703703703704"/>
    <n v="3378.4537037037039"/>
    <n v="3378.4537037037039"/>
    <x v="1"/>
    <n v="0"/>
    <n v="41076.725760000001"/>
    <n v="3603.8703703703704"/>
    <x v="126"/>
    <x v="143"/>
    <n v="4320"/>
    <n v="4320"/>
    <n v="8149.056971"/>
    <n v="12469.056971"/>
    <n v="8149.056971"/>
    <n v="12469.056971"/>
    <n v="4320"/>
    <n v="0"/>
    <n v="2592"/>
    <n v="0"/>
    <n v="2592"/>
  </r>
  <r>
    <s v="Pavo"/>
    <x v="0"/>
    <s v="agro america1030360"/>
    <x v="2"/>
    <n v="1030360"/>
    <s v="PV Pch MA 15% 14-16 Lb@ Bo Cj 20k SO"/>
    <s v="Pech"/>
    <n v="0"/>
    <n v="0"/>
    <x v="66"/>
    <m/>
    <x v="65"/>
    <n v="0"/>
    <n v="12943.337399999999"/>
    <n v="3644.0740740740739"/>
    <n v="4360.4629629629635"/>
    <n v="4360.4629629629635"/>
    <x v="65"/>
    <n v="0"/>
    <n v="15532.004879999999"/>
    <n v="3644.0740740740739"/>
    <x v="127"/>
    <x v="144"/>
    <n v="4920"/>
    <n v="4920"/>
    <n v="3082.1803199999999"/>
    <n v="8002.1803199999995"/>
    <n v="3082.1803199999999"/>
    <n v="8002.1803199999995"/>
    <n v="4920"/>
    <n v="0"/>
    <n v="2952"/>
    <n v="0"/>
    <n v="2952"/>
  </r>
  <r>
    <s v="Pavo"/>
    <x v="0"/>
    <s v="agro america1030366"/>
    <x v="2"/>
    <n v="1030366"/>
    <s v="PV Pch MA 8% 12-14 Lb@ Bo Cj 20k SO"/>
    <s v="Pech"/>
    <n v="0"/>
    <n v="0"/>
    <x v="2"/>
    <n v="0"/>
    <x v="1"/>
    <n v="0"/>
    <n v="0"/>
    <n v="806.69444444444446"/>
    <n v="806.77777777777783"/>
    <n v="806.77777777777783"/>
    <x v="1"/>
    <n v="0"/>
    <n v="0"/>
    <n v="806.69444444444446"/>
    <x v="128"/>
    <x v="145"/>
    <n v="840"/>
    <n v="840"/>
    <n v="8251.2331049999993"/>
    <n v="9091.2331049999993"/>
    <n v="8251.2331049999993"/>
    <n v="9091.2331049999993"/>
    <n v="840"/>
    <n v="0"/>
    <n v="504"/>
    <n v="0"/>
    <n v="504"/>
  </r>
  <r>
    <s v="Pavo"/>
    <x v="0"/>
    <s v="agro america1030370"/>
    <x v="2"/>
    <n v="1030370"/>
    <s v="PV Triming Pch@ Cj 40 Lbs SO"/>
    <s v="Recortes"/>
    <n v="0"/>
    <n v="0"/>
    <x v="67"/>
    <m/>
    <x v="66"/>
    <n v="11992.97248"/>
    <n v="0"/>
    <n v="7289.5925925925931"/>
    <n v="2.2555555555555555"/>
    <n v="11995.228035555556"/>
    <x v="66"/>
    <n v="11992.97248"/>
    <n v="0"/>
    <n v="7289.5925925925931"/>
    <x v="129"/>
    <x v="146"/>
    <n v="20000"/>
    <n v="20000"/>
    <n v="18143.68"/>
    <n v="38143.68"/>
    <n v="18143.68"/>
    <n v="38143.68"/>
    <n v="20000"/>
    <n v="0"/>
    <n v="12000"/>
    <n v="0"/>
    <n v="12000"/>
  </r>
  <r>
    <s v="Pavo"/>
    <x v="0"/>
    <s v="agro america1030376"/>
    <x v="2"/>
    <n v="1030376"/>
    <s v="PV Pch MA 8% 16-18 Lb@ Bo Cj 15k SO"/>
    <s v="Pech"/>
    <n v="0"/>
    <n v="0"/>
    <x v="2"/>
    <n v="0"/>
    <x v="1"/>
    <n v="0"/>
    <n v="0"/>
    <n v="5221.9953703703704"/>
    <n v="3708.0555555555552"/>
    <n v="3708.0555555555552"/>
    <x v="1"/>
    <n v="0"/>
    <n v="0"/>
    <n v="5221.9953703703704"/>
    <x v="130"/>
    <x v="147"/>
    <n v="5520"/>
    <n v="5520"/>
    <n v="0"/>
    <n v="5520"/>
    <n v="0"/>
    <n v="5520"/>
    <n v="5520"/>
    <n v="0"/>
    <n v="3312"/>
    <n v="0"/>
    <n v="3312"/>
  </r>
  <r>
    <s v="Pavo"/>
    <x v="0"/>
    <s v="agro america1030424"/>
    <x v="2"/>
    <n v="1030424"/>
    <s v="PV PchDeh Mrps C/piel @ Cj 18k AS"/>
    <s v="Pech Desh"/>
    <n v="0"/>
    <n v="0"/>
    <x v="68"/>
    <n v="3095.3420000000001"/>
    <x v="67"/>
    <n v="45015.84446"/>
    <n v="54201.648000000001"/>
    <n v="0"/>
    <n v="21675.198148148149"/>
    <n v="66691.042608148156"/>
    <x v="67"/>
    <n v="45015.84446"/>
    <n v="65041.977599999998"/>
    <n v="0"/>
    <x v="131"/>
    <x v="148"/>
    <n v="59988"/>
    <n v="59988"/>
    <n v="67515.645139999993"/>
    <n v="127503.64513999999"/>
    <n v="67515.645139999993"/>
    <n v="127503.64513999999"/>
    <n v="59988"/>
    <n v="0"/>
    <n v="35992.799999999996"/>
    <n v="0"/>
    <n v="35992.799999999996"/>
  </r>
  <r>
    <s v="Pavo"/>
    <x v="0"/>
    <s v="agro america1030735"/>
    <x v="2"/>
    <n v="1030735"/>
    <s v="PV Cog MA 30Lb@ Bo Cj 15k SO"/>
    <s v="Menudencias"/>
    <n v="0"/>
    <n v="0"/>
    <x v="2"/>
    <n v="0"/>
    <x v="1"/>
    <n v="0"/>
    <n v="0"/>
    <n v="17640"/>
    <n v="0"/>
    <n v="0"/>
    <x v="1"/>
    <n v="0"/>
    <n v="0"/>
    <n v="17640"/>
    <x v="76"/>
    <x v="149"/>
    <m/>
    <m/>
    <n v="0"/>
    <n v="0"/>
    <n v="0"/>
    <n v="0"/>
    <n v="24041"/>
    <n v="0"/>
    <n v="14424.6"/>
    <n v="0"/>
    <n v="14424.6"/>
  </r>
  <r>
    <s v="Pavo"/>
    <x v="0"/>
    <s v="agro america1030784"/>
    <x v="2"/>
    <n v="1030784"/>
    <s v="PV Pch MA 15% 16-18 Lb@ Bo Cj 20k AS"/>
    <s v="Pech"/>
    <n v="0"/>
    <n v="0"/>
    <x v="69"/>
    <m/>
    <x v="68"/>
    <n v="0"/>
    <n v="0"/>
    <n v="3151.1759259259261"/>
    <n v="0"/>
    <n v="0"/>
    <x v="68"/>
    <n v="0"/>
    <n v="0"/>
    <n v="3151.1759259259261"/>
    <x v="76"/>
    <x v="150"/>
    <n v="5880"/>
    <n v="5880"/>
    <n v="0"/>
    <n v="5880"/>
    <n v="0"/>
    <n v="5880"/>
    <n v="5880"/>
    <n v="0"/>
    <n v="3528"/>
    <n v="0"/>
    <n v="3528"/>
  </r>
  <r>
    <s v="Pavo"/>
    <x v="0"/>
    <s v="agro america1030785"/>
    <x v="2"/>
    <n v="1030785"/>
    <s v="PV Pch MA 15% 18-20 Lb@ Bo Cj 20k AS"/>
    <s v="Pech"/>
    <n v="0"/>
    <n v="0"/>
    <x v="70"/>
    <m/>
    <x v="69"/>
    <n v="0"/>
    <n v="0"/>
    <n v="123.33333333333333"/>
    <n v="0"/>
    <n v="0"/>
    <x v="69"/>
    <n v="0"/>
    <n v="0"/>
    <n v="123.33333333333333"/>
    <x v="76"/>
    <x v="151"/>
    <n v="1080"/>
    <n v="1080"/>
    <n v="178.6109218"/>
    <n v="1258.6109217999999"/>
    <n v="178.6109218"/>
    <n v="1258.6109217999999"/>
    <n v="1080"/>
    <n v="0"/>
    <n v="648"/>
    <n v="0"/>
    <n v="648"/>
  </r>
  <r>
    <s v="Pavo"/>
    <x v="0"/>
    <s v="agro europa1030265"/>
    <x v="4"/>
    <n v="1030265"/>
    <s v="Pv PchDeh S/p@ Jp SO"/>
    <s v="Pech Desh"/>
    <n v="0"/>
    <n v="0"/>
    <x v="71"/>
    <n v="10811"/>
    <x v="1"/>
    <n v="64800"/>
    <n v="51840"/>
    <n v="0"/>
    <n v="20000"/>
    <n v="84800"/>
    <x v="1"/>
    <n v="64800"/>
    <n v="62208"/>
    <n v="0"/>
    <x v="132"/>
    <x v="152"/>
    <n v="182357"/>
    <n v="182357"/>
    <n v="0"/>
    <n v="182357"/>
    <n v="0"/>
    <n v="182357"/>
    <n v="320000"/>
    <n v="0"/>
    <n v="224000"/>
    <n v="0"/>
    <n v="224000"/>
  </r>
  <r>
    <s v="Pavo"/>
    <x v="0"/>
    <s v="agro mexico1030337"/>
    <x v="3"/>
    <n v="1030337"/>
    <s v="PV PchDeh@ Blo Cj 15k SO"/>
    <s v="Pech Desh"/>
    <n v="0"/>
    <n v="0"/>
    <x v="2"/>
    <n v="0"/>
    <x v="1"/>
    <n v="24000"/>
    <n v="390847.82608695648"/>
    <n v="20444.444444444445"/>
    <n v="143111.11111111112"/>
    <n v="167111.11111111112"/>
    <x v="1"/>
    <n v="24000"/>
    <n v="481043.47826086957"/>
    <n v="20444.444444444445"/>
    <x v="133"/>
    <x v="153"/>
    <n v="96000"/>
    <n v="96000"/>
    <n v="0"/>
    <n v="96000"/>
    <n v="0"/>
    <n v="96000"/>
    <n v="96000"/>
    <n v="0"/>
    <n v="76800"/>
    <n v="0"/>
    <n v="76800"/>
  </r>
  <r>
    <s v="Pavo"/>
    <x v="0"/>
    <s v="agro mexico1030658"/>
    <x v="3"/>
    <n v="1030658"/>
    <s v="PV TruDeh Cort s/h S/p @ Cj AS"/>
    <s v="Trutro Desh"/>
    <n v="0"/>
    <n v="0"/>
    <x v="72"/>
    <m/>
    <x v="70"/>
    <n v="408240.6999999999"/>
    <n v="515851.12347826082"/>
    <n v="40918.465185185189"/>
    <n v="122755.39555555556"/>
    <n v="530996.09555555542"/>
    <x v="70"/>
    <n v="408240.6999999999"/>
    <n v="634893.69043478265"/>
    <n v="40918.465185185189"/>
    <x v="134"/>
    <x v="154"/>
    <n v="120000"/>
    <n v="120000"/>
    <n v="0"/>
    <n v="120000"/>
    <n v="0"/>
    <n v="120000"/>
    <n v="120000"/>
    <n v="0"/>
    <n v="96000"/>
    <n v="0"/>
    <n v="96000"/>
  </r>
  <r>
    <s v="Pavo"/>
    <x v="0"/>
    <s v="agro mexico1030792"/>
    <x v="3"/>
    <n v="1030792"/>
    <s v="PV Fil C/ten MA NMr@ Cj 15 kg AS"/>
    <s v="Pech Desh"/>
    <n v="0"/>
    <n v="0"/>
    <x v="2"/>
    <n v="0"/>
    <x v="1"/>
    <n v="0"/>
    <n v="0"/>
    <n v="0"/>
    <n v="61333.333333333336"/>
    <n v="61333.333333333336"/>
    <x v="1"/>
    <n v="0"/>
    <n v="0"/>
    <n v="0"/>
    <x v="135"/>
    <x v="155"/>
    <m/>
    <m/>
    <n v="48000"/>
    <n v="48000"/>
    <n v="48000"/>
    <n v="48000"/>
    <m/>
    <n v="0"/>
    <n v="0"/>
    <n v="0"/>
    <n v="0"/>
  </r>
  <r>
    <s v="Pavo"/>
    <x v="0"/>
    <s v="agro mexico1030810"/>
    <x v="3"/>
    <n v="1030810"/>
    <s v="PV Tru Lar MA Mr@ LP 15k AS"/>
    <s v="Trutro"/>
    <n v="0"/>
    <n v="0"/>
    <x v="2"/>
    <n v="0"/>
    <x v="1"/>
    <n v="0"/>
    <n v="0"/>
    <n v="18400"/>
    <n v="18400"/>
    <n v="18400"/>
    <x v="1"/>
    <n v="0"/>
    <n v="0"/>
    <n v="18400"/>
    <x v="136"/>
    <x v="156"/>
    <m/>
    <m/>
    <n v="0"/>
    <n v="0"/>
    <n v="0"/>
    <n v="0"/>
    <m/>
    <n v="0"/>
    <n v="0"/>
    <n v="0"/>
    <n v="0"/>
  </r>
  <r>
    <s v="Pavo"/>
    <x v="0"/>
    <s v="agrosuper shanghai1030525"/>
    <x v="1"/>
    <n v="1030525"/>
    <s v="PV Tru Ala@ Ex blo Cj 15k SO"/>
    <s v="Ala"/>
    <n v="0"/>
    <n v="0"/>
    <x v="73"/>
    <n v="5754.68"/>
    <x v="71"/>
    <n v="36000"/>
    <n v="100800"/>
    <n v="0"/>
    <n v="22222.222222222223"/>
    <n v="58222.222222222219"/>
    <x v="71"/>
    <n v="36000"/>
    <n v="120960"/>
    <n v="0"/>
    <x v="83"/>
    <x v="157"/>
    <n v="59332"/>
    <n v="59332"/>
    <n v="48000"/>
    <n v="107332"/>
    <n v="48000"/>
    <n v="107332"/>
    <m/>
    <n v="0"/>
    <n v="0"/>
    <n v="0"/>
    <n v="0"/>
  </r>
  <r>
    <s v="Pavo"/>
    <x v="0"/>
    <s v="agrosuper shanghai1030683"/>
    <x v="1"/>
    <n v="1030683"/>
    <s v="PV Tru Larg@ Bo Cj 15k AS"/>
    <s v="Trutro"/>
    <n v="0"/>
    <n v="0"/>
    <x v="74"/>
    <n v="5767.95"/>
    <x v="72"/>
    <n v="48000"/>
    <n v="371187"/>
    <n v="22152.777777777777"/>
    <n v="22222.222222222223"/>
    <n v="70222.222222222219"/>
    <x v="72"/>
    <n v="48000"/>
    <n v="445424.39999999997"/>
    <n v="22152.777777777777"/>
    <x v="83"/>
    <x v="158"/>
    <n v="217633"/>
    <n v="217633"/>
    <n v="91020"/>
    <n v="308653"/>
    <n v="91020"/>
    <n v="308653"/>
    <m/>
    <n v="0"/>
    <n v="0"/>
    <n v="0"/>
    <n v="0"/>
  </r>
  <r>
    <s v="Pavo"/>
    <x v="0"/>
    <s v="agrosuper shanghai1030686"/>
    <x v="1"/>
    <n v="1030686"/>
    <s v="PV Cog S/piel MA@ Bo Cj 15k AS"/>
    <s v="Menudencias"/>
    <n v="0"/>
    <n v="0"/>
    <x v="2"/>
    <n v="0"/>
    <x v="1"/>
    <n v="120000"/>
    <n v="115200"/>
    <n v="0"/>
    <n v="22222.222222222223"/>
    <n v="142222.22222222222"/>
    <x v="1"/>
    <n v="120000"/>
    <n v="138240"/>
    <n v="0"/>
    <x v="83"/>
    <x v="159"/>
    <n v="162478"/>
    <n v="162478"/>
    <n v="144000"/>
    <n v="306478"/>
    <n v="144000"/>
    <n v="306478"/>
    <m/>
    <n v="0"/>
    <n v="0"/>
    <n v="0"/>
    <n v="0"/>
  </r>
  <r>
    <s v="Elaborado"/>
    <x v="0"/>
    <s v="agro america1100574"/>
    <x v="2"/>
    <n v="1100574"/>
    <s v="Nugg Pollo@ Bo 18x1.5 Lb Cj AS"/>
    <s v="Empanizado"/>
    <n v="0"/>
    <n v="0"/>
    <x v="2"/>
    <n v="0"/>
    <x v="1"/>
    <n v="6730.8516880000006"/>
    <n v="36352.799999999996"/>
    <n v="0"/>
    <n v="566.66666666666663"/>
    <n v="7297.5183546666676"/>
    <x v="1"/>
    <n v="6730.8516880000006"/>
    <n v="43623.360000000001"/>
    <n v="0"/>
    <x v="137"/>
    <x v="160"/>
    <m/>
    <m/>
    <n v="11014.120944"/>
    <n v="11014.120944"/>
    <n v="11014.120944"/>
    <n v="11014.120944"/>
    <m/>
    <n v="0"/>
    <n v="0"/>
    <n v="0"/>
    <n v="0"/>
  </r>
  <r>
    <m/>
    <x v="0"/>
    <s v="agro europa1030355"/>
    <x v="4"/>
    <n v="1030355"/>
    <m/>
    <m/>
    <n v="0"/>
    <n v="0"/>
    <x v="75"/>
    <n v="4006"/>
    <x v="73"/>
    <n v="96000"/>
    <n v="115200"/>
    <n v="0"/>
    <n v="0"/>
    <n v="96000"/>
    <x v="73"/>
    <n v="96000"/>
    <n v="138240"/>
    <n v="0"/>
    <x v="76"/>
    <x v="161"/>
    <m/>
    <m/>
    <n v="72000"/>
    <n v="72000"/>
    <n v="72000"/>
    <n v="72000"/>
    <m/>
    <n v="12000"/>
    <n v="12000"/>
    <n v="12000"/>
    <n v="12000"/>
  </r>
  <r>
    <m/>
    <x v="0"/>
    <s v="agro europa1010877"/>
    <x v="4"/>
    <n v="1010877"/>
    <m/>
    <m/>
    <n v="0"/>
    <n v="0"/>
    <x v="76"/>
    <n v="2079.2199999999998"/>
    <x v="74"/>
    <n v="96000"/>
    <n v="0"/>
    <n v="0"/>
    <n v="0"/>
    <n v="96000"/>
    <x v="74"/>
    <n v="96000"/>
    <n v="0"/>
    <n v="0"/>
    <x v="76"/>
    <x v="161"/>
    <n v="827"/>
    <n v="827"/>
    <n v="24000"/>
    <n v="24827"/>
    <n v="24000"/>
    <n v="24827"/>
    <n v="38499"/>
    <n v="96000"/>
    <n v="122949.3"/>
    <n v="96000"/>
    <n v="122949.3"/>
  </r>
  <r>
    <m/>
    <x v="0"/>
    <s v="agrosuper shanghai1022186"/>
    <x v="1"/>
    <n v="1022186"/>
    <m/>
    <m/>
    <n v="0"/>
    <n v="0"/>
    <x v="77"/>
    <n v="546.26"/>
    <x v="75"/>
    <n v="128070"/>
    <n v="102286.79999999999"/>
    <n v="0"/>
    <n v="0"/>
    <n v="128070"/>
    <x v="75"/>
    <n v="128070"/>
    <n v="122744.16"/>
    <n v="0"/>
    <x v="76"/>
    <x v="162"/>
    <n v="12314"/>
    <n v="12314"/>
    <n v="67500"/>
    <n v="79814"/>
    <n v="67500"/>
    <n v="79814"/>
    <n v="15881"/>
    <n v="0"/>
    <n v="9528.6"/>
    <n v="0"/>
    <n v="9528.6"/>
  </r>
  <r>
    <m/>
    <x v="0"/>
    <s v="andes asia1022142"/>
    <x v="0"/>
    <n v="1022142"/>
    <m/>
    <m/>
    <n v="0"/>
    <n v="0"/>
    <x v="78"/>
    <n v="412.89"/>
    <x v="76"/>
    <n v="27080.95"/>
    <n v="0"/>
    <n v="0"/>
    <n v="0"/>
    <n v="27080.95"/>
    <x v="76"/>
    <n v="27080.95"/>
    <n v="0"/>
    <n v="0"/>
    <x v="76"/>
    <x v="163"/>
    <n v="30828"/>
    <n v="30828"/>
    <n v="28011.01"/>
    <n v="58839.009999999995"/>
    <n v="28011.01"/>
    <n v="58839.009999999995"/>
    <n v="36532"/>
    <n v="8024.24"/>
    <n v="33596.639999999999"/>
    <n v="8024.24"/>
    <n v="33596.639999999999"/>
  </r>
  <r>
    <m/>
    <x v="0"/>
    <s v="agrosuper shanghai1022941"/>
    <x v="1"/>
    <n v="1022941"/>
    <m/>
    <m/>
    <n v="0"/>
    <n v="0"/>
    <x v="2"/>
    <n v="0"/>
    <x v="1"/>
    <n v="25010"/>
    <n v="0"/>
    <n v="0"/>
    <n v="0"/>
    <n v="25010"/>
    <x v="1"/>
    <n v="25010"/>
    <n v="0"/>
    <n v="0"/>
    <x v="76"/>
    <x v="164"/>
    <m/>
    <m/>
    <n v="18245"/>
    <n v="18245"/>
    <n v="18245"/>
    <n v="18245"/>
    <m/>
    <n v="0"/>
    <n v="0"/>
    <n v="0"/>
    <n v="0"/>
  </r>
  <r>
    <m/>
    <x v="0"/>
    <s v="andes asia1021204"/>
    <x v="0"/>
    <n v="1021204"/>
    <m/>
    <m/>
    <n v="0"/>
    <n v="0"/>
    <x v="79"/>
    <m/>
    <x v="77"/>
    <n v="23980"/>
    <n v="0"/>
    <n v="0"/>
    <n v="0"/>
    <n v="23980"/>
    <x v="77"/>
    <n v="23980"/>
    <n v="0"/>
    <n v="0"/>
    <x v="76"/>
    <x v="165"/>
    <m/>
    <m/>
    <n v="47660"/>
    <n v="47660"/>
    <n v="47660"/>
    <n v="47660"/>
    <m/>
    <n v="0"/>
    <n v="0"/>
    <n v="0"/>
    <n v="0"/>
  </r>
  <r>
    <m/>
    <x v="1"/>
    <s v="agrosuper asia1030535"/>
    <x v="5"/>
    <n v="1030535"/>
    <m/>
    <m/>
    <n v="0"/>
    <n v="0"/>
    <x v="1"/>
    <n v="5018.33"/>
    <x v="1"/>
    <n v="43998.645000000004"/>
    <n v="0"/>
    <n v="0"/>
    <n v="0"/>
    <n v="43998.645000000004"/>
    <x v="1"/>
    <n v="43998.645000000004"/>
    <n v="0"/>
    <n v="0"/>
    <x v="76"/>
    <x v="166"/>
    <n v="79000"/>
    <n v="79000"/>
    <n v="21996.68"/>
    <n v="100996.68"/>
    <n v="21996.68"/>
    <n v="100996.68"/>
    <n v="79000"/>
    <n v="22001.43"/>
    <n v="77301.429999999993"/>
    <n v="22001.43"/>
    <n v="77301.429999999993"/>
  </r>
  <r>
    <m/>
    <x v="1"/>
    <s v="agrosuper asia1023038"/>
    <x v="5"/>
    <n v="1023038"/>
    <m/>
    <m/>
    <n v="0"/>
    <n v="0"/>
    <x v="2"/>
    <n v="0"/>
    <x v="1"/>
    <n v="168995.95"/>
    <n v="0"/>
    <n v="0"/>
    <n v="0"/>
    <n v="168995.95"/>
    <x v="1"/>
    <n v="168995.95"/>
    <n v="0"/>
    <n v="0"/>
    <x v="76"/>
    <x v="167"/>
    <n v="110000"/>
    <n v="110000"/>
    <n v="0"/>
    <n v="110000"/>
    <n v="0"/>
    <n v="110000"/>
    <n v="110000"/>
    <n v="0"/>
    <n v="77000"/>
    <n v="0"/>
    <n v="77000"/>
  </r>
  <r>
    <m/>
    <x v="1"/>
    <s v="agrosuper asia1021470"/>
    <x v="5"/>
    <n v="1021470"/>
    <m/>
    <m/>
    <n v="0"/>
    <n v="0"/>
    <x v="80"/>
    <n v="800.31"/>
    <x v="78"/>
    <n v="31159.39"/>
    <n v="92438.766000000003"/>
    <n v="0"/>
    <n v="0"/>
    <n v="136243.867"/>
    <x v="78"/>
    <n v="31159.39"/>
    <n v="110926.51920000001"/>
    <n v="0"/>
    <x v="76"/>
    <x v="168"/>
    <n v="22000"/>
    <n v="22000"/>
    <n v="0"/>
    <n v="22000"/>
    <n v="0"/>
    <n v="22000"/>
    <n v="22000"/>
    <n v="0"/>
    <n v="15399.999999999998"/>
    <n v="0"/>
    <n v="15399.999999999998"/>
  </r>
  <r>
    <m/>
    <x v="1"/>
    <s v="agrosuper asia1021149"/>
    <x v="5"/>
    <n v="1021149"/>
    <m/>
    <m/>
    <n v="0"/>
    <n v="0"/>
    <x v="1"/>
    <n v="1706.22"/>
    <x v="1"/>
    <n v="87856"/>
    <n v="92400"/>
    <n v="0"/>
    <n v="0"/>
    <n v="180256"/>
    <x v="1"/>
    <n v="87856"/>
    <n v="110880"/>
    <n v="0"/>
    <x v="76"/>
    <x v="169"/>
    <n v="52328"/>
    <n v="52328"/>
    <n v="22000"/>
    <n v="74328"/>
    <n v="22000"/>
    <n v="74328"/>
    <n v="150996"/>
    <n v="0"/>
    <n v="105697.2"/>
    <n v="0"/>
    <n v="105697.2"/>
  </r>
  <r>
    <m/>
    <x v="1"/>
    <s v="agrosuper asia1020861"/>
    <x v="5"/>
    <n v="1020861"/>
    <m/>
    <m/>
    <n v="0"/>
    <n v="0"/>
    <x v="1"/>
    <n v="2196.21"/>
    <x v="1"/>
    <n v="74673.75"/>
    <n v="198047.87459999998"/>
    <n v="0"/>
    <n v="0"/>
    <n v="272721.62459999998"/>
    <x v="1"/>
    <n v="74673.75"/>
    <n v="237657.44951999997"/>
    <n v="0"/>
    <x v="76"/>
    <x v="170"/>
    <n v="110000"/>
    <n v="110000"/>
    <n v="0"/>
    <n v="110000"/>
    <n v="0"/>
    <n v="110000"/>
    <n v="110000"/>
    <n v="0"/>
    <n v="77000"/>
    <n v="0"/>
    <n v="77000"/>
  </r>
  <r>
    <m/>
    <x v="1"/>
    <s v="agrosuper asia1022885"/>
    <x v="5"/>
    <n v="1022885"/>
    <m/>
    <m/>
    <n v="0"/>
    <n v="0"/>
    <x v="2"/>
    <n v="0"/>
    <x v="1"/>
    <n v="467210.10000000003"/>
    <n v="343054.3554"/>
    <n v="0"/>
    <n v="0"/>
    <n v="810264.45540000009"/>
    <x v="1"/>
    <n v="467210.10000000003"/>
    <n v="411665.22647999995"/>
    <n v="0"/>
    <x v="76"/>
    <x v="171"/>
    <n v="550000"/>
    <n v="550000"/>
    <n v="88019.209999999992"/>
    <n v="638019.21"/>
    <n v="88019.209999999992"/>
    <n v="638019.21"/>
    <n v="550000"/>
    <n v="0"/>
    <n v="385000"/>
    <n v="0"/>
    <n v="385000"/>
  </r>
  <r>
    <m/>
    <x v="1"/>
    <s v="agrosuper asia1021150"/>
    <x v="5"/>
    <n v="1021150"/>
    <m/>
    <m/>
    <n v="0"/>
    <n v="0"/>
    <x v="81"/>
    <n v="589.79"/>
    <x v="79"/>
    <n v="99680"/>
    <n v="39600"/>
    <n v="0"/>
    <n v="0"/>
    <n v="148288.26199999999"/>
    <x v="79"/>
    <n v="99680"/>
    <n v="47520"/>
    <n v="0"/>
    <x v="76"/>
    <x v="172"/>
    <m/>
    <m/>
    <n v="22000"/>
    <n v="22000"/>
    <n v="22000"/>
    <n v="22000"/>
    <m/>
    <n v="0"/>
    <n v="0"/>
    <n v="0"/>
    <n v="0"/>
  </r>
  <r>
    <m/>
    <x v="1"/>
    <s v="agrosuper asia1020860"/>
    <x v="5"/>
    <n v="1020860"/>
    <m/>
    <m/>
    <n v="0"/>
    <n v="0"/>
    <x v="82"/>
    <m/>
    <x v="80"/>
    <n v="170530.74"/>
    <n v="145209.90359999999"/>
    <n v="0"/>
    <n v="0"/>
    <n v="325163.80859999993"/>
    <x v="80"/>
    <n v="170530.74"/>
    <n v="174251.88432000001"/>
    <n v="0"/>
    <x v="76"/>
    <x v="173"/>
    <n v="110000"/>
    <n v="110000"/>
    <n v="44018.95"/>
    <n v="154018.95000000001"/>
    <n v="44018.95"/>
    <n v="154018.95000000001"/>
    <n v="110000"/>
    <n v="22007.66"/>
    <n v="99007.66"/>
    <n v="22007.66"/>
    <n v="99007.66"/>
  </r>
  <r>
    <m/>
    <x v="1"/>
    <s v="agrosuper asia1022887"/>
    <x v="5"/>
    <n v="1022887"/>
    <m/>
    <m/>
    <n v="0"/>
    <n v="0"/>
    <x v="83"/>
    <n v="10800.54"/>
    <x v="81"/>
    <n v="333424.00999999995"/>
    <n v="871480.44839999999"/>
    <n v="0"/>
    <n v="0"/>
    <n v="1280157.7483999999"/>
    <x v="81"/>
    <n v="333424.00999999995"/>
    <n v="1045776.5380800001"/>
    <n v="0"/>
    <x v="76"/>
    <x v="174"/>
    <n v="220000"/>
    <n v="220000"/>
    <n v="66016.160000000003"/>
    <n v="286016.16000000003"/>
    <n v="66016.160000000003"/>
    <n v="286016.16000000003"/>
    <n v="220000"/>
    <n v="44035.619999999995"/>
    <n v="198035.62"/>
    <n v="44035.619999999995"/>
    <n v="198035.62"/>
  </r>
  <r>
    <m/>
    <x v="1"/>
    <s v="agrosuper asia1022607"/>
    <x v="5"/>
    <n v="1022607"/>
    <m/>
    <m/>
    <n v="0"/>
    <n v="0"/>
    <x v="84"/>
    <n v="506.55"/>
    <x v="82"/>
    <n v="35936.25"/>
    <n v="0"/>
    <n v="0"/>
    <n v="0"/>
    <n v="40150.425000000003"/>
    <x v="82"/>
    <n v="35936.25"/>
    <n v="0"/>
    <n v="0"/>
    <x v="76"/>
    <x v="175"/>
    <n v="25619"/>
    <n v="25619"/>
    <n v="0"/>
    <n v="25619"/>
    <n v="0"/>
    <n v="25619"/>
    <n v="30359"/>
    <n v="0"/>
    <n v="21251.3"/>
    <n v="0"/>
    <n v="21251.3"/>
  </r>
  <r>
    <m/>
    <x v="1"/>
    <s v="agrosuper asia1021152"/>
    <x v="5"/>
    <n v="1021152"/>
    <m/>
    <m/>
    <n v="0"/>
    <n v="0"/>
    <x v="2"/>
    <n v="0"/>
    <x v="1"/>
    <n v="4736"/>
    <n v="0"/>
    <n v="0"/>
    <n v="0"/>
    <n v="4736"/>
    <x v="1"/>
    <n v="4736"/>
    <n v="0"/>
    <n v="0"/>
    <x v="76"/>
    <x v="176"/>
    <m/>
    <m/>
    <n v="0"/>
    <n v="0"/>
    <n v="0"/>
    <n v="0"/>
    <m/>
    <n v="22000"/>
    <n v="22000"/>
    <n v="22000"/>
    <n v="22000"/>
  </r>
  <r>
    <m/>
    <x v="1"/>
    <s v="agrosuper asia1023144"/>
    <x v="5"/>
    <n v="1023144"/>
    <m/>
    <m/>
    <n v="0"/>
    <n v="0"/>
    <x v="85"/>
    <m/>
    <x v="83"/>
    <n v="48014.400000000001"/>
    <n v="0"/>
    <n v="0"/>
    <n v="0"/>
    <n v="64824.9"/>
    <x v="83"/>
    <n v="48014.400000000001"/>
    <n v="0"/>
    <n v="0"/>
    <x v="76"/>
    <x v="177"/>
    <n v="34684"/>
    <n v="34684"/>
    <n v="24001.93"/>
    <n v="58685.93"/>
    <n v="24001.93"/>
    <n v="58685.93"/>
    <n v="3546"/>
    <n v="0"/>
    <n v="2482.1999999999998"/>
    <n v="0"/>
    <n v="2482.1999999999998"/>
  </r>
  <r>
    <m/>
    <x v="0"/>
    <s v="agro america1030837"/>
    <x v="2"/>
    <n v="1030837"/>
    <m/>
    <m/>
    <n v="0"/>
    <n v="0"/>
    <x v="2"/>
    <n v="0"/>
    <x v="1"/>
    <n v="18.139144080000001"/>
    <n v="0"/>
    <n v="0"/>
    <n v="0"/>
    <n v="18.139144080000001"/>
    <x v="1"/>
    <n v="18.139144080000001"/>
    <n v="0"/>
    <n v="0"/>
    <x v="76"/>
    <x v="178"/>
    <m/>
    <m/>
    <n v="0"/>
    <n v="0"/>
    <n v="0"/>
    <n v="0"/>
    <m/>
    <n v="0"/>
    <n v="0"/>
    <n v="0"/>
    <n v="0"/>
  </r>
  <r>
    <m/>
    <x v="0"/>
    <s v="andes asia1022918"/>
    <x v="0"/>
    <n v="1022918"/>
    <m/>
    <m/>
    <n v="0"/>
    <n v="0"/>
    <x v="2"/>
    <n v="0"/>
    <x v="1"/>
    <n v="144000"/>
    <n v="114576"/>
    <n v="0"/>
    <n v="0"/>
    <n v="144000"/>
    <x v="1"/>
    <n v="144000"/>
    <n v="137491.19999999998"/>
    <n v="0"/>
    <x v="76"/>
    <x v="179"/>
    <n v="118242"/>
    <n v="118242"/>
    <n v="95740"/>
    <n v="213982"/>
    <n v="95740"/>
    <n v="213982"/>
    <n v="140117"/>
    <n v="71960"/>
    <n v="170041.9"/>
    <n v="71960"/>
    <n v="170041.9"/>
  </r>
  <r>
    <m/>
    <x v="0"/>
    <s v="andes asia1021936"/>
    <x v="0"/>
    <n v="1021936"/>
    <m/>
    <m/>
    <n v="0"/>
    <n v="0"/>
    <x v="2"/>
    <n v="0"/>
    <x v="1"/>
    <n v="456000"/>
    <n v="489600"/>
    <n v="0"/>
    <n v="0"/>
    <n v="456000"/>
    <x v="1"/>
    <n v="456000"/>
    <n v="587520"/>
    <n v="0"/>
    <x v="76"/>
    <x v="180"/>
    <n v="456000"/>
    <n v="456000"/>
    <n v="504000"/>
    <n v="960000"/>
    <n v="504000"/>
    <n v="960000"/>
    <n v="456000"/>
    <n v="72000"/>
    <n v="391200"/>
    <n v="72000"/>
    <n v="391200"/>
  </r>
  <r>
    <m/>
    <x v="0"/>
    <s v="agro america1021140"/>
    <x v="2"/>
    <n v="1021140"/>
    <m/>
    <m/>
    <n v="0"/>
    <n v="0"/>
    <x v="2"/>
    <n v="0"/>
    <x v="1"/>
    <n v="24091.337056239998"/>
    <n v="28816.185600000001"/>
    <n v="0"/>
    <n v="0"/>
    <n v="24091.337056239998"/>
    <x v="1"/>
    <n v="24091.337056239998"/>
    <n v="34579.422720000002"/>
    <n v="0"/>
    <x v="76"/>
    <x v="181"/>
    <n v="24041"/>
    <n v="24041"/>
    <n v="0"/>
    <n v="24041"/>
    <n v="0"/>
    <n v="24041"/>
    <n v="24041"/>
    <n v="0"/>
    <n v="14424.6"/>
    <n v="0"/>
    <n v="14424.6"/>
  </r>
  <r>
    <m/>
    <x v="0"/>
    <s v="agrosuper shanghai1030685"/>
    <x v="1"/>
    <n v="1030685"/>
    <m/>
    <m/>
    <n v="0"/>
    <n v="0"/>
    <x v="86"/>
    <n v="3326.76"/>
    <x v="84"/>
    <n v="120000"/>
    <n v="115200"/>
    <n v="0"/>
    <n v="0"/>
    <n v="120000"/>
    <x v="84"/>
    <n v="120000"/>
    <n v="138240"/>
    <n v="0"/>
    <x v="76"/>
    <x v="182"/>
    <n v="114583"/>
    <n v="114583"/>
    <n v="120000"/>
    <n v="234583"/>
    <n v="120000"/>
    <n v="234583"/>
    <m/>
    <n v="24000"/>
    <n v="24000"/>
    <n v="24000"/>
    <n v="24000"/>
  </r>
  <r>
    <m/>
    <x v="0"/>
    <s v="agrosuper shanghai1022291"/>
    <x v="1"/>
    <n v="1022291"/>
    <m/>
    <m/>
    <n v="0"/>
    <n v="0"/>
    <x v="87"/>
    <n v="470.54"/>
    <x v="85"/>
    <n v="73146.83"/>
    <n v="115024.6728"/>
    <n v="0"/>
    <n v="0"/>
    <n v="73146.83"/>
    <x v="85"/>
    <n v="73146.83"/>
    <n v="138029.60735999999"/>
    <n v="0"/>
    <x v="76"/>
    <x v="183"/>
    <n v="30749"/>
    <n v="30749"/>
    <n v="24015.11"/>
    <n v="54764.11"/>
    <n v="24015.11"/>
    <n v="54764.11"/>
    <n v="40362"/>
    <n v="0"/>
    <n v="24217.200000000001"/>
    <n v="0"/>
    <n v="24217.200000000001"/>
  </r>
  <r>
    <m/>
    <x v="0"/>
    <s v="agrosuper shanghai1022033"/>
    <x v="1"/>
    <n v="1022033"/>
    <m/>
    <m/>
    <n v="0"/>
    <n v="0"/>
    <x v="88"/>
    <n v="450.29"/>
    <x v="86"/>
    <n v="24000"/>
    <n v="100674"/>
    <n v="0"/>
    <n v="0"/>
    <n v="24000"/>
    <x v="86"/>
    <n v="24000"/>
    <n v="120808.79999999999"/>
    <n v="0"/>
    <x v="76"/>
    <x v="184"/>
    <n v="36616"/>
    <n v="36616"/>
    <n v="24000"/>
    <n v="60616"/>
    <n v="24000"/>
    <n v="60616"/>
    <n v="41437"/>
    <n v="24000"/>
    <n v="48862.2"/>
    <n v="24000"/>
    <n v="48862.2"/>
  </r>
  <r>
    <m/>
    <x v="0"/>
    <s v="agrosuper shanghai1021739"/>
    <x v="1"/>
    <n v="1021739"/>
    <m/>
    <m/>
    <n v="0"/>
    <n v="0"/>
    <x v="89"/>
    <n v="753.49"/>
    <x v="87"/>
    <n v="78731.100000000006"/>
    <n v="0"/>
    <n v="0"/>
    <n v="0"/>
    <n v="78731.100000000006"/>
    <x v="87"/>
    <n v="78731.100000000006"/>
    <n v="0"/>
    <n v="0"/>
    <x v="76"/>
    <x v="185"/>
    <m/>
    <m/>
    <n v="21179.69"/>
    <n v="21179.69"/>
    <n v="21179.69"/>
    <n v="21179.69"/>
    <n v="93968"/>
    <n v="0"/>
    <n v="56380.799999999996"/>
    <n v="0"/>
    <n v="56380.799999999996"/>
  </r>
  <r>
    <m/>
    <x v="0"/>
    <s v="agrosuper shanghai1011969"/>
    <x v="1"/>
    <n v="1011969"/>
    <m/>
    <m/>
    <n v="0"/>
    <n v="0"/>
    <x v="90"/>
    <n v="2505.9299999999998"/>
    <x v="88"/>
    <n v="168000"/>
    <n v="273600"/>
    <n v="0"/>
    <n v="0"/>
    <n v="168000"/>
    <x v="88"/>
    <n v="168000"/>
    <n v="328320"/>
    <n v="0"/>
    <x v="76"/>
    <x v="186"/>
    <n v="154997"/>
    <n v="154997"/>
    <n v="120000"/>
    <n v="274997"/>
    <n v="120000"/>
    <n v="274997"/>
    <n v="186118"/>
    <n v="24000"/>
    <n v="135670.79999999999"/>
    <n v="24000"/>
    <n v="135670.79999999999"/>
  </r>
  <r>
    <m/>
    <x v="0"/>
    <s v="agrosuper shanghai1011967"/>
    <x v="1"/>
    <n v="1011967"/>
    <m/>
    <m/>
    <n v="0"/>
    <n v="0"/>
    <x v="91"/>
    <n v="1504.02"/>
    <x v="89"/>
    <n v="72000"/>
    <n v="115200"/>
    <n v="0"/>
    <n v="0"/>
    <n v="72000"/>
    <x v="89"/>
    <n v="72000"/>
    <n v="138240"/>
    <n v="0"/>
    <x v="76"/>
    <x v="187"/>
    <n v="120019"/>
    <n v="120019"/>
    <n v="119340"/>
    <n v="239359"/>
    <n v="119340"/>
    <n v="239359"/>
    <n v="144117"/>
    <n v="0"/>
    <n v="86470.2"/>
    <n v="0"/>
    <n v="86470.2"/>
  </r>
  <r>
    <m/>
    <x v="0"/>
    <s v="agrosuper shanghai1012452"/>
    <x v="1"/>
    <n v="1012452"/>
    <m/>
    <m/>
    <n v="0"/>
    <n v="0"/>
    <x v="92"/>
    <m/>
    <x v="90"/>
    <n v="39952"/>
    <n v="47942.400000000001"/>
    <n v="0"/>
    <n v="0"/>
    <n v="39952"/>
    <x v="90"/>
    <n v="39952"/>
    <n v="57530.879999999997"/>
    <n v="0"/>
    <x v="76"/>
    <x v="188"/>
    <n v="34637"/>
    <n v="34637"/>
    <n v="59928"/>
    <n v="94565"/>
    <n v="59928"/>
    <n v="94565"/>
    <n v="58560"/>
    <n v="0"/>
    <n v="35136"/>
    <n v="0"/>
    <n v="35136"/>
  </r>
  <r>
    <m/>
    <x v="0"/>
    <s v="agrosuper shanghai1011586"/>
    <x v="1"/>
    <n v="1011586"/>
    <m/>
    <m/>
    <n v="0"/>
    <n v="0"/>
    <x v="21"/>
    <m/>
    <x v="91"/>
    <n v="99770"/>
    <n v="239447.99999999997"/>
    <n v="0"/>
    <n v="0"/>
    <n v="99770"/>
    <x v="91"/>
    <n v="99770"/>
    <n v="287337.59999999998"/>
    <n v="0"/>
    <x v="76"/>
    <x v="189"/>
    <n v="114449"/>
    <n v="114449"/>
    <n v="109747"/>
    <n v="224196"/>
    <n v="109747"/>
    <n v="224196"/>
    <n v="137486"/>
    <n v="19954"/>
    <n v="102445.59999999999"/>
    <n v="19954"/>
    <n v="102445.59999999999"/>
  </r>
  <r>
    <m/>
    <x v="0"/>
    <s v="agrosuper shanghai1011417"/>
    <x v="1"/>
    <n v="1011417"/>
    <m/>
    <m/>
    <n v="0"/>
    <n v="0"/>
    <x v="93"/>
    <m/>
    <x v="92"/>
    <n v="99000"/>
    <n v="95040"/>
    <n v="0"/>
    <n v="0"/>
    <n v="99000"/>
    <x v="92"/>
    <n v="99000"/>
    <n v="114048"/>
    <n v="0"/>
    <x v="76"/>
    <x v="190"/>
    <m/>
    <m/>
    <n v="89100"/>
    <n v="89100"/>
    <n v="89100"/>
    <n v="89100"/>
    <m/>
    <n v="0"/>
    <n v="0"/>
    <n v="0"/>
    <n v="0"/>
  </r>
  <r>
    <m/>
    <x v="0"/>
    <s v="agro mexico1021555"/>
    <x v="3"/>
    <n v="1021555"/>
    <m/>
    <m/>
    <n v="0"/>
    <n v="0"/>
    <x v="94"/>
    <n v="1051.1300000000001"/>
    <x v="93"/>
    <n v="156613.03"/>
    <n v="246248.90239130432"/>
    <n v="0"/>
    <n v="0"/>
    <n v="156613.03"/>
    <x v="93"/>
    <n v="156613.03"/>
    <n v="303075.57217391301"/>
    <n v="0"/>
    <x v="76"/>
    <x v="191"/>
    <n v="109972"/>
    <n v="109972"/>
    <n v="89495.07"/>
    <n v="199467.07"/>
    <n v="89495.07"/>
    <n v="199467.07"/>
    <n v="121368"/>
    <n v="0"/>
    <n v="97094.400000000009"/>
    <n v="0"/>
    <n v="97094.400000000009"/>
  </r>
  <r>
    <m/>
    <x v="0"/>
    <s v="agro mexico1021270"/>
    <x v="3"/>
    <n v="1021270"/>
    <m/>
    <m/>
    <n v="0"/>
    <n v="0"/>
    <x v="2"/>
    <n v="0"/>
    <x v="1"/>
    <n v="281621.30000000005"/>
    <n v="325530.57069565216"/>
    <n v="0"/>
    <n v="0"/>
    <n v="281621.30000000005"/>
    <x v="1"/>
    <n v="281621.30000000005"/>
    <n v="400653.01008695655"/>
    <n v="0"/>
    <x v="76"/>
    <x v="192"/>
    <n v="240000"/>
    <n v="240000"/>
    <n v="102435.09"/>
    <n v="342435.08999999997"/>
    <n v="102435.09"/>
    <n v="342435.08999999997"/>
    <n v="240000"/>
    <n v="0"/>
    <n v="192000"/>
    <n v="0"/>
    <n v="192000"/>
  </r>
  <r>
    <m/>
    <x v="0"/>
    <s v="agro europa1012745"/>
    <x v="4"/>
    <n v="1012745"/>
    <m/>
    <m/>
    <n v="0"/>
    <n v="0"/>
    <x v="95"/>
    <n v="984.07"/>
    <x v="94"/>
    <n v="7400.87"/>
    <n v="51561.128400000001"/>
    <n v="0"/>
    <n v="0"/>
    <n v="7400.87"/>
    <x v="94"/>
    <n v="7400.87"/>
    <n v="61873.354079999997"/>
    <n v="0"/>
    <x v="76"/>
    <x v="193"/>
    <m/>
    <m/>
    <n v="0"/>
    <n v="0"/>
    <n v="0"/>
    <n v="0"/>
    <m/>
    <n v="0"/>
    <n v="0"/>
    <n v="0"/>
    <n v="0"/>
  </r>
  <r>
    <m/>
    <x v="0"/>
    <s v="agro europa1012730"/>
    <x v="4"/>
    <n v="1012730"/>
    <m/>
    <m/>
    <n v="0"/>
    <n v="0"/>
    <x v="2"/>
    <n v="0"/>
    <x v="1"/>
    <n v="28750.925000000003"/>
    <n v="60575.027999999998"/>
    <n v="0"/>
    <n v="0"/>
    <n v="28750.925000000003"/>
    <x v="1"/>
    <n v="28750.925000000003"/>
    <n v="72690.033599999995"/>
    <n v="0"/>
    <x v="76"/>
    <x v="194"/>
    <m/>
    <m/>
    <n v="34822.595000000001"/>
    <n v="34822.595000000001"/>
    <n v="34822.595000000001"/>
    <n v="34822.595000000001"/>
    <n v="8200"/>
    <n v="0"/>
    <n v="5740"/>
    <n v="0"/>
    <n v="5740"/>
  </r>
  <r>
    <m/>
    <x v="0"/>
    <s v="agro europa1012724"/>
    <x v="4"/>
    <n v="1012724"/>
    <m/>
    <m/>
    <n v="0"/>
    <n v="0"/>
    <x v="2"/>
    <n v="0"/>
    <x v="1"/>
    <n v="7446.27"/>
    <n v="67032.673800000004"/>
    <n v="0"/>
    <n v="0"/>
    <n v="7446.27"/>
    <x v="1"/>
    <n v="7446.27"/>
    <n v="80439.208559999999"/>
    <n v="0"/>
    <x v="76"/>
    <x v="195"/>
    <m/>
    <m/>
    <n v="10801.93"/>
    <n v="10801.93"/>
    <n v="10801.93"/>
    <n v="10801.93"/>
    <m/>
    <n v="0"/>
    <n v="0"/>
    <n v="0"/>
    <n v="0"/>
  </r>
  <r>
    <m/>
    <x v="0"/>
    <s v="agro europa1022858"/>
    <x v="4"/>
    <n v="1022858"/>
    <m/>
    <m/>
    <n v="0"/>
    <n v="0"/>
    <x v="2"/>
    <n v="0"/>
    <x v="1"/>
    <n v="40012.69"/>
    <n v="0"/>
    <n v="0"/>
    <n v="0"/>
    <n v="40012.69"/>
    <x v="1"/>
    <n v="40012.69"/>
    <n v="0"/>
    <n v="0"/>
    <x v="76"/>
    <x v="196"/>
    <m/>
    <m/>
    <n v="0"/>
    <n v="0"/>
    <n v="0"/>
    <n v="0"/>
    <m/>
    <n v="0"/>
    <n v="0"/>
    <n v="0"/>
    <n v="0"/>
  </r>
  <r>
    <m/>
    <x v="1"/>
    <s v="agrosuper asia1012612"/>
    <x v="5"/>
    <n v="1012612"/>
    <m/>
    <m/>
    <n v="0"/>
    <n v="0"/>
    <x v="2"/>
    <n v="0"/>
    <x v="1"/>
    <n v="491235.26000000007"/>
    <n v="387811.99799999996"/>
    <n v="0"/>
    <n v="0"/>
    <n v="879047.25800000003"/>
    <x v="1"/>
    <n v="491235.26000000007"/>
    <n v="465374.39759999997"/>
    <n v="0"/>
    <x v="76"/>
    <x v="197"/>
    <n v="1000000"/>
    <n v="1000000"/>
    <n v="569237.15999999992"/>
    <n v="1569237.16"/>
    <n v="569237.15999999992"/>
    <n v="1569237.16"/>
    <n v="1000000"/>
    <n v="24673.200000000001"/>
    <n v="724673.2"/>
    <n v="24673.200000000001"/>
    <n v="724673.2"/>
  </r>
  <r>
    <m/>
    <x v="0"/>
    <s v="agro america1021260"/>
    <x v="2"/>
    <n v="1021260"/>
    <m/>
    <m/>
    <n v="0"/>
    <n v="0"/>
    <x v="1"/>
    <n v="1053.1199999999999"/>
    <x v="1"/>
    <n v="47929.157019999999"/>
    <n v="57626.148000000001"/>
    <n v="0"/>
    <n v="0"/>
    <n v="47929.157019999999"/>
    <x v="1"/>
    <n v="47929.157019999999"/>
    <n v="69151.377599999993"/>
    <n v="0"/>
    <x v="76"/>
    <x v="198"/>
    <n v="39414"/>
    <n v="39414"/>
    <n v="0"/>
    <n v="39414"/>
    <n v="0"/>
    <n v="39414"/>
    <n v="46706"/>
    <n v="0"/>
    <n v="28023.599999999999"/>
    <n v="0"/>
    <n v="28023.599999999999"/>
  </r>
  <r>
    <m/>
    <x v="0"/>
    <s v="andes asia1022398"/>
    <x v="0"/>
    <n v="1022398"/>
    <m/>
    <m/>
    <n v="0"/>
    <n v="0"/>
    <x v="2"/>
    <n v="0"/>
    <x v="1"/>
    <n v="57660.939999999995"/>
    <n v="37720.583999999995"/>
    <n v="0"/>
    <n v="0"/>
    <n v="57660.939999999995"/>
    <x v="1"/>
    <n v="57660.939999999995"/>
    <n v="45264.700799999999"/>
    <n v="0"/>
    <x v="76"/>
    <x v="199"/>
    <n v="14457"/>
    <n v="14457"/>
    <n v="35286.159999999996"/>
    <n v="49743.159999999996"/>
    <n v="35286.159999999996"/>
    <n v="49743.159999999996"/>
    <n v="12721"/>
    <n v="0"/>
    <n v="8904.6999999999989"/>
    <n v="0"/>
    <n v="8904.6999999999989"/>
  </r>
  <r>
    <m/>
    <x v="0"/>
    <s v="andes asia1021925"/>
    <x v="0"/>
    <n v="1021925"/>
    <m/>
    <m/>
    <n v="0"/>
    <n v="0"/>
    <x v="96"/>
    <m/>
    <x v="95"/>
    <n v="25106.79"/>
    <n v="91294.760399999999"/>
    <n v="0"/>
    <n v="0"/>
    <n v="25106.79"/>
    <x v="95"/>
    <n v="25106.79"/>
    <n v="109553.71247999999"/>
    <n v="0"/>
    <x v="76"/>
    <x v="200"/>
    <n v="140260"/>
    <n v="140260"/>
    <n v="46078.77"/>
    <n v="186338.77"/>
    <n v="46078.77"/>
    <n v="186338.77"/>
    <n v="150000"/>
    <n v="15991.710000000001"/>
    <n v="120991.71"/>
    <n v="15991.710000000001"/>
    <n v="120991.71"/>
  </r>
  <r>
    <m/>
    <x v="0"/>
    <s v="andes asia1022975"/>
    <x v="0"/>
    <n v="1022975"/>
    <m/>
    <m/>
    <n v="0"/>
    <n v="0"/>
    <x v="97"/>
    <m/>
    <x v="96"/>
    <n v="19030"/>
    <n v="21696"/>
    <n v="0"/>
    <n v="0"/>
    <n v="19030"/>
    <x v="96"/>
    <n v="19030"/>
    <n v="26035.200000000001"/>
    <n v="0"/>
    <x v="76"/>
    <x v="201"/>
    <n v="48000"/>
    <n v="48000"/>
    <n v="24140"/>
    <n v="72140"/>
    <n v="24140"/>
    <n v="72140"/>
    <n v="48000"/>
    <n v="0"/>
    <n v="33600"/>
    <n v="0"/>
    <n v="33600"/>
  </r>
  <r>
    <m/>
    <x v="0"/>
    <s v="andes asia1022413"/>
    <x v="0"/>
    <n v="1022413"/>
    <m/>
    <m/>
    <n v="0"/>
    <n v="0"/>
    <x v="98"/>
    <n v="56.04"/>
    <x v="97"/>
    <n v="3000"/>
    <n v="3600"/>
    <n v="0"/>
    <n v="0"/>
    <n v="3000"/>
    <x v="97"/>
    <n v="3000"/>
    <n v="4320"/>
    <n v="0"/>
    <x v="76"/>
    <x v="202"/>
    <m/>
    <m/>
    <n v="12008"/>
    <n v="12008"/>
    <n v="12008"/>
    <n v="12008"/>
    <m/>
    <n v="0"/>
    <n v="0"/>
    <n v="0"/>
    <n v="0"/>
  </r>
  <r>
    <m/>
    <x v="0"/>
    <s v="andes asia1021987"/>
    <x v="0"/>
    <n v="1021987"/>
    <m/>
    <m/>
    <n v="0"/>
    <n v="0"/>
    <x v="2"/>
    <n v="0"/>
    <x v="1"/>
    <n v="6060"/>
    <n v="2400"/>
    <n v="0"/>
    <n v="0"/>
    <n v="6060"/>
    <x v="1"/>
    <n v="6060"/>
    <n v="2880"/>
    <n v="0"/>
    <x v="76"/>
    <x v="203"/>
    <n v="4482"/>
    <n v="4482"/>
    <n v="2010"/>
    <n v="6492"/>
    <n v="2010"/>
    <n v="6492"/>
    <m/>
    <n v="0"/>
    <n v="0"/>
    <n v="0"/>
    <n v="0"/>
  </r>
  <r>
    <m/>
    <x v="0"/>
    <s v="andes asia1023269"/>
    <x v="0"/>
    <n v="1023269"/>
    <m/>
    <m/>
    <n v="0"/>
    <n v="0"/>
    <x v="36"/>
    <m/>
    <x v="98"/>
    <n v="8067.02"/>
    <n v="41954.152800000003"/>
    <n v="0"/>
    <n v="0"/>
    <n v="8067.02"/>
    <x v="98"/>
    <n v="8067.02"/>
    <n v="50344.983359999998"/>
    <n v="0"/>
    <x v="76"/>
    <x v="204"/>
    <n v="10000"/>
    <n v="10000"/>
    <n v="12003.97"/>
    <n v="22003.97"/>
    <n v="12003.97"/>
    <n v="22003.97"/>
    <m/>
    <n v="0"/>
    <n v="0"/>
    <n v="0"/>
    <n v="0"/>
  </r>
  <r>
    <m/>
    <x v="0"/>
    <s v="agro america1021539"/>
    <x v="2"/>
    <n v="1021539"/>
    <m/>
    <m/>
    <n v="0"/>
    <n v="0"/>
    <x v="2"/>
    <n v="0"/>
    <x v="1"/>
    <n v="34074.27102"/>
    <n v="7267.3607999999995"/>
    <n v="0"/>
    <n v="0"/>
    <n v="34074.27102"/>
    <x v="1"/>
    <n v="34074.27102"/>
    <n v="8720.8329599999997"/>
    <n v="0"/>
    <x v="76"/>
    <x v="205"/>
    <n v="11794"/>
    <n v="11794"/>
    <n v="24006.352060000001"/>
    <n v="35800.352060000005"/>
    <n v="24006.352060000001"/>
    <n v="35800.352060000005"/>
    <n v="11794"/>
    <n v="11824.56738"/>
    <n v="18900.967380000002"/>
    <n v="11824.56738"/>
    <n v="18900.967380000002"/>
  </r>
  <r>
    <m/>
    <x v="0"/>
    <s v="agrosuper shanghai1011968"/>
    <x v="1"/>
    <n v="1011968"/>
    <m/>
    <m/>
    <n v="0"/>
    <n v="0"/>
    <x v="99"/>
    <n v="481.75"/>
    <x v="99"/>
    <n v="28660"/>
    <n v="67272"/>
    <n v="0"/>
    <n v="0"/>
    <n v="28660"/>
    <x v="99"/>
    <n v="28660"/>
    <n v="80726.399999999994"/>
    <n v="0"/>
    <x v="76"/>
    <x v="206"/>
    <n v="14344"/>
    <n v="14344"/>
    <n v="0"/>
    <n v="14344"/>
    <n v="0"/>
    <n v="14344"/>
    <n v="26944"/>
    <n v="0"/>
    <n v="16166.4"/>
    <n v="0"/>
    <n v="16166.4"/>
  </r>
  <r>
    <m/>
    <x v="0"/>
    <s v="agrosuper shanghai1030566"/>
    <x v="1"/>
    <n v="1030566"/>
    <m/>
    <m/>
    <n v="0"/>
    <n v="0"/>
    <x v="92"/>
    <m/>
    <x v="90"/>
    <n v="36000"/>
    <n v="0"/>
    <n v="0"/>
    <n v="0"/>
    <n v="36000"/>
    <x v="90"/>
    <n v="36000"/>
    <n v="0"/>
    <n v="0"/>
    <x v="76"/>
    <x v="207"/>
    <n v="45681"/>
    <n v="45681"/>
    <n v="24000"/>
    <n v="69681"/>
    <n v="24000"/>
    <n v="69681"/>
    <m/>
    <n v="0"/>
    <n v="0"/>
    <n v="0"/>
    <n v="0"/>
  </r>
  <r>
    <m/>
    <x v="0"/>
    <s v="agrosuper shanghai1022096"/>
    <x v="1"/>
    <n v="1022096"/>
    <m/>
    <m/>
    <n v="0"/>
    <n v="0"/>
    <x v="100"/>
    <n v="1299.07"/>
    <x v="100"/>
    <n v="184610"/>
    <n v="521316"/>
    <n v="0"/>
    <n v="0"/>
    <n v="184610"/>
    <x v="100"/>
    <n v="184610"/>
    <n v="625579.19999999995"/>
    <n v="0"/>
    <x v="76"/>
    <x v="208"/>
    <n v="173356"/>
    <n v="173356"/>
    <n v="144740"/>
    <n v="318096"/>
    <n v="144740"/>
    <n v="318096"/>
    <n v="212373"/>
    <n v="0"/>
    <n v="127423.79999999999"/>
    <n v="0"/>
    <n v="127423.79999999999"/>
  </r>
  <r>
    <m/>
    <x v="0"/>
    <s v="agrosuper shanghai1023034"/>
    <x v="1"/>
    <n v="1023034"/>
    <m/>
    <m/>
    <n v="0"/>
    <n v="0"/>
    <x v="1"/>
    <n v="4503.3999999999996"/>
    <x v="1"/>
    <n v="73040"/>
    <n v="192780"/>
    <n v="0"/>
    <n v="0"/>
    <n v="73040"/>
    <x v="1"/>
    <n v="73040"/>
    <n v="231336"/>
    <n v="0"/>
    <x v="76"/>
    <x v="209"/>
    <n v="1508"/>
    <n v="1508"/>
    <n v="48980"/>
    <n v="50488"/>
    <n v="48980"/>
    <n v="50488"/>
    <n v="159948"/>
    <n v="0"/>
    <n v="95968.8"/>
    <n v="0"/>
    <n v="95968.8"/>
  </r>
  <r>
    <m/>
    <x v="0"/>
    <s v="agrosuper shanghai1022945"/>
    <x v="1"/>
    <n v="1022945"/>
    <m/>
    <m/>
    <n v="0"/>
    <n v="0"/>
    <x v="2"/>
    <n v="0"/>
    <x v="1"/>
    <n v="48380"/>
    <n v="129972"/>
    <n v="0"/>
    <n v="0"/>
    <n v="48380"/>
    <x v="1"/>
    <n v="48380"/>
    <n v="155966.39999999999"/>
    <n v="0"/>
    <x v="76"/>
    <x v="210"/>
    <n v="299033"/>
    <n v="299033"/>
    <n v="100920"/>
    <n v="399953"/>
    <n v="100920"/>
    <n v="399953"/>
    <n v="326690"/>
    <n v="0"/>
    <n v="196014"/>
    <n v="0"/>
    <n v="196014"/>
  </r>
  <r>
    <m/>
    <x v="0"/>
    <s v="agrosuper shanghai1021774"/>
    <x v="1"/>
    <n v="1021774"/>
    <m/>
    <m/>
    <n v="0"/>
    <n v="0"/>
    <x v="101"/>
    <n v="788.37"/>
    <x v="101"/>
    <n v="121100"/>
    <n v="58560"/>
    <n v="0"/>
    <n v="0"/>
    <n v="121100"/>
    <x v="101"/>
    <n v="121100"/>
    <n v="70272"/>
    <n v="0"/>
    <x v="76"/>
    <x v="211"/>
    <n v="65147"/>
    <n v="65147"/>
    <n v="48280"/>
    <n v="113427"/>
    <n v="48280"/>
    <n v="113427"/>
    <n v="66951"/>
    <n v="0"/>
    <n v="40170.6"/>
    <n v="0"/>
    <n v="40170.6"/>
  </r>
  <r>
    <m/>
    <x v="0"/>
    <s v="agrosuper shanghai1022748"/>
    <x v="1"/>
    <n v="1022748"/>
    <m/>
    <m/>
    <n v="0"/>
    <n v="0"/>
    <x v="102"/>
    <n v="1175.8800000000001"/>
    <x v="102"/>
    <n v="147690"/>
    <n v="259650"/>
    <n v="0"/>
    <n v="0"/>
    <n v="147690"/>
    <x v="102"/>
    <n v="147690"/>
    <n v="311580"/>
    <n v="0"/>
    <x v="76"/>
    <x v="212"/>
    <n v="201323"/>
    <n v="201323"/>
    <n v="194020"/>
    <n v="395343"/>
    <n v="194020"/>
    <n v="395343"/>
    <n v="240000"/>
    <n v="24000"/>
    <n v="168000"/>
    <n v="24000"/>
    <n v="168000"/>
  </r>
  <r>
    <m/>
    <x v="0"/>
    <s v="agrosuper shanghai1022541"/>
    <x v="1"/>
    <n v="1022541"/>
    <m/>
    <m/>
    <n v="0"/>
    <n v="0"/>
    <x v="2"/>
    <n v="0"/>
    <x v="1"/>
    <n v="106906.17"/>
    <n v="192029.05319999997"/>
    <n v="0"/>
    <n v="0"/>
    <n v="106906.17"/>
    <x v="1"/>
    <n v="106906.17"/>
    <n v="230434.86383999998"/>
    <n v="0"/>
    <x v="76"/>
    <x v="213"/>
    <m/>
    <m/>
    <n v="239806.31"/>
    <n v="239806.31"/>
    <n v="239806.31"/>
    <n v="239806.31"/>
    <n v="142025"/>
    <n v="0"/>
    <n v="85215"/>
    <n v="0"/>
    <n v="85215"/>
  </r>
  <r>
    <m/>
    <x v="0"/>
    <s v="agrosuper shanghai1022856"/>
    <x v="1"/>
    <n v="1022856"/>
    <m/>
    <m/>
    <n v="0"/>
    <n v="0"/>
    <x v="2"/>
    <n v="0"/>
    <x v="1"/>
    <n v="24551.74"/>
    <n v="201824.073"/>
    <n v="0"/>
    <n v="0"/>
    <n v="24551.74"/>
    <x v="1"/>
    <n v="24551.74"/>
    <n v="242188.88759999996"/>
    <n v="0"/>
    <x v="76"/>
    <x v="214"/>
    <n v="263352"/>
    <n v="263352"/>
    <n v="68448.850000000006"/>
    <n v="331800.84999999998"/>
    <n v="68448.850000000006"/>
    <n v="331800.84999999998"/>
    <m/>
    <n v="25000.97"/>
    <n v="25000.97"/>
    <n v="25000.97"/>
    <n v="25000.97"/>
  </r>
  <r>
    <m/>
    <x v="0"/>
    <s v="agrosuper shanghai1022381"/>
    <x v="1"/>
    <n v="1022381"/>
    <m/>
    <m/>
    <n v="0"/>
    <n v="0"/>
    <x v="103"/>
    <n v="585.70000000000005"/>
    <x v="103"/>
    <n v="48160"/>
    <n v="259866"/>
    <n v="0"/>
    <n v="0"/>
    <n v="48160"/>
    <x v="103"/>
    <n v="48160"/>
    <n v="311839.19999999995"/>
    <n v="0"/>
    <x v="76"/>
    <x v="215"/>
    <n v="37948"/>
    <n v="37948"/>
    <n v="24000"/>
    <n v="61948"/>
    <n v="24000"/>
    <n v="61948"/>
    <n v="49408"/>
    <n v="0"/>
    <n v="29644.799999999999"/>
    <n v="0"/>
    <n v="29644.799999999999"/>
  </r>
  <r>
    <m/>
    <x v="0"/>
    <s v="agrosuper shanghai1012503"/>
    <x v="1"/>
    <n v="1012503"/>
    <m/>
    <m/>
    <n v="0"/>
    <n v="0"/>
    <x v="104"/>
    <n v="3501.45"/>
    <x v="104"/>
    <n v="273520"/>
    <n v="230400"/>
    <n v="0"/>
    <n v="0"/>
    <n v="273520"/>
    <x v="104"/>
    <n v="273520"/>
    <n v="276480"/>
    <n v="0"/>
    <x v="76"/>
    <x v="216"/>
    <n v="219175"/>
    <n v="219175"/>
    <n v="168000"/>
    <n v="387175"/>
    <n v="168000"/>
    <n v="387175"/>
    <n v="258402"/>
    <n v="0"/>
    <n v="155041.19999999998"/>
    <n v="0"/>
    <n v="155041.19999999998"/>
  </r>
  <r>
    <m/>
    <x v="0"/>
    <s v="agrosuper shanghai1012681"/>
    <x v="1"/>
    <n v="1012681"/>
    <m/>
    <m/>
    <n v="0"/>
    <n v="0"/>
    <x v="105"/>
    <n v="1183.33"/>
    <x v="105"/>
    <n v="24000"/>
    <n v="100800"/>
    <n v="0"/>
    <n v="0"/>
    <n v="24000"/>
    <x v="105"/>
    <n v="24000"/>
    <n v="120960"/>
    <n v="0"/>
    <x v="76"/>
    <x v="184"/>
    <n v="48000"/>
    <n v="48000"/>
    <n v="24000"/>
    <n v="72000"/>
    <n v="24000"/>
    <n v="72000"/>
    <n v="48000"/>
    <n v="0"/>
    <n v="28800"/>
    <n v="0"/>
    <n v="28800"/>
  </r>
  <r>
    <m/>
    <x v="0"/>
    <s v="agrosuper shanghai1012455"/>
    <x v="1"/>
    <n v="1012455"/>
    <m/>
    <m/>
    <n v="0"/>
    <n v="0"/>
    <x v="106"/>
    <n v="100.5"/>
    <x v="106"/>
    <n v="83560"/>
    <n v="57600"/>
    <n v="0"/>
    <n v="0"/>
    <n v="83560"/>
    <x v="106"/>
    <n v="83560"/>
    <n v="69120"/>
    <n v="0"/>
    <x v="76"/>
    <x v="217"/>
    <n v="61196"/>
    <n v="61196"/>
    <n v="48000"/>
    <n v="109196"/>
    <n v="48000"/>
    <n v="109196"/>
    <m/>
    <n v="24000"/>
    <n v="24000"/>
    <n v="24000"/>
    <n v="24000"/>
  </r>
  <r>
    <m/>
    <x v="0"/>
    <s v="agrosuper shanghai1012448"/>
    <x v="1"/>
    <n v="1012448"/>
    <m/>
    <m/>
    <n v="0"/>
    <n v="0"/>
    <x v="11"/>
    <n v="4111.8100000000004"/>
    <x v="107"/>
    <n v="216000"/>
    <n v="229860"/>
    <n v="0"/>
    <n v="0"/>
    <n v="216000"/>
    <x v="107"/>
    <n v="216000"/>
    <n v="275832"/>
    <n v="0"/>
    <x v="76"/>
    <x v="218"/>
    <n v="184039"/>
    <n v="184039"/>
    <n v="96000"/>
    <n v="280039"/>
    <n v="96000"/>
    <n v="280039"/>
    <n v="220990"/>
    <n v="0"/>
    <n v="132594"/>
    <n v="0"/>
    <n v="132594"/>
  </r>
  <r>
    <m/>
    <x v="1"/>
    <s v="agrosuper asia1021664"/>
    <x v="5"/>
    <n v="1021664"/>
    <m/>
    <m/>
    <n v="0"/>
    <n v="0"/>
    <x v="2"/>
    <n v="0"/>
    <x v="1"/>
    <n v="105538.14"/>
    <n v="145898.0478"/>
    <n v="0"/>
    <n v="0"/>
    <n v="251436.18780000001"/>
    <x v="1"/>
    <n v="105538.14"/>
    <n v="175077.65736000001"/>
    <n v="0"/>
    <x v="76"/>
    <x v="219"/>
    <n v="31665"/>
    <n v="31665"/>
    <n v="43719.69"/>
    <n v="75384.69"/>
    <n v="43719.69"/>
    <n v="75384.69"/>
    <n v="113783"/>
    <n v="0"/>
    <n v="79648.099999999991"/>
    <n v="0"/>
    <n v="79648.099999999991"/>
  </r>
  <r>
    <m/>
    <x v="1"/>
    <s v="agrosuper asia1021665"/>
    <x v="5"/>
    <n v="1021665"/>
    <m/>
    <m/>
    <n v="0"/>
    <n v="0"/>
    <x v="2"/>
    <n v="0"/>
    <x v="1"/>
    <n v="203590.26"/>
    <n v="67001.041199999992"/>
    <n v="0"/>
    <n v="0"/>
    <n v="270591.30119999999"/>
    <x v="1"/>
    <n v="203590.26"/>
    <n v="80401.24944"/>
    <n v="0"/>
    <x v="76"/>
    <x v="220"/>
    <n v="110000"/>
    <n v="110000"/>
    <n v="0"/>
    <n v="110000"/>
    <n v="0"/>
    <n v="110000"/>
    <n v="110000"/>
    <n v="0"/>
    <n v="77000"/>
    <n v="0"/>
    <n v="77000"/>
  </r>
  <r>
    <m/>
    <x v="0"/>
    <s v="agro europa1012432"/>
    <x v="4"/>
    <n v="1012432"/>
    <m/>
    <m/>
    <n v="0"/>
    <n v="0"/>
    <x v="2"/>
    <n v="0"/>
    <x v="1"/>
    <n v="108000"/>
    <n v="77760"/>
    <n v="0"/>
    <n v="0"/>
    <n v="108000"/>
    <x v="1"/>
    <n v="108000"/>
    <n v="93312"/>
    <n v="0"/>
    <x v="76"/>
    <x v="221"/>
    <m/>
    <m/>
    <n v="0"/>
    <n v="0"/>
    <n v="0"/>
    <n v="0"/>
    <m/>
    <n v="0"/>
    <n v="0"/>
    <n v="0"/>
    <n v="0"/>
  </r>
  <r>
    <m/>
    <x v="0"/>
    <s v="agro europa1030388"/>
    <x v="4"/>
    <n v="1030388"/>
    <m/>
    <m/>
    <n v="0"/>
    <n v="0"/>
    <x v="2"/>
    <n v="0"/>
    <x v="1"/>
    <n v="48000"/>
    <n v="0"/>
    <n v="0"/>
    <n v="0"/>
    <n v="48000"/>
    <x v="1"/>
    <n v="48000"/>
    <n v="0"/>
    <n v="0"/>
    <x v="76"/>
    <x v="222"/>
    <m/>
    <m/>
    <n v="24000"/>
    <n v="24000"/>
    <n v="24000"/>
    <n v="24000"/>
    <m/>
    <n v="23250"/>
    <n v="23250"/>
    <n v="23250"/>
    <n v="23250"/>
  </r>
  <r>
    <m/>
    <x v="1"/>
    <s v="agrosuper asia1022930"/>
    <x v="5"/>
    <n v="1022930"/>
    <m/>
    <m/>
    <n v="0"/>
    <n v="0"/>
    <x v="2"/>
    <n v="0"/>
    <x v="1"/>
    <n v="132044.13"/>
    <n v="52822.423199999997"/>
    <n v="0"/>
    <n v="0"/>
    <n v="184866.55319999999"/>
    <x v="1"/>
    <n v="132044.13"/>
    <n v="63386.90784"/>
    <n v="0"/>
    <x v="76"/>
    <x v="223"/>
    <n v="176000"/>
    <n v="176000"/>
    <n v="44024.61"/>
    <n v="220024.61"/>
    <n v="44024.61"/>
    <n v="220024.61"/>
    <n v="176000"/>
    <n v="0"/>
    <n v="123199.99999999999"/>
    <n v="0"/>
    <n v="123199.99999999999"/>
  </r>
  <r>
    <m/>
    <x v="1"/>
    <s v="africa1010877"/>
    <x v="6"/>
    <n v="1010877"/>
    <m/>
    <m/>
    <n v="0"/>
    <n v="0"/>
    <x v="76"/>
    <n v="2079.2199999999998"/>
    <x v="74"/>
    <n v="24000"/>
    <n v="144000"/>
    <n v="0"/>
    <n v="0"/>
    <n v="174181.17"/>
    <x v="74"/>
    <n v="24000"/>
    <n v="172800"/>
    <n v="0"/>
    <x v="76"/>
    <x v="224"/>
    <m/>
    <m/>
    <n v="24000"/>
    <n v="24000"/>
    <n v="24000"/>
    <n v="24000"/>
    <m/>
    <n v="0"/>
    <n v="0"/>
    <n v="0"/>
    <n v="0"/>
  </r>
  <r>
    <m/>
    <x v="0"/>
    <s v="agrosuper shanghai1023373"/>
    <x v="1"/>
    <n v="1023373"/>
    <m/>
    <m/>
    <n v="0"/>
    <n v="0"/>
    <x v="1"/>
    <n v="590.98"/>
    <x v="1"/>
    <n v="32120"/>
    <n v="0"/>
    <n v="0"/>
    <n v="0"/>
    <n v="32120"/>
    <x v="1"/>
    <n v="32120"/>
    <n v="0"/>
    <n v="0"/>
    <x v="76"/>
    <x v="225"/>
    <n v="105760"/>
    <n v="105760"/>
    <n v="74990"/>
    <n v="180750"/>
    <n v="74990"/>
    <n v="180750"/>
    <n v="125326"/>
    <n v="0"/>
    <n v="75195.599999999991"/>
    <n v="0"/>
    <n v="75195.599999999991"/>
  </r>
  <r>
    <m/>
    <x v="0"/>
    <s v="andes asia1022914"/>
    <x v="0"/>
    <n v="1022914"/>
    <m/>
    <m/>
    <n v="0"/>
    <n v="0"/>
    <x v="2"/>
    <n v="0"/>
    <x v="1"/>
    <n v="48000"/>
    <n v="0"/>
    <n v="0"/>
    <n v="0"/>
    <n v="48000"/>
    <x v="1"/>
    <n v="48000"/>
    <n v="0"/>
    <n v="0"/>
    <x v="76"/>
    <x v="222"/>
    <n v="49267"/>
    <n v="49267"/>
    <n v="0"/>
    <n v="49267"/>
    <n v="0"/>
    <n v="49267"/>
    <n v="58382"/>
    <n v="0"/>
    <n v="40867.399999999994"/>
    <n v="0"/>
    <n v="40867.399999999994"/>
  </r>
  <r>
    <m/>
    <x v="0"/>
    <s v="agro europa1030279"/>
    <x v="4"/>
    <n v="1030279"/>
    <m/>
    <m/>
    <n v="0"/>
    <n v="0"/>
    <x v="105"/>
    <m/>
    <x v="108"/>
    <n v="21600"/>
    <n v="116640"/>
    <n v="0"/>
    <n v="0"/>
    <n v="21600"/>
    <x v="108"/>
    <n v="21600"/>
    <n v="139968"/>
    <n v="0"/>
    <x v="76"/>
    <x v="226"/>
    <n v="113743"/>
    <n v="113743"/>
    <n v="0"/>
    <n v="113743"/>
    <n v="0"/>
    <n v="113743"/>
    <n v="142813"/>
    <n v="0"/>
    <n v="99969.099999999991"/>
    <n v="0"/>
    <n v="99969.099999999991"/>
  </r>
  <r>
    <m/>
    <x v="0"/>
    <s v="andes asia1011948"/>
    <x v="0"/>
    <n v="1011948"/>
    <m/>
    <m/>
    <n v="0"/>
    <n v="0"/>
    <x v="2"/>
    <n v="0"/>
    <x v="1"/>
    <n v="1008"/>
    <n v="0"/>
    <n v="0"/>
    <n v="0"/>
    <n v="1008"/>
    <x v="1"/>
    <n v="1008"/>
    <n v="0"/>
    <n v="0"/>
    <x v="76"/>
    <x v="227"/>
    <n v="1000"/>
    <n v="1000"/>
    <n v="0"/>
    <n v="1000"/>
    <n v="0"/>
    <n v="1000"/>
    <n v="1000"/>
    <n v="0"/>
    <n v="700"/>
    <n v="0"/>
    <n v="700"/>
  </r>
  <r>
    <m/>
    <x v="1"/>
    <s v="agrosuper asia1023397"/>
    <x v="5"/>
    <n v="1023397"/>
    <m/>
    <m/>
    <n v="0"/>
    <n v="0"/>
    <x v="2"/>
    <n v="0"/>
    <x v="1"/>
    <n v="44931.48"/>
    <n v="0"/>
    <n v="0"/>
    <n v="0"/>
    <n v="44931.48"/>
    <x v="1"/>
    <n v="44931.48"/>
    <n v="0"/>
    <n v="0"/>
    <x v="76"/>
    <x v="228"/>
    <m/>
    <m/>
    <n v="0"/>
    <n v="0"/>
    <n v="0"/>
    <n v="0"/>
    <m/>
    <n v="0"/>
    <n v="0"/>
    <n v="0"/>
    <n v="0"/>
  </r>
  <r>
    <m/>
    <x v="0"/>
    <s v="agro europa1012207"/>
    <x v="4"/>
    <n v="1012207"/>
    <m/>
    <m/>
    <n v="0"/>
    <n v="0"/>
    <x v="36"/>
    <m/>
    <x v="98"/>
    <n v="24000"/>
    <n v="0"/>
    <n v="0"/>
    <n v="0"/>
    <n v="24000"/>
    <x v="98"/>
    <n v="24000"/>
    <n v="0"/>
    <n v="0"/>
    <x v="76"/>
    <x v="184"/>
    <n v="48000"/>
    <n v="48000"/>
    <n v="0"/>
    <n v="48000"/>
    <n v="0"/>
    <n v="48000"/>
    <n v="48000"/>
    <n v="48000"/>
    <n v="81600"/>
    <n v="48000"/>
    <n v="81600"/>
  </r>
  <r>
    <m/>
    <x v="0"/>
    <s v="andes asia1022767"/>
    <x v="0"/>
    <n v="1022767"/>
    <m/>
    <m/>
    <n v="0"/>
    <n v="0"/>
    <x v="106"/>
    <n v="241.72"/>
    <x v="109"/>
    <n v="24000"/>
    <n v="100800"/>
    <n v="0"/>
    <n v="0"/>
    <n v="24000"/>
    <x v="109"/>
    <n v="24000"/>
    <n v="120960"/>
    <n v="0"/>
    <x v="76"/>
    <x v="184"/>
    <n v="41987"/>
    <n v="41987"/>
    <n v="24000"/>
    <n v="65987"/>
    <n v="24000"/>
    <n v="65987"/>
    <n v="41987"/>
    <n v="0"/>
    <n v="29390.899999999998"/>
    <n v="0"/>
    <n v="29390.899999999998"/>
  </r>
  <r>
    <m/>
    <x v="0"/>
    <s v="agrosuper shanghai1023109"/>
    <x v="1"/>
    <n v="1023109"/>
    <m/>
    <m/>
    <n v="0"/>
    <n v="0"/>
    <x v="2"/>
    <n v="0"/>
    <x v="1"/>
    <n v="32600.84"/>
    <n v="0"/>
    <n v="0"/>
    <n v="0"/>
    <n v="32600.84"/>
    <x v="1"/>
    <n v="32600.84"/>
    <n v="0"/>
    <n v="0"/>
    <x v="76"/>
    <x v="229"/>
    <m/>
    <m/>
    <n v="0"/>
    <n v="0"/>
    <n v="0"/>
    <n v="0"/>
    <n v="2746"/>
    <n v="0"/>
    <n v="1647.6"/>
    <n v="0"/>
    <n v="1647.6"/>
  </r>
  <r>
    <m/>
    <x v="0"/>
    <s v="agrosuper shanghai1022932"/>
    <x v="1"/>
    <n v="1022932"/>
    <m/>
    <m/>
    <n v="0"/>
    <n v="0"/>
    <x v="2"/>
    <n v="0"/>
    <x v="1"/>
    <n v="43560"/>
    <n v="0"/>
    <n v="0"/>
    <n v="0"/>
    <n v="43560"/>
    <x v="1"/>
    <n v="43560"/>
    <n v="0"/>
    <n v="0"/>
    <x v="76"/>
    <x v="230"/>
    <m/>
    <m/>
    <n v="0"/>
    <n v="0"/>
    <n v="0"/>
    <n v="0"/>
    <m/>
    <n v="0"/>
    <n v="0"/>
    <n v="0"/>
    <n v="0"/>
  </r>
  <r>
    <m/>
    <x v="1"/>
    <s v="agrosuper asia1023283"/>
    <x v="5"/>
    <n v="1023283"/>
    <m/>
    <m/>
    <n v="0"/>
    <n v="0"/>
    <x v="1"/>
    <n v="755.67"/>
    <x v="1"/>
    <n v="24001.8"/>
    <n v="313413.59279999998"/>
    <n v="0"/>
    <n v="0"/>
    <n v="337415.39279999997"/>
    <x v="1"/>
    <n v="24001.8"/>
    <n v="376096.31135999993"/>
    <n v="0"/>
    <x v="76"/>
    <x v="231"/>
    <m/>
    <m/>
    <n v="64279.97"/>
    <n v="64279.97"/>
    <n v="64279.97"/>
    <n v="64279.97"/>
    <m/>
    <n v="0"/>
    <n v="0"/>
    <n v="0"/>
    <n v="0"/>
  </r>
  <r>
    <m/>
    <x v="0"/>
    <s v="andes asia1022128"/>
    <x v="0"/>
    <n v="1022128"/>
    <m/>
    <m/>
    <n v="0"/>
    <n v="0"/>
    <x v="107"/>
    <n v="533.36"/>
    <x v="110"/>
    <n v="3007.72"/>
    <n v="0"/>
    <n v="0"/>
    <n v="0"/>
    <n v="3007.72"/>
    <x v="110"/>
    <n v="3007.72"/>
    <n v="0"/>
    <n v="0"/>
    <x v="76"/>
    <x v="232"/>
    <n v="10000"/>
    <n v="10000"/>
    <n v="7473.55"/>
    <n v="17473.55"/>
    <n v="7473.55"/>
    <n v="17473.55"/>
    <n v="20000"/>
    <n v="0"/>
    <n v="14000"/>
    <n v="0"/>
    <n v="14000"/>
  </r>
  <r>
    <m/>
    <x v="0"/>
    <s v="agro europa1030635"/>
    <x v="4"/>
    <n v="1030635"/>
    <m/>
    <m/>
    <n v="0"/>
    <n v="0"/>
    <x v="108"/>
    <m/>
    <x v="111"/>
    <n v="0"/>
    <n v="0"/>
    <n v="0"/>
    <n v="0"/>
    <n v="0"/>
    <x v="111"/>
    <n v="0"/>
    <n v="0"/>
    <n v="0"/>
    <x v="76"/>
    <x v="233"/>
    <m/>
    <m/>
    <n v="0"/>
    <n v="0"/>
    <n v="0"/>
    <n v="0"/>
    <m/>
    <n v="11600"/>
    <n v="11600"/>
    <n v="11600"/>
    <n v="11600"/>
  </r>
  <r>
    <m/>
    <x v="0"/>
    <s v="agro europa1030498"/>
    <x v="4"/>
    <n v="1030498"/>
    <m/>
    <m/>
    <n v="0"/>
    <n v="0"/>
    <x v="2"/>
    <n v="0"/>
    <x v="1"/>
    <n v="0"/>
    <n v="57600"/>
    <n v="0"/>
    <n v="0"/>
    <n v="0"/>
    <x v="1"/>
    <n v="0"/>
    <n v="69120"/>
    <n v="0"/>
    <x v="76"/>
    <x v="233"/>
    <m/>
    <m/>
    <n v="0"/>
    <n v="0"/>
    <n v="0"/>
    <n v="0"/>
    <m/>
    <n v="11420"/>
    <n v="11420"/>
    <n v="11420"/>
    <n v="11420"/>
  </r>
  <r>
    <m/>
    <x v="0"/>
    <s v="agro america1100572"/>
    <x v="2"/>
    <n v="1100572"/>
    <m/>
    <m/>
    <n v="0"/>
    <n v="0"/>
    <x v="2"/>
    <n v="0"/>
    <x v="1"/>
    <n v="7954.6429039999994"/>
    <n v="0"/>
    <n v="0"/>
    <n v="0"/>
    <n v="7954.6429039999994"/>
    <x v="1"/>
    <n v="7954.6429039999994"/>
    <n v="0"/>
    <n v="0"/>
    <x v="76"/>
    <x v="234"/>
    <m/>
    <m/>
    <n v="7342.7472959999996"/>
    <n v="7342.7472959999996"/>
    <n v="7342.7472959999996"/>
    <n v="7342.7472959999996"/>
    <m/>
    <n v="0"/>
    <n v="0"/>
    <n v="0"/>
    <n v="0"/>
  </r>
  <r>
    <m/>
    <x v="1"/>
    <s v="agrosuper asia1023448"/>
    <x v="5"/>
    <n v="1023448"/>
    <m/>
    <m/>
    <n v="0"/>
    <n v="0"/>
    <x v="2"/>
    <n v="0"/>
    <x v="1"/>
    <n v="35170.300000000003"/>
    <n v="0"/>
    <n v="0"/>
    <n v="0"/>
    <n v="35170.300000000003"/>
    <x v="1"/>
    <n v="35170.300000000003"/>
    <n v="0"/>
    <n v="0"/>
    <x v="76"/>
    <x v="235"/>
    <m/>
    <m/>
    <n v="0"/>
    <n v="0"/>
    <n v="0"/>
    <n v="0"/>
    <m/>
    <n v="0"/>
    <n v="0"/>
    <n v="0"/>
    <n v="0"/>
  </r>
  <r>
    <m/>
    <x v="1"/>
    <s v="agrosuper asia1020904"/>
    <x v="5"/>
    <n v="1020904"/>
    <m/>
    <m/>
    <n v="0"/>
    <n v="0"/>
    <x v="2"/>
    <n v="0"/>
    <x v="1"/>
    <n v="47062.19"/>
    <n v="92382.292799999996"/>
    <n v="0"/>
    <n v="0"/>
    <n v="139444.4828"/>
    <x v="1"/>
    <n v="47062.19"/>
    <n v="110858.75135999999"/>
    <n v="0"/>
    <x v="76"/>
    <x v="236"/>
    <m/>
    <m/>
    <n v="0"/>
    <n v="0"/>
    <n v="0"/>
    <n v="0"/>
    <m/>
    <n v="0"/>
    <n v="0"/>
    <n v="0"/>
    <n v="0"/>
  </r>
  <r>
    <m/>
    <x v="1"/>
    <s v="agrosuper asia1023435"/>
    <x v="5"/>
    <n v="1023435"/>
    <m/>
    <m/>
    <n v="0"/>
    <n v="0"/>
    <x v="2"/>
    <n v="0"/>
    <x v="1"/>
    <n v="23514.11"/>
    <n v="0"/>
    <n v="0"/>
    <n v="0"/>
    <n v="23514.11"/>
    <x v="1"/>
    <n v="23514.11"/>
    <n v="0"/>
    <n v="0"/>
    <x v="76"/>
    <x v="237"/>
    <m/>
    <m/>
    <n v="0"/>
    <n v="0"/>
    <n v="0"/>
    <n v="0"/>
    <m/>
    <n v="0"/>
    <n v="0"/>
    <n v="0"/>
    <n v="0"/>
  </r>
  <r>
    <m/>
    <x v="0"/>
    <s v="andes asia1022570"/>
    <x v="0"/>
    <n v="1022570"/>
    <m/>
    <m/>
    <n v="0"/>
    <n v="0"/>
    <x v="109"/>
    <m/>
    <x v="112"/>
    <n v="2030.73"/>
    <n v="0"/>
    <n v="0"/>
    <n v="0"/>
    <n v="2030.73"/>
    <x v="112"/>
    <n v="2030.73"/>
    <n v="0"/>
    <n v="0"/>
    <x v="76"/>
    <x v="238"/>
    <n v="2000"/>
    <n v="2000"/>
    <n v="0"/>
    <n v="2000"/>
    <n v="0"/>
    <n v="2000"/>
    <n v="2000"/>
    <n v="0"/>
    <n v="1400"/>
    <n v="0"/>
    <n v="1400"/>
  </r>
  <r>
    <m/>
    <x v="0"/>
    <s v="agrosuper shanghai1022940"/>
    <x v="1"/>
    <n v="1022940"/>
    <m/>
    <m/>
    <n v="0"/>
    <n v="0"/>
    <x v="2"/>
    <n v="0"/>
    <x v="1"/>
    <n v="16605"/>
    <n v="0"/>
    <n v="0"/>
    <n v="0"/>
    <n v="16605"/>
    <x v="1"/>
    <n v="16605"/>
    <n v="0"/>
    <n v="0"/>
    <x v="76"/>
    <x v="239"/>
    <m/>
    <m/>
    <n v="0"/>
    <n v="0"/>
    <n v="0"/>
    <n v="0"/>
    <m/>
    <n v="0"/>
    <n v="0"/>
    <n v="0"/>
    <n v="0"/>
  </r>
  <r>
    <m/>
    <x v="0"/>
    <s v="andes asia1023247"/>
    <x v="0"/>
    <n v="1023247"/>
    <m/>
    <m/>
    <n v="0"/>
    <n v="0"/>
    <x v="110"/>
    <m/>
    <x v="113"/>
    <n v="1000"/>
    <n v="8400"/>
    <n v="0"/>
    <n v="0"/>
    <n v="1000"/>
    <x v="113"/>
    <n v="1000"/>
    <n v="10080"/>
    <n v="0"/>
    <x v="76"/>
    <x v="240"/>
    <m/>
    <m/>
    <n v="0"/>
    <n v="0"/>
    <n v="0"/>
    <n v="0"/>
    <m/>
    <n v="0"/>
    <n v="0"/>
    <n v="0"/>
    <n v="0"/>
  </r>
  <r>
    <m/>
    <x v="1"/>
    <s v="agrosuper asia1023439"/>
    <x v="5"/>
    <n v="1023439"/>
    <m/>
    <m/>
    <n v="0"/>
    <n v="0"/>
    <x v="2"/>
    <n v="0"/>
    <x v="1"/>
    <n v="13000"/>
    <n v="0"/>
    <n v="0"/>
    <n v="0"/>
    <n v="13000"/>
    <x v="1"/>
    <n v="13000"/>
    <n v="0"/>
    <n v="0"/>
    <x v="76"/>
    <x v="241"/>
    <m/>
    <m/>
    <n v="0"/>
    <n v="0"/>
    <n v="0"/>
    <n v="0"/>
    <m/>
    <n v="0"/>
    <n v="0"/>
    <n v="0"/>
    <n v="0"/>
  </r>
  <r>
    <m/>
    <x v="0"/>
    <s v="agro europa1022145"/>
    <x v="4"/>
    <n v="1022145"/>
    <m/>
    <m/>
    <n v="0"/>
    <n v="0"/>
    <x v="111"/>
    <m/>
    <x v="114"/>
    <n v="23102.31"/>
    <n v="0"/>
    <n v="0"/>
    <n v="0"/>
    <n v="23102.31"/>
    <x v="114"/>
    <n v="23102.31"/>
    <n v="0"/>
    <n v="0"/>
    <x v="76"/>
    <x v="242"/>
    <m/>
    <m/>
    <n v="0"/>
    <n v="0"/>
    <n v="0"/>
    <n v="0"/>
    <n v="22000"/>
    <n v="0"/>
    <n v="15399.999999999998"/>
    <n v="0"/>
    <n v="15399.999999999998"/>
  </r>
  <r>
    <m/>
    <x v="1"/>
    <s v="agrosuper asia1023326"/>
    <x v="5"/>
    <n v="1023326"/>
    <m/>
    <m/>
    <n v="0"/>
    <n v="0"/>
    <x v="2"/>
    <n v="0"/>
    <x v="1"/>
    <n v="24000.83"/>
    <n v="0"/>
    <n v="0"/>
    <n v="0"/>
    <n v="24000.83"/>
    <x v="1"/>
    <n v="24000.83"/>
    <n v="0"/>
    <n v="0"/>
    <x v="76"/>
    <x v="243"/>
    <m/>
    <m/>
    <n v="0"/>
    <n v="0"/>
    <n v="0"/>
    <n v="0"/>
    <m/>
    <n v="0"/>
    <n v="0"/>
    <n v="0"/>
    <n v="0"/>
  </r>
  <r>
    <m/>
    <x v="0"/>
    <s v="agro mexico1011748"/>
    <x v="3"/>
    <n v="1011748"/>
    <m/>
    <m/>
    <n v="0"/>
    <n v="0"/>
    <x v="2"/>
    <n v="0"/>
    <x v="1"/>
    <n v="224580"/>
    <n v="0"/>
    <n v="0"/>
    <n v="0"/>
    <n v="224580"/>
    <x v="1"/>
    <n v="224580"/>
    <n v="0"/>
    <n v="0"/>
    <x v="76"/>
    <x v="244"/>
    <m/>
    <m/>
    <n v="0"/>
    <n v="0"/>
    <n v="0"/>
    <n v="0"/>
    <m/>
    <n v="0"/>
    <n v="0"/>
    <n v="0"/>
    <n v="0"/>
  </r>
  <r>
    <m/>
    <x v="0"/>
    <s v="agro mexico1023343"/>
    <x v="3"/>
    <n v="1023343"/>
    <m/>
    <m/>
    <n v="0"/>
    <n v="0"/>
    <x v="112"/>
    <m/>
    <x v="115"/>
    <n v="96031.14"/>
    <n v="67876.537695652165"/>
    <n v="0"/>
    <n v="0"/>
    <n v="96031.14"/>
    <x v="115"/>
    <n v="96031.14"/>
    <n v="83540.354086956519"/>
    <n v="0"/>
    <x v="76"/>
    <x v="245"/>
    <m/>
    <m/>
    <n v="0"/>
    <n v="0"/>
    <n v="0"/>
    <n v="0"/>
    <m/>
    <n v="0"/>
    <n v="0"/>
    <n v="0"/>
    <n v="0"/>
  </r>
  <r>
    <m/>
    <x v="1"/>
    <s v="agro sudamerica1011421"/>
    <x v="7"/>
    <n v="1011421"/>
    <m/>
    <m/>
    <n v="0"/>
    <n v="0"/>
    <x v="113"/>
    <n v="12997.53"/>
    <x v="116"/>
    <n v="575395.21000000008"/>
    <n v="1626624.8081999999"/>
    <n v="0"/>
    <n v="0"/>
    <n v="2422523.7231999999"/>
    <x v="116"/>
    <n v="575395.21000000008"/>
    <n v="1951949.7698399997"/>
    <n v="0"/>
    <x v="76"/>
    <x v="246"/>
    <n v="552000"/>
    <n v="552000"/>
    <n v="0"/>
    <n v="552000"/>
    <n v="0"/>
    <n v="552000"/>
    <n v="840000"/>
    <n v="23991.040000000001"/>
    <n v="527991.04000000004"/>
    <n v="23991.040000000001"/>
    <n v="527991.04000000004"/>
  </r>
  <r>
    <m/>
    <x v="1"/>
    <s v="agro sudamerica1020412"/>
    <x v="7"/>
    <n v="1020412"/>
    <m/>
    <m/>
    <n v="0"/>
    <n v="0"/>
    <x v="114"/>
    <n v="2595.12"/>
    <x v="117"/>
    <n v="167807.37000000002"/>
    <n v="57614.7"/>
    <n v="0"/>
    <n v="0"/>
    <n v="268168.09500000003"/>
    <x v="117"/>
    <n v="167807.37000000002"/>
    <n v="69137.64"/>
    <n v="0"/>
    <x v="76"/>
    <x v="247"/>
    <n v="216000"/>
    <n v="216000"/>
    <n v="0"/>
    <n v="216000"/>
    <n v="0"/>
    <n v="216000"/>
    <n v="216000"/>
    <n v="0"/>
    <n v="129600"/>
    <n v="0"/>
    <n v="129600"/>
  </r>
  <r>
    <m/>
    <x v="0"/>
    <s v="agro mexico1011614"/>
    <x v="3"/>
    <n v="1011614"/>
    <m/>
    <m/>
    <n v="0"/>
    <n v="0"/>
    <x v="2"/>
    <n v="0"/>
    <x v="1"/>
    <n v="59862"/>
    <n v="157896.86956521738"/>
    <n v="0"/>
    <n v="0"/>
    <n v="59862"/>
    <x v="1"/>
    <n v="59862"/>
    <n v="194334.60869565216"/>
    <n v="0"/>
    <x v="76"/>
    <x v="248"/>
    <m/>
    <m/>
    <n v="0"/>
    <n v="0"/>
    <n v="0"/>
    <n v="0"/>
    <m/>
    <n v="0"/>
    <n v="0"/>
    <n v="0"/>
    <n v="0"/>
  </r>
  <r>
    <m/>
    <x v="0"/>
    <s v="agro america1012334"/>
    <x v="2"/>
    <n v="1012334"/>
    <m/>
    <m/>
    <n v="0"/>
    <n v="0"/>
    <x v="2"/>
    <n v="0"/>
    <x v="1"/>
    <n v="0"/>
    <n v="371226.24"/>
    <n v="0"/>
    <n v="0"/>
    <n v="0"/>
    <x v="1"/>
    <n v="0"/>
    <n v="445471.48800000001"/>
    <n v="0"/>
    <x v="76"/>
    <x v="233"/>
    <m/>
    <m/>
    <n v="39916.095999999998"/>
    <n v="39916.095999999998"/>
    <n v="39916.095999999998"/>
    <n v="39916.095999999998"/>
    <m/>
    <n v="0"/>
    <n v="0"/>
    <n v="0"/>
    <n v="0"/>
  </r>
  <r>
    <m/>
    <x v="1"/>
    <s v="agro sudamerica1012556"/>
    <x v="7"/>
    <n v="1012556"/>
    <m/>
    <m/>
    <n v="0"/>
    <n v="0"/>
    <x v="2"/>
    <n v="0"/>
    <x v="1"/>
    <n v="48008.68"/>
    <n v="115218.51359999999"/>
    <n v="0"/>
    <n v="0"/>
    <n v="163227.1936"/>
    <x v="1"/>
    <n v="48008.68"/>
    <n v="138262.21632000001"/>
    <n v="0"/>
    <x v="76"/>
    <x v="249"/>
    <n v="175528"/>
    <n v="175528"/>
    <n v="0"/>
    <n v="175528"/>
    <n v="0"/>
    <n v="175528"/>
    <n v="216000"/>
    <n v="0"/>
    <n v="129600"/>
    <n v="0"/>
    <n v="129600"/>
  </r>
  <r>
    <m/>
    <x v="1"/>
    <s v="agro sudamerica1023433"/>
    <x v="7"/>
    <n v="1023433"/>
    <m/>
    <m/>
    <n v="0"/>
    <n v="0"/>
    <x v="115"/>
    <n v="1302.5"/>
    <x v="118"/>
    <n v="119156.65"/>
    <n v="195883.28640000001"/>
    <n v="0"/>
    <n v="0"/>
    <n v="368813.13640000002"/>
    <x v="118"/>
    <n v="119156.65"/>
    <n v="235059.94368000003"/>
    <n v="0"/>
    <x v="76"/>
    <x v="250"/>
    <n v="254926"/>
    <n v="254926"/>
    <n v="0"/>
    <n v="254926"/>
    <n v="0"/>
    <n v="254926"/>
    <n v="260050"/>
    <n v="24005.19"/>
    <n v="180035.19"/>
    <n v="24005.19"/>
    <n v="180035.19"/>
  </r>
  <r>
    <m/>
    <x v="0"/>
    <s v="agro mexico1012764"/>
    <x v="3"/>
    <n v="1012764"/>
    <m/>
    <m/>
    <n v="0"/>
    <n v="0"/>
    <x v="2"/>
    <n v="0"/>
    <x v="1"/>
    <n v="96028.52"/>
    <n v="38845.727869565213"/>
    <n v="0"/>
    <n v="0"/>
    <n v="96028.52"/>
    <x v="1"/>
    <n v="96028.52"/>
    <n v="47810.126608695653"/>
    <n v="0"/>
    <x v="76"/>
    <x v="251"/>
    <m/>
    <m/>
    <n v="0"/>
    <n v="0"/>
    <n v="0"/>
    <n v="0"/>
    <m/>
    <n v="0"/>
    <n v="0"/>
    <n v="0"/>
    <n v="0"/>
  </r>
  <r>
    <m/>
    <x v="0"/>
    <s v="agro mexico1030802"/>
    <x v="3"/>
    <n v="1030802"/>
    <m/>
    <m/>
    <n v="0"/>
    <n v="0"/>
    <x v="5"/>
    <m/>
    <x v="119"/>
    <n v="120003.41200000001"/>
    <n v="338584.14765217388"/>
    <n v="0"/>
    <n v="0"/>
    <n v="120003.41200000001"/>
    <x v="119"/>
    <n v="120003.41200000001"/>
    <n v="416718.95095652179"/>
    <n v="0"/>
    <x v="76"/>
    <x v="252"/>
    <n v="144000"/>
    <n v="144000"/>
    <n v="0"/>
    <n v="144000"/>
    <n v="0"/>
    <n v="144000"/>
    <n v="168000"/>
    <n v="0"/>
    <n v="134400"/>
    <n v="0"/>
    <n v="134400"/>
  </r>
  <r>
    <m/>
    <x v="1"/>
    <s v="agro sudamerica1022709"/>
    <x v="7"/>
    <n v="1022709"/>
    <m/>
    <m/>
    <n v="0"/>
    <n v="0"/>
    <x v="2"/>
    <n v="0"/>
    <x v="1"/>
    <n v="291803.28000000003"/>
    <n v="171843.01620000001"/>
    <n v="0"/>
    <n v="0"/>
    <n v="463646.29620000004"/>
    <x v="1"/>
    <n v="291803.28000000003"/>
    <n v="206211.61943999998"/>
    <n v="0"/>
    <x v="76"/>
    <x v="253"/>
    <n v="216000"/>
    <n v="216000"/>
    <n v="0"/>
    <n v="216000"/>
    <n v="0"/>
    <n v="216000"/>
    <n v="216000"/>
    <n v="0"/>
    <n v="129600"/>
    <n v="0"/>
    <n v="129600"/>
  </r>
  <r>
    <m/>
    <x v="1"/>
    <s v="agro sudamerica1020925"/>
    <x v="7"/>
    <n v="1020925"/>
    <m/>
    <m/>
    <n v="0"/>
    <n v="0"/>
    <x v="2"/>
    <n v="0"/>
    <x v="1"/>
    <n v="35320.04"/>
    <n v="0"/>
    <n v="0"/>
    <n v="0"/>
    <n v="35320.04"/>
    <x v="1"/>
    <n v="35320.04"/>
    <n v="0"/>
    <n v="0"/>
    <x v="76"/>
    <x v="254"/>
    <m/>
    <m/>
    <n v="0"/>
    <n v="0"/>
    <n v="0"/>
    <n v="0"/>
    <m/>
    <n v="0"/>
    <n v="0"/>
    <n v="0"/>
    <n v="0"/>
  </r>
  <r>
    <m/>
    <x v="1"/>
    <s v="agro sudamerica1021385"/>
    <x v="7"/>
    <n v="1021385"/>
    <m/>
    <m/>
    <n v="0"/>
    <n v="0"/>
    <x v="2"/>
    <n v="0"/>
    <x v="1"/>
    <n v="61030.31"/>
    <n v="57559.999199999998"/>
    <n v="0"/>
    <n v="0"/>
    <n v="118590.30919999999"/>
    <x v="1"/>
    <n v="61030.31"/>
    <n v="69071.999039999995"/>
    <n v="0"/>
    <x v="76"/>
    <x v="255"/>
    <n v="240000"/>
    <n v="240000"/>
    <n v="0"/>
    <n v="240000"/>
    <n v="0"/>
    <n v="240000"/>
    <n v="240000"/>
    <n v="0"/>
    <n v="144000"/>
    <n v="0"/>
    <n v="144000"/>
  </r>
  <r>
    <m/>
    <x v="0"/>
    <s v="agro mexico1020845"/>
    <x v="3"/>
    <n v="1020845"/>
    <m/>
    <m/>
    <n v="0"/>
    <n v="0"/>
    <x v="116"/>
    <m/>
    <x v="120"/>
    <n v="24018.02"/>
    <n v="0"/>
    <n v="0"/>
    <n v="0"/>
    <n v="24018.02"/>
    <x v="120"/>
    <n v="24018.02"/>
    <n v="0"/>
    <n v="0"/>
    <x v="76"/>
    <x v="256"/>
    <m/>
    <m/>
    <n v="0"/>
    <n v="0"/>
    <n v="0"/>
    <n v="0"/>
    <m/>
    <n v="0"/>
    <n v="0"/>
    <n v="0"/>
    <n v="0"/>
  </r>
  <r>
    <m/>
    <x v="0"/>
    <s v="agro europa1020660"/>
    <x v="4"/>
    <n v="1020660"/>
    <m/>
    <m/>
    <n v="0"/>
    <n v="0"/>
    <x v="2"/>
    <n v="0"/>
    <x v="1"/>
    <n v="0"/>
    <n v="0"/>
    <n v="0"/>
    <n v="0"/>
    <n v="0"/>
    <x v="1"/>
    <n v="0"/>
    <n v="0"/>
    <n v="0"/>
    <x v="76"/>
    <x v="233"/>
    <m/>
    <m/>
    <n v="23996.98"/>
    <n v="23996.98"/>
    <n v="23996.98"/>
    <n v="23996.98"/>
    <m/>
    <n v="0"/>
    <n v="0"/>
    <n v="0"/>
    <n v="0"/>
  </r>
  <r>
    <m/>
    <x v="1"/>
    <s v="agro sudamerica1020944"/>
    <x v="7"/>
    <n v="1020944"/>
    <m/>
    <m/>
    <n v="0"/>
    <n v="0"/>
    <x v="117"/>
    <n v="10738.17"/>
    <x v="121"/>
    <n v="299209.27999999997"/>
    <n v="676461.13979999989"/>
    <n v="0"/>
    <n v="0"/>
    <n v="1099057.3897999998"/>
    <x v="121"/>
    <n v="299209.27999999997"/>
    <n v="811753.36776000005"/>
    <n v="0"/>
    <x v="76"/>
    <x v="257"/>
    <n v="408000"/>
    <n v="408000"/>
    <n v="0"/>
    <n v="408000"/>
    <n v="0"/>
    <n v="408000"/>
    <n v="408000"/>
    <n v="0"/>
    <n v="244800"/>
    <n v="0"/>
    <n v="244800"/>
  </r>
  <r>
    <m/>
    <x v="1"/>
    <s v="agro sudamerica1021105"/>
    <x v="7"/>
    <n v="1021105"/>
    <m/>
    <m/>
    <n v="0"/>
    <n v="0"/>
    <x v="118"/>
    <n v="664.55"/>
    <x v="122"/>
    <n v="23874.95"/>
    <n v="9596.786399999999"/>
    <n v="0"/>
    <n v="0"/>
    <n v="39979.411399999997"/>
    <x v="122"/>
    <n v="23874.95"/>
    <n v="11516.143679999999"/>
    <n v="0"/>
    <x v="76"/>
    <x v="258"/>
    <n v="49267"/>
    <n v="49267"/>
    <n v="0"/>
    <n v="49267"/>
    <n v="0"/>
    <n v="49267"/>
    <n v="58382"/>
    <n v="0"/>
    <n v="35029.199999999997"/>
    <n v="0"/>
    <n v="35029.199999999997"/>
  </r>
  <r>
    <m/>
    <x v="1"/>
    <s v="agro sudamerica1022150"/>
    <x v="7"/>
    <n v="1022150"/>
    <m/>
    <m/>
    <n v="0"/>
    <n v="0"/>
    <x v="2"/>
    <n v="0"/>
    <x v="1"/>
    <n v="132527.54999999999"/>
    <n v="218181.56760000001"/>
    <n v="0"/>
    <n v="0"/>
    <n v="350709.1176"/>
    <x v="1"/>
    <n v="132527.54999999999"/>
    <n v="261817.88111999998"/>
    <n v="0"/>
    <x v="76"/>
    <x v="259"/>
    <n v="288000"/>
    <n v="288000"/>
    <n v="0"/>
    <n v="288000"/>
    <n v="0"/>
    <n v="288000"/>
    <n v="288000"/>
    <n v="0"/>
    <n v="172800"/>
    <n v="0"/>
    <n v="172800"/>
  </r>
  <r>
    <m/>
    <x v="0"/>
    <s v="andes asia1022791"/>
    <x v="0"/>
    <n v="1022791"/>
    <m/>
    <m/>
    <n v="0"/>
    <n v="0"/>
    <x v="2"/>
    <n v="0"/>
    <x v="1"/>
    <n v="0"/>
    <n v="0"/>
    <n v="0"/>
    <n v="0"/>
    <n v="0"/>
    <x v="1"/>
    <n v="0"/>
    <n v="0"/>
    <n v="0"/>
    <x v="76"/>
    <x v="233"/>
    <m/>
    <m/>
    <n v="86.12"/>
    <n v="86.12"/>
    <n v="86.12"/>
    <n v="86.12"/>
    <m/>
    <n v="0"/>
    <n v="0"/>
    <n v="0"/>
    <n v="0"/>
  </r>
  <r>
    <m/>
    <x v="1"/>
    <s v="agro sudamerica1010877"/>
    <x v="7"/>
    <n v="1010877"/>
    <m/>
    <m/>
    <n v="0"/>
    <n v="0"/>
    <x v="76"/>
    <n v="2079.2199999999998"/>
    <x v="74"/>
    <n v="25000"/>
    <n v="0"/>
    <n v="0"/>
    <n v="0"/>
    <n v="31181.170000000002"/>
    <x v="74"/>
    <n v="25000"/>
    <n v="0"/>
    <n v="0"/>
    <x v="76"/>
    <x v="260"/>
    <m/>
    <m/>
    <n v="0"/>
    <n v="0"/>
    <n v="0"/>
    <n v="0"/>
    <m/>
    <n v="0"/>
    <n v="0"/>
    <n v="0"/>
    <n v="0"/>
  </r>
  <r>
    <m/>
    <x v="1"/>
    <s v="agro sudamerica1020848"/>
    <x v="7"/>
    <n v="1020848"/>
    <m/>
    <m/>
    <n v="0"/>
    <n v="0"/>
    <x v="2"/>
    <n v="0"/>
    <x v="1"/>
    <n v="74465.61"/>
    <n v="201603.44099999999"/>
    <n v="0"/>
    <n v="0"/>
    <n v="276069.05099999998"/>
    <x v="1"/>
    <n v="74465.61"/>
    <n v="241924.12920000002"/>
    <n v="0"/>
    <x v="76"/>
    <x v="261"/>
    <n v="168000"/>
    <n v="168000"/>
    <n v="0"/>
    <n v="168000"/>
    <n v="0"/>
    <n v="168000"/>
    <n v="168000"/>
    <n v="0"/>
    <n v="100800"/>
    <n v="0"/>
    <n v="100800"/>
  </r>
  <r>
    <m/>
    <x v="1"/>
    <s v="agro sudamerica1030817"/>
    <x v="7"/>
    <n v="1030817"/>
    <m/>
    <m/>
    <n v="0"/>
    <n v="0"/>
    <x v="2"/>
    <n v="0"/>
    <x v="1"/>
    <n v="72023.709999999992"/>
    <n v="115224.95999999999"/>
    <n v="0"/>
    <n v="0"/>
    <n v="187248.66999999998"/>
    <x v="1"/>
    <n v="72023.709999999992"/>
    <n v="138269.95199999999"/>
    <n v="0"/>
    <x v="76"/>
    <x v="262"/>
    <n v="168000"/>
    <n v="168000"/>
    <n v="0"/>
    <n v="168000"/>
    <n v="0"/>
    <n v="168000"/>
    <n v="168000"/>
    <n v="0"/>
    <n v="100800"/>
    <n v="0"/>
    <n v="100800"/>
  </r>
  <r>
    <m/>
    <x v="0"/>
    <s v="agrosuper shanghai1022939"/>
    <x v="1"/>
    <n v="1022939"/>
    <m/>
    <m/>
    <n v="0"/>
    <n v="0"/>
    <x v="2"/>
    <n v="0"/>
    <x v="1"/>
    <n v="0"/>
    <n v="161976"/>
    <n v="0"/>
    <n v="0"/>
    <n v="0"/>
    <x v="1"/>
    <n v="0"/>
    <n v="194371.19999999998"/>
    <n v="0"/>
    <x v="76"/>
    <x v="233"/>
    <n v="75872"/>
    <n v="75872"/>
    <n v="115900"/>
    <n v="191772"/>
    <n v="115900"/>
    <n v="191772"/>
    <n v="89908"/>
    <n v="0"/>
    <n v="53944.799999999996"/>
    <n v="0"/>
    <n v="53944.799999999996"/>
  </r>
  <r>
    <m/>
    <x v="0"/>
    <s v="agrosuper shanghai1030506"/>
    <x v="1"/>
    <n v="1030506"/>
    <m/>
    <m/>
    <n v="0"/>
    <n v="0"/>
    <x v="2"/>
    <n v="0"/>
    <x v="1"/>
    <n v="0"/>
    <n v="216000"/>
    <n v="0"/>
    <n v="0"/>
    <n v="0"/>
    <x v="1"/>
    <n v="0"/>
    <n v="259200"/>
    <n v="0"/>
    <x v="76"/>
    <x v="233"/>
    <n v="24000"/>
    <n v="24000"/>
    <n v="48000"/>
    <n v="72000"/>
    <n v="48000"/>
    <n v="72000"/>
    <m/>
    <n v="24000"/>
    <n v="24000"/>
    <n v="24000"/>
    <n v="24000"/>
  </r>
  <r>
    <m/>
    <x v="1"/>
    <s v="agrosuper asia1023490"/>
    <x v="5"/>
    <n v="1023490"/>
    <m/>
    <m/>
    <n v="0"/>
    <n v="0"/>
    <x v="2"/>
    <n v="0"/>
    <x v="1"/>
    <n v="0"/>
    <n v="0"/>
    <n v="0"/>
    <n v="0"/>
    <n v="0"/>
    <x v="1"/>
    <n v="0"/>
    <n v="0"/>
    <n v="0"/>
    <x v="76"/>
    <x v="233"/>
    <m/>
    <m/>
    <n v="48000"/>
    <n v="48000"/>
    <n v="48000"/>
    <n v="48000"/>
    <m/>
    <n v="0"/>
    <n v="0"/>
    <n v="0"/>
    <n v="0"/>
  </r>
  <r>
    <m/>
    <x v="1"/>
    <s v="agro sudamerica1021023"/>
    <x v="7"/>
    <n v="1021023"/>
    <m/>
    <m/>
    <n v="0"/>
    <n v="0"/>
    <x v="119"/>
    <n v="1157.54"/>
    <x v="123"/>
    <n v="115888.73"/>
    <n v="0"/>
    <n v="0"/>
    <n v="0"/>
    <n v="131852.41999999998"/>
    <x v="123"/>
    <n v="115888.73"/>
    <n v="0"/>
    <n v="0"/>
    <x v="76"/>
    <x v="263"/>
    <n v="141540"/>
    <n v="141540"/>
    <n v="0"/>
    <n v="141540"/>
    <n v="0"/>
    <n v="141540"/>
    <n v="144000"/>
    <n v="0"/>
    <n v="86400"/>
    <n v="0"/>
    <n v="86400"/>
  </r>
  <r>
    <m/>
    <x v="1"/>
    <s v="agro sudamerica1021868"/>
    <x v="7"/>
    <n v="1021868"/>
    <m/>
    <m/>
    <n v="0"/>
    <n v="0"/>
    <x v="2"/>
    <n v="0"/>
    <x v="1"/>
    <n v="95631.47"/>
    <n v="0"/>
    <n v="0"/>
    <n v="0"/>
    <n v="95631.47"/>
    <x v="1"/>
    <n v="95631.47"/>
    <n v="0"/>
    <n v="0"/>
    <x v="76"/>
    <x v="264"/>
    <n v="24000"/>
    <n v="24000"/>
    <n v="0"/>
    <n v="24000"/>
    <n v="0"/>
    <n v="24000"/>
    <n v="24000"/>
    <n v="0"/>
    <n v="14400"/>
    <n v="0"/>
    <n v="14400"/>
  </r>
  <r>
    <m/>
    <x v="1"/>
    <s v="agro sudamerica1011042"/>
    <x v="7"/>
    <n v="1011042"/>
    <m/>
    <m/>
    <n v="0"/>
    <n v="0"/>
    <x v="36"/>
    <n v="1309.71"/>
    <x v="124"/>
    <n v="22800"/>
    <n v="0"/>
    <n v="0"/>
    <n v="0"/>
    <n v="35835.434999999998"/>
    <x v="124"/>
    <n v="22800"/>
    <n v="0"/>
    <n v="0"/>
    <x v="76"/>
    <x v="265"/>
    <m/>
    <m/>
    <n v="0"/>
    <n v="0"/>
    <n v="0"/>
    <n v="0"/>
    <m/>
    <n v="22800"/>
    <n v="22800"/>
    <n v="22800"/>
    <n v="22800"/>
  </r>
  <r>
    <m/>
    <x v="1"/>
    <s v="agro sudamerica1021085"/>
    <x v="7"/>
    <n v="1021085"/>
    <m/>
    <m/>
    <n v="0"/>
    <n v="0"/>
    <x v="2"/>
    <n v="0"/>
    <x v="1"/>
    <n v="24012"/>
    <n v="0"/>
    <n v="0"/>
    <n v="0"/>
    <n v="24012"/>
    <x v="1"/>
    <n v="24012"/>
    <n v="0"/>
    <n v="0"/>
    <x v="76"/>
    <x v="266"/>
    <n v="24000"/>
    <n v="24000"/>
    <n v="0"/>
    <n v="24000"/>
    <n v="0"/>
    <n v="24000"/>
    <n v="24000"/>
    <n v="0"/>
    <n v="14400"/>
    <n v="0"/>
    <n v="14400"/>
  </r>
  <r>
    <m/>
    <x v="1"/>
    <s v="agro sudamerica1021976"/>
    <x v="7"/>
    <n v="1021976"/>
    <m/>
    <m/>
    <n v="0"/>
    <n v="0"/>
    <x v="1"/>
    <n v="307.02999999999997"/>
    <x v="1"/>
    <n v="60029.570000000007"/>
    <n v="310524.39359999995"/>
    <n v="0"/>
    <n v="0"/>
    <n v="370553.96359999996"/>
    <x v="1"/>
    <n v="60029.570000000007"/>
    <n v="372629.27231999993"/>
    <n v="0"/>
    <x v="76"/>
    <x v="267"/>
    <n v="11005"/>
    <n v="11005"/>
    <n v="0"/>
    <n v="11005"/>
    <n v="0"/>
    <n v="11005"/>
    <n v="24250"/>
    <n v="0"/>
    <n v="14550"/>
    <n v="0"/>
    <n v="14550"/>
  </r>
  <r>
    <m/>
    <x v="1"/>
    <s v="agro sudamerica1030792"/>
    <x v="7"/>
    <n v="1030792"/>
    <m/>
    <m/>
    <n v="0"/>
    <n v="0"/>
    <x v="2"/>
    <n v="0"/>
    <x v="1"/>
    <n v="24000"/>
    <n v="0"/>
    <n v="0"/>
    <n v="0"/>
    <n v="24000"/>
    <x v="1"/>
    <n v="24000"/>
    <n v="0"/>
    <n v="0"/>
    <x v="76"/>
    <x v="184"/>
    <n v="30000"/>
    <n v="30000"/>
    <n v="0"/>
    <n v="30000"/>
    <n v="0"/>
    <n v="30000"/>
    <n v="16000"/>
    <n v="0"/>
    <n v="9600"/>
    <n v="0"/>
    <n v="9600"/>
  </r>
  <r>
    <m/>
    <x v="0"/>
    <s v="agro mexico1021874"/>
    <x v="3"/>
    <n v="1021874"/>
    <m/>
    <m/>
    <n v="0"/>
    <n v="0"/>
    <x v="120"/>
    <n v="2136.36"/>
    <x v="125"/>
    <n v="351455.16999999993"/>
    <n v="1120101.1408260867"/>
    <n v="0"/>
    <n v="0"/>
    <n v="351455.16999999993"/>
    <x v="125"/>
    <n v="351455.16999999993"/>
    <n v="1378586.019478261"/>
    <n v="0"/>
    <x v="76"/>
    <x v="268"/>
    <m/>
    <m/>
    <n v="0"/>
    <n v="0"/>
    <n v="0"/>
    <n v="0"/>
    <m/>
    <n v="0"/>
    <n v="0"/>
    <n v="0"/>
    <n v="0"/>
  </r>
  <r>
    <m/>
    <x v="1"/>
    <s v="agrosuper asia1021156"/>
    <x v="5"/>
    <n v="1021156"/>
    <m/>
    <m/>
    <n v="0"/>
    <n v="0"/>
    <x v="121"/>
    <n v="575.67999999999995"/>
    <x v="126"/>
    <n v="24000"/>
    <n v="158400"/>
    <n v="0"/>
    <n v="0"/>
    <n v="187416.9"/>
    <x v="126"/>
    <n v="24000"/>
    <n v="190080"/>
    <n v="0"/>
    <x v="76"/>
    <x v="269"/>
    <m/>
    <m/>
    <n v="24000"/>
    <n v="24000"/>
    <n v="24000"/>
    <n v="24000"/>
    <m/>
    <n v="0"/>
    <n v="0"/>
    <n v="0"/>
    <n v="0"/>
  </r>
  <r>
    <m/>
    <x v="0"/>
    <s v="agro america1030838"/>
    <x v="2"/>
    <n v="1030838"/>
    <m/>
    <m/>
    <n v="0"/>
    <n v="0"/>
    <x v="2"/>
    <n v="0"/>
    <x v="1"/>
    <n v="23999.915590000001"/>
    <n v="0"/>
    <n v="0"/>
    <n v="0"/>
    <n v="23999.915590000001"/>
    <x v="1"/>
    <n v="23999.915590000001"/>
    <n v="0"/>
    <n v="0"/>
    <x v="76"/>
    <x v="270"/>
    <m/>
    <m/>
    <n v="21599.924029999998"/>
    <n v="21599.924029999998"/>
    <n v="21599.924029999998"/>
    <n v="21599.924029999998"/>
    <m/>
    <n v="0"/>
    <n v="0"/>
    <n v="0"/>
    <n v="0"/>
  </r>
  <r>
    <m/>
    <x v="1"/>
    <s v="agrosuper asia1023090"/>
    <x v="5"/>
    <n v="1023090"/>
    <m/>
    <m/>
    <n v="0"/>
    <n v="0"/>
    <x v="122"/>
    <m/>
    <x v="127"/>
    <n v="22016.57"/>
    <n v="0"/>
    <n v="0"/>
    <n v="0"/>
    <n v="25793.57"/>
    <x v="127"/>
    <n v="22016.57"/>
    <n v="0"/>
    <n v="0"/>
    <x v="76"/>
    <x v="271"/>
    <n v="22000"/>
    <n v="22000"/>
    <n v="0"/>
    <n v="22000"/>
    <n v="0"/>
    <n v="22000"/>
    <n v="22000"/>
    <n v="0"/>
    <n v="15399.999999999998"/>
    <n v="0"/>
    <n v="15399.999999999998"/>
  </r>
  <r>
    <m/>
    <x v="1"/>
    <s v="agrosuper asia1022283"/>
    <x v="5"/>
    <n v="1022283"/>
    <m/>
    <m/>
    <n v="0"/>
    <n v="0"/>
    <x v="123"/>
    <n v="28.84"/>
    <x v="128"/>
    <n v="17000.759999999998"/>
    <n v="0"/>
    <n v="0"/>
    <n v="0"/>
    <n v="19059"/>
    <x v="128"/>
    <n v="17000.759999999998"/>
    <n v="0"/>
    <n v="0"/>
    <x v="76"/>
    <x v="272"/>
    <n v="13795"/>
    <n v="13795"/>
    <n v="0"/>
    <n v="13795"/>
    <n v="0"/>
    <n v="13795"/>
    <n v="16347"/>
    <n v="0"/>
    <n v="11442.9"/>
    <n v="0"/>
    <n v="11442.9"/>
  </r>
  <r>
    <m/>
    <x v="1"/>
    <s v="agrosuper asia1022182"/>
    <x v="5"/>
    <n v="1022182"/>
    <m/>
    <m/>
    <n v="0"/>
    <n v="0"/>
    <x v="124"/>
    <n v="80.19"/>
    <x v="129"/>
    <n v="82920"/>
    <n v="145116"/>
    <n v="0"/>
    <n v="0"/>
    <n v="230581.215"/>
    <x v="129"/>
    <n v="82920"/>
    <n v="174139.19999999998"/>
    <n v="0"/>
    <x v="76"/>
    <x v="273"/>
    <n v="44000"/>
    <n v="44000"/>
    <n v="0"/>
    <n v="44000"/>
    <n v="0"/>
    <n v="44000"/>
    <n v="44000"/>
    <n v="0"/>
    <n v="30799.999999999996"/>
    <n v="0"/>
    <n v="30799.999999999996"/>
  </r>
  <r>
    <m/>
    <x v="1"/>
    <s v="agro sudamerica1012362"/>
    <x v="7"/>
    <n v="1012362"/>
    <m/>
    <m/>
    <n v="0"/>
    <n v="0"/>
    <x v="2"/>
    <n v="0"/>
    <x v="1"/>
    <n v="2088"/>
    <n v="0"/>
    <n v="0"/>
    <n v="0"/>
    <n v="2088"/>
    <x v="1"/>
    <n v="2088"/>
    <n v="0"/>
    <n v="0"/>
    <x v="76"/>
    <x v="274"/>
    <m/>
    <m/>
    <n v="0"/>
    <n v="0"/>
    <n v="0"/>
    <n v="0"/>
    <m/>
    <n v="0"/>
    <n v="0"/>
    <n v="0"/>
    <n v="0"/>
  </r>
  <r>
    <m/>
    <x v="1"/>
    <s v="agro sudamerica1011560"/>
    <x v="7"/>
    <n v="1011560"/>
    <m/>
    <m/>
    <n v="0"/>
    <n v="0"/>
    <x v="2"/>
    <n v="0"/>
    <x v="1"/>
    <n v="21906"/>
    <n v="0"/>
    <n v="0"/>
    <n v="0"/>
    <n v="21906"/>
    <x v="1"/>
    <n v="21906"/>
    <n v="0"/>
    <n v="0"/>
    <x v="76"/>
    <x v="275"/>
    <m/>
    <m/>
    <n v="0"/>
    <n v="0"/>
    <n v="0"/>
    <n v="0"/>
    <m/>
    <n v="0"/>
    <n v="0"/>
    <n v="0"/>
    <n v="0"/>
  </r>
  <r>
    <m/>
    <x v="0"/>
    <s v="agrosuper shanghai1012823"/>
    <x v="1"/>
    <n v="1012823"/>
    <m/>
    <m/>
    <n v="0"/>
    <n v="0"/>
    <x v="38"/>
    <m/>
    <x v="130"/>
    <n v="0"/>
    <n v="0"/>
    <n v="0"/>
    <n v="0"/>
    <n v="0"/>
    <x v="130"/>
    <n v="0"/>
    <n v="0"/>
    <n v="0"/>
    <x v="76"/>
    <x v="233"/>
    <n v="63947"/>
    <n v="63947"/>
    <n v="23038.416000000001"/>
    <n v="86985.415999999997"/>
    <n v="23038.416000000001"/>
    <n v="86985.415999999997"/>
    <n v="81208"/>
    <n v="0"/>
    <n v="48724.799999999996"/>
    <n v="0"/>
    <n v="48724.799999999996"/>
  </r>
  <r>
    <m/>
    <x v="0"/>
    <s v="agro mexico1012796"/>
    <x v="3"/>
    <n v="1012796"/>
    <m/>
    <m/>
    <n v="0"/>
    <n v="0"/>
    <x v="92"/>
    <m/>
    <x v="90"/>
    <n v="59983.83"/>
    <n v="45201.481565217386"/>
    <n v="0"/>
    <n v="0"/>
    <n v="59983.83"/>
    <x v="90"/>
    <n v="59983.83"/>
    <n v="55632.592695652173"/>
    <n v="0"/>
    <x v="76"/>
    <x v="276"/>
    <m/>
    <m/>
    <n v="0"/>
    <n v="0"/>
    <n v="0"/>
    <n v="0"/>
    <m/>
    <n v="0"/>
    <n v="0"/>
    <n v="0"/>
    <n v="0"/>
  </r>
  <r>
    <m/>
    <x v="1"/>
    <s v="agro sudamerica1020017"/>
    <x v="7"/>
    <n v="1020017"/>
    <m/>
    <m/>
    <n v="0"/>
    <n v="0"/>
    <x v="2"/>
    <n v="0"/>
    <x v="1"/>
    <n v="65274.16"/>
    <n v="14397.273599999999"/>
    <n v="0"/>
    <n v="0"/>
    <n v="79671.433600000004"/>
    <x v="1"/>
    <n v="65274.16"/>
    <n v="17276.728319999998"/>
    <n v="0"/>
    <x v="76"/>
    <x v="277"/>
    <n v="216000"/>
    <n v="216000"/>
    <n v="0"/>
    <n v="216000"/>
    <n v="0"/>
    <n v="216000"/>
    <n v="216000"/>
    <n v="0"/>
    <n v="129600"/>
    <n v="0"/>
    <n v="129600"/>
  </r>
  <r>
    <m/>
    <x v="1"/>
    <s v="agro sudamerica1021092"/>
    <x v="7"/>
    <n v="1021092"/>
    <m/>
    <m/>
    <n v="0"/>
    <n v="0"/>
    <x v="1"/>
    <n v="687.73"/>
    <x v="1"/>
    <n v="35975.229999999996"/>
    <n v="100785.6612"/>
    <n v="0"/>
    <n v="0"/>
    <n v="136760.89120000001"/>
    <x v="1"/>
    <n v="35975.229999999996"/>
    <n v="120942.79344000001"/>
    <n v="0"/>
    <x v="76"/>
    <x v="278"/>
    <n v="51174"/>
    <n v="51174"/>
    <n v="0"/>
    <n v="51174"/>
    <n v="0"/>
    <n v="51174"/>
    <n v="53053"/>
    <n v="0"/>
    <n v="31831.8"/>
    <n v="0"/>
    <n v="31831.8"/>
  </r>
  <r>
    <m/>
    <x v="1"/>
    <s v="agro sudamerica1020086"/>
    <x v="7"/>
    <n v="1020086"/>
    <m/>
    <m/>
    <n v="0"/>
    <n v="0"/>
    <x v="2"/>
    <n v="0"/>
    <x v="1"/>
    <n v="23918.89"/>
    <n v="0"/>
    <n v="0"/>
    <n v="0"/>
    <n v="23918.89"/>
    <x v="1"/>
    <n v="23918.89"/>
    <n v="0"/>
    <n v="0"/>
    <x v="76"/>
    <x v="279"/>
    <m/>
    <m/>
    <n v="0"/>
    <n v="0"/>
    <n v="0"/>
    <n v="0"/>
    <m/>
    <n v="0"/>
    <n v="0"/>
    <n v="0"/>
    <n v="0"/>
  </r>
  <r>
    <m/>
    <x v="0"/>
    <s v="agro europa1030224"/>
    <x v="4"/>
    <n v="1030224"/>
    <m/>
    <m/>
    <n v="0"/>
    <n v="0"/>
    <x v="2"/>
    <n v="0"/>
    <x v="1"/>
    <n v="0"/>
    <n v="329265.00839999993"/>
    <n v="0"/>
    <n v="0"/>
    <n v="0"/>
    <x v="1"/>
    <n v="0"/>
    <n v="395118.01007999998"/>
    <n v="0"/>
    <x v="76"/>
    <x v="233"/>
    <m/>
    <m/>
    <n v="0"/>
    <n v="0"/>
    <n v="0"/>
    <n v="0"/>
    <m/>
    <n v="84017.72"/>
    <n v="84017.72"/>
    <n v="84017.72"/>
    <n v="84017.72"/>
  </r>
  <r>
    <m/>
    <x v="0"/>
    <s v="agro europa1030332"/>
    <x v="4"/>
    <n v="1030332"/>
    <m/>
    <m/>
    <n v="0"/>
    <n v="0"/>
    <x v="2"/>
    <n v="0"/>
    <x v="1"/>
    <n v="0"/>
    <n v="0"/>
    <n v="0"/>
    <n v="0"/>
    <n v="0"/>
    <x v="1"/>
    <n v="0"/>
    <n v="0"/>
    <n v="0"/>
    <x v="76"/>
    <x v="233"/>
    <m/>
    <m/>
    <n v="0"/>
    <n v="0"/>
    <n v="0"/>
    <n v="0"/>
    <m/>
    <n v="24000"/>
    <n v="24000"/>
    <n v="24000"/>
    <n v="24000"/>
  </r>
  <r>
    <m/>
    <x v="0"/>
    <s v="agrosuper shanghai1023066"/>
    <x v="1"/>
    <n v="1023066"/>
    <m/>
    <m/>
    <n v="0"/>
    <n v="0"/>
    <x v="1"/>
    <n v="199.13"/>
    <x v="1"/>
    <n v="0"/>
    <n v="0"/>
    <n v="0"/>
    <n v="0"/>
    <n v="0"/>
    <x v="1"/>
    <n v="0"/>
    <n v="0"/>
    <n v="0"/>
    <x v="76"/>
    <x v="233"/>
    <n v="12000"/>
    <n v="12000"/>
    <n v="23100"/>
    <n v="35100"/>
    <n v="23100"/>
    <n v="35100"/>
    <n v="24000"/>
    <n v="0"/>
    <n v="14400"/>
    <n v="0"/>
    <n v="14400"/>
  </r>
  <r>
    <m/>
    <x v="0"/>
    <s v="agrosuper shanghai1023291"/>
    <x v="1"/>
    <n v="1023291"/>
    <m/>
    <m/>
    <n v="0"/>
    <n v="0"/>
    <x v="1"/>
    <n v="406.39"/>
    <x v="1"/>
    <n v="24000"/>
    <n v="57600"/>
    <n v="0"/>
    <n v="0"/>
    <n v="24000"/>
    <x v="1"/>
    <n v="24000"/>
    <n v="69120"/>
    <n v="0"/>
    <x v="76"/>
    <x v="184"/>
    <m/>
    <m/>
    <n v="24280"/>
    <n v="24280"/>
    <n v="24280"/>
    <n v="24280"/>
    <m/>
    <n v="0"/>
    <n v="0"/>
    <n v="0"/>
    <n v="0"/>
  </r>
  <r>
    <m/>
    <x v="0"/>
    <s v="agrosuper shanghai1012005"/>
    <x v="1"/>
    <n v="1012005"/>
    <m/>
    <m/>
    <n v="0"/>
    <n v="0"/>
    <x v="2"/>
    <n v="0"/>
    <x v="1"/>
    <n v="0"/>
    <n v="0"/>
    <n v="0"/>
    <n v="0"/>
    <n v="0"/>
    <x v="1"/>
    <n v="0"/>
    <n v="0"/>
    <n v="0"/>
    <x v="76"/>
    <x v="233"/>
    <n v="8000"/>
    <n v="8000"/>
    <n v="4960"/>
    <n v="12960"/>
    <n v="4960"/>
    <n v="12960"/>
    <m/>
    <n v="0"/>
    <n v="0"/>
    <n v="0"/>
    <n v="0"/>
  </r>
  <r>
    <m/>
    <x v="0"/>
    <s v="agro mexico1023450"/>
    <x v="3"/>
    <n v="1023450"/>
    <m/>
    <m/>
    <n v="0"/>
    <n v="0"/>
    <x v="125"/>
    <m/>
    <x v="131"/>
    <n v="72081.27"/>
    <n v="3441.3933478260865"/>
    <n v="0"/>
    <n v="0"/>
    <n v="72081.27"/>
    <x v="131"/>
    <n v="72081.27"/>
    <n v="4235.5610434782602"/>
    <n v="0"/>
    <x v="76"/>
    <x v="280"/>
    <n v="24000"/>
    <n v="24000"/>
    <n v="0"/>
    <n v="24000"/>
    <n v="0"/>
    <n v="24000"/>
    <n v="24000"/>
    <n v="0"/>
    <n v="19200"/>
    <n v="0"/>
    <n v="19200"/>
  </r>
  <r>
    <m/>
    <x v="0"/>
    <s v="agro mexico1011611"/>
    <x v="3"/>
    <n v="1011611"/>
    <m/>
    <m/>
    <n v="0"/>
    <n v="0"/>
    <x v="2"/>
    <n v="0"/>
    <x v="1"/>
    <n v="19954"/>
    <n v="0"/>
    <n v="0"/>
    <n v="0"/>
    <n v="19954"/>
    <x v="1"/>
    <n v="19954"/>
    <n v="0"/>
    <n v="0"/>
    <x v="76"/>
    <x v="281"/>
    <m/>
    <m/>
    <n v="0"/>
    <n v="0"/>
    <n v="0"/>
    <n v="0"/>
    <m/>
    <n v="0"/>
    <n v="0"/>
    <n v="0"/>
    <n v="0"/>
  </r>
  <r>
    <m/>
    <x v="0"/>
    <s v="agro mexico1011047"/>
    <x v="3"/>
    <n v="1011047"/>
    <m/>
    <m/>
    <n v="0"/>
    <n v="0"/>
    <x v="2"/>
    <n v="0"/>
    <x v="1"/>
    <n v="43200"/>
    <n v="0"/>
    <n v="0"/>
    <n v="0"/>
    <n v="43200"/>
    <x v="1"/>
    <n v="43200"/>
    <n v="0"/>
    <n v="0"/>
    <x v="76"/>
    <x v="282"/>
    <m/>
    <m/>
    <n v="0"/>
    <n v="0"/>
    <n v="0"/>
    <n v="0"/>
    <m/>
    <n v="0"/>
    <n v="0"/>
    <n v="0"/>
    <n v="0"/>
  </r>
  <r>
    <m/>
    <x v="1"/>
    <s v="agro sudamerica1030816"/>
    <x v="7"/>
    <n v="1030816"/>
    <m/>
    <m/>
    <n v="0"/>
    <n v="0"/>
    <x v="2"/>
    <n v="0"/>
    <x v="1"/>
    <n v="48007.6"/>
    <n v="0"/>
    <n v="0"/>
    <n v="0"/>
    <n v="48007.6"/>
    <x v="1"/>
    <n v="48007.6"/>
    <n v="0"/>
    <n v="0"/>
    <x v="76"/>
    <x v="283"/>
    <m/>
    <m/>
    <n v="0"/>
    <n v="0"/>
    <n v="0"/>
    <n v="0"/>
    <n v="72000"/>
    <n v="0"/>
    <n v="43200"/>
    <n v="0"/>
    <n v="43200"/>
  </r>
  <r>
    <m/>
    <x v="1"/>
    <s v="agro sudamerica1021078"/>
    <x v="7"/>
    <n v="1021078"/>
    <m/>
    <m/>
    <n v="0"/>
    <n v="0"/>
    <x v="126"/>
    <n v="558.22"/>
    <x v="132"/>
    <n v="62630.61"/>
    <n v="0"/>
    <n v="0"/>
    <n v="0"/>
    <n v="77894.28"/>
    <x v="132"/>
    <n v="62630.61"/>
    <n v="0"/>
    <n v="0"/>
    <x v="76"/>
    <x v="284"/>
    <m/>
    <m/>
    <n v="0"/>
    <n v="0"/>
    <n v="0"/>
    <n v="0"/>
    <m/>
    <n v="0"/>
    <n v="0"/>
    <n v="0"/>
    <n v="0"/>
  </r>
  <r>
    <m/>
    <x v="1"/>
    <s v="agro sudamerica1022149"/>
    <x v="7"/>
    <n v="1022149"/>
    <m/>
    <m/>
    <n v="0"/>
    <n v="0"/>
    <x v="2"/>
    <n v="0"/>
    <x v="1"/>
    <n v="10979.26"/>
    <n v="49900.070399999997"/>
    <n v="0"/>
    <n v="0"/>
    <n v="60879.330399999999"/>
    <x v="1"/>
    <n v="10979.26"/>
    <n v="59880.084479999998"/>
    <n v="0"/>
    <x v="76"/>
    <x v="285"/>
    <n v="95901"/>
    <n v="95901"/>
    <n v="0"/>
    <n v="95901"/>
    <n v="0"/>
    <n v="95901"/>
    <n v="93957"/>
    <n v="0"/>
    <n v="56374.2"/>
    <n v="0"/>
    <n v="56374.2"/>
  </r>
  <r>
    <m/>
    <x v="0"/>
    <s v="agro europa1022304"/>
    <x v="4"/>
    <n v="1022304"/>
    <m/>
    <m/>
    <n v="0"/>
    <n v="0"/>
    <x v="127"/>
    <n v="152.27000000000001"/>
    <x v="133"/>
    <n v="27570.799999999999"/>
    <n v="0"/>
    <n v="0"/>
    <n v="0"/>
    <n v="27570.799999999999"/>
    <x v="133"/>
    <n v="27570.799999999999"/>
    <n v="0"/>
    <n v="0"/>
    <x v="76"/>
    <x v="286"/>
    <n v="15661"/>
    <n v="15661"/>
    <n v="0"/>
    <n v="15661"/>
    <n v="0"/>
    <n v="15661"/>
    <n v="16359"/>
    <n v="0"/>
    <n v="11451.3"/>
    <n v="0"/>
    <n v="11451.3"/>
  </r>
  <r>
    <m/>
    <x v="0"/>
    <s v="agro europa1023422"/>
    <x v="4"/>
    <n v="1023422"/>
    <m/>
    <m/>
    <n v="0"/>
    <n v="0"/>
    <x v="2"/>
    <n v="0"/>
    <x v="1"/>
    <n v="0"/>
    <n v="0"/>
    <n v="0"/>
    <n v="0"/>
    <n v="0"/>
    <x v="1"/>
    <n v="0"/>
    <n v="0"/>
    <n v="0"/>
    <x v="76"/>
    <x v="233"/>
    <m/>
    <m/>
    <n v="15498.81818"/>
    <n v="15498.81818"/>
    <n v="15498.81818"/>
    <n v="15498.81818"/>
    <m/>
    <n v="0"/>
    <n v="0"/>
    <n v="0"/>
    <n v="0"/>
  </r>
  <r>
    <m/>
    <x v="0"/>
    <s v="agro europa1011906"/>
    <x v="4"/>
    <n v="1011906"/>
    <m/>
    <m/>
    <n v="0"/>
    <n v="0"/>
    <x v="2"/>
    <n v="0"/>
    <x v="1"/>
    <n v="21000"/>
    <n v="0"/>
    <n v="0"/>
    <n v="0"/>
    <n v="21000"/>
    <x v="1"/>
    <n v="21000"/>
    <n v="0"/>
    <n v="0"/>
    <x v="76"/>
    <x v="287"/>
    <m/>
    <m/>
    <n v="0"/>
    <n v="0"/>
    <n v="0"/>
    <n v="0"/>
    <m/>
    <n v="0"/>
    <n v="0"/>
    <n v="0"/>
    <n v="0"/>
  </r>
  <r>
    <m/>
    <x v="1"/>
    <s v="agrosuper asia1022985"/>
    <x v="5"/>
    <n v="1022985"/>
    <m/>
    <m/>
    <n v="0"/>
    <n v="0"/>
    <x v="2"/>
    <n v="0"/>
    <x v="1"/>
    <n v="4947.0600000000004"/>
    <n v="0"/>
    <n v="0"/>
    <n v="0"/>
    <n v="4947.0600000000004"/>
    <x v="1"/>
    <n v="4947.0600000000004"/>
    <n v="0"/>
    <n v="0"/>
    <x v="76"/>
    <x v="288"/>
    <m/>
    <m/>
    <n v="0"/>
    <n v="0"/>
    <n v="0"/>
    <n v="0"/>
    <n v="5000"/>
    <n v="0"/>
    <n v="3500"/>
    <n v="0"/>
    <n v="3500"/>
  </r>
  <r>
    <m/>
    <x v="1"/>
    <s v="agro sudamerica1022786"/>
    <x v="7"/>
    <n v="1022786"/>
    <m/>
    <m/>
    <n v="0"/>
    <n v="0"/>
    <x v="2"/>
    <n v="0"/>
    <x v="1"/>
    <n v="13988.18182"/>
    <n v="0"/>
    <n v="0"/>
    <n v="0"/>
    <n v="13988.18182"/>
    <x v="1"/>
    <n v="13988.18182"/>
    <n v="0"/>
    <n v="0"/>
    <x v="76"/>
    <x v="289"/>
    <n v="13200"/>
    <n v="13200"/>
    <n v="0"/>
    <n v="13200"/>
    <n v="0"/>
    <n v="13200"/>
    <n v="13200"/>
    <n v="0"/>
    <n v="7920"/>
    <n v="0"/>
    <n v="7920"/>
  </r>
  <r>
    <m/>
    <x v="0"/>
    <s v="agro europa1011749"/>
    <x v="4"/>
    <n v="1011749"/>
    <m/>
    <m/>
    <n v="0"/>
    <n v="0"/>
    <x v="2"/>
    <n v="0"/>
    <x v="1"/>
    <n v="64800"/>
    <n v="0"/>
    <n v="0"/>
    <n v="0"/>
    <n v="64800"/>
    <x v="1"/>
    <n v="64800"/>
    <n v="0"/>
    <n v="0"/>
    <x v="76"/>
    <x v="290"/>
    <m/>
    <m/>
    <n v="0"/>
    <n v="0"/>
    <n v="0"/>
    <n v="0"/>
    <m/>
    <n v="0"/>
    <n v="0"/>
    <n v="0"/>
    <n v="0"/>
  </r>
  <r>
    <m/>
    <x v="0"/>
    <s v="agro europa1030711"/>
    <x v="4"/>
    <n v="1030711"/>
    <m/>
    <m/>
    <n v="0"/>
    <n v="0"/>
    <x v="128"/>
    <m/>
    <x v="134"/>
    <n v="0"/>
    <n v="0"/>
    <n v="0"/>
    <n v="0"/>
    <n v="0"/>
    <x v="134"/>
    <n v="0"/>
    <n v="0"/>
    <n v="0"/>
    <x v="76"/>
    <x v="233"/>
    <m/>
    <m/>
    <n v="21000"/>
    <n v="21000"/>
    <n v="21000"/>
    <n v="21000"/>
    <m/>
    <n v="0"/>
    <n v="0"/>
    <n v="0"/>
    <n v="0"/>
  </r>
  <r>
    <m/>
    <x v="1"/>
    <s v="agro sudamerica1012719"/>
    <x v="7"/>
    <n v="1012719"/>
    <m/>
    <m/>
    <n v="0"/>
    <n v="0"/>
    <x v="129"/>
    <n v="4922.51"/>
    <x v="135"/>
    <n v="48013.63"/>
    <n v="0"/>
    <n v="0"/>
    <n v="0"/>
    <n v="130629.86499999999"/>
    <x v="135"/>
    <n v="48013.63"/>
    <n v="0"/>
    <n v="0"/>
    <x v="76"/>
    <x v="291"/>
    <m/>
    <m/>
    <n v="48010.81"/>
    <n v="48010.81"/>
    <n v="48010.81"/>
    <n v="48010.81"/>
    <n v="480000"/>
    <n v="0"/>
    <n v="288000"/>
    <n v="0"/>
    <n v="288000"/>
  </r>
  <r>
    <m/>
    <x v="1"/>
    <s v="agro sudamerica1030802"/>
    <x v="7"/>
    <n v="1030802"/>
    <m/>
    <m/>
    <n v="0"/>
    <n v="0"/>
    <x v="5"/>
    <m/>
    <x v="119"/>
    <n v="1999.05"/>
    <n v="0"/>
    <n v="0"/>
    <n v="0"/>
    <n v="28999.05"/>
    <x v="119"/>
    <n v="1999.05"/>
    <n v="0"/>
    <n v="0"/>
    <x v="76"/>
    <x v="292"/>
    <m/>
    <m/>
    <n v="0"/>
    <n v="0"/>
    <n v="0"/>
    <n v="0"/>
    <m/>
    <n v="0"/>
    <n v="0"/>
    <n v="0"/>
    <n v="0"/>
  </r>
  <r>
    <m/>
    <x v="1"/>
    <s v="agro sudamerica1023372"/>
    <x v="7"/>
    <n v="1023372"/>
    <m/>
    <m/>
    <n v="0"/>
    <n v="0"/>
    <x v="130"/>
    <m/>
    <x v="136"/>
    <n v="6469.15"/>
    <n v="0"/>
    <n v="0"/>
    <n v="0"/>
    <n v="40753.15"/>
    <x v="136"/>
    <n v="6469.15"/>
    <n v="0"/>
    <n v="0"/>
    <x v="76"/>
    <x v="293"/>
    <m/>
    <m/>
    <n v="0"/>
    <n v="0"/>
    <n v="0"/>
    <n v="0"/>
    <m/>
    <n v="0"/>
    <n v="0"/>
    <n v="0"/>
    <n v="0"/>
  </r>
  <r>
    <m/>
    <x v="1"/>
    <s v="agro sudamerica1022047"/>
    <x v="7"/>
    <n v="1022047"/>
    <m/>
    <m/>
    <n v="0"/>
    <n v="0"/>
    <x v="2"/>
    <n v="0"/>
    <x v="1"/>
    <n v="5753.02"/>
    <n v="0"/>
    <n v="0"/>
    <n v="0"/>
    <n v="5753.02"/>
    <x v="1"/>
    <n v="5753.02"/>
    <n v="0"/>
    <n v="0"/>
    <x v="76"/>
    <x v="294"/>
    <m/>
    <m/>
    <n v="0"/>
    <n v="0"/>
    <n v="0"/>
    <n v="0"/>
    <m/>
    <n v="0"/>
    <n v="0"/>
    <n v="0"/>
    <n v="0"/>
  </r>
  <r>
    <m/>
    <x v="1"/>
    <s v="agro sudamerica1023355"/>
    <x v="7"/>
    <n v="1023355"/>
    <m/>
    <m/>
    <n v="0"/>
    <n v="0"/>
    <x v="131"/>
    <m/>
    <x v="137"/>
    <n v="16478.62"/>
    <n v="0"/>
    <n v="0"/>
    <n v="0"/>
    <n v="17530.12"/>
    <x v="137"/>
    <n v="16478.62"/>
    <n v="0"/>
    <n v="0"/>
    <x v="76"/>
    <x v="295"/>
    <m/>
    <m/>
    <n v="0"/>
    <n v="0"/>
    <n v="0"/>
    <n v="0"/>
    <m/>
    <n v="0"/>
    <n v="0"/>
    <n v="0"/>
    <n v="0"/>
  </r>
  <r>
    <m/>
    <x v="0"/>
    <s v="agro mexico1022854"/>
    <x v="3"/>
    <n v="1022854"/>
    <m/>
    <m/>
    <n v="0"/>
    <n v="0"/>
    <x v="2"/>
    <n v="0"/>
    <x v="1"/>
    <n v="46497.04"/>
    <n v="0"/>
    <n v="0"/>
    <n v="0"/>
    <n v="46497.04"/>
    <x v="1"/>
    <n v="46497.04"/>
    <n v="0"/>
    <n v="0"/>
    <x v="76"/>
    <x v="296"/>
    <m/>
    <m/>
    <n v="0"/>
    <n v="0"/>
    <n v="0"/>
    <n v="0"/>
    <m/>
    <n v="0"/>
    <n v="0"/>
    <n v="0"/>
    <n v="0"/>
  </r>
  <r>
    <m/>
    <x v="1"/>
    <s v="agro sudamerica1022406"/>
    <x v="7"/>
    <n v="1022406"/>
    <m/>
    <m/>
    <n v="0"/>
    <n v="0"/>
    <x v="2"/>
    <n v="0"/>
    <x v="1"/>
    <n v="19975.900000000001"/>
    <n v="0"/>
    <n v="0"/>
    <n v="0"/>
    <n v="19975.900000000001"/>
    <x v="1"/>
    <n v="19975.900000000001"/>
    <n v="0"/>
    <n v="0"/>
    <x v="76"/>
    <x v="297"/>
    <m/>
    <m/>
    <n v="0"/>
    <n v="0"/>
    <n v="0"/>
    <n v="0"/>
    <m/>
    <n v="0"/>
    <n v="0"/>
    <n v="0"/>
    <n v="0"/>
  </r>
  <r>
    <m/>
    <x v="1"/>
    <s v="agro sudamerica1022870"/>
    <x v="7"/>
    <n v="1022870"/>
    <m/>
    <m/>
    <n v="0"/>
    <n v="0"/>
    <x v="2"/>
    <n v="0"/>
    <x v="1"/>
    <n v="3952.76"/>
    <n v="0"/>
    <n v="0"/>
    <n v="0"/>
    <n v="3952.76"/>
    <x v="1"/>
    <n v="3952.76"/>
    <n v="0"/>
    <n v="0"/>
    <x v="76"/>
    <x v="298"/>
    <m/>
    <m/>
    <n v="0"/>
    <n v="0"/>
    <n v="0"/>
    <n v="0"/>
    <m/>
    <n v="0"/>
    <n v="0"/>
    <n v="0"/>
    <n v="0"/>
  </r>
  <r>
    <m/>
    <x v="0"/>
    <s v="agrosuper shanghai1022082"/>
    <x v="1"/>
    <n v="1022082"/>
    <m/>
    <m/>
    <n v="0"/>
    <n v="0"/>
    <x v="2"/>
    <n v="0"/>
    <x v="1"/>
    <n v="0"/>
    <n v="0"/>
    <n v="0"/>
    <n v="0"/>
    <n v="0"/>
    <x v="1"/>
    <n v="0"/>
    <n v="0"/>
    <n v="0"/>
    <x v="76"/>
    <x v="233"/>
    <m/>
    <m/>
    <n v="24180"/>
    <n v="24180"/>
    <n v="24180"/>
    <n v="24180"/>
    <m/>
    <n v="0"/>
    <n v="0"/>
    <n v="0"/>
    <n v="0"/>
  </r>
  <r>
    <m/>
    <x v="0"/>
    <s v="agrosuper shanghai1021905"/>
    <x v="1"/>
    <n v="1021905"/>
    <m/>
    <m/>
    <n v="0"/>
    <n v="0"/>
    <x v="2"/>
    <n v="0"/>
    <x v="1"/>
    <n v="0"/>
    <n v="0"/>
    <n v="0"/>
    <n v="0"/>
    <n v="0"/>
    <x v="1"/>
    <n v="0"/>
    <n v="0"/>
    <n v="0"/>
    <x v="76"/>
    <x v="233"/>
    <n v="83992"/>
    <n v="83992"/>
    <n v="37367.300000000003"/>
    <n v="121359.3"/>
    <n v="37367.300000000003"/>
    <n v="121359.3"/>
    <m/>
    <n v="0"/>
    <n v="0"/>
    <n v="0"/>
    <n v="0"/>
  </r>
  <r>
    <m/>
    <x v="1"/>
    <s v="agrosuper asia1023037"/>
    <x v="5"/>
    <n v="1023037"/>
    <m/>
    <m/>
    <n v="0"/>
    <n v="0"/>
    <x v="2"/>
    <n v="0"/>
    <x v="1"/>
    <n v="66033.66"/>
    <n v="343357.53360000002"/>
    <n v="0"/>
    <n v="0"/>
    <n v="409391.1936"/>
    <x v="1"/>
    <n v="66033.66"/>
    <n v="412029.04032000003"/>
    <n v="0"/>
    <x v="76"/>
    <x v="299"/>
    <n v="132000"/>
    <n v="132000"/>
    <n v="0"/>
    <n v="132000"/>
    <n v="0"/>
    <n v="132000"/>
    <n v="132000"/>
    <n v="0"/>
    <n v="92400"/>
    <n v="0"/>
    <n v="92400"/>
  </r>
  <r>
    <m/>
    <x v="0"/>
    <s v="agrosuper shanghai1021971"/>
    <x v="1"/>
    <n v="1021971"/>
    <m/>
    <m/>
    <n v="0"/>
    <n v="0"/>
    <x v="2"/>
    <n v="0"/>
    <x v="1"/>
    <n v="25000"/>
    <n v="60000"/>
    <n v="0"/>
    <n v="0"/>
    <n v="25000"/>
    <x v="1"/>
    <n v="25000"/>
    <n v="72000"/>
    <n v="0"/>
    <x v="76"/>
    <x v="300"/>
    <m/>
    <m/>
    <n v="0"/>
    <n v="0"/>
    <n v="0"/>
    <n v="0"/>
    <m/>
    <n v="0"/>
    <n v="0"/>
    <n v="0"/>
    <n v="0"/>
  </r>
  <r>
    <m/>
    <x v="0"/>
    <s v="agrosuper shanghai1012527"/>
    <x v="1"/>
    <n v="1012527"/>
    <m/>
    <m/>
    <n v="0"/>
    <n v="0"/>
    <x v="132"/>
    <n v="262.10000000000002"/>
    <x v="138"/>
    <n v="24000"/>
    <n v="144000"/>
    <n v="0"/>
    <n v="0"/>
    <n v="24000"/>
    <x v="138"/>
    <n v="24000"/>
    <n v="172800"/>
    <n v="0"/>
    <x v="76"/>
    <x v="184"/>
    <n v="18825"/>
    <n v="18825"/>
    <n v="0"/>
    <n v="18825"/>
    <n v="0"/>
    <n v="18825"/>
    <n v="22194"/>
    <n v="0"/>
    <n v="13316.4"/>
    <n v="0"/>
    <n v="13316.4"/>
  </r>
  <r>
    <m/>
    <x v="0"/>
    <s v="agro america1012532"/>
    <x v="2"/>
    <n v="1012532"/>
    <m/>
    <m/>
    <n v="0"/>
    <n v="0"/>
    <x v="2"/>
    <n v="0"/>
    <x v="1"/>
    <n v="3646.87968"/>
    <n v="3374.7840000000001"/>
    <n v="0"/>
    <n v="0"/>
    <n v="3646.87968"/>
    <x v="1"/>
    <n v="3646.87968"/>
    <n v="4049.7408"/>
    <n v="0"/>
    <x v="76"/>
    <x v="301"/>
    <m/>
    <m/>
    <n v="0"/>
    <n v="0"/>
    <n v="0"/>
    <n v="0"/>
    <m/>
    <n v="0"/>
    <n v="0"/>
    <n v="0"/>
    <n v="0"/>
  </r>
  <r>
    <m/>
    <x v="0"/>
    <s v="agro mexico1023319"/>
    <x v="3"/>
    <n v="1023319"/>
    <m/>
    <m/>
    <n v="0"/>
    <n v="0"/>
    <x v="2"/>
    <n v="0"/>
    <x v="1"/>
    <n v="37080"/>
    <n v="53537.391304347824"/>
    <n v="0"/>
    <n v="0"/>
    <n v="37080"/>
    <x v="1"/>
    <n v="37080"/>
    <n v="65892.173913043473"/>
    <n v="0"/>
    <x v="76"/>
    <x v="302"/>
    <n v="11001"/>
    <n v="11001"/>
    <n v="0"/>
    <n v="11001"/>
    <n v="0"/>
    <n v="11001"/>
    <n v="11001"/>
    <n v="0"/>
    <n v="8800.8000000000011"/>
    <n v="0"/>
    <n v="8800.8000000000011"/>
  </r>
  <r>
    <m/>
    <x v="0"/>
    <s v="agro mexico1023318"/>
    <x v="3"/>
    <n v="1023318"/>
    <m/>
    <m/>
    <n v="0"/>
    <n v="0"/>
    <x v="2"/>
    <n v="0"/>
    <x v="1"/>
    <n v="36502.11"/>
    <n v="94986.083739130423"/>
    <n v="0"/>
    <n v="0"/>
    <n v="36502.11"/>
    <x v="1"/>
    <n v="36502.11"/>
    <n v="116905.9492173913"/>
    <n v="0"/>
    <x v="76"/>
    <x v="303"/>
    <m/>
    <m/>
    <n v="0"/>
    <n v="0"/>
    <n v="0"/>
    <n v="0"/>
    <m/>
    <n v="0"/>
    <n v="0"/>
    <n v="0"/>
    <n v="0"/>
  </r>
  <r>
    <m/>
    <x v="0"/>
    <s v="andes asia1022989"/>
    <x v="0"/>
    <n v="1022989"/>
    <m/>
    <m/>
    <n v="0"/>
    <n v="0"/>
    <x v="133"/>
    <m/>
    <x v="139"/>
    <n v="18310.55"/>
    <n v="43511.248800000001"/>
    <n v="0"/>
    <n v="0"/>
    <n v="18310.55"/>
    <x v="139"/>
    <n v="18310.55"/>
    <n v="52213.49856"/>
    <n v="0"/>
    <x v="76"/>
    <x v="304"/>
    <n v="30000"/>
    <n v="30000"/>
    <n v="18129.43"/>
    <n v="48129.43"/>
    <n v="18129.43"/>
    <n v="48129.43"/>
    <n v="40000"/>
    <n v="0"/>
    <n v="28000"/>
    <n v="0"/>
    <n v="28000"/>
  </r>
  <r>
    <m/>
    <x v="1"/>
    <s v="agro sudamerica1022847"/>
    <x v="7"/>
    <n v="1022847"/>
    <m/>
    <m/>
    <n v="0"/>
    <n v="0"/>
    <x v="134"/>
    <n v="497.45"/>
    <x v="140"/>
    <n v="37004.94"/>
    <n v="31156.149599999997"/>
    <n v="0"/>
    <n v="0"/>
    <n v="73419.414600000004"/>
    <x v="140"/>
    <n v="37004.94"/>
    <n v="37387.379519999995"/>
    <n v="0"/>
    <x v="76"/>
    <x v="305"/>
    <n v="27314"/>
    <n v="27314"/>
    <n v="0"/>
    <n v="27314"/>
    <n v="0"/>
    <n v="27314"/>
    <n v="34606"/>
    <n v="0"/>
    <n v="20763.599999999999"/>
    <n v="0"/>
    <n v="20763.599999999999"/>
  </r>
  <r>
    <m/>
    <x v="0"/>
    <s v="agrosuper shanghai1012504"/>
    <x v="1"/>
    <n v="1012504"/>
    <m/>
    <m/>
    <n v="0"/>
    <n v="0"/>
    <x v="135"/>
    <n v="20.16"/>
    <x v="141"/>
    <n v="24000"/>
    <n v="158400"/>
    <n v="0"/>
    <n v="0"/>
    <n v="24000"/>
    <x v="141"/>
    <n v="24000"/>
    <n v="190080"/>
    <n v="0"/>
    <x v="76"/>
    <x v="184"/>
    <n v="21320"/>
    <n v="21320"/>
    <n v="0"/>
    <n v="21320"/>
    <n v="0"/>
    <n v="21320"/>
    <n v="25135"/>
    <n v="0"/>
    <n v="15081"/>
    <n v="0"/>
    <n v="15081"/>
  </r>
  <r>
    <m/>
    <x v="1"/>
    <s v="agrosuper asia1012012"/>
    <x v="5"/>
    <n v="1012012"/>
    <m/>
    <m/>
    <n v="0"/>
    <n v="0"/>
    <x v="2"/>
    <n v="0"/>
    <x v="1"/>
    <n v="0"/>
    <n v="0"/>
    <n v="0"/>
    <n v="0"/>
    <n v="0"/>
    <x v="1"/>
    <n v="0"/>
    <n v="0"/>
    <n v="0"/>
    <x v="76"/>
    <x v="233"/>
    <m/>
    <m/>
    <n v="19394.88"/>
    <n v="19394.88"/>
    <n v="19394.88"/>
    <n v="19394.88"/>
    <m/>
    <n v="0"/>
    <n v="0"/>
    <n v="0"/>
    <n v="0"/>
  </r>
  <r>
    <m/>
    <x v="0"/>
    <s v="agrosuper shanghai1012502"/>
    <x v="1"/>
    <n v="1012502"/>
    <m/>
    <m/>
    <n v="0"/>
    <n v="0"/>
    <x v="38"/>
    <n v="382.46"/>
    <x v="142"/>
    <n v="0"/>
    <n v="99624"/>
    <n v="0"/>
    <n v="0"/>
    <n v="0"/>
    <x v="142"/>
    <n v="0"/>
    <n v="119548.79999999999"/>
    <n v="0"/>
    <x v="76"/>
    <x v="233"/>
    <n v="9377"/>
    <n v="9377"/>
    <n v="23720"/>
    <n v="33097"/>
    <n v="23720"/>
    <n v="33097"/>
    <n v="11055"/>
    <n v="0"/>
    <n v="6633"/>
    <n v="0"/>
    <n v="6633"/>
  </r>
  <r>
    <m/>
    <x v="0"/>
    <s v="agro europa1030684"/>
    <x v="4"/>
    <n v="1030684"/>
    <m/>
    <m/>
    <n v="0"/>
    <n v="0"/>
    <x v="2"/>
    <n v="0"/>
    <x v="1"/>
    <n v="24000"/>
    <n v="0"/>
    <n v="0"/>
    <n v="0"/>
    <n v="24000"/>
    <x v="1"/>
    <n v="24000"/>
    <n v="0"/>
    <n v="0"/>
    <x v="76"/>
    <x v="184"/>
    <m/>
    <m/>
    <n v="0"/>
    <n v="0"/>
    <n v="0"/>
    <n v="0"/>
    <m/>
    <n v="0"/>
    <n v="0"/>
    <n v="0"/>
    <n v="0"/>
  </r>
  <r>
    <m/>
    <x v="1"/>
    <s v="agro sudamerica1012744"/>
    <x v="7"/>
    <n v="1012744"/>
    <m/>
    <m/>
    <n v="0"/>
    <n v="0"/>
    <x v="2"/>
    <n v="0"/>
    <x v="1"/>
    <n v="23986.44"/>
    <n v="0"/>
    <n v="0"/>
    <n v="0"/>
    <n v="23986.44"/>
    <x v="1"/>
    <n v="23986.44"/>
    <n v="0"/>
    <n v="0"/>
    <x v="76"/>
    <x v="306"/>
    <m/>
    <m/>
    <n v="0"/>
    <n v="0"/>
    <n v="0"/>
    <n v="0"/>
    <m/>
    <n v="0"/>
    <n v="0"/>
    <n v="0"/>
    <n v="0"/>
  </r>
  <r>
    <m/>
    <x v="0"/>
    <s v="agro europa1022097"/>
    <x v="4"/>
    <n v="1022097"/>
    <m/>
    <m/>
    <n v="0"/>
    <n v="0"/>
    <x v="2"/>
    <n v="0"/>
    <x v="1"/>
    <n v="24001.439999999999"/>
    <n v="0"/>
    <n v="0"/>
    <n v="0"/>
    <n v="24001.439999999999"/>
    <x v="1"/>
    <n v="24001.439999999999"/>
    <n v="0"/>
    <n v="0"/>
    <x v="76"/>
    <x v="307"/>
    <n v="20000"/>
    <n v="20000"/>
    <n v="0"/>
    <n v="20000"/>
    <n v="0"/>
    <n v="20000"/>
    <m/>
    <n v="0"/>
    <n v="0"/>
    <n v="0"/>
    <n v="0"/>
  </r>
  <r>
    <m/>
    <x v="0"/>
    <s v="agrosuper shanghai1023110"/>
    <x v="1"/>
    <n v="1023110"/>
    <m/>
    <m/>
    <n v="0"/>
    <n v="0"/>
    <x v="2"/>
    <n v="0"/>
    <x v="1"/>
    <n v="24231.32"/>
    <n v="0"/>
    <n v="0"/>
    <n v="0"/>
    <n v="24231.32"/>
    <x v="1"/>
    <n v="24231.32"/>
    <n v="0"/>
    <n v="0"/>
    <x v="76"/>
    <x v="308"/>
    <m/>
    <m/>
    <n v="0"/>
    <n v="0"/>
    <n v="0"/>
    <n v="0"/>
    <m/>
    <n v="0"/>
    <n v="0"/>
    <n v="0"/>
    <n v="0"/>
  </r>
  <r>
    <m/>
    <x v="0"/>
    <s v="agro america1012488"/>
    <x v="2"/>
    <n v="1012488"/>
    <m/>
    <m/>
    <n v="0"/>
    <n v="0"/>
    <x v="2"/>
    <n v="0"/>
    <x v="1"/>
    <n v="0"/>
    <n v="0"/>
    <n v="0"/>
    <n v="0"/>
    <n v="0"/>
    <x v="1"/>
    <n v="0"/>
    <n v="0"/>
    <n v="0"/>
    <x v="76"/>
    <x v="233"/>
    <m/>
    <m/>
    <n v="0"/>
    <n v="0"/>
    <n v="0"/>
    <n v="0"/>
    <m/>
    <n v="19849.18592"/>
    <n v="19849.18592"/>
    <n v="19849.18592"/>
    <n v="19849.18592"/>
  </r>
  <r>
    <m/>
    <x v="1"/>
    <s v="agrosuper asia1020660"/>
    <x v="5"/>
    <n v="1020660"/>
    <m/>
    <m/>
    <n v="0"/>
    <n v="0"/>
    <x v="2"/>
    <n v="0"/>
    <x v="1"/>
    <n v="0"/>
    <n v="0"/>
    <n v="0"/>
    <n v="0"/>
    <n v="0"/>
    <x v="1"/>
    <n v="0"/>
    <n v="0"/>
    <n v="0"/>
    <x v="76"/>
    <x v="233"/>
    <m/>
    <m/>
    <n v="0"/>
    <n v="0"/>
    <n v="0"/>
    <n v="0"/>
    <m/>
    <n v="23981.51"/>
    <n v="23981.51"/>
    <n v="23981.51"/>
    <n v="23981.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5A497-9998-BC47-A21E-D87FDBA9F673}" name="TablaDinámica9" cacheId="8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I14" firstHeaderRow="0" firstDataRow="1" firstDataCol="1"/>
  <pivotFields count="34">
    <pivotField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9">
        <item x="6"/>
        <item x="2"/>
        <item x="4"/>
        <item x="3"/>
        <item x="7"/>
        <item x="5"/>
        <item x="1"/>
        <item x="0"/>
        <item t="default"/>
      </items>
    </pivotField>
    <pivotField showAll="0"/>
    <pivotField showAll="0"/>
    <pivotField showAll="0"/>
    <pivotField numFmtId="3" showAll="0"/>
    <pivotField numFmtId="3" showAll="0"/>
    <pivotField dataField="1" showAll="0">
      <items count="137">
        <item x="2"/>
        <item x="70"/>
        <item x="43"/>
        <item x="19"/>
        <item x="28"/>
        <item x="131"/>
        <item x="38"/>
        <item x="17"/>
        <item x="66"/>
        <item x="107"/>
        <item x="37"/>
        <item x="110"/>
        <item x="98"/>
        <item x="57"/>
        <item x="69"/>
        <item x="47"/>
        <item x="123"/>
        <item x="97"/>
        <item x="132"/>
        <item x="27"/>
        <item x="124"/>
        <item x="65"/>
        <item x="99"/>
        <item x="128"/>
        <item x="67"/>
        <item x="127"/>
        <item x="23"/>
        <item x="26"/>
        <item x="116"/>
        <item x="122"/>
        <item x="89"/>
        <item x="44"/>
        <item x="135"/>
        <item x="106"/>
        <item x="88"/>
        <item x="30"/>
        <item x="111"/>
        <item x="84"/>
        <item x="112"/>
        <item x="121"/>
        <item x="95"/>
        <item x="134"/>
        <item x="105"/>
        <item x="10"/>
        <item x="87"/>
        <item x="8"/>
        <item x="118"/>
        <item x="77"/>
        <item x="64"/>
        <item x="79"/>
        <item x="96"/>
        <item x="92"/>
        <item x="76"/>
        <item x="82"/>
        <item x="0"/>
        <item x="81"/>
        <item x="101"/>
        <item x="75"/>
        <item x="33"/>
        <item x="93"/>
        <item x="103"/>
        <item x="29"/>
        <item x="11"/>
        <item x="125"/>
        <item x="9"/>
        <item x="86"/>
        <item x="78"/>
        <item x="50"/>
        <item x="109"/>
        <item x="71"/>
        <item x="59"/>
        <item x="55"/>
        <item x="80"/>
        <item x="36"/>
        <item x="73"/>
        <item x="16"/>
        <item x="48"/>
        <item x="126"/>
        <item x="68"/>
        <item x="15"/>
        <item x="85"/>
        <item x="94"/>
        <item x="119"/>
        <item x="21"/>
        <item x="25"/>
        <item x="61"/>
        <item x="31"/>
        <item x="18"/>
        <item x="108"/>
        <item x="62"/>
        <item x="20"/>
        <item x="90"/>
        <item x="35"/>
        <item x="102"/>
        <item x="91"/>
        <item x="46"/>
        <item x="51"/>
        <item x="58"/>
        <item x="53"/>
        <item x="5"/>
        <item x="39"/>
        <item x="56"/>
        <item x="22"/>
        <item x="12"/>
        <item x="32"/>
        <item x="40"/>
        <item x="100"/>
        <item x="130"/>
        <item x="13"/>
        <item x="72"/>
        <item x="104"/>
        <item x="41"/>
        <item x="63"/>
        <item x="133"/>
        <item x="114"/>
        <item x="49"/>
        <item x="45"/>
        <item x="3"/>
        <item x="115"/>
        <item x="7"/>
        <item x="74"/>
        <item x="42"/>
        <item x="52"/>
        <item x="6"/>
        <item x="4"/>
        <item x="129"/>
        <item x="83"/>
        <item x="54"/>
        <item x="24"/>
        <item x="120"/>
        <item x="60"/>
        <item x="14"/>
        <item x="117"/>
        <item x="34"/>
        <item x="113"/>
        <item x="1"/>
        <item t="default"/>
      </items>
    </pivotField>
    <pivotField showAll="0"/>
    <pivotField dataField="1" numFmtId="3" showAll="0">
      <items count="144">
        <item x="1"/>
        <item x="69"/>
        <item x="42"/>
        <item x="18"/>
        <item x="27"/>
        <item x="142"/>
        <item x="110"/>
        <item x="137"/>
        <item x="37"/>
        <item x="36"/>
        <item x="130"/>
        <item x="16"/>
        <item x="65"/>
        <item x="97"/>
        <item x="46"/>
        <item x="113"/>
        <item x="56"/>
        <item x="138"/>
        <item x="68"/>
        <item x="128"/>
        <item x="64"/>
        <item x="96"/>
        <item x="99"/>
        <item x="129"/>
        <item x="26"/>
        <item x="43"/>
        <item x="87"/>
        <item x="133"/>
        <item x="22"/>
        <item x="134"/>
        <item x="66"/>
        <item x="25"/>
        <item x="120"/>
        <item x="127"/>
        <item x="82"/>
        <item x="86"/>
        <item x="109"/>
        <item x="73"/>
        <item x="141"/>
        <item x="94"/>
        <item x="29"/>
        <item x="106"/>
        <item x="105"/>
        <item x="114"/>
        <item x="126"/>
        <item x="140"/>
        <item x="115"/>
        <item x="107"/>
        <item x="85"/>
        <item x="74"/>
        <item x="0"/>
        <item x="122"/>
        <item x="108"/>
        <item x="9"/>
        <item x="10"/>
        <item x="71"/>
        <item x="75"/>
        <item x="7"/>
        <item x="84"/>
        <item x="63"/>
        <item x="77"/>
        <item x="95"/>
        <item x="101"/>
        <item x="90"/>
        <item x="79"/>
        <item x="28"/>
        <item x="80"/>
        <item x="103"/>
        <item x="32"/>
        <item x="49"/>
        <item x="92"/>
        <item x="54"/>
        <item x="76"/>
        <item x="67"/>
        <item x="58"/>
        <item x="131"/>
        <item x="8"/>
        <item x="78"/>
        <item x="112"/>
        <item x="124"/>
        <item x="35"/>
        <item x="15"/>
        <item x="47"/>
        <item x="98"/>
        <item x="132"/>
        <item x="93"/>
        <item x="123"/>
        <item x="30"/>
        <item x="14"/>
        <item x="83"/>
        <item x="20"/>
        <item x="88"/>
        <item x="24"/>
        <item x="17"/>
        <item x="91"/>
        <item x="60"/>
        <item x="61"/>
        <item x="38"/>
        <item x="111"/>
        <item x="19"/>
        <item x="4"/>
        <item x="102"/>
        <item x="89"/>
        <item x="45"/>
        <item x="50"/>
        <item x="34"/>
        <item x="57"/>
        <item x="52"/>
        <item x="55"/>
        <item x="119"/>
        <item x="39"/>
        <item x="31"/>
        <item x="21"/>
        <item x="11"/>
        <item x="100"/>
        <item x="70"/>
        <item x="104"/>
        <item x="136"/>
        <item x="12"/>
        <item x="40"/>
        <item x="62"/>
        <item x="117"/>
        <item x="6"/>
        <item x="48"/>
        <item x="41"/>
        <item x="44"/>
        <item x="139"/>
        <item x="2"/>
        <item x="72"/>
        <item x="118"/>
        <item x="51"/>
        <item x="81"/>
        <item x="5"/>
        <item x="135"/>
        <item x="53"/>
        <item x="3"/>
        <item x="23"/>
        <item x="59"/>
        <item x="125"/>
        <item x="121"/>
        <item x="13"/>
        <item x="33"/>
        <item x="116"/>
        <item t="default"/>
      </items>
    </pivotField>
    <pivotField numFmtId="3" showAll="0"/>
    <pivotField numFmtId="3" showAll="0"/>
    <pivotField showAll="0"/>
    <pivotField showAll="0"/>
    <pivotField numFmtId="3" showAll="0"/>
    <pivotField dataField="1" numFmtId="3" showAll="0">
      <items count="144">
        <item x="1"/>
        <item x="69"/>
        <item x="42"/>
        <item x="18"/>
        <item x="27"/>
        <item x="142"/>
        <item x="110"/>
        <item x="137"/>
        <item x="37"/>
        <item x="36"/>
        <item x="130"/>
        <item x="16"/>
        <item x="65"/>
        <item x="97"/>
        <item x="46"/>
        <item x="113"/>
        <item x="56"/>
        <item x="138"/>
        <item x="68"/>
        <item x="128"/>
        <item x="64"/>
        <item x="96"/>
        <item x="99"/>
        <item x="129"/>
        <item x="26"/>
        <item x="43"/>
        <item x="87"/>
        <item x="133"/>
        <item x="22"/>
        <item x="134"/>
        <item x="66"/>
        <item x="25"/>
        <item x="120"/>
        <item x="127"/>
        <item x="82"/>
        <item x="86"/>
        <item x="109"/>
        <item x="73"/>
        <item x="141"/>
        <item x="94"/>
        <item x="29"/>
        <item x="106"/>
        <item x="105"/>
        <item x="114"/>
        <item x="126"/>
        <item x="140"/>
        <item x="115"/>
        <item x="107"/>
        <item x="85"/>
        <item x="74"/>
        <item x="0"/>
        <item x="122"/>
        <item x="108"/>
        <item x="9"/>
        <item x="10"/>
        <item x="71"/>
        <item x="75"/>
        <item x="7"/>
        <item x="84"/>
        <item x="63"/>
        <item x="77"/>
        <item x="95"/>
        <item x="101"/>
        <item x="90"/>
        <item x="79"/>
        <item x="28"/>
        <item x="80"/>
        <item x="103"/>
        <item x="32"/>
        <item x="49"/>
        <item x="92"/>
        <item x="54"/>
        <item x="76"/>
        <item x="67"/>
        <item x="58"/>
        <item x="131"/>
        <item x="8"/>
        <item x="78"/>
        <item x="112"/>
        <item x="124"/>
        <item x="35"/>
        <item x="15"/>
        <item x="47"/>
        <item x="98"/>
        <item x="132"/>
        <item x="93"/>
        <item x="123"/>
        <item x="30"/>
        <item x="14"/>
        <item x="83"/>
        <item x="20"/>
        <item x="88"/>
        <item x="24"/>
        <item x="17"/>
        <item x="91"/>
        <item x="60"/>
        <item x="61"/>
        <item x="38"/>
        <item x="111"/>
        <item x="19"/>
        <item x="4"/>
        <item x="102"/>
        <item x="89"/>
        <item x="45"/>
        <item x="50"/>
        <item x="34"/>
        <item x="57"/>
        <item x="52"/>
        <item x="55"/>
        <item x="119"/>
        <item x="39"/>
        <item x="31"/>
        <item x="21"/>
        <item x="11"/>
        <item x="100"/>
        <item x="70"/>
        <item x="104"/>
        <item x="136"/>
        <item x="12"/>
        <item x="40"/>
        <item x="62"/>
        <item x="117"/>
        <item x="6"/>
        <item x="48"/>
        <item x="44"/>
        <item x="139"/>
        <item x="41"/>
        <item x="2"/>
        <item x="72"/>
        <item x="118"/>
        <item x="51"/>
        <item x="81"/>
        <item x="5"/>
        <item x="135"/>
        <item x="53"/>
        <item x="3"/>
        <item x="23"/>
        <item x="59"/>
        <item x="125"/>
        <item x="121"/>
        <item x="13"/>
        <item x="33"/>
        <item x="116"/>
        <item t="default"/>
      </items>
    </pivotField>
    <pivotField dataField="1" numFmtId="3" showAll="0"/>
    <pivotField dataField="1" numFmtId="3" showAll="0"/>
    <pivotField dataField="1" showAll="0"/>
    <pivotField dataField="1" showAll="0">
      <items count="139">
        <item x="76"/>
        <item x="129"/>
        <item x="37"/>
        <item x="53"/>
        <item x="33"/>
        <item x="119"/>
        <item x="70"/>
        <item x="18"/>
        <item x="23"/>
        <item x="24"/>
        <item x="137"/>
        <item x="64"/>
        <item x="121"/>
        <item x="46"/>
        <item x="21"/>
        <item x="120"/>
        <item x="128"/>
        <item x="61"/>
        <item x="35"/>
        <item x="3"/>
        <item x="39"/>
        <item x="60"/>
        <item x="125"/>
        <item x="122"/>
        <item x="78"/>
        <item x="62"/>
        <item x="65"/>
        <item x="19"/>
        <item x="115"/>
        <item x="45"/>
        <item x="63"/>
        <item x="126"/>
        <item x="73"/>
        <item x="124"/>
        <item x="0"/>
        <item x="130"/>
        <item x="77"/>
        <item x="127"/>
        <item x="56"/>
        <item x="89"/>
        <item x="87"/>
        <item x="123"/>
        <item x="34"/>
        <item x="71"/>
        <item x="118"/>
        <item x="116"/>
        <item x="66"/>
        <item x="57"/>
        <item x="108"/>
        <item x="86"/>
        <item x="36"/>
        <item x="75"/>
        <item x="84"/>
        <item x="82"/>
        <item x="110"/>
        <item x="88"/>
        <item x="85"/>
        <item x="55"/>
        <item x="98"/>
        <item x="74"/>
        <item x="72"/>
        <item x="79"/>
        <item x="90"/>
        <item x="49"/>
        <item x="81"/>
        <item x="48"/>
        <item x="1"/>
        <item x="136"/>
        <item x="91"/>
        <item x="52"/>
        <item x="132"/>
        <item x="92"/>
        <item x="94"/>
        <item x="27"/>
        <item x="106"/>
        <item x="131"/>
        <item x="113"/>
        <item x="107"/>
        <item x="83"/>
        <item x="114"/>
        <item x="112"/>
        <item x="103"/>
        <item x="102"/>
        <item x="38"/>
        <item x="67"/>
        <item x="44"/>
        <item x="109"/>
        <item x="31"/>
        <item x="51"/>
        <item x="101"/>
        <item x="32"/>
        <item x="10"/>
        <item x="69"/>
        <item x="47"/>
        <item x="95"/>
        <item x="30"/>
        <item x="50"/>
        <item x="58"/>
        <item x="12"/>
        <item x="93"/>
        <item x="54"/>
        <item x="99"/>
        <item x="100"/>
        <item x="117"/>
        <item x="105"/>
        <item x="68"/>
        <item x="96"/>
        <item x="104"/>
        <item x="4"/>
        <item x="9"/>
        <item x="41"/>
        <item x="11"/>
        <item x="16"/>
        <item x="14"/>
        <item x="135"/>
        <item x="111"/>
        <item x="43"/>
        <item x="13"/>
        <item x="22"/>
        <item x="40"/>
        <item x="97"/>
        <item x="26"/>
        <item x="59"/>
        <item x="80"/>
        <item x="8"/>
        <item x="28"/>
        <item x="134"/>
        <item x="15"/>
        <item x="6"/>
        <item x="5"/>
        <item x="133"/>
        <item x="29"/>
        <item x="42"/>
        <item x="20"/>
        <item x="17"/>
        <item x="25"/>
        <item x="7"/>
        <item x="2"/>
        <item t="default"/>
      </items>
    </pivotField>
    <pivotField dataField="1" numFmtId="3" showAll="0">
      <items count="310">
        <item x="233"/>
        <item x="178"/>
        <item x="33"/>
        <item x="91"/>
        <item x="53"/>
        <item x="151"/>
        <item x="71"/>
        <item x="18"/>
        <item x="77"/>
        <item x="24"/>
        <item x="46"/>
        <item x="61"/>
        <item x="240"/>
        <item x="227"/>
        <item x="3"/>
        <item x="60"/>
        <item x="85"/>
        <item x="145"/>
        <item x="138"/>
        <item x="139"/>
        <item x="238"/>
        <item x="136"/>
        <item x="137"/>
        <item x="274"/>
        <item x="37"/>
        <item x="62"/>
        <item x="131"/>
        <item x="45"/>
        <item x="202"/>
        <item x="232"/>
        <item x="150"/>
        <item x="74"/>
        <item x="301"/>
        <item x="298"/>
        <item x="79"/>
        <item x="176"/>
        <item x="288"/>
        <item x="66"/>
        <item x="294"/>
        <item x="72"/>
        <item x="203"/>
        <item x="141"/>
        <item x="132"/>
        <item x="39"/>
        <item x="92"/>
        <item x="23"/>
        <item x="143"/>
        <item x="34"/>
        <item x="160"/>
        <item x="193"/>
        <item x="195"/>
        <item x="234"/>
        <item x="144"/>
        <item x="204"/>
        <item x="65"/>
        <item x="147"/>
        <item x="88"/>
        <item x="93"/>
        <item x="55"/>
        <item x="67"/>
        <item x="142"/>
        <item x="90"/>
        <item x="241"/>
        <item x="73"/>
        <item x="289"/>
        <item x="64"/>
        <item x="239"/>
        <item x="149"/>
        <item x="295"/>
        <item x="304"/>
        <item x="201"/>
        <item x="146"/>
        <item x="36"/>
        <item x="281"/>
        <item x="297"/>
        <item x="0"/>
        <item x="100"/>
        <item x="272"/>
        <item x="287"/>
        <item x="226"/>
        <item x="275"/>
        <item x="242"/>
        <item x="237"/>
        <item x="279"/>
        <item x="165"/>
        <item x="306"/>
        <item x="270"/>
        <item x="184"/>
        <item x="243"/>
        <item x="307"/>
        <item x="266"/>
        <item x="256"/>
        <item x="181"/>
        <item x="308"/>
        <item x="44"/>
        <item x="214"/>
        <item x="78"/>
        <item x="300"/>
        <item x="164"/>
        <item x="200"/>
        <item x="31"/>
        <item x="87"/>
        <item x="163"/>
        <item x="286"/>
        <item x="271"/>
        <item x="206"/>
        <item x="89"/>
        <item x="194"/>
        <item x="32"/>
        <item x="51"/>
        <item x="225"/>
        <item x="229"/>
        <item x="49"/>
        <item x="205"/>
        <item x="103"/>
        <item x="235"/>
        <item x="254"/>
        <item x="260"/>
        <item x="207"/>
        <item x="303"/>
        <item x="58"/>
        <item x="156"/>
        <item x="48"/>
        <item x="302"/>
        <item x="50"/>
        <item x="188"/>
        <item x="196"/>
        <item x="19"/>
        <item x="21"/>
        <item x="175"/>
        <item x="282"/>
        <item x="230"/>
        <item x="166"/>
        <item x="35"/>
        <item x="228"/>
        <item x="265"/>
        <item x="135"/>
        <item x="140"/>
        <item x="296"/>
        <item x="258"/>
        <item x="123"/>
        <item x="108"/>
        <item x="95"/>
        <item x="96"/>
        <item x="38"/>
        <item x="198"/>
        <item x="222"/>
        <item x="283"/>
        <item x="68"/>
        <item x="215"/>
        <item x="292"/>
        <item x="210"/>
        <item x="1"/>
        <item x="52"/>
        <item x="41"/>
        <item x="70"/>
        <item x="30"/>
        <item x="12"/>
        <item x="199"/>
        <item x="27"/>
        <item x="157"/>
        <item x="248"/>
        <item x="276"/>
        <item x="155"/>
        <item x="290"/>
        <item x="293"/>
        <item x="127"/>
        <item x="148"/>
        <item x="102"/>
        <item x="86"/>
        <item x="43"/>
        <item x="114"/>
        <item x="285"/>
        <item x="187"/>
        <item x="84"/>
        <item x="280"/>
        <item x="63"/>
        <item x="209"/>
        <item x="183"/>
        <item x="69"/>
        <item x="47"/>
        <item x="177"/>
        <item x="83"/>
        <item x="185"/>
        <item x="99"/>
        <item x="277"/>
        <item x="305"/>
        <item x="217"/>
        <item x="57"/>
        <item x="152"/>
        <item x="11"/>
        <item x="284"/>
        <item x="119"/>
        <item x="158"/>
        <item x="10"/>
        <item x="264"/>
        <item x="161"/>
        <item x="251"/>
        <item x="245"/>
        <item x="190"/>
        <item x="2"/>
        <item x="189"/>
        <item x="16"/>
        <item x="213"/>
        <item x="221"/>
        <item x="121"/>
        <item x="182"/>
        <item x="252"/>
        <item x="211"/>
        <item x="120"/>
        <item x="59"/>
        <item x="130"/>
        <item x="13"/>
        <item x="113"/>
        <item x="162"/>
        <item x="109"/>
        <item x="255"/>
        <item x="75"/>
        <item x="76"/>
        <item x="9"/>
        <item x="159"/>
        <item x="263"/>
        <item x="179"/>
        <item x="134"/>
        <item x="125"/>
        <item x="212"/>
        <item x="26"/>
        <item x="191"/>
        <item x="278"/>
        <item x="236"/>
        <item x="124"/>
        <item x="172"/>
        <item x="168"/>
        <item x="94"/>
        <item x="56"/>
        <item x="122"/>
        <item x="186"/>
        <item x="116"/>
        <item x="167"/>
        <item x="14"/>
        <item x="208"/>
        <item x="249"/>
        <item x="82"/>
        <item x="104"/>
        <item x="153"/>
        <item x="4"/>
        <item x="291"/>
        <item x="22"/>
        <item x="223"/>
        <item x="169"/>
        <item x="40"/>
        <item x="224"/>
        <item x="28"/>
        <item x="262"/>
        <item x="117"/>
        <item x="218"/>
        <item x="269"/>
        <item x="129"/>
        <item x="29"/>
        <item x="110"/>
        <item x="244"/>
        <item x="97"/>
        <item x="133"/>
        <item x="273"/>
        <item x="115"/>
        <item x="216"/>
        <item x="107"/>
        <item x="128"/>
        <item x="15"/>
        <item x="98"/>
        <item x="219"/>
        <item x="192"/>
        <item x="220"/>
        <item x="80"/>
        <item x="101"/>
        <item x="247"/>
        <item x="170"/>
        <item x="261"/>
        <item x="268"/>
        <item x="173"/>
        <item x="259"/>
        <item x="6"/>
        <item x="231"/>
        <item x="42"/>
        <item x="8"/>
        <item x="267"/>
        <item x="250"/>
        <item x="180"/>
        <item x="111"/>
        <item x="299"/>
        <item x="253"/>
        <item x="25"/>
        <item x="17"/>
        <item x="154"/>
        <item x="106"/>
        <item x="5"/>
        <item x="105"/>
        <item x="112"/>
        <item x="7"/>
        <item x="118"/>
        <item x="171"/>
        <item x="197"/>
        <item x="54"/>
        <item x="126"/>
        <item x="20"/>
        <item x="257"/>
        <item x="81"/>
        <item x="174"/>
        <item x="246"/>
        <item t="default"/>
      </items>
    </pivotField>
    <pivotField showAll="0"/>
    <pivotField showAll="0"/>
    <pivotField numFmtId="3" showAll="0"/>
    <pivotField numFmtId="3" showAll="0"/>
    <pivotField numFmtId="3" showAll="0"/>
    <pivotField numFmtId="3" showAll="0"/>
    <pivotField showAll="0"/>
    <pivotField numFmtId="3" showAll="0"/>
    <pivotField numFmtId="3" showAll="0"/>
    <pivotField numFmtId="3" showAll="0"/>
    <pivotField numFmtId="3" showAll="0"/>
  </pivotFields>
  <rowFields count="2">
    <field x="1"/>
    <field x="3"/>
  </rowFields>
  <rowItems count="11">
    <i>
      <x/>
    </i>
    <i r="1">
      <x/>
    </i>
    <i r="1">
      <x v="4"/>
    </i>
    <i r="1">
      <x v="5"/>
    </i>
    <i>
      <x v="1"/>
    </i>
    <i r="1">
      <x v="1"/>
    </i>
    <i r="1">
      <x v="2"/>
    </i>
    <i r="1">
      <x v="3"/>
    </i>
    <i r="1">
      <x v="6"/>
    </i>
    <i r="1">
      <x v="7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a de RV Final Producción [KG]" fld="9" baseField="0" baseItem="0"/>
    <dataField name="Suma de Plan - Prod. actual" fld="11" baseField="0" baseItem="0"/>
    <dataField name="Suma de Plan - Prod. actual2" fld="17" baseField="0" baseItem="0"/>
    <dataField name="Suma de ETA Optimista" fld="18" baseField="0" baseItem="0"/>
    <dataField name="Suma de Puerto Chile Opt." fld="19" baseField="0" baseItem="0"/>
    <dataField name="Suma de Puerto Oficina2" fld="20" baseField="0" baseItem="0"/>
    <dataField name="Suma de Almacen oficina2" fld="21" baseField="0" baseItem="0"/>
    <dataField name="Suma de Proy. Optimista" fld="22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DB52-DC25-FC46-90D2-10FB6B58FA92}">
  <dimension ref="A3:J19"/>
  <sheetViews>
    <sheetView zoomScale="136" workbookViewId="0">
      <selection activeCell="I15" sqref="I15"/>
    </sheetView>
  </sheetViews>
  <sheetFormatPr baseColWidth="10" defaultRowHeight="15" x14ac:dyDescent="0.2"/>
  <cols>
    <col min="1" max="1" width="19.33203125" bestFit="1" customWidth="1"/>
    <col min="2" max="2" width="27.5" bestFit="1" customWidth="1"/>
    <col min="3" max="3" width="22" bestFit="1" customWidth="1"/>
    <col min="4" max="4" width="23" bestFit="1" customWidth="1"/>
    <col min="5" max="5" width="18.83203125" bestFit="1" customWidth="1"/>
    <col min="6" max="6" width="21.6640625" bestFit="1" customWidth="1"/>
    <col min="7" max="7" width="20.1640625" bestFit="1" customWidth="1"/>
    <col min="8" max="8" width="21.6640625" bestFit="1" customWidth="1"/>
    <col min="9" max="9" width="20" bestFit="1" customWidth="1"/>
  </cols>
  <sheetData>
    <row r="3" spans="1:10" x14ac:dyDescent="0.2">
      <c r="A3" s="25" t="s">
        <v>975</v>
      </c>
      <c r="B3" t="s">
        <v>978</v>
      </c>
      <c r="C3" t="s">
        <v>980</v>
      </c>
      <c r="D3" t="s">
        <v>981</v>
      </c>
      <c r="E3" t="s">
        <v>982</v>
      </c>
      <c r="F3" t="s">
        <v>983</v>
      </c>
      <c r="G3" t="s">
        <v>984</v>
      </c>
      <c r="H3" t="s">
        <v>985</v>
      </c>
      <c r="I3" t="s">
        <v>977</v>
      </c>
    </row>
    <row r="4" spans="1:10" x14ac:dyDescent="0.2">
      <c r="A4" s="26" t="s">
        <v>394</v>
      </c>
      <c r="B4" s="28">
        <v>583953.79200000002</v>
      </c>
      <c r="C4" s="28">
        <v>794505.228</v>
      </c>
      <c r="D4" s="28">
        <v>1362008.9622857142</v>
      </c>
      <c r="E4" s="28">
        <v>5667607.6368199997</v>
      </c>
      <c r="F4" s="28">
        <v>9102012.0530399997</v>
      </c>
      <c r="G4" s="28">
        <v>0</v>
      </c>
      <c r="H4" s="28">
        <v>0</v>
      </c>
      <c r="I4" s="28">
        <v>16131628.652145714</v>
      </c>
    </row>
    <row r="5" spans="1:10" x14ac:dyDescent="0.2">
      <c r="A5" s="27" t="s">
        <v>458</v>
      </c>
      <c r="B5" s="28">
        <v>6200</v>
      </c>
      <c r="C5" s="28">
        <v>6181.170000000001</v>
      </c>
      <c r="D5" s="28">
        <v>10596.291428571431</v>
      </c>
      <c r="E5" s="28">
        <v>24000</v>
      </c>
      <c r="F5" s="28">
        <v>172800</v>
      </c>
      <c r="G5" s="28">
        <v>0</v>
      </c>
      <c r="H5" s="28">
        <v>0</v>
      </c>
      <c r="I5" s="28">
        <v>207396.29142857142</v>
      </c>
    </row>
    <row r="6" spans="1:10" x14ac:dyDescent="0.2">
      <c r="A6" s="27" t="s">
        <v>485</v>
      </c>
      <c r="B6" s="28">
        <v>470536.92000000004</v>
      </c>
      <c r="C6" s="28">
        <v>647571.6</v>
      </c>
      <c r="D6" s="28">
        <v>1110122.7428571428</v>
      </c>
      <c r="E6" s="28">
        <v>2716385.8518199995</v>
      </c>
      <c r="F6" s="28">
        <v>4743090.9201599993</v>
      </c>
      <c r="G6" s="28">
        <v>0</v>
      </c>
      <c r="H6" s="28">
        <v>0</v>
      </c>
      <c r="I6" s="28">
        <v>8569599.5148371402</v>
      </c>
    </row>
    <row r="7" spans="1:10" x14ac:dyDescent="0.2">
      <c r="A7" s="27" t="s">
        <v>396</v>
      </c>
      <c r="B7" s="28">
        <v>107216.872</v>
      </c>
      <c r="C7" s="28">
        <v>140752.45800000001</v>
      </c>
      <c r="D7" s="28">
        <v>241289.92799999996</v>
      </c>
      <c r="E7" s="28">
        <v>2927221.7849999997</v>
      </c>
      <c r="F7" s="28">
        <v>4186121.1328799999</v>
      </c>
      <c r="G7" s="28">
        <v>0</v>
      </c>
      <c r="H7" s="28">
        <v>0</v>
      </c>
      <c r="I7" s="28">
        <v>7354632.8458800009</v>
      </c>
    </row>
    <row r="8" spans="1:10" x14ac:dyDescent="0.2">
      <c r="A8" s="26" t="s">
        <v>35</v>
      </c>
      <c r="B8" s="28">
        <v>1859631.0010000002</v>
      </c>
      <c r="C8" s="28">
        <v>2496657.3058999996</v>
      </c>
      <c r="D8" s="28">
        <v>4290935.9934285711</v>
      </c>
      <c r="E8" s="28">
        <v>21487872.96347532</v>
      </c>
      <c r="F8" s="28">
        <v>38601237.452953048</v>
      </c>
      <c r="G8" s="28">
        <v>1722655.1011111108</v>
      </c>
      <c r="H8" s="28">
        <v>5473061.771148148</v>
      </c>
      <c r="I8" s="28">
        <v>28697500.735734574</v>
      </c>
    </row>
    <row r="9" spans="1:10" x14ac:dyDescent="0.2">
      <c r="A9" s="27" t="s">
        <v>52</v>
      </c>
      <c r="B9" s="28">
        <v>510344.74100000004</v>
      </c>
      <c r="C9" s="28">
        <v>714861.33749999979</v>
      </c>
      <c r="D9" s="28">
        <v>1225476.5785714283</v>
      </c>
      <c r="E9" s="28">
        <v>4318371.3664753186</v>
      </c>
      <c r="F9" s="28">
        <v>6178379.8125599995</v>
      </c>
      <c r="G9" s="28">
        <v>571480.38703703706</v>
      </c>
      <c r="H9" s="28">
        <v>3530461.5370370373</v>
      </c>
      <c r="I9" s="28">
        <v>8420313.2905493937</v>
      </c>
      <c r="J9" s="29">
        <f>VLOOKUP(A9,'[1]TD Proy'!$B$12:$E$16,4,FALSE)</f>
        <v>3563796.6033200007</v>
      </c>
    </row>
    <row r="10" spans="1:10" x14ac:dyDescent="0.2">
      <c r="A10" s="27" t="s">
        <v>226</v>
      </c>
      <c r="B10" s="28">
        <v>81917.09599999999</v>
      </c>
      <c r="C10" s="28">
        <v>96548.453999999983</v>
      </c>
      <c r="D10" s="28">
        <v>165511.6354285714</v>
      </c>
      <c r="E10" s="28">
        <v>1209350.3050000002</v>
      </c>
      <c r="F10" s="28">
        <v>1990216.6063199998</v>
      </c>
      <c r="G10" s="28">
        <v>42222.222222222219</v>
      </c>
      <c r="H10" s="28">
        <v>38518.518518518518</v>
      </c>
      <c r="I10" s="28">
        <v>1290091.0457407408</v>
      </c>
      <c r="J10" s="29">
        <f>VLOOKUP(A10,'[1]TD Proy'!$B$12:$E$16,4,FALSE)</f>
        <v>339507.41100000002</v>
      </c>
    </row>
    <row r="11" spans="1:10" x14ac:dyDescent="0.2">
      <c r="A11" s="27" t="s">
        <v>150</v>
      </c>
      <c r="B11" s="28">
        <v>343107.56599999999</v>
      </c>
      <c r="C11" s="28">
        <v>442989.03740000003</v>
      </c>
      <c r="D11" s="28">
        <v>770361.81885714282</v>
      </c>
      <c r="E11" s="28">
        <v>4342502.222000001</v>
      </c>
      <c r="F11" s="28">
        <v>10010472.957913045</v>
      </c>
      <c r="G11" s="28">
        <v>194859.71407407409</v>
      </c>
      <c r="H11" s="28">
        <v>668468.57300000009</v>
      </c>
      <c r="I11" s="28">
        <v>5205830.5090740733</v>
      </c>
      <c r="J11" s="29">
        <f>VLOOKUP(A11,'[1]TD Proy'!$B$12:$E$16,4,FALSE)</f>
        <v>2473776.7919999999</v>
      </c>
    </row>
    <row r="12" spans="1:10" x14ac:dyDescent="0.2">
      <c r="A12" s="27" t="s">
        <v>46</v>
      </c>
      <c r="B12" s="28">
        <v>804180.027</v>
      </c>
      <c r="C12" s="28">
        <v>1072501.0454999998</v>
      </c>
      <c r="D12" s="28">
        <v>1838573.2208571432</v>
      </c>
      <c r="E12" s="28">
        <v>10441487.68</v>
      </c>
      <c r="F12" s="28">
        <v>18607400.177760001</v>
      </c>
      <c r="G12" s="28">
        <v>914092.77777777752</v>
      </c>
      <c r="H12" s="28">
        <v>1066051.5620370372</v>
      </c>
      <c r="I12" s="28">
        <v>12421632.019814812</v>
      </c>
      <c r="J12" s="29">
        <f>VLOOKUP(A12,'[1]TD Proy'!$B$12:$E$16,4,FALSE)</f>
        <v>3103840.0699999994</v>
      </c>
    </row>
    <row r="13" spans="1:10" x14ac:dyDescent="0.2">
      <c r="A13" s="27" t="s">
        <v>37</v>
      </c>
      <c r="B13" s="28">
        <v>120081.571</v>
      </c>
      <c r="C13" s="28">
        <v>169757.43150000001</v>
      </c>
      <c r="D13" s="28">
        <v>291012.73971428571</v>
      </c>
      <c r="E13" s="28">
        <v>1176161.3899999999</v>
      </c>
      <c r="F13" s="28">
        <v>1814767.8983999998</v>
      </c>
      <c r="G13" s="28">
        <v>0</v>
      </c>
      <c r="H13" s="28">
        <v>169561.58055555553</v>
      </c>
      <c r="I13" s="28">
        <v>1359633.8705555554</v>
      </c>
      <c r="J13" s="29">
        <f>VLOOKUP(A13,'[1]TD Proy'!$B$12:$E$16,4,FALSE)</f>
        <v>313620.02699999994</v>
      </c>
    </row>
    <row r="14" spans="1:10" x14ac:dyDescent="0.2">
      <c r="A14" s="26" t="s">
        <v>976</v>
      </c>
      <c r="B14" s="28">
        <v>2443584.7930000001</v>
      </c>
      <c r="C14" s="28">
        <v>3291162.5338999992</v>
      </c>
      <c r="D14" s="28">
        <v>5652944.9557142854</v>
      </c>
      <c r="E14" s="28">
        <v>27155480.60029532</v>
      </c>
      <c r="F14" s="28">
        <v>47703249.505993046</v>
      </c>
      <c r="G14" s="28">
        <v>1722655.1011111108</v>
      </c>
      <c r="H14" s="28">
        <v>5473061.771148148</v>
      </c>
      <c r="I14" s="28">
        <v>44829129.387880288</v>
      </c>
      <c r="J14" s="28">
        <f>SUM(J9:J13)</f>
        <v>9794540.9033200014</v>
      </c>
    </row>
    <row r="15" spans="1:10" x14ac:dyDescent="0.2">
      <c r="I15" s="28">
        <f>I14-I4</f>
        <v>28697500.735734574</v>
      </c>
    </row>
    <row r="19" spans="6:7" x14ac:dyDescent="0.2">
      <c r="F19" s="28">
        <f>E14+G14+H14</f>
        <v>34351197.472554579</v>
      </c>
      <c r="G19" s="28">
        <f>G14+H14</f>
        <v>7195716.8722592592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1"/>
  <sheetViews>
    <sheetView tabSelected="1" topLeftCell="A316" workbookViewId="0">
      <selection activeCell="C1" sqref="C1:C1048576"/>
    </sheetView>
  </sheetViews>
  <sheetFormatPr baseColWidth="10" defaultColWidth="8.83203125" defaultRowHeight="15" x14ac:dyDescent="0.2"/>
  <cols>
    <col min="2" max="2" width="11" customWidth="1"/>
    <col min="3" max="3" width="23" customWidth="1"/>
    <col min="4" max="4" width="16" customWidth="1"/>
    <col min="6" max="6" width="32" customWidth="1"/>
    <col min="7" max="7" width="16" customWidth="1"/>
    <col min="8" max="35" width="10" customWidth="1"/>
  </cols>
  <sheetData>
    <row r="1" spans="1:37" ht="25" customHeight="1" x14ac:dyDescent="0.2">
      <c r="L1" s="21" t="s">
        <v>0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1" t="s">
        <v>1</v>
      </c>
      <c r="Y1" s="22"/>
      <c r="Z1" s="22"/>
      <c r="AA1" s="22"/>
      <c r="AB1" s="22"/>
      <c r="AC1" s="22"/>
      <c r="AD1" s="21" t="s">
        <v>2</v>
      </c>
      <c r="AE1" s="22"/>
      <c r="AF1" s="22"/>
      <c r="AG1" s="22"/>
      <c r="AH1" s="22"/>
    </row>
    <row r="2" spans="1:37" ht="48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5" t="s">
        <v>19</v>
      </c>
      <c r="R2" s="1" t="s">
        <v>14</v>
      </c>
      <c r="S2" s="1" t="s">
        <v>20</v>
      </c>
      <c r="T2" s="1" t="s">
        <v>21</v>
      </c>
      <c r="U2" s="1" t="s">
        <v>17</v>
      </c>
      <c r="V2" s="1" t="s">
        <v>18</v>
      </c>
      <c r="W2" s="15" t="s">
        <v>22</v>
      </c>
      <c r="X2" s="1" t="s">
        <v>23</v>
      </c>
      <c r="Y2" s="1" t="s">
        <v>24</v>
      </c>
      <c r="Z2" s="15" t="s">
        <v>25</v>
      </c>
      <c r="AA2" s="1" t="s">
        <v>26</v>
      </c>
      <c r="AB2" s="1" t="s">
        <v>27</v>
      </c>
      <c r="AC2" s="15" t="s">
        <v>28</v>
      </c>
      <c r="AD2" s="1" t="s">
        <v>29</v>
      </c>
      <c r="AE2" s="1" t="s">
        <v>30</v>
      </c>
      <c r="AF2" s="15" t="s">
        <v>31</v>
      </c>
      <c r="AG2" s="1" t="s">
        <v>32</v>
      </c>
      <c r="AH2" s="15" t="s">
        <v>33</v>
      </c>
    </row>
    <row r="3" spans="1:37" x14ac:dyDescent="0.2">
      <c r="A3" s="2" t="s">
        <v>34</v>
      </c>
      <c r="B3" s="2" t="s">
        <v>35</v>
      </c>
      <c r="C3" s="2" t="s">
        <v>36</v>
      </c>
      <c r="D3" s="2" t="s">
        <v>37</v>
      </c>
      <c r="E3" s="2">
        <v>1022751</v>
      </c>
      <c r="F3" s="2" t="s">
        <v>38</v>
      </c>
      <c r="G3" s="2" t="s">
        <v>39</v>
      </c>
      <c r="H3" s="4">
        <v>10332</v>
      </c>
      <c r="I3" s="7">
        <v>0</v>
      </c>
      <c r="J3" s="7">
        <v>6547.8670000000002</v>
      </c>
      <c r="K3" s="7">
        <v>2353.41</v>
      </c>
      <c r="L3" s="4">
        <f t="shared" ref="L3:L49" si="0">MAX(J3 - K3, 0) * MAX((25 - 10)/(10), 0)</f>
        <v>6291.6855000000005</v>
      </c>
      <c r="M3" s="7">
        <f>SUMIFS('Stock - ETA'!$R$3:R4963,'Stock - ETA'!$F$3:F4963,'Rango proyecciones'!C3,'Stock - ETA'!$AA$3:AA4963,'Rango proyecciones'!$AJ$5)</f>
        <v>6090</v>
      </c>
      <c r="N3" s="7">
        <f>SUMIF('Stock - Puerto Chile'!$G$2:G973,'Rango proyecciones'!C3,'Stock - Puerto Chile'!$L$2:L973)</f>
        <v>40840.799999999996</v>
      </c>
      <c r="O3" s="7">
        <f>0 * (25 / 27)</f>
        <v>0</v>
      </c>
      <c r="P3" s="7">
        <f>4004 * (25 / 27)</f>
        <v>3707.4074074074074</v>
      </c>
      <c r="Q3" s="16">
        <f t="shared" ref="Q3:Q34" si="1">H3 + P3 + M3</f>
        <v>20129.407407407409</v>
      </c>
      <c r="R3" s="7">
        <f t="shared" ref="R3:R49" si="2">MAX(J3 - K3, 0) * MAX((25 - 7)/(7), 0)</f>
        <v>10785.746571428574</v>
      </c>
      <c r="S3" s="7">
        <f>SUMIFS('Stock - ETA'!$H$3:H4963,'Stock - ETA'!$F$3:F4963,'Rango proyecciones'!C3,'Stock - ETA'!$Q$3:Q4963,'Rango proyecciones'!$AJ$5)</f>
        <v>6090</v>
      </c>
      <c r="T3" s="7">
        <f>SUMIF('Stock - Puerto Chile'!$G$2:G973,'Rango proyecciones'!C3,'Stock - Puerto Chile'!$N$2:N973)</f>
        <v>49008.959999999999</v>
      </c>
      <c r="U3" s="7">
        <f>0 * (25 / 27)</f>
        <v>0</v>
      </c>
      <c r="V3" s="7">
        <f>4004 * (25 / 27)</f>
        <v>3707.4074074074074</v>
      </c>
      <c r="W3" s="17">
        <f t="shared" ref="W3:W34" si="3">H3 + V3 + S3 + U3</f>
        <v>20129.407407407409</v>
      </c>
      <c r="X3" s="4"/>
      <c r="Y3" s="7"/>
      <c r="Z3" s="18">
        <f>SUMIFS('Stock - ETA'!$S$3:S4963,'Stock - ETA'!$F$3:F4963,'Rango proyecciones'!C3,'Stock - ETA'!$AA$3:AA4963,'Rango proyecciones'!$AJ$5) + SUMIFS('Stock - ETA'!$R$3:R4963,'Stock - ETA'!$F$3:F4963,'Rango proyecciones'!C3,'Stock - ETA'!$AA$3:AA4963,'Rango proyecciones'!$AJ$7)</f>
        <v>38066</v>
      </c>
      <c r="AA3" s="13">
        <f t="shared" ref="AA3:AA66" si="4">Z3 + X3</f>
        <v>38066</v>
      </c>
      <c r="AB3" s="7">
        <f>SUMIFS('Stock - ETA'!$I$3:I4963,'Stock - ETA'!$F$3:F4963,'Rango proyecciones'!C3,'Stock - ETA'!$Q$3:Q4963,'Rango proyecciones'!$AJ$5) + SUMIFS('Stock - ETA'!$H$3:H4963,'Stock - ETA'!$F$3:F4963,'Rango proyecciones'!C3,'Stock - ETA'!$Q$3:Q4963,'Rango proyecciones'!$AJ$7)</f>
        <v>38066</v>
      </c>
      <c r="AC3" s="16">
        <f t="shared" ref="AC3:AC66" si="5">AB3 + X3</f>
        <v>38066</v>
      </c>
      <c r="AD3" s="4"/>
      <c r="AE3" s="7">
        <f>SUMIFS('Stock - ETA'!$T$3:T4963,'Stock - ETA'!$F$3:F4963,'Rango proyecciones'!C3,'Stock - ETA'!$AA$3:AA4963,'Rango proyecciones'!$AJ$5) + SUMIFS('Stock - ETA'!$S$3:S4963,'Stock - ETA'!$F$3:F4963,'Rango proyecciones'!C3,'Stock - ETA'!$AA$3:AA4963,'Rango proyecciones'!$AJ$8)</f>
        <v>0</v>
      </c>
      <c r="AF3" s="16">
        <f>0.7 * AD3 + AE3</f>
        <v>0</v>
      </c>
      <c r="AG3" s="7">
        <f>SUMIFS('Stock - ETA'!$J$3:J4963,'Stock - ETA'!$F$3:F4963,'Rango proyecciones'!C3,'Stock - ETA'!$Q$3:Q4963,'Rango proyecciones'!$AJ$5) + SUMIFS('Stock - ETA'!$I$3:I4963,'Stock - ETA'!$F$3:F4963,'Rango proyecciones'!C3,'Stock - ETA'!$Q$3:Q4963,'Rango proyecciones'!$AJ$8)</f>
        <v>0</v>
      </c>
      <c r="AH3" s="16">
        <f>0.7 * AD3 + AG3</f>
        <v>0</v>
      </c>
      <c r="AI3" s="8"/>
      <c r="AJ3" s="19"/>
      <c r="AK3" t="s">
        <v>40</v>
      </c>
    </row>
    <row r="4" spans="1:37" x14ac:dyDescent="0.2">
      <c r="A4" s="2" t="s">
        <v>34</v>
      </c>
      <c r="B4" s="2" t="s">
        <v>35</v>
      </c>
      <c r="C4" s="2" t="s">
        <v>41</v>
      </c>
      <c r="D4" s="2" t="s">
        <v>37</v>
      </c>
      <c r="E4" s="2">
        <v>1022864</v>
      </c>
      <c r="F4" s="2" t="s">
        <v>42</v>
      </c>
      <c r="G4" s="2" t="s">
        <v>43</v>
      </c>
      <c r="H4" s="4">
        <v>3578.9</v>
      </c>
      <c r="I4" s="7">
        <v>0</v>
      </c>
      <c r="J4" s="7"/>
      <c r="K4" s="7">
        <v>1727.92</v>
      </c>
      <c r="L4" s="4">
        <f t="shared" si="0"/>
        <v>0</v>
      </c>
      <c r="M4" s="7">
        <f>SUMIFS('Stock - ETA'!$R$3:R4963,'Stock - ETA'!$F$3:F4963,'Rango proyecciones'!C4,'Stock - ETA'!$AA$3:AA4963,'Rango proyecciones'!$AJ$5)</f>
        <v>26723.19</v>
      </c>
      <c r="N4" s="7">
        <f>SUMIF('Stock - Puerto Chile'!$G$2:G973,'Rango proyecciones'!C4,'Stock - Puerto Chile'!$L$2:L973)</f>
        <v>48690.192000000003</v>
      </c>
      <c r="O4" s="7">
        <f>0 * (25 / 27)</f>
        <v>0</v>
      </c>
      <c r="P4" s="7">
        <f>19694.994 * (25 / 27)</f>
        <v>18236.105555555554</v>
      </c>
      <c r="Q4" s="16">
        <f t="shared" si="1"/>
        <v>48538.195555555554</v>
      </c>
      <c r="R4" s="7">
        <f t="shared" si="2"/>
        <v>0</v>
      </c>
      <c r="S4" s="7">
        <f>SUMIFS('Stock - ETA'!$H$3:H4963,'Stock - ETA'!$F$3:F4963,'Rango proyecciones'!C4,'Stock - ETA'!$Q$3:Q4963,'Rango proyecciones'!$AJ$5)</f>
        <v>26723.19</v>
      </c>
      <c r="T4" s="7">
        <f>SUMIF('Stock - Puerto Chile'!$G$2:G973,'Rango proyecciones'!C4,'Stock - Puerto Chile'!$N$2:N973)</f>
        <v>58428.2304</v>
      </c>
      <c r="U4" s="7">
        <f>0 * (25 / 27)</f>
        <v>0</v>
      </c>
      <c r="V4" s="7">
        <f>19694.994 * (25 / 27)</f>
        <v>18236.105555555554</v>
      </c>
      <c r="W4" s="17">
        <f t="shared" si="3"/>
        <v>48538.195555555554</v>
      </c>
      <c r="X4" s="4">
        <v>60000</v>
      </c>
      <c r="Y4" s="7">
        <v>60000</v>
      </c>
      <c r="Z4" s="18">
        <f>SUMIFS('Stock - ETA'!$S$3:S4963,'Stock - ETA'!$F$3:F4963,'Rango proyecciones'!C4,'Stock - ETA'!$AA$3:AA4963,'Rango proyecciones'!$AJ$5) + SUMIFS('Stock - ETA'!$R$3:R4963,'Stock - ETA'!$F$3:F4963,'Rango proyecciones'!C4,'Stock - ETA'!$AA$3:AA4963,'Rango proyecciones'!$AJ$7)</f>
        <v>53572.360000000008</v>
      </c>
      <c r="AA4" s="13">
        <f t="shared" si="4"/>
        <v>113572.36000000002</v>
      </c>
      <c r="AB4" s="7">
        <f>SUMIFS('Stock - ETA'!$I$3:I4963,'Stock - ETA'!$F$3:F4963,'Rango proyecciones'!C4,'Stock - ETA'!$Q$3:Q4963,'Rango proyecciones'!$AJ$5) + SUMIFS('Stock - ETA'!$H$3:H4963,'Stock - ETA'!$F$3:F4963,'Rango proyecciones'!C4,'Stock - ETA'!$Q$3:Q4963,'Rango proyecciones'!$AJ$7)</f>
        <v>53572.360000000008</v>
      </c>
      <c r="AC4" s="16">
        <f t="shared" si="5"/>
        <v>113572.36000000002</v>
      </c>
      <c r="AD4" s="4">
        <v>60000</v>
      </c>
      <c r="AE4" s="7">
        <f>SUMIFS('Stock - ETA'!$T$3:T4963,'Stock - ETA'!$F$3:F4963,'Rango proyecciones'!C4,'Stock - ETA'!$AA$3:AA4963,'Rango proyecciones'!$AJ$5) + SUMIFS('Stock - ETA'!$S$3:S4963,'Stock - ETA'!$F$3:F4963,'Rango proyecciones'!C4,'Stock - ETA'!$AA$3:AA4963,'Rango proyecciones'!$AJ$8)</f>
        <v>11017.73</v>
      </c>
      <c r="AF4" s="16">
        <f>0.7 * AD4 + AE4</f>
        <v>53017.729999999996</v>
      </c>
      <c r="AG4" s="7">
        <f>SUMIFS('Stock - ETA'!$J$3:J4963,'Stock - ETA'!$F$3:F4963,'Rango proyecciones'!C4,'Stock - ETA'!$Q$3:Q4963,'Rango proyecciones'!$AJ$5) + SUMIFS('Stock - ETA'!$I$3:I4963,'Stock - ETA'!$F$3:F4963,'Rango proyecciones'!C4,'Stock - ETA'!$Q$3:Q4963,'Rango proyecciones'!$AJ$8)</f>
        <v>11017.73</v>
      </c>
      <c r="AH4" s="16">
        <f>0.7 * AD4 + AG4</f>
        <v>53017.729999999996</v>
      </c>
      <c r="AI4" s="4"/>
      <c r="AJ4" s="20"/>
      <c r="AK4" t="s">
        <v>44</v>
      </c>
    </row>
    <row r="5" spans="1:37" x14ac:dyDescent="0.2">
      <c r="A5" s="2" t="s">
        <v>34</v>
      </c>
      <c r="B5" s="2" t="s">
        <v>35</v>
      </c>
      <c r="C5" s="2" t="s">
        <v>45</v>
      </c>
      <c r="D5" s="2" t="s">
        <v>46</v>
      </c>
      <c r="E5" s="2">
        <v>1022073</v>
      </c>
      <c r="F5" s="2" t="s">
        <v>47</v>
      </c>
      <c r="G5" s="2" t="s">
        <v>48</v>
      </c>
      <c r="H5" s="4">
        <v>0</v>
      </c>
      <c r="I5" s="7">
        <v>0</v>
      </c>
      <c r="J5" s="7">
        <v>0</v>
      </c>
      <c r="K5" s="7">
        <v>0</v>
      </c>
      <c r="L5" s="4">
        <f t="shared" si="0"/>
        <v>0</v>
      </c>
      <c r="M5" s="7">
        <f>SUMIFS('Stock - ETA'!$R$3:R4963,'Stock - ETA'!$F$3:F4963,'Rango proyecciones'!C5,'Stock - ETA'!$AA$3:AA4963,'Rango proyecciones'!$AJ$5)</f>
        <v>99550.69</v>
      </c>
      <c r="N5" s="7">
        <f>SUMIF('Stock - Puerto Chile'!$G$2:G973,'Rango proyecciones'!C5,'Stock - Puerto Chile'!$L$2:L973)</f>
        <v>0</v>
      </c>
      <c r="O5" s="7"/>
      <c r="P5" s="7"/>
      <c r="Q5" s="16">
        <f t="shared" si="1"/>
        <v>99550.69</v>
      </c>
      <c r="R5" s="7">
        <f t="shared" si="2"/>
        <v>0</v>
      </c>
      <c r="S5" s="7">
        <f>SUMIFS('Stock - ETA'!$H$3:H4963,'Stock - ETA'!$F$3:F4963,'Rango proyecciones'!C5,'Stock - ETA'!$Q$3:Q4963,'Rango proyecciones'!$AJ$5)</f>
        <v>99550.69</v>
      </c>
      <c r="T5" s="7">
        <f>SUMIF('Stock - Puerto Chile'!$G$2:G973,'Rango proyecciones'!C5,'Stock - Puerto Chile'!$N$2:N973)</f>
        <v>0</v>
      </c>
      <c r="U5" s="7"/>
      <c r="V5" s="7"/>
      <c r="W5" s="17">
        <f t="shared" si="3"/>
        <v>99550.69</v>
      </c>
      <c r="X5" s="4"/>
      <c r="Y5" s="7"/>
      <c r="Z5" s="18">
        <f>SUMIFS('Stock - ETA'!$S$3:S4963,'Stock - ETA'!$F$3:F4963,'Rango proyecciones'!C5,'Stock - ETA'!$AA$3:AA4963,'Rango proyecciones'!$AJ$5) + SUMIFS('Stock - ETA'!$R$3:R4963,'Stock - ETA'!$F$3:F4963,'Rango proyecciones'!C5,'Stock - ETA'!$AA$3:AA4963,'Rango proyecciones'!$AJ$7)</f>
        <v>24010.799999999999</v>
      </c>
      <c r="AA5" s="13">
        <f t="shared" si="4"/>
        <v>24010.799999999999</v>
      </c>
      <c r="AB5" s="7">
        <f>SUMIFS('Stock - ETA'!$I$3:I4963,'Stock - ETA'!$F$3:F4963,'Rango proyecciones'!C5,'Stock - ETA'!$Q$3:Q4963,'Rango proyecciones'!$AJ$5) + SUMIFS('Stock - ETA'!$H$3:H4963,'Stock - ETA'!$F$3:F4963,'Rango proyecciones'!C5,'Stock - ETA'!$Q$3:Q4963,'Rango proyecciones'!$AJ$7)</f>
        <v>24010.799999999999</v>
      </c>
      <c r="AC5" s="16">
        <f t="shared" si="5"/>
        <v>24010.799999999999</v>
      </c>
      <c r="AD5" s="4"/>
      <c r="AE5" s="7">
        <f>SUMIFS('Stock - ETA'!$T$3:T4963,'Stock - ETA'!$F$3:F4963,'Rango proyecciones'!C5,'Stock - ETA'!$AA$3:AA4963,'Rango proyecciones'!$AJ$5) + SUMIFS('Stock - ETA'!$S$3:S4963,'Stock - ETA'!$F$3:F4963,'Rango proyecciones'!C5,'Stock - ETA'!$AA$3:AA4963,'Rango proyecciones'!$AJ$8)</f>
        <v>0</v>
      </c>
      <c r="AF5" s="16">
        <f t="shared" ref="AF5:AF36" si="6">0.6 * AD5 + AE5</f>
        <v>0</v>
      </c>
      <c r="AG5" s="7">
        <f>SUMIFS('Stock - ETA'!$J$3:J4963,'Stock - ETA'!$F$3:F4963,'Rango proyecciones'!C5,'Stock - ETA'!$Q$3:Q4963,'Rango proyecciones'!$AJ$5) + SUMIFS('Stock - ETA'!$I$3:I4963,'Stock - ETA'!$F$3:F4963,'Rango proyecciones'!C5,'Stock - ETA'!$Q$3:Q4963,'Rango proyecciones'!$AJ$8)</f>
        <v>0</v>
      </c>
      <c r="AH5" s="16">
        <f t="shared" ref="AH5:AH36" si="7">0.6 * AD5 + AG5</f>
        <v>0</v>
      </c>
      <c r="AI5" s="4"/>
      <c r="AJ5" t="s">
        <v>49</v>
      </c>
    </row>
    <row r="6" spans="1:37" x14ac:dyDescent="0.2">
      <c r="A6" s="2" t="s">
        <v>50</v>
      </c>
      <c r="B6" s="2" t="s">
        <v>35</v>
      </c>
      <c r="C6" s="2" t="s">
        <v>51</v>
      </c>
      <c r="D6" s="2" t="s">
        <v>52</v>
      </c>
      <c r="E6" s="2">
        <v>1030745</v>
      </c>
      <c r="F6" s="2" t="s">
        <v>53</v>
      </c>
      <c r="G6" s="2" t="s">
        <v>54</v>
      </c>
      <c r="H6" s="4">
        <v>0</v>
      </c>
      <c r="I6" s="7">
        <v>0</v>
      </c>
      <c r="J6" s="7">
        <v>0</v>
      </c>
      <c r="K6" s="7">
        <v>0</v>
      </c>
      <c r="L6" s="4">
        <f t="shared" si="0"/>
        <v>0</v>
      </c>
      <c r="M6" s="7">
        <f>SUMIFS('Stock - ETA'!$R$3:R4963,'Stock - ETA'!$F$3:F4963,'Rango proyecciones'!C6,'Stock - ETA'!$AA$3:AA4963,'Rango proyecciones'!$AJ$5)</f>
        <v>0</v>
      </c>
      <c r="N6" s="7">
        <f>SUMIF('Stock - Puerto Chile'!$G$2:G973,'Rango proyecciones'!C6,'Stock - Puerto Chile'!$L$2:L973)</f>
        <v>0</v>
      </c>
      <c r="O6" s="7">
        <f>0 * (25 / 27)</f>
        <v>0</v>
      </c>
      <c r="P6" s="7">
        <f>1106.784 * (25 / 27)</f>
        <v>1024.8000000000002</v>
      </c>
      <c r="Q6" s="16">
        <f t="shared" si="1"/>
        <v>1024.8000000000002</v>
      </c>
      <c r="R6" s="7">
        <f t="shared" si="2"/>
        <v>0</v>
      </c>
      <c r="S6" s="7">
        <f>SUMIFS('Stock - ETA'!$H$3:H4963,'Stock - ETA'!$F$3:F4963,'Rango proyecciones'!C6,'Stock - ETA'!$Q$3:Q4963,'Rango proyecciones'!$AJ$5)</f>
        <v>0</v>
      </c>
      <c r="T6" s="7">
        <f>SUMIF('Stock - Puerto Chile'!$G$2:G973,'Rango proyecciones'!C6,'Stock - Puerto Chile'!$N$2:N973)</f>
        <v>0</v>
      </c>
      <c r="U6" s="7">
        <f>0 * (25 / 27)</f>
        <v>0</v>
      </c>
      <c r="V6" s="7">
        <f>1106.784 * (25 / 27)</f>
        <v>1024.8000000000002</v>
      </c>
      <c r="W6" s="17">
        <f t="shared" si="3"/>
        <v>1024.8000000000002</v>
      </c>
      <c r="X6" s="4"/>
      <c r="Y6" s="7"/>
      <c r="Z6" s="18">
        <f>SUMIFS('Stock - ETA'!$S$3:S4963,'Stock - ETA'!$F$3:F4963,'Rango proyecciones'!C6,'Stock - ETA'!$AA$3:AA4963,'Rango proyecciones'!$AJ$5) + SUMIFS('Stock - ETA'!$R$3:R4963,'Stock - ETA'!$F$3:F4963,'Rango proyecciones'!C6,'Stock - ETA'!$AA$3:AA4963,'Rango proyecciones'!$AJ$7)</f>
        <v>0</v>
      </c>
      <c r="AA6" s="13">
        <f t="shared" si="4"/>
        <v>0</v>
      </c>
      <c r="AB6" s="7">
        <f>SUMIFS('Stock - ETA'!$I$3:I4963,'Stock - ETA'!$F$3:F4963,'Rango proyecciones'!C6,'Stock - ETA'!$Q$3:Q4963,'Rango proyecciones'!$AJ$5) + SUMIFS('Stock - ETA'!$H$3:H4963,'Stock - ETA'!$F$3:F4963,'Rango proyecciones'!C6,'Stock - ETA'!$Q$3:Q4963,'Rango proyecciones'!$AJ$7)</f>
        <v>0</v>
      </c>
      <c r="AC6" s="16">
        <f t="shared" si="5"/>
        <v>0</v>
      </c>
      <c r="AD6" s="4"/>
      <c r="AE6" s="7">
        <f>SUMIFS('Stock - ETA'!$T$3:T4963,'Stock - ETA'!$F$3:F4963,'Rango proyecciones'!C6,'Stock - ETA'!$AA$3:AA4963,'Rango proyecciones'!$AJ$5) + SUMIFS('Stock - ETA'!$S$3:S4963,'Stock - ETA'!$F$3:F4963,'Rango proyecciones'!C6,'Stock - ETA'!$AA$3:AA4963,'Rango proyecciones'!$AJ$8)</f>
        <v>0</v>
      </c>
      <c r="AF6" s="16">
        <f t="shared" si="6"/>
        <v>0</v>
      </c>
      <c r="AG6" s="7">
        <f>SUMIFS('Stock - ETA'!$J$3:J4963,'Stock - ETA'!$F$3:F4963,'Rango proyecciones'!C6,'Stock - ETA'!$Q$3:Q4963,'Rango proyecciones'!$AJ$5) + SUMIFS('Stock - ETA'!$I$3:I4963,'Stock - ETA'!$F$3:F4963,'Rango proyecciones'!C6,'Stock - ETA'!$Q$3:Q4963,'Rango proyecciones'!$AJ$8)</f>
        <v>0</v>
      </c>
      <c r="AH6" s="16">
        <f t="shared" si="7"/>
        <v>0</v>
      </c>
      <c r="AI6" s="4"/>
      <c r="AJ6" t="s">
        <v>55</v>
      </c>
    </row>
    <row r="7" spans="1:37" x14ac:dyDescent="0.2">
      <c r="A7" s="2" t="s">
        <v>56</v>
      </c>
      <c r="B7" s="2" t="s">
        <v>35</v>
      </c>
      <c r="C7" s="2" t="s">
        <v>57</v>
      </c>
      <c r="D7" s="2" t="s">
        <v>52</v>
      </c>
      <c r="E7" s="2">
        <v>1012108</v>
      </c>
      <c r="F7" s="2" t="s">
        <v>58</v>
      </c>
      <c r="G7" s="2" t="s">
        <v>59</v>
      </c>
      <c r="H7" s="4">
        <v>0</v>
      </c>
      <c r="I7" s="7">
        <v>0</v>
      </c>
      <c r="J7" s="7">
        <v>35519.756000000001</v>
      </c>
      <c r="K7" s="7">
        <v>1665.44</v>
      </c>
      <c r="L7" s="4">
        <f t="shared" si="0"/>
        <v>50781.474000000002</v>
      </c>
      <c r="M7" s="7">
        <f>SUMIFS('Stock - ETA'!$R$3:R4963,'Stock - ETA'!$F$3:F4963,'Rango proyecciones'!C7,'Stock - ETA'!$AA$3:AA4963,'Rango proyecciones'!$AJ$5)</f>
        <v>137891.96800000002</v>
      </c>
      <c r="N7" s="7">
        <f>SUMIF('Stock - Puerto Chile'!$G$2:G973,'Rango proyecciones'!C7,'Stock - Puerto Chile'!$L$2:L973)</f>
        <v>227525.76000000001</v>
      </c>
      <c r="O7" s="7">
        <f>0 * (25 / 27)</f>
        <v>0</v>
      </c>
      <c r="P7" s="7">
        <f>54413.522 * (25 / 27)</f>
        <v>50382.890740740739</v>
      </c>
      <c r="Q7" s="16">
        <f t="shared" si="1"/>
        <v>188274.85874074075</v>
      </c>
      <c r="R7" s="7">
        <f t="shared" si="2"/>
        <v>87053.955428571426</v>
      </c>
      <c r="S7" s="7">
        <f>SUMIFS('Stock - ETA'!$H$3:H4963,'Stock - ETA'!$F$3:F4963,'Rango proyecciones'!C7,'Stock - ETA'!$Q$3:Q4963,'Rango proyecciones'!$AJ$5)</f>
        <v>137891.96800000002</v>
      </c>
      <c r="T7" s="7">
        <f>SUMIF('Stock - Puerto Chile'!$G$2:G973,'Rango proyecciones'!C7,'Stock - Puerto Chile'!$N$2:N973)</f>
        <v>273030.91200000001</v>
      </c>
      <c r="U7" s="7">
        <f>0 * (25 / 27)</f>
        <v>0</v>
      </c>
      <c r="V7" s="7">
        <f>54413.522 * (25 / 27)</f>
        <v>50382.890740740739</v>
      </c>
      <c r="W7" s="17">
        <f t="shared" si="3"/>
        <v>188274.85874074075</v>
      </c>
      <c r="X7" s="4"/>
      <c r="Y7" s="7"/>
      <c r="Z7" s="18">
        <f>SUMIFS('Stock - ETA'!$S$3:S4963,'Stock - ETA'!$F$3:F4963,'Rango proyecciones'!C7,'Stock - ETA'!$AA$3:AA4963,'Rango proyecciones'!$AJ$5) + SUMIFS('Stock - ETA'!$R$3:R4963,'Stock - ETA'!$F$3:F4963,'Rango proyecciones'!C7,'Stock - ETA'!$AA$3:AA4963,'Rango proyecciones'!$AJ$7)</f>
        <v>127912.94400000002</v>
      </c>
      <c r="AA7" s="13">
        <f t="shared" si="4"/>
        <v>127912.94400000002</v>
      </c>
      <c r="AB7" s="7">
        <f>SUMIFS('Stock - ETA'!$I$3:I4963,'Stock - ETA'!$F$3:F4963,'Rango proyecciones'!C7,'Stock - ETA'!$Q$3:Q4963,'Rango proyecciones'!$AJ$5) + SUMIFS('Stock - ETA'!$H$3:H4963,'Stock - ETA'!$F$3:F4963,'Rango proyecciones'!C7,'Stock - ETA'!$Q$3:Q4963,'Rango proyecciones'!$AJ$7)</f>
        <v>127912.94400000002</v>
      </c>
      <c r="AC7" s="16">
        <f t="shared" si="5"/>
        <v>127912.94400000002</v>
      </c>
      <c r="AD7" s="4"/>
      <c r="AE7" s="7">
        <f>SUMIFS('Stock - ETA'!$T$3:T4963,'Stock - ETA'!$F$3:F4963,'Rango proyecciones'!C7,'Stock - ETA'!$AA$3:AA4963,'Rango proyecciones'!$AJ$5) + SUMIFS('Stock - ETA'!$S$3:S4963,'Stock - ETA'!$F$3:F4963,'Rango proyecciones'!C7,'Stock - ETA'!$AA$3:AA4963,'Rango proyecciones'!$AJ$8)</f>
        <v>0</v>
      </c>
      <c r="AF7" s="16">
        <f t="shared" si="6"/>
        <v>0</v>
      </c>
      <c r="AG7" s="7">
        <f>SUMIFS('Stock - ETA'!$J$3:J4963,'Stock - ETA'!$F$3:F4963,'Rango proyecciones'!C7,'Stock - ETA'!$Q$3:Q4963,'Rango proyecciones'!$AJ$5) + SUMIFS('Stock - ETA'!$I$3:I4963,'Stock - ETA'!$F$3:F4963,'Rango proyecciones'!C7,'Stock - ETA'!$Q$3:Q4963,'Rango proyecciones'!$AJ$8)</f>
        <v>0</v>
      </c>
      <c r="AH7" s="16">
        <f t="shared" si="7"/>
        <v>0</v>
      </c>
      <c r="AI7" s="4"/>
      <c r="AJ7" t="s">
        <v>60</v>
      </c>
    </row>
    <row r="8" spans="1:37" x14ac:dyDescent="0.2">
      <c r="A8" s="2" t="s">
        <v>56</v>
      </c>
      <c r="B8" s="2" t="s">
        <v>35</v>
      </c>
      <c r="C8" s="2" t="s">
        <v>61</v>
      </c>
      <c r="D8" s="2" t="s">
        <v>52</v>
      </c>
      <c r="E8" s="2">
        <v>1012165</v>
      </c>
      <c r="F8" s="2" t="s">
        <v>62</v>
      </c>
      <c r="G8" s="2" t="s">
        <v>63</v>
      </c>
      <c r="H8" s="4">
        <v>0</v>
      </c>
      <c r="I8" s="7">
        <v>0</v>
      </c>
      <c r="J8" s="7">
        <v>59836</v>
      </c>
      <c r="K8" s="7"/>
      <c r="L8" s="4">
        <f t="shared" si="0"/>
        <v>89754</v>
      </c>
      <c r="M8" s="7">
        <f>SUMIFS('Stock - ETA'!$R$3:R4963,'Stock - ETA'!$F$3:F4963,'Rango proyecciones'!C8,'Stock - ETA'!$AA$3:AA4963,'Rango proyecciones'!$AJ$5)</f>
        <v>455769.24160000012</v>
      </c>
      <c r="N8" s="7">
        <f>SUMIF('Stock - Puerto Chile'!$G$2:G973,'Rango proyecciones'!C8,'Stock - Puerto Chile'!$L$2:L973)</f>
        <v>509527.06560000003</v>
      </c>
      <c r="O8" s="7">
        <f>5896.8 * (25 / 27)</f>
        <v>5460</v>
      </c>
      <c r="P8" s="7">
        <f>150341.284 * (25 / 27)</f>
        <v>139204.8925925926</v>
      </c>
      <c r="Q8" s="16">
        <f t="shared" si="1"/>
        <v>594974.1341925927</v>
      </c>
      <c r="R8" s="7">
        <f t="shared" si="2"/>
        <v>153864</v>
      </c>
      <c r="S8" s="7">
        <f>SUMIFS('Stock - ETA'!$H$3:H4963,'Stock - ETA'!$F$3:F4963,'Rango proyecciones'!C8,'Stock - ETA'!$Q$3:Q4963,'Rango proyecciones'!$AJ$5)</f>
        <v>455769.24160000012</v>
      </c>
      <c r="T8" s="7">
        <f>SUMIF('Stock - Puerto Chile'!$G$2:G973,'Rango proyecciones'!C8,'Stock - Puerto Chile'!$N$2:N973)</f>
        <v>611432.47872000001</v>
      </c>
      <c r="U8" s="7">
        <f>5896.8 * (25 / 27)</f>
        <v>5460</v>
      </c>
      <c r="V8" s="7">
        <f>150341.284 * (25 / 27)</f>
        <v>139204.8925925926</v>
      </c>
      <c r="W8" s="17">
        <f t="shared" si="3"/>
        <v>600434.1341925927</v>
      </c>
      <c r="X8" s="4">
        <v>334736</v>
      </c>
      <c r="Y8" s="7">
        <v>334736</v>
      </c>
      <c r="Z8" s="18">
        <f>SUMIFS('Stock - ETA'!$S$3:S4963,'Stock - ETA'!$F$3:F4963,'Rango proyecciones'!C8,'Stock - ETA'!$AA$3:AA4963,'Rango proyecciones'!$AJ$5) + SUMIFS('Stock - ETA'!$R$3:R4963,'Stock - ETA'!$F$3:F4963,'Rango proyecciones'!C8,'Stock - ETA'!$AA$3:AA4963,'Rango proyecciones'!$AJ$7)</f>
        <v>297266.05312000006</v>
      </c>
      <c r="AA8" s="13">
        <f t="shared" si="4"/>
        <v>632002.05312000006</v>
      </c>
      <c r="AB8" s="7">
        <f>SUMIFS('Stock - ETA'!$I$3:I4963,'Stock - ETA'!$F$3:F4963,'Rango proyecciones'!C8,'Stock - ETA'!$Q$3:Q4963,'Rango proyecciones'!$AJ$5) + SUMIFS('Stock - ETA'!$H$3:H4963,'Stock - ETA'!$F$3:F4963,'Rango proyecciones'!C8,'Stock - ETA'!$Q$3:Q4963,'Rango proyecciones'!$AJ$7)</f>
        <v>297266.05312000006</v>
      </c>
      <c r="AC8" s="16">
        <f t="shared" si="5"/>
        <v>632002.05312000006</v>
      </c>
      <c r="AD8" s="4">
        <v>309915</v>
      </c>
      <c r="AE8" s="7">
        <f>SUMIFS('Stock - ETA'!$T$3:T4963,'Stock - ETA'!$F$3:F4963,'Rango proyecciones'!C8,'Stock - ETA'!$AA$3:AA4963,'Rango proyecciones'!$AJ$5) + SUMIFS('Stock - ETA'!$S$3:S4963,'Stock - ETA'!$F$3:F4963,'Rango proyecciones'!C8,'Stock - ETA'!$AA$3:AA4963,'Rango proyecciones'!$AJ$8)</f>
        <v>19958.047999999999</v>
      </c>
      <c r="AF8" s="16">
        <f t="shared" si="6"/>
        <v>205907.04800000001</v>
      </c>
      <c r="AG8" s="7">
        <f>SUMIFS('Stock - ETA'!$J$3:J4963,'Stock - ETA'!$F$3:F4963,'Rango proyecciones'!C8,'Stock - ETA'!$Q$3:Q4963,'Rango proyecciones'!$AJ$5) + SUMIFS('Stock - ETA'!$I$3:I4963,'Stock - ETA'!$F$3:F4963,'Rango proyecciones'!C8,'Stock - ETA'!$Q$3:Q4963,'Rango proyecciones'!$AJ$8)</f>
        <v>19958.047999999999</v>
      </c>
      <c r="AH8" s="16">
        <f t="shared" si="7"/>
        <v>205907.04800000001</v>
      </c>
      <c r="AI8" s="4"/>
      <c r="AJ8" t="s">
        <v>64</v>
      </c>
    </row>
    <row r="9" spans="1:37" x14ac:dyDescent="0.2">
      <c r="A9" s="2" t="s">
        <v>56</v>
      </c>
      <c r="B9" s="2" t="s">
        <v>35</v>
      </c>
      <c r="C9" s="2" t="s">
        <v>65</v>
      </c>
      <c r="D9" s="2" t="s">
        <v>52</v>
      </c>
      <c r="E9" s="2">
        <v>1012518</v>
      </c>
      <c r="F9" s="2" t="s">
        <v>66</v>
      </c>
      <c r="G9" s="2" t="s">
        <v>67</v>
      </c>
      <c r="H9" s="4">
        <v>0</v>
      </c>
      <c r="I9" s="7">
        <v>0</v>
      </c>
      <c r="J9" s="7">
        <v>18000</v>
      </c>
      <c r="K9" s="7">
        <v>3664.0650000000001</v>
      </c>
      <c r="L9" s="4">
        <f t="shared" si="0"/>
        <v>21503.9025</v>
      </c>
      <c r="M9" s="7">
        <f>SUMIFS('Stock - ETA'!$R$3:R4963,'Stock - ETA'!$F$3:F4963,'Rango proyecciones'!C9,'Stock - ETA'!$AA$3:AA4963,'Rango proyecciones'!$AJ$5)</f>
        <v>217687.87263999996</v>
      </c>
      <c r="N9" s="7">
        <f>SUMIF('Stock - Puerto Chile'!$G$2:G973,'Rango proyecciones'!C9,'Stock - Puerto Chile'!$L$2:L973)</f>
        <v>195955.19999999998</v>
      </c>
      <c r="O9" s="7">
        <f>54432 * (25 / 27)</f>
        <v>50400</v>
      </c>
      <c r="P9" s="7">
        <f>139018.965 * (25 / 27)</f>
        <v>128721.26388888889</v>
      </c>
      <c r="Q9" s="16">
        <f t="shared" si="1"/>
        <v>346409.13652888883</v>
      </c>
      <c r="R9" s="7">
        <f t="shared" si="2"/>
        <v>36863.832857142857</v>
      </c>
      <c r="S9" s="7">
        <f>SUMIFS('Stock - ETA'!$H$3:H4963,'Stock - ETA'!$F$3:F4963,'Rango proyecciones'!C9,'Stock - ETA'!$Q$3:Q4963,'Rango proyecciones'!$AJ$5)</f>
        <v>217687.87263999996</v>
      </c>
      <c r="T9" s="7">
        <f>SUMIF('Stock - Puerto Chile'!$G$2:G973,'Rango proyecciones'!C9,'Stock - Puerto Chile'!$N$2:N973)</f>
        <v>235146.23999999999</v>
      </c>
      <c r="U9" s="7">
        <f>54432 * (25 / 27)</f>
        <v>50400</v>
      </c>
      <c r="V9" s="7">
        <f>139018.965 * (25 / 27)</f>
        <v>128721.26388888889</v>
      </c>
      <c r="W9" s="17">
        <f t="shared" si="3"/>
        <v>396809.13652888883</v>
      </c>
      <c r="X9" s="4">
        <v>99791</v>
      </c>
      <c r="Y9" s="7">
        <v>99791</v>
      </c>
      <c r="Z9" s="18">
        <f>SUMIFS('Stock - ETA'!$S$3:S4963,'Stock - ETA'!$F$3:F4963,'Rango proyecciones'!C9,'Stock - ETA'!$AA$3:AA4963,'Rango proyecciones'!$AJ$5) + SUMIFS('Stock - ETA'!$R$3:R4963,'Stock - ETA'!$F$3:F4963,'Rango proyecciones'!C9,'Stock - ETA'!$AA$3:AA4963,'Rango proyecciones'!$AJ$7)</f>
        <v>36287.360000000001</v>
      </c>
      <c r="AA9" s="13">
        <f t="shared" si="4"/>
        <v>136078.35999999999</v>
      </c>
      <c r="AB9" s="7">
        <f>SUMIFS('Stock - ETA'!$I$3:I4963,'Stock - ETA'!$F$3:F4963,'Rango proyecciones'!C9,'Stock - ETA'!$Q$3:Q4963,'Rango proyecciones'!$AJ$5) + SUMIFS('Stock - ETA'!$H$3:H4963,'Stock - ETA'!$F$3:F4963,'Rango proyecciones'!C9,'Stock - ETA'!$Q$3:Q4963,'Rango proyecciones'!$AJ$7)</f>
        <v>36287.360000000001</v>
      </c>
      <c r="AC9" s="16">
        <f t="shared" si="5"/>
        <v>136078.35999999999</v>
      </c>
      <c r="AD9" s="4">
        <v>99791</v>
      </c>
      <c r="AE9" s="7">
        <f>SUMIFS('Stock - ETA'!$T$3:T4963,'Stock - ETA'!$F$3:F4963,'Rango proyecciones'!C9,'Stock - ETA'!$AA$3:AA4963,'Rango proyecciones'!$AJ$5) + SUMIFS('Stock - ETA'!$S$3:S4963,'Stock - ETA'!$F$3:F4963,'Rango proyecciones'!C9,'Stock - ETA'!$AA$3:AA4963,'Rango proyecciones'!$AJ$8)</f>
        <v>0</v>
      </c>
      <c r="AF9" s="16">
        <f t="shared" si="6"/>
        <v>59874.6</v>
      </c>
      <c r="AG9" s="7">
        <f>SUMIFS('Stock - ETA'!$J$3:J4963,'Stock - ETA'!$F$3:F4963,'Rango proyecciones'!C9,'Stock - ETA'!$Q$3:Q4963,'Rango proyecciones'!$AJ$5) + SUMIFS('Stock - ETA'!$I$3:I4963,'Stock - ETA'!$F$3:F4963,'Rango proyecciones'!C9,'Stock - ETA'!$Q$3:Q4963,'Rango proyecciones'!$AJ$8)</f>
        <v>0</v>
      </c>
      <c r="AH9" s="16">
        <f t="shared" si="7"/>
        <v>59874.6</v>
      </c>
      <c r="AI9" s="4"/>
    </row>
    <row r="10" spans="1:37" x14ac:dyDescent="0.2">
      <c r="A10" s="2" t="s">
        <v>56</v>
      </c>
      <c r="B10" s="2" t="s">
        <v>35</v>
      </c>
      <c r="C10" s="2" t="s">
        <v>68</v>
      </c>
      <c r="D10" s="2" t="s">
        <v>52</v>
      </c>
      <c r="E10" s="2">
        <v>1012109</v>
      </c>
      <c r="F10" s="2" t="s">
        <v>69</v>
      </c>
      <c r="G10" s="2" t="s">
        <v>59</v>
      </c>
      <c r="H10" s="4">
        <v>0</v>
      </c>
      <c r="I10" s="7">
        <v>0</v>
      </c>
      <c r="J10" s="7">
        <v>56581.112000000001</v>
      </c>
      <c r="K10" s="7">
        <v>2580.08</v>
      </c>
      <c r="L10" s="4">
        <f t="shared" si="0"/>
        <v>81001.547999999995</v>
      </c>
      <c r="M10" s="7">
        <f>SUMIFS('Stock - ETA'!$R$3:R4963,'Stock - ETA'!$F$3:F4963,'Rango proyecciones'!C10,'Stock - ETA'!$AA$3:AA4963,'Rango proyecciones'!$AJ$5)</f>
        <v>191796.84127999999</v>
      </c>
      <c r="N10" s="7">
        <f>SUMIF('Stock - Puerto Chile'!$G$2:G973,'Rango proyecciones'!C10,'Stock - Puerto Chile'!$L$2:L973)</f>
        <v>610727.04</v>
      </c>
      <c r="O10" s="7">
        <f>0 * (25 / 27)</f>
        <v>0</v>
      </c>
      <c r="P10" s="7">
        <f>476152.829 * (25 / 27)</f>
        <v>440882.24907407409</v>
      </c>
      <c r="Q10" s="16">
        <f t="shared" si="1"/>
        <v>632679.09035407403</v>
      </c>
      <c r="R10" s="7">
        <f t="shared" si="2"/>
        <v>138859.79657142857</v>
      </c>
      <c r="S10" s="7">
        <f>SUMIFS('Stock - ETA'!$H$3:H4963,'Stock - ETA'!$F$3:F4963,'Rango proyecciones'!C10,'Stock - ETA'!$Q$3:Q4963,'Rango proyecciones'!$AJ$5)</f>
        <v>191796.84127999999</v>
      </c>
      <c r="T10" s="7">
        <f>SUMIF('Stock - Puerto Chile'!$G$2:G973,'Rango proyecciones'!C10,'Stock - Puerto Chile'!$N$2:N973)</f>
        <v>732872.44800000009</v>
      </c>
      <c r="U10" s="7">
        <f>0 * (25 / 27)</f>
        <v>0</v>
      </c>
      <c r="V10" s="7">
        <f>476152.829 * (25 / 27)</f>
        <v>440882.24907407409</v>
      </c>
      <c r="W10" s="17">
        <f t="shared" si="3"/>
        <v>632679.09035407403</v>
      </c>
      <c r="X10" s="4"/>
      <c r="Y10" s="7"/>
      <c r="Z10" s="18">
        <f>SUMIFS('Stock - ETA'!$S$3:S4963,'Stock - ETA'!$F$3:F4963,'Rango proyecciones'!C10,'Stock - ETA'!$AA$3:AA4963,'Rango proyecciones'!$AJ$5) + SUMIFS('Stock - ETA'!$R$3:R4963,'Stock - ETA'!$F$3:F4963,'Rango proyecciones'!C10,'Stock - ETA'!$AA$3:AA4963,'Rango proyecciones'!$AJ$7)</f>
        <v>259454.62400000001</v>
      </c>
      <c r="AA10" s="13">
        <f t="shared" si="4"/>
        <v>259454.62400000001</v>
      </c>
      <c r="AB10" s="7">
        <f>SUMIFS('Stock - ETA'!$I$3:I4963,'Stock - ETA'!$F$3:F4963,'Rango proyecciones'!C10,'Stock - ETA'!$Q$3:Q4963,'Rango proyecciones'!$AJ$5) + SUMIFS('Stock - ETA'!$H$3:H4963,'Stock - ETA'!$F$3:F4963,'Rango proyecciones'!C10,'Stock - ETA'!$Q$3:Q4963,'Rango proyecciones'!$AJ$7)</f>
        <v>259454.62400000001</v>
      </c>
      <c r="AC10" s="16">
        <f t="shared" si="5"/>
        <v>259454.62400000001</v>
      </c>
      <c r="AD10" s="4"/>
      <c r="AE10" s="7">
        <f>SUMIFS('Stock - ETA'!$T$3:T4963,'Stock - ETA'!$F$3:F4963,'Rango proyecciones'!C10,'Stock - ETA'!$AA$3:AA4963,'Rango proyecciones'!$AJ$5) + SUMIFS('Stock - ETA'!$S$3:S4963,'Stock - ETA'!$F$3:F4963,'Rango proyecciones'!C10,'Stock - ETA'!$AA$3:AA4963,'Rango proyecciones'!$AJ$8)</f>
        <v>0</v>
      </c>
      <c r="AF10" s="16">
        <f t="shared" si="6"/>
        <v>0</v>
      </c>
      <c r="AG10" s="7">
        <f>SUMIFS('Stock - ETA'!$J$3:J4963,'Stock - ETA'!$F$3:F4963,'Rango proyecciones'!C10,'Stock - ETA'!$Q$3:Q4963,'Rango proyecciones'!$AJ$5) + SUMIFS('Stock - ETA'!$I$3:I4963,'Stock - ETA'!$F$3:F4963,'Rango proyecciones'!C10,'Stock - ETA'!$Q$3:Q4963,'Rango proyecciones'!$AJ$8)</f>
        <v>0</v>
      </c>
      <c r="AH10" s="16">
        <f t="shared" si="7"/>
        <v>0</v>
      </c>
      <c r="AI10" s="4"/>
    </row>
    <row r="11" spans="1:37" x14ac:dyDescent="0.2">
      <c r="A11" s="2" t="s">
        <v>56</v>
      </c>
      <c r="B11" s="2" t="s">
        <v>35</v>
      </c>
      <c r="C11" s="2" t="s">
        <v>70</v>
      </c>
      <c r="D11" s="2" t="s">
        <v>52</v>
      </c>
      <c r="E11" s="2">
        <v>1012167</v>
      </c>
      <c r="F11" s="2" t="s">
        <v>71</v>
      </c>
      <c r="G11" s="2" t="s">
        <v>59</v>
      </c>
      <c r="H11" s="4">
        <v>0</v>
      </c>
      <c r="I11" s="7">
        <v>0</v>
      </c>
      <c r="J11" s="7">
        <v>39918</v>
      </c>
      <c r="K11" s="7">
        <v>9888.4120000000003</v>
      </c>
      <c r="L11" s="4">
        <f t="shared" si="0"/>
        <v>45044.381999999998</v>
      </c>
      <c r="M11" s="7">
        <f>SUMIFS('Stock - ETA'!$R$3:R4963,'Stock - ETA'!$F$3:F4963,'Rango proyecciones'!C11,'Stock - ETA'!$AA$3:AA4963,'Rango proyecciones'!$AJ$5)</f>
        <v>298191.38080000004</v>
      </c>
      <c r="N11" s="7">
        <f>SUMIF('Stock - Puerto Chile'!$G$2:G973,'Rango proyecciones'!C11,'Stock - Puerto Chile'!$L$2:L973)</f>
        <v>395938.36800000002</v>
      </c>
      <c r="O11" s="7">
        <f>3628.8 * (25 / 27)</f>
        <v>3360</v>
      </c>
      <c r="P11" s="7">
        <f>125268.829 * (25 / 27)</f>
        <v>115989.65648148148</v>
      </c>
      <c r="Q11" s="16">
        <f t="shared" si="1"/>
        <v>414181.03728148155</v>
      </c>
      <c r="R11" s="7">
        <f t="shared" si="2"/>
        <v>77218.940571428582</v>
      </c>
      <c r="S11" s="7">
        <f>SUMIFS('Stock - ETA'!$H$3:H4963,'Stock - ETA'!$F$3:F4963,'Rango proyecciones'!C11,'Stock - ETA'!$Q$3:Q4963,'Rango proyecciones'!$AJ$5)</f>
        <v>298191.38080000004</v>
      </c>
      <c r="T11" s="7">
        <f>SUMIF('Stock - Puerto Chile'!$G$2:G973,'Rango proyecciones'!C11,'Stock - Puerto Chile'!$N$2:N973)</f>
        <v>475126.04159999994</v>
      </c>
      <c r="U11" s="7">
        <f>3628.8 * (25 / 27)</f>
        <v>3360</v>
      </c>
      <c r="V11" s="7">
        <f>125268.829 * (25 / 27)</f>
        <v>115989.65648148148</v>
      </c>
      <c r="W11" s="17">
        <f t="shared" si="3"/>
        <v>417541.03728148155</v>
      </c>
      <c r="X11" s="4">
        <v>399165</v>
      </c>
      <c r="Y11" s="7">
        <v>399165</v>
      </c>
      <c r="Z11" s="18">
        <f>SUMIFS('Stock - ETA'!$S$3:S4963,'Stock - ETA'!$F$3:F4963,'Rango proyecciones'!C11,'Stock - ETA'!$AA$3:AA4963,'Rango proyecciones'!$AJ$5) + SUMIFS('Stock - ETA'!$R$3:R4963,'Stock - ETA'!$F$3:F4963,'Rango proyecciones'!C11,'Stock - ETA'!$AA$3:AA4963,'Rango proyecciones'!$AJ$7)</f>
        <v>279412.67200000002</v>
      </c>
      <c r="AA11" s="13">
        <f t="shared" si="4"/>
        <v>678577.67200000002</v>
      </c>
      <c r="AB11" s="7">
        <f>SUMIFS('Stock - ETA'!$I$3:I4963,'Stock - ETA'!$F$3:F4963,'Rango proyecciones'!C11,'Stock - ETA'!$Q$3:Q4963,'Rango proyecciones'!$AJ$5) + SUMIFS('Stock - ETA'!$H$3:H4963,'Stock - ETA'!$F$3:F4963,'Rango proyecciones'!C11,'Stock - ETA'!$Q$3:Q4963,'Rango proyecciones'!$AJ$7)</f>
        <v>279412.67200000002</v>
      </c>
      <c r="AC11" s="16">
        <f t="shared" si="5"/>
        <v>678577.67200000002</v>
      </c>
      <c r="AD11" s="4">
        <v>399165</v>
      </c>
      <c r="AE11" s="7">
        <f>SUMIFS('Stock - ETA'!$T$3:T4963,'Stock - ETA'!$F$3:F4963,'Rango proyecciones'!C11,'Stock - ETA'!$AA$3:AA4963,'Rango proyecciones'!$AJ$5) + SUMIFS('Stock - ETA'!$S$3:S4963,'Stock - ETA'!$F$3:F4963,'Rango proyecciones'!C11,'Stock - ETA'!$AA$3:AA4963,'Rango proyecciones'!$AJ$8)</f>
        <v>39916.095999999998</v>
      </c>
      <c r="AF11" s="16">
        <f t="shared" si="6"/>
        <v>279415.09600000002</v>
      </c>
      <c r="AG11" s="7">
        <f>SUMIFS('Stock - ETA'!$J$3:J4963,'Stock - ETA'!$F$3:F4963,'Rango proyecciones'!C11,'Stock - ETA'!$Q$3:Q4963,'Rango proyecciones'!$AJ$5) + SUMIFS('Stock - ETA'!$I$3:I4963,'Stock - ETA'!$F$3:F4963,'Rango proyecciones'!C11,'Stock - ETA'!$Q$3:Q4963,'Rango proyecciones'!$AJ$8)</f>
        <v>39916.095999999998</v>
      </c>
      <c r="AH11" s="16">
        <f t="shared" si="7"/>
        <v>279415.09600000002</v>
      </c>
      <c r="AI11" s="4"/>
    </row>
    <row r="12" spans="1:37" x14ac:dyDescent="0.2">
      <c r="A12" s="2" t="s">
        <v>56</v>
      </c>
      <c r="B12" s="2" t="s">
        <v>35</v>
      </c>
      <c r="C12" s="2" t="s">
        <v>72</v>
      </c>
      <c r="D12" s="2" t="s">
        <v>52</v>
      </c>
      <c r="E12" s="2">
        <v>1012160</v>
      </c>
      <c r="F12" s="2" t="s">
        <v>73</v>
      </c>
      <c r="G12" s="2" t="s">
        <v>59</v>
      </c>
      <c r="H12" s="4">
        <v>0</v>
      </c>
      <c r="I12" s="7">
        <v>0</v>
      </c>
      <c r="J12" s="7">
        <v>0</v>
      </c>
      <c r="K12" s="7">
        <v>0</v>
      </c>
      <c r="L12" s="4">
        <f t="shared" si="0"/>
        <v>0</v>
      </c>
      <c r="M12" s="7">
        <f>SUMIFS('Stock - ETA'!$R$3:R4963,'Stock - ETA'!$F$3:F4963,'Rango proyecciones'!C12,'Stock - ETA'!$AA$3:AA4963,'Rango proyecciones'!$AJ$5)</f>
        <v>85819.60639999999</v>
      </c>
      <c r="N12" s="7">
        <f>SUMIF('Stock - Puerto Chile'!$G$2:G973,'Rango proyecciones'!C12,'Stock - Puerto Chile'!$L$2:L973)</f>
        <v>94341.542400000006</v>
      </c>
      <c r="O12" s="7">
        <f>3628.8 * (25 / 27)</f>
        <v>3360</v>
      </c>
      <c r="P12" s="7">
        <f>54867.456 * (25 / 27)</f>
        <v>50803.199999999997</v>
      </c>
      <c r="Q12" s="16">
        <f t="shared" si="1"/>
        <v>136622.8064</v>
      </c>
      <c r="R12" s="7">
        <f t="shared" si="2"/>
        <v>0</v>
      </c>
      <c r="S12" s="7">
        <f>SUMIFS('Stock - ETA'!$H$3:H4963,'Stock - ETA'!$F$3:F4963,'Rango proyecciones'!C12,'Stock - ETA'!$Q$3:Q4963,'Rango proyecciones'!$AJ$5)</f>
        <v>85819.60639999999</v>
      </c>
      <c r="T12" s="7">
        <f>SUMIF('Stock - Puerto Chile'!$G$2:G973,'Rango proyecciones'!C12,'Stock - Puerto Chile'!$N$2:N973)</f>
        <v>113209.85088000001</v>
      </c>
      <c r="U12" s="7">
        <f>3628.8 * (25 / 27)</f>
        <v>3360</v>
      </c>
      <c r="V12" s="7">
        <f>54867.456 * (25 / 27)</f>
        <v>50803.199999999997</v>
      </c>
      <c r="W12" s="17">
        <f t="shared" si="3"/>
        <v>139982.8064</v>
      </c>
      <c r="X12" s="4">
        <v>36288</v>
      </c>
      <c r="Y12" s="7">
        <v>36288</v>
      </c>
      <c r="Z12" s="18">
        <f>SUMIFS('Stock - ETA'!$S$3:S4963,'Stock - ETA'!$F$3:F4963,'Rango proyecciones'!C12,'Stock - ETA'!$AA$3:AA4963,'Rango proyecciones'!$AJ$5) + SUMIFS('Stock - ETA'!$R$3:R4963,'Stock - ETA'!$F$3:F4963,'Rango proyecciones'!C12,'Stock - ETA'!$AA$3:AA4963,'Rango proyecciones'!$AJ$7)</f>
        <v>59874.144</v>
      </c>
      <c r="AA12" s="13">
        <f t="shared" si="4"/>
        <v>96162.144</v>
      </c>
      <c r="AB12" s="7">
        <f>SUMIFS('Stock - ETA'!$I$3:I4963,'Stock - ETA'!$F$3:F4963,'Rango proyecciones'!C12,'Stock - ETA'!$Q$3:Q4963,'Rango proyecciones'!$AJ$5) + SUMIFS('Stock - ETA'!$H$3:H4963,'Stock - ETA'!$F$3:F4963,'Rango proyecciones'!C12,'Stock - ETA'!$Q$3:Q4963,'Rango proyecciones'!$AJ$7)</f>
        <v>59874.144</v>
      </c>
      <c r="AC12" s="16">
        <f t="shared" si="5"/>
        <v>96162.144</v>
      </c>
      <c r="AD12" s="4">
        <v>54432</v>
      </c>
      <c r="AE12" s="7">
        <f>SUMIFS('Stock - ETA'!$T$3:T4963,'Stock - ETA'!$F$3:F4963,'Rango proyecciones'!C12,'Stock - ETA'!$AA$3:AA4963,'Rango proyecciones'!$AJ$5) + SUMIFS('Stock - ETA'!$S$3:S4963,'Stock - ETA'!$F$3:F4963,'Rango proyecciones'!C12,'Stock - ETA'!$AA$3:AA4963,'Rango proyecciones'!$AJ$8)</f>
        <v>0</v>
      </c>
      <c r="AF12" s="16">
        <f t="shared" si="6"/>
        <v>32659.199999999997</v>
      </c>
      <c r="AG12" s="7">
        <f>SUMIFS('Stock - ETA'!$J$3:J4963,'Stock - ETA'!$F$3:F4963,'Rango proyecciones'!C12,'Stock - ETA'!$Q$3:Q4963,'Rango proyecciones'!$AJ$5) + SUMIFS('Stock - ETA'!$I$3:I4963,'Stock - ETA'!$F$3:F4963,'Rango proyecciones'!C12,'Stock - ETA'!$Q$3:Q4963,'Rango proyecciones'!$AJ$8)</f>
        <v>0</v>
      </c>
      <c r="AH12" s="16">
        <f t="shared" si="7"/>
        <v>32659.199999999997</v>
      </c>
      <c r="AI12" s="4"/>
    </row>
    <row r="13" spans="1:37" x14ac:dyDescent="0.2">
      <c r="A13" s="2" t="s">
        <v>34</v>
      </c>
      <c r="B13" s="2" t="s">
        <v>35</v>
      </c>
      <c r="C13" s="2" t="s">
        <v>74</v>
      </c>
      <c r="D13" s="2" t="s">
        <v>52</v>
      </c>
      <c r="E13" s="2">
        <v>1020828</v>
      </c>
      <c r="F13" s="2" t="s">
        <v>75</v>
      </c>
      <c r="G13" s="2" t="s">
        <v>76</v>
      </c>
      <c r="H13" s="4">
        <v>0</v>
      </c>
      <c r="I13" s="7">
        <v>0</v>
      </c>
      <c r="J13" s="7">
        <v>4734</v>
      </c>
      <c r="K13" s="7"/>
      <c r="L13" s="4">
        <f t="shared" si="0"/>
        <v>7101</v>
      </c>
      <c r="M13" s="7">
        <f>SUMIFS('Stock - ETA'!$R$3:R4963,'Stock - ETA'!$F$3:F4963,'Rango proyecciones'!C13,'Stock - ETA'!$AA$3:AA4963,'Rango proyecciones'!$AJ$5)</f>
        <v>61311.123458000002</v>
      </c>
      <c r="N13" s="7">
        <f>SUMIF('Stock - Puerto Chile'!$G$2:G973,'Rango proyecciones'!C13,'Stock - Puerto Chile'!$L$2:L973)</f>
        <v>0</v>
      </c>
      <c r="O13" s="7">
        <f>0 * (25 / 27)</f>
        <v>0</v>
      </c>
      <c r="P13" s="7">
        <f>35530 * (25 / 27)</f>
        <v>32898.148148148146</v>
      </c>
      <c r="Q13" s="16">
        <f t="shared" si="1"/>
        <v>94209.271606148148</v>
      </c>
      <c r="R13" s="7">
        <f t="shared" si="2"/>
        <v>12173.142857142859</v>
      </c>
      <c r="S13" s="7">
        <f>SUMIFS('Stock - ETA'!$H$3:H4963,'Stock - ETA'!$F$3:F4963,'Rango proyecciones'!C13,'Stock - ETA'!$Q$3:Q4963,'Rango proyecciones'!$AJ$5)</f>
        <v>61311.123458000002</v>
      </c>
      <c r="T13" s="7">
        <f>SUMIF('Stock - Puerto Chile'!$G$2:G973,'Rango proyecciones'!C13,'Stock - Puerto Chile'!$N$2:N973)</f>
        <v>0</v>
      </c>
      <c r="U13" s="7">
        <f>0 * (25 / 27)</f>
        <v>0</v>
      </c>
      <c r="V13" s="7">
        <f>35530 * (25 / 27)</f>
        <v>32898.148148148146</v>
      </c>
      <c r="W13" s="17">
        <f t="shared" si="3"/>
        <v>94209.271606148148</v>
      </c>
      <c r="X13" s="4"/>
      <c r="Y13" s="7"/>
      <c r="Z13" s="18">
        <f>SUMIFS('Stock - ETA'!$S$3:S4963,'Stock - ETA'!$F$3:F4963,'Rango proyecciones'!C13,'Stock - ETA'!$AA$3:AA4963,'Rango proyecciones'!$AJ$5) + SUMIFS('Stock - ETA'!$R$3:R4963,'Stock - ETA'!$F$3:F4963,'Rango proyecciones'!C13,'Stock - ETA'!$AA$3:AA4963,'Rango proyecciones'!$AJ$7)</f>
        <v>0</v>
      </c>
      <c r="AA13" s="13">
        <f t="shared" si="4"/>
        <v>0</v>
      </c>
      <c r="AB13" s="7">
        <f>SUMIFS('Stock - ETA'!$I$3:I4963,'Stock - ETA'!$F$3:F4963,'Rango proyecciones'!C13,'Stock - ETA'!$Q$3:Q4963,'Rango proyecciones'!$AJ$5) + SUMIFS('Stock - ETA'!$H$3:H4963,'Stock - ETA'!$F$3:F4963,'Rango proyecciones'!C13,'Stock - ETA'!$Q$3:Q4963,'Rango proyecciones'!$AJ$7)</f>
        <v>0</v>
      </c>
      <c r="AC13" s="16">
        <f t="shared" si="5"/>
        <v>0</v>
      </c>
      <c r="AD13" s="4">
        <v>19740</v>
      </c>
      <c r="AE13" s="7">
        <f>SUMIFS('Stock - ETA'!$T$3:T4963,'Stock - ETA'!$F$3:F4963,'Rango proyecciones'!C13,'Stock - ETA'!$AA$3:AA4963,'Rango proyecciones'!$AJ$5) + SUMIFS('Stock - ETA'!$S$3:S4963,'Stock - ETA'!$F$3:F4963,'Rango proyecciones'!C13,'Stock - ETA'!$AA$3:AA4963,'Rango proyecciones'!$AJ$8)</f>
        <v>0</v>
      </c>
      <c r="AF13" s="16">
        <f t="shared" si="6"/>
        <v>11844</v>
      </c>
      <c r="AG13" s="7">
        <f>SUMIFS('Stock - ETA'!$J$3:J4963,'Stock - ETA'!$F$3:F4963,'Rango proyecciones'!C13,'Stock - ETA'!$Q$3:Q4963,'Rango proyecciones'!$AJ$5) + SUMIFS('Stock - ETA'!$I$3:I4963,'Stock - ETA'!$F$3:F4963,'Rango proyecciones'!C13,'Stock - ETA'!$Q$3:Q4963,'Rango proyecciones'!$AJ$8)</f>
        <v>0</v>
      </c>
      <c r="AH13" s="16">
        <f t="shared" si="7"/>
        <v>11844</v>
      </c>
      <c r="AI13" s="4"/>
    </row>
    <row r="14" spans="1:37" x14ac:dyDescent="0.2">
      <c r="A14" s="2" t="s">
        <v>50</v>
      </c>
      <c r="B14" s="2" t="s">
        <v>35</v>
      </c>
      <c r="C14" s="2" t="s">
        <v>77</v>
      </c>
      <c r="D14" s="2" t="s">
        <v>52</v>
      </c>
      <c r="E14" s="2">
        <v>1030452</v>
      </c>
      <c r="F14" s="2" t="s">
        <v>78</v>
      </c>
      <c r="G14" s="2" t="s">
        <v>79</v>
      </c>
      <c r="H14" s="4">
        <v>0</v>
      </c>
      <c r="I14" s="7">
        <v>0</v>
      </c>
      <c r="J14" s="7">
        <v>8060</v>
      </c>
      <c r="K14" s="7"/>
      <c r="L14" s="4">
        <f t="shared" si="0"/>
        <v>12090</v>
      </c>
      <c r="M14" s="7">
        <f>SUMIFS('Stock - ETA'!$R$3:R4963,'Stock - ETA'!$F$3:F4963,'Rango proyecciones'!C14,'Stock - ETA'!$AA$3:AA4963,'Rango proyecciones'!$AJ$5)</f>
        <v>12797.25913</v>
      </c>
      <c r="N14" s="7">
        <f>SUMIF('Stock - Puerto Chile'!$G$2:G973,'Rango proyecciones'!C14,'Stock - Puerto Chile'!$L$2:L973)</f>
        <v>45123.304199999999</v>
      </c>
      <c r="O14" s="7">
        <f>23418.763 * (25 / 27)</f>
        <v>21684.039814814812</v>
      </c>
      <c r="P14" s="7">
        <f>57654.476 * (25 / 27)</f>
        <v>53383.774074074077</v>
      </c>
      <c r="Q14" s="16">
        <f t="shared" si="1"/>
        <v>66181.033204074076</v>
      </c>
      <c r="R14" s="7">
        <f t="shared" si="2"/>
        <v>20725.714285714286</v>
      </c>
      <c r="S14" s="7">
        <f>SUMIFS('Stock - ETA'!$H$3:H4963,'Stock - ETA'!$F$3:F4963,'Rango proyecciones'!C14,'Stock - ETA'!$Q$3:Q4963,'Rango proyecciones'!$AJ$5)</f>
        <v>12797.25913</v>
      </c>
      <c r="T14" s="7">
        <f>SUMIF('Stock - Puerto Chile'!$G$2:G973,'Rango proyecciones'!C14,'Stock - Puerto Chile'!$N$2:N973)</f>
        <v>54147.965039999995</v>
      </c>
      <c r="U14" s="7">
        <f>23418.763 * (25 / 27)</f>
        <v>21684.039814814812</v>
      </c>
      <c r="V14" s="7">
        <f>57654.476 * (25 / 27)</f>
        <v>53383.774074074077</v>
      </c>
      <c r="W14" s="17">
        <f t="shared" si="3"/>
        <v>87865.073018888885</v>
      </c>
      <c r="X14" s="4">
        <v>48081</v>
      </c>
      <c r="Y14" s="7">
        <v>48081</v>
      </c>
      <c r="Z14" s="18">
        <f>SUMIFS('Stock - ETA'!$S$3:S4963,'Stock - ETA'!$F$3:F4963,'Rango proyecciones'!C14,'Stock - ETA'!$AA$3:AA4963,'Rango proyecciones'!$AJ$5) + SUMIFS('Stock - ETA'!$R$3:R4963,'Stock - ETA'!$F$3:F4963,'Rango proyecciones'!C14,'Stock - ETA'!$AA$3:AA4963,'Rango proyecciones'!$AJ$7)</f>
        <v>12800.7654</v>
      </c>
      <c r="AA14" s="13">
        <f t="shared" si="4"/>
        <v>60881.765400000004</v>
      </c>
      <c r="AB14" s="7">
        <f>SUMIFS('Stock - ETA'!$I$3:I4963,'Stock - ETA'!$F$3:F4963,'Rango proyecciones'!C14,'Stock - ETA'!$Q$3:Q4963,'Rango proyecciones'!$AJ$5) + SUMIFS('Stock - ETA'!$H$3:H4963,'Stock - ETA'!$F$3:F4963,'Rango proyecciones'!C14,'Stock - ETA'!$Q$3:Q4963,'Rango proyecciones'!$AJ$7)</f>
        <v>12800.7654</v>
      </c>
      <c r="AC14" s="16">
        <f t="shared" si="5"/>
        <v>60881.765400000004</v>
      </c>
      <c r="AD14" s="4">
        <v>48081</v>
      </c>
      <c r="AE14" s="7">
        <f>SUMIFS('Stock - ETA'!$T$3:T4963,'Stock - ETA'!$F$3:F4963,'Rango proyecciones'!C14,'Stock - ETA'!$AA$3:AA4963,'Rango proyecciones'!$AJ$5) + SUMIFS('Stock - ETA'!$S$3:S4963,'Stock - ETA'!$F$3:F4963,'Rango proyecciones'!C14,'Stock - ETA'!$AA$3:AA4963,'Rango proyecciones'!$AJ$8)</f>
        <v>0</v>
      </c>
      <c r="AF14" s="16">
        <f t="shared" si="6"/>
        <v>28848.6</v>
      </c>
      <c r="AG14" s="7">
        <f>SUMIFS('Stock - ETA'!$J$3:J4963,'Stock - ETA'!$F$3:F4963,'Rango proyecciones'!C14,'Stock - ETA'!$Q$3:Q4963,'Rango proyecciones'!$AJ$5) + SUMIFS('Stock - ETA'!$I$3:I4963,'Stock - ETA'!$F$3:F4963,'Rango proyecciones'!C14,'Stock - ETA'!$Q$3:Q4963,'Rango proyecciones'!$AJ$8)</f>
        <v>0</v>
      </c>
      <c r="AH14" s="16">
        <f t="shared" si="7"/>
        <v>28848.6</v>
      </c>
      <c r="AI14" s="4"/>
    </row>
    <row r="15" spans="1:37" x14ac:dyDescent="0.2">
      <c r="A15" s="2" t="s">
        <v>50</v>
      </c>
      <c r="B15" s="2" t="s">
        <v>35</v>
      </c>
      <c r="C15" s="2" t="s">
        <v>80</v>
      </c>
      <c r="D15" s="2" t="s">
        <v>52</v>
      </c>
      <c r="E15" s="2">
        <v>1030782</v>
      </c>
      <c r="F15" s="2" t="s">
        <v>81</v>
      </c>
      <c r="G15" s="2" t="s">
        <v>79</v>
      </c>
      <c r="H15" s="4">
        <v>0</v>
      </c>
      <c r="I15" s="7">
        <v>0</v>
      </c>
      <c r="J15" s="7">
        <v>4420</v>
      </c>
      <c r="K15" s="7"/>
      <c r="L15" s="4">
        <f t="shared" si="0"/>
        <v>6630</v>
      </c>
      <c r="M15" s="7">
        <f>SUMIFS('Stock - ETA'!$R$3:R4963,'Stock - ETA'!$F$3:F4963,'Rango proyecciones'!C15,'Stock - ETA'!$AA$3:AA4963,'Rango proyecciones'!$AJ$5)</f>
        <v>0</v>
      </c>
      <c r="N15" s="7">
        <f>SUMIF('Stock - Puerto Chile'!$G$2:G973,'Rango proyecciones'!C15,'Stock - Puerto Chile'!$L$2:L973)</f>
        <v>0</v>
      </c>
      <c r="O15" s="7">
        <f>17152.16 * (25 / 27)</f>
        <v>15881.62962962963</v>
      </c>
      <c r="P15" s="7">
        <f>41929.13 * (25 / 27)</f>
        <v>38823.268518518518</v>
      </c>
      <c r="Q15" s="16">
        <f t="shared" si="1"/>
        <v>38823.268518518518</v>
      </c>
      <c r="R15" s="7">
        <f t="shared" si="2"/>
        <v>11365.714285714286</v>
      </c>
      <c r="S15" s="7">
        <f>SUMIFS('Stock - ETA'!$H$3:H4963,'Stock - ETA'!$F$3:F4963,'Rango proyecciones'!C15,'Stock - ETA'!$Q$3:Q4963,'Rango proyecciones'!$AJ$5)</f>
        <v>0</v>
      </c>
      <c r="T15" s="7">
        <f>SUMIF('Stock - Puerto Chile'!$G$2:G973,'Rango proyecciones'!C15,'Stock - Puerto Chile'!$N$2:N973)</f>
        <v>0</v>
      </c>
      <c r="U15" s="7">
        <f>17152.16 * (25 / 27)</f>
        <v>15881.62962962963</v>
      </c>
      <c r="V15" s="7">
        <f>41929.13 * (25 / 27)</f>
        <v>38823.268518518518</v>
      </c>
      <c r="W15" s="17">
        <f t="shared" si="3"/>
        <v>54704.898148148146</v>
      </c>
      <c r="X15" s="4"/>
      <c r="Y15" s="7"/>
      <c r="Z15" s="18">
        <f>SUMIFS('Stock - ETA'!$S$3:S4963,'Stock - ETA'!$F$3:F4963,'Rango proyecciones'!C15,'Stock - ETA'!$AA$3:AA4963,'Rango proyecciones'!$AJ$5) + SUMIFS('Stock - ETA'!$R$3:R4963,'Stock - ETA'!$F$3:F4963,'Rango proyecciones'!C15,'Stock - ETA'!$AA$3:AA4963,'Rango proyecciones'!$AJ$7)</f>
        <v>0</v>
      </c>
      <c r="AA15" s="13">
        <f t="shared" si="4"/>
        <v>0</v>
      </c>
      <c r="AB15" s="7">
        <f>SUMIFS('Stock - ETA'!$I$3:I4963,'Stock - ETA'!$F$3:F4963,'Rango proyecciones'!C15,'Stock - ETA'!$Q$3:Q4963,'Rango proyecciones'!$AJ$5) + SUMIFS('Stock - ETA'!$H$3:H4963,'Stock - ETA'!$F$3:F4963,'Rango proyecciones'!C15,'Stock - ETA'!$Q$3:Q4963,'Rango proyecciones'!$AJ$7)</f>
        <v>0</v>
      </c>
      <c r="AC15" s="16">
        <f t="shared" si="5"/>
        <v>0</v>
      </c>
      <c r="AD15" s="4"/>
      <c r="AE15" s="7">
        <f>SUMIFS('Stock - ETA'!$T$3:T4963,'Stock - ETA'!$F$3:F4963,'Rango proyecciones'!C15,'Stock - ETA'!$AA$3:AA4963,'Rango proyecciones'!$AJ$5) + SUMIFS('Stock - ETA'!$S$3:S4963,'Stock - ETA'!$F$3:F4963,'Rango proyecciones'!C15,'Stock - ETA'!$AA$3:AA4963,'Rango proyecciones'!$AJ$8)</f>
        <v>0</v>
      </c>
      <c r="AF15" s="16">
        <f t="shared" si="6"/>
        <v>0</v>
      </c>
      <c r="AG15" s="7">
        <f>SUMIFS('Stock - ETA'!$J$3:J4963,'Stock - ETA'!$F$3:F4963,'Rango proyecciones'!C15,'Stock - ETA'!$Q$3:Q4963,'Rango proyecciones'!$AJ$5) + SUMIFS('Stock - ETA'!$I$3:I4963,'Stock - ETA'!$F$3:F4963,'Rango proyecciones'!C15,'Stock - ETA'!$Q$3:Q4963,'Rango proyecciones'!$AJ$8)</f>
        <v>0</v>
      </c>
      <c r="AH15" s="16">
        <f t="shared" si="7"/>
        <v>0</v>
      </c>
      <c r="AI15" s="4"/>
    </row>
    <row r="16" spans="1:37" x14ac:dyDescent="0.2">
      <c r="A16" s="2" t="s">
        <v>56</v>
      </c>
      <c r="B16" s="2" t="s">
        <v>35</v>
      </c>
      <c r="C16" s="2" t="s">
        <v>82</v>
      </c>
      <c r="D16" s="2" t="s">
        <v>52</v>
      </c>
      <c r="E16" s="2">
        <v>1011701</v>
      </c>
      <c r="F16" s="2" t="s">
        <v>83</v>
      </c>
      <c r="G16" s="2" t="s">
        <v>59</v>
      </c>
      <c r="H16" s="4">
        <v>0</v>
      </c>
      <c r="I16" s="7">
        <v>0</v>
      </c>
      <c r="J16" s="7">
        <v>0</v>
      </c>
      <c r="K16" s="7">
        <v>0</v>
      </c>
      <c r="L16" s="4">
        <f t="shared" si="0"/>
        <v>0</v>
      </c>
      <c r="M16" s="7">
        <f>SUMIFS('Stock - ETA'!$R$3:R4963,'Stock - ETA'!$F$3:F4963,'Rango proyecciones'!C16,'Stock - ETA'!$AA$3:AA4963,'Rango proyecciones'!$AJ$5)</f>
        <v>54413.386200000008</v>
      </c>
      <c r="N16" s="7">
        <f>SUMIF('Stock - Puerto Chile'!$G$2:G973,'Rango proyecciones'!C16,'Stock - Puerto Chile'!$L$2:L973)</f>
        <v>43533.228000000003</v>
      </c>
      <c r="O16" s="7">
        <f>0 * (25 / 27)</f>
        <v>0</v>
      </c>
      <c r="P16" s="7">
        <f>78055.265 * (25 / 27)</f>
        <v>72273.393518518526</v>
      </c>
      <c r="Q16" s="16">
        <f t="shared" si="1"/>
        <v>126686.77971851853</v>
      </c>
      <c r="R16" s="7">
        <f t="shared" si="2"/>
        <v>0</v>
      </c>
      <c r="S16" s="7">
        <f>SUMIFS('Stock - ETA'!$H$3:H4963,'Stock - ETA'!$F$3:F4963,'Rango proyecciones'!C16,'Stock - ETA'!$Q$3:Q4963,'Rango proyecciones'!$AJ$5)</f>
        <v>54413.386200000008</v>
      </c>
      <c r="T16" s="7">
        <f>SUMIF('Stock - Puerto Chile'!$G$2:G973,'Rango proyecciones'!C16,'Stock - Puerto Chile'!$N$2:N973)</f>
        <v>52239.873599999999</v>
      </c>
      <c r="U16" s="7">
        <f>0 * (25 / 27)</f>
        <v>0</v>
      </c>
      <c r="V16" s="7">
        <f>78055.265 * (25 / 27)</f>
        <v>72273.393518518526</v>
      </c>
      <c r="W16" s="17">
        <f t="shared" si="3"/>
        <v>126686.77971851853</v>
      </c>
      <c r="X16" s="4">
        <v>72576</v>
      </c>
      <c r="Y16" s="7">
        <v>72576</v>
      </c>
      <c r="Z16" s="18">
        <f>SUMIFS('Stock - ETA'!$S$3:S4963,'Stock - ETA'!$F$3:F4963,'Rango proyecciones'!C16,'Stock - ETA'!$AA$3:AA4963,'Rango proyecciones'!$AJ$5) + SUMIFS('Stock - ETA'!$R$3:R4963,'Stock - ETA'!$F$3:F4963,'Rango proyecciones'!C16,'Stock - ETA'!$AA$3:AA4963,'Rango proyecciones'!$AJ$7)</f>
        <v>118904.05348999999</v>
      </c>
      <c r="AA16" s="13">
        <f t="shared" si="4"/>
        <v>191480.05348999999</v>
      </c>
      <c r="AB16" s="7">
        <f>SUMIFS('Stock - ETA'!$I$3:I4963,'Stock - ETA'!$F$3:F4963,'Rango proyecciones'!C16,'Stock - ETA'!$Q$3:Q4963,'Rango proyecciones'!$AJ$5) + SUMIFS('Stock - ETA'!$H$3:H4963,'Stock - ETA'!$F$3:F4963,'Rango proyecciones'!C16,'Stock - ETA'!$Q$3:Q4963,'Rango proyecciones'!$AJ$7)</f>
        <v>118904.05348999999</v>
      </c>
      <c r="AC16" s="16">
        <f t="shared" si="5"/>
        <v>191480.05348999999</v>
      </c>
      <c r="AD16" s="4">
        <v>72576</v>
      </c>
      <c r="AE16" s="7">
        <f>SUMIFS('Stock - ETA'!$T$3:T4963,'Stock - ETA'!$F$3:F4963,'Rango proyecciones'!C16,'Stock - ETA'!$AA$3:AA4963,'Rango proyecciones'!$AJ$5) + SUMIFS('Stock - ETA'!$S$3:S4963,'Stock - ETA'!$F$3:F4963,'Rango proyecciones'!C16,'Stock - ETA'!$AA$3:AA4963,'Rango proyecciones'!$AJ$8)</f>
        <v>0</v>
      </c>
      <c r="AF16" s="16">
        <f t="shared" si="6"/>
        <v>43545.599999999999</v>
      </c>
      <c r="AG16" s="7">
        <f>SUMIFS('Stock - ETA'!$J$3:J4963,'Stock - ETA'!$F$3:F4963,'Rango proyecciones'!C16,'Stock - ETA'!$Q$3:Q4963,'Rango proyecciones'!$AJ$5) + SUMIFS('Stock - ETA'!$I$3:I4963,'Stock - ETA'!$F$3:F4963,'Rango proyecciones'!C16,'Stock - ETA'!$Q$3:Q4963,'Rango proyecciones'!$AJ$8)</f>
        <v>0</v>
      </c>
      <c r="AH16" s="16">
        <f t="shared" si="7"/>
        <v>43545.599999999999</v>
      </c>
      <c r="AI16" s="4"/>
    </row>
    <row r="17" spans="1:35" x14ac:dyDescent="0.2">
      <c r="A17" s="2" t="s">
        <v>56</v>
      </c>
      <c r="B17" s="2" t="s">
        <v>35</v>
      </c>
      <c r="C17" s="2" t="s">
        <v>84</v>
      </c>
      <c r="D17" s="2" t="s">
        <v>52</v>
      </c>
      <c r="E17" s="2">
        <v>1012145</v>
      </c>
      <c r="F17" s="2" t="s">
        <v>85</v>
      </c>
      <c r="G17" s="2" t="s">
        <v>59</v>
      </c>
      <c r="H17" s="4">
        <v>0</v>
      </c>
      <c r="I17" s="7">
        <v>0</v>
      </c>
      <c r="J17" s="7">
        <v>8000</v>
      </c>
      <c r="K17" s="7">
        <v>3568.93</v>
      </c>
      <c r="L17" s="4">
        <f t="shared" si="0"/>
        <v>6646.6049999999996</v>
      </c>
      <c r="M17" s="7">
        <f>SUMIFS('Stock - ETA'!$R$3:R4963,'Stock - ETA'!$F$3:F4963,'Rango proyecciones'!C17,'Stock - ETA'!$AA$3:AA4963,'Rango proyecciones'!$AJ$5)</f>
        <v>118550.80512</v>
      </c>
      <c r="N17" s="7">
        <f>SUMIF('Stock - Puerto Chile'!$G$2:G973,'Rango proyecciones'!C17,'Stock - Puerto Chile'!$L$2:L973)</f>
        <v>47422.32</v>
      </c>
      <c r="O17" s="7">
        <f>0 * (25 / 27)</f>
        <v>0</v>
      </c>
      <c r="P17" s="7">
        <f>66067.914 * (25 / 27)</f>
        <v>61173.994444444448</v>
      </c>
      <c r="Q17" s="16">
        <f t="shared" si="1"/>
        <v>179724.79956444446</v>
      </c>
      <c r="R17" s="7">
        <f t="shared" si="2"/>
        <v>11394.18</v>
      </c>
      <c r="S17" s="7">
        <f>SUMIFS('Stock - ETA'!$H$3:H4963,'Stock - ETA'!$F$3:F4963,'Rango proyecciones'!C17,'Stock - ETA'!$Q$3:Q4963,'Rango proyecciones'!$AJ$5)</f>
        <v>118550.80512</v>
      </c>
      <c r="T17" s="7">
        <f>SUMIF('Stock - Puerto Chile'!$G$2:G973,'Rango proyecciones'!C17,'Stock - Puerto Chile'!$N$2:N973)</f>
        <v>56906.783999999992</v>
      </c>
      <c r="U17" s="7">
        <f>0 * (25 / 27)</f>
        <v>0</v>
      </c>
      <c r="V17" s="7">
        <f>66067.914 * (25 / 27)</f>
        <v>61173.994444444448</v>
      </c>
      <c r="W17" s="17">
        <f t="shared" si="3"/>
        <v>179724.79956444446</v>
      </c>
      <c r="X17" s="4">
        <v>188350</v>
      </c>
      <c r="Y17" s="7">
        <v>188350</v>
      </c>
      <c r="Z17" s="18">
        <f>SUMIFS('Stock - ETA'!$S$3:S4963,'Stock - ETA'!$F$3:F4963,'Rango proyecciones'!C17,'Stock - ETA'!$AA$3:AA4963,'Rango proyecciones'!$AJ$5) + SUMIFS('Stock - ETA'!$R$3:R4963,'Stock - ETA'!$F$3:F4963,'Rango proyecciones'!C17,'Stock - ETA'!$AA$3:AA4963,'Rango proyecciones'!$AJ$7)</f>
        <v>19758.467519999998</v>
      </c>
      <c r="AA17" s="13">
        <f t="shared" si="4"/>
        <v>208108.46752000001</v>
      </c>
      <c r="AB17" s="7">
        <f>SUMIFS('Stock - ETA'!$I$3:I4963,'Stock - ETA'!$F$3:F4963,'Rango proyecciones'!C17,'Stock - ETA'!$Q$3:Q4963,'Rango proyecciones'!$AJ$5) + SUMIFS('Stock - ETA'!$H$3:H4963,'Stock - ETA'!$F$3:F4963,'Rango proyecciones'!C17,'Stock - ETA'!$Q$3:Q4963,'Rango proyecciones'!$AJ$7)</f>
        <v>19758.467519999998</v>
      </c>
      <c r="AC17" s="16">
        <f t="shared" si="5"/>
        <v>208108.46752000001</v>
      </c>
      <c r="AD17" s="4">
        <v>139708</v>
      </c>
      <c r="AE17" s="7">
        <f>SUMIFS('Stock - ETA'!$T$3:T4963,'Stock - ETA'!$F$3:F4963,'Rango proyecciones'!C17,'Stock - ETA'!$AA$3:AA4963,'Rango proyecciones'!$AJ$5) + SUMIFS('Stock - ETA'!$S$3:S4963,'Stock - ETA'!$F$3:F4963,'Rango proyecciones'!C17,'Stock - ETA'!$AA$3:AA4963,'Rango proyecciones'!$AJ$8)</f>
        <v>39516.935039999997</v>
      </c>
      <c r="AF17" s="16">
        <f t="shared" si="6"/>
        <v>123341.73504</v>
      </c>
      <c r="AG17" s="7">
        <f>SUMIFS('Stock - ETA'!$J$3:J4963,'Stock - ETA'!$F$3:F4963,'Rango proyecciones'!C17,'Stock - ETA'!$Q$3:Q4963,'Rango proyecciones'!$AJ$5) + SUMIFS('Stock - ETA'!$I$3:I4963,'Stock - ETA'!$F$3:F4963,'Rango proyecciones'!C17,'Stock - ETA'!$Q$3:Q4963,'Rango proyecciones'!$AJ$8)</f>
        <v>39516.935039999997</v>
      </c>
      <c r="AH17" s="16">
        <f t="shared" si="7"/>
        <v>123341.73504</v>
      </c>
      <c r="AI17" s="4"/>
    </row>
    <row r="18" spans="1:35" x14ac:dyDescent="0.2">
      <c r="A18" s="2" t="s">
        <v>56</v>
      </c>
      <c r="B18" s="2" t="s">
        <v>35</v>
      </c>
      <c r="C18" s="2" t="s">
        <v>86</v>
      </c>
      <c r="D18" s="2" t="s">
        <v>52</v>
      </c>
      <c r="E18" s="2">
        <v>1012158</v>
      </c>
      <c r="F18" s="2" t="s">
        <v>87</v>
      </c>
      <c r="G18" s="2" t="s">
        <v>67</v>
      </c>
      <c r="H18" s="4">
        <v>0</v>
      </c>
      <c r="I18" s="7">
        <v>0</v>
      </c>
      <c r="J18" s="7">
        <v>0</v>
      </c>
      <c r="K18" s="7">
        <v>0</v>
      </c>
      <c r="L18" s="4">
        <f t="shared" si="0"/>
        <v>0</v>
      </c>
      <c r="M18" s="7">
        <f>SUMIFS('Stock - ETA'!$R$3:R4963,'Stock - ETA'!$F$3:F4963,'Rango proyecciones'!C18,'Stock - ETA'!$AA$3:AA4963,'Rango proyecciones'!$AJ$5)</f>
        <v>150592.54399999999</v>
      </c>
      <c r="N18" s="7">
        <f>SUMIF('Stock - Puerto Chile'!$G$2:G973,'Rango proyecciones'!C18,'Stock - Puerto Chile'!$L$2:L973)</f>
        <v>145877.76000000001</v>
      </c>
      <c r="O18" s="7">
        <f>1814.4 * (25 / 27)</f>
        <v>1680</v>
      </c>
      <c r="P18" s="7">
        <f>134338.176 * (25 / 27)</f>
        <v>124387.20000000001</v>
      </c>
      <c r="Q18" s="16">
        <f t="shared" si="1"/>
        <v>274979.74400000001</v>
      </c>
      <c r="R18" s="7">
        <f t="shared" si="2"/>
        <v>0</v>
      </c>
      <c r="S18" s="7">
        <f>SUMIFS('Stock - ETA'!$H$3:H4963,'Stock - ETA'!$F$3:F4963,'Rango proyecciones'!C18,'Stock - ETA'!$Q$3:Q4963,'Rango proyecciones'!$AJ$5)</f>
        <v>150592.54399999999</v>
      </c>
      <c r="T18" s="7">
        <f>SUMIF('Stock - Puerto Chile'!$G$2:G973,'Rango proyecciones'!C18,'Stock - Puerto Chile'!$N$2:N973)</f>
        <v>175053.31200000001</v>
      </c>
      <c r="U18" s="7">
        <f>1814.4 * (25 / 27)</f>
        <v>1680</v>
      </c>
      <c r="V18" s="7">
        <f>134338.176 * (25 / 27)</f>
        <v>124387.20000000001</v>
      </c>
      <c r="W18" s="17">
        <f t="shared" si="3"/>
        <v>276659.74400000001</v>
      </c>
      <c r="X18" s="4">
        <v>105688</v>
      </c>
      <c r="Y18" s="7">
        <v>105688</v>
      </c>
      <c r="Z18" s="18">
        <f>SUMIFS('Stock - ETA'!$S$3:S4963,'Stock - ETA'!$F$3:F4963,'Rango proyecciones'!C18,'Stock - ETA'!$AA$3:AA4963,'Rango proyecciones'!$AJ$5) + SUMIFS('Stock - ETA'!$R$3:R4963,'Stock - ETA'!$F$3:F4963,'Rango proyecciones'!C18,'Stock - ETA'!$AA$3:AA4963,'Rango proyecciones'!$AJ$7)</f>
        <v>19958.047999999999</v>
      </c>
      <c r="AA18" s="13">
        <f t="shared" si="4"/>
        <v>125646.048</v>
      </c>
      <c r="AB18" s="7">
        <f>SUMIFS('Stock - ETA'!$I$3:I4963,'Stock - ETA'!$F$3:F4963,'Rango proyecciones'!C18,'Stock - ETA'!$Q$3:Q4963,'Rango proyecciones'!$AJ$5) + SUMIFS('Stock - ETA'!$H$3:H4963,'Stock - ETA'!$F$3:F4963,'Rango proyecciones'!C18,'Stock - ETA'!$Q$3:Q4963,'Rango proyecciones'!$AJ$7)</f>
        <v>19958.047999999999</v>
      </c>
      <c r="AC18" s="16">
        <f t="shared" si="5"/>
        <v>125646.048</v>
      </c>
      <c r="AD18" s="4">
        <v>145605</v>
      </c>
      <c r="AE18" s="7">
        <f>SUMIFS('Stock - ETA'!$T$3:T4963,'Stock - ETA'!$F$3:F4963,'Rango proyecciones'!C18,'Stock - ETA'!$AA$3:AA4963,'Rango proyecciones'!$AJ$5) + SUMIFS('Stock - ETA'!$S$3:S4963,'Stock - ETA'!$F$3:F4963,'Rango proyecciones'!C18,'Stock - ETA'!$AA$3:AA4963,'Rango proyecciones'!$AJ$8)</f>
        <v>0</v>
      </c>
      <c r="AF18" s="16">
        <f t="shared" si="6"/>
        <v>87363</v>
      </c>
      <c r="AG18" s="7">
        <f>SUMIFS('Stock - ETA'!$J$3:J4963,'Stock - ETA'!$F$3:F4963,'Rango proyecciones'!C18,'Stock - ETA'!$Q$3:Q4963,'Rango proyecciones'!$AJ$5) + SUMIFS('Stock - ETA'!$I$3:I4963,'Stock - ETA'!$F$3:F4963,'Rango proyecciones'!C18,'Stock - ETA'!$Q$3:Q4963,'Rango proyecciones'!$AJ$8)</f>
        <v>0</v>
      </c>
      <c r="AH18" s="16">
        <f t="shared" si="7"/>
        <v>87363</v>
      </c>
      <c r="AI18" s="4"/>
    </row>
    <row r="19" spans="1:35" x14ac:dyDescent="0.2">
      <c r="A19" s="2" t="s">
        <v>56</v>
      </c>
      <c r="B19" s="2" t="s">
        <v>35</v>
      </c>
      <c r="C19" s="2" t="s">
        <v>88</v>
      </c>
      <c r="D19" s="2" t="s">
        <v>52</v>
      </c>
      <c r="E19" s="2">
        <v>1012159</v>
      </c>
      <c r="F19" s="2" t="s">
        <v>89</v>
      </c>
      <c r="G19" s="2" t="s">
        <v>63</v>
      </c>
      <c r="H19" s="4">
        <v>0</v>
      </c>
      <c r="I19" s="7">
        <v>0</v>
      </c>
      <c r="J19" s="7">
        <v>19569</v>
      </c>
      <c r="K19" s="7"/>
      <c r="L19" s="4">
        <f t="shared" si="0"/>
        <v>29353.5</v>
      </c>
      <c r="M19" s="7">
        <f>SUMIFS('Stock - ETA'!$R$3:R4963,'Stock - ETA'!$F$3:F4963,'Rango proyecciones'!C19,'Stock - ETA'!$AA$3:AA4963,'Rango proyecciones'!$AJ$5)</f>
        <v>16873.6224</v>
      </c>
      <c r="N19" s="7">
        <f>SUMIF('Stock - Puerto Chile'!$G$2:G973,'Rango proyecciones'!C19,'Stock - Puerto Chile'!$L$2:L973)</f>
        <v>2177.2800000000002</v>
      </c>
      <c r="O19" s="7">
        <f>36288 * (25 / 27)</f>
        <v>33600</v>
      </c>
      <c r="P19" s="7">
        <f>58913.568 * (25 / 27)</f>
        <v>54549.599999999999</v>
      </c>
      <c r="Q19" s="16">
        <f t="shared" si="1"/>
        <v>71423.222399999999</v>
      </c>
      <c r="R19" s="7">
        <f t="shared" si="2"/>
        <v>50320.285714285717</v>
      </c>
      <c r="S19" s="7">
        <f>SUMIFS('Stock - ETA'!$H$3:H4963,'Stock - ETA'!$F$3:F4963,'Rango proyecciones'!C19,'Stock - ETA'!$Q$3:Q4963,'Rango proyecciones'!$AJ$5)</f>
        <v>16873.6224</v>
      </c>
      <c r="T19" s="7">
        <f>SUMIF('Stock - Puerto Chile'!$G$2:G973,'Rango proyecciones'!C19,'Stock - Puerto Chile'!$N$2:N973)</f>
        <v>2612.7359999999999</v>
      </c>
      <c r="U19" s="7">
        <f>36288 * (25 / 27)</f>
        <v>33600</v>
      </c>
      <c r="V19" s="7">
        <f>58913.568 * (25 / 27)</f>
        <v>54549.599999999999</v>
      </c>
      <c r="W19" s="17">
        <f t="shared" si="3"/>
        <v>105023.2224</v>
      </c>
      <c r="X19" s="4"/>
      <c r="Y19" s="7"/>
      <c r="Z19" s="18">
        <f>SUMIFS('Stock - ETA'!$S$3:S4963,'Stock - ETA'!$F$3:F4963,'Rango proyecciones'!C19,'Stock - ETA'!$AA$3:AA4963,'Rango proyecciones'!$AJ$5) + SUMIFS('Stock - ETA'!$R$3:R4963,'Stock - ETA'!$F$3:F4963,'Rango proyecciones'!C19,'Stock - ETA'!$AA$3:AA4963,'Rango proyecciones'!$AJ$7)</f>
        <v>79832.191999999995</v>
      </c>
      <c r="AA19" s="13">
        <f t="shared" si="4"/>
        <v>79832.191999999995</v>
      </c>
      <c r="AB19" s="7">
        <f>SUMIFS('Stock - ETA'!$I$3:I4963,'Stock - ETA'!$F$3:F4963,'Rango proyecciones'!C19,'Stock - ETA'!$Q$3:Q4963,'Rango proyecciones'!$AJ$5) + SUMIFS('Stock - ETA'!$H$3:H4963,'Stock - ETA'!$F$3:F4963,'Rango proyecciones'!C19,'Stock - ETA'!$Q$3:Q4963,'Rango proyecciones'!$AJ$7)</f>
        <v>79832.191999999995</v>
      </c>
      <c r="AC19" s="16">
        <f t="shared" si="5"/>
        <v>79832.191999999995</v>
      </c>
      <c r="AD19" s="4">
        <v>339291</v>
      </c>
      <c r="AE19" s="7">
        <f>SUMIFS('Stock - ETA'!$T$3:T4963,'Stock - ETA'!$F$3:F4963,'Rango proyecciones'!C19,'Stock - ETA'!$AA$3:AA4963,'Rango proyecciones'!$AJ$5) + SUMIFS('Stock - ETA'!$S$3:S4963,'Stock - ETA'!$F$3:F4963,'Rango proyecciones'!C19,'Stock - ETA'!$AA$3:AA4963,'Rango proyecciones'!$AJ$8)</f>
        <v>0</v>
      </c>
      <c r="AF19" s="16">
        <f t="shared" si="6"/>
        <v>203574.6</v>
      </c>
      <c r="AG19" s="7">
        <f>SUMIFS('Stock - ETA'!$J$3:J4963,'Stock - ETA'!$F$3:F4963,'Rango proyecciones'!C19,'Stock - ETA'!$Q$3:Q4963,'Rango proyecciones'!$AJ$5) + SUMIFS('Stock - ETA'!$I$3:I4963,'Stock - ETA'!$F$3:F4963,'Rango proyecciones'!C19,'Stock - ETA'!$Q$3:Q4963,'Rango proyecciones'!$AJ$8)</f>
        <v>0</v>
      </c>
      <c r="AH19" s="16">
        <f t="shared" si="7"/>
        <v>203574.6</v>
      </c>
      <c r="AI19" s="4"/>
    </row>
    <row r="20" spans="1:35" x14ac:dyDescent="0.2">
      <c r="A20" s="2" t="s">
        <v>56</v>
      </c>
      <c r="B20" s="2" t="s">
        <v>35</v>
      </c>
      <c r="C20" s="2" t="s">
        <v>90</v>
      </c>
      <c r="D20" s="2" t="s">
        <v>52</v>
      </c>
      <c r="E20" s="2">
        <v>1012483</v>
      </c>
      <c r="F20" s="2" t="s">
        <v>91</v>
      </c>
      <c r="G20" s="2" t="s">
        <v>63</v>
      </c>
      <c r="H20" s="4">
        <v>0</v>
      </c>
      <c r="I20" s="7">
        <v>0</v>
      </c>
      <c r="J20" s="7">
        <v>23000</v>
      </c>
      <c r="K20" s="7"/>
      <c r="L20" s="4">
        <f t="shared" si="0"/>
        <v>34500</v>
      </c>
      <c r="M20" s="7">
        <f>SUMIFS('Stock - ETA'!$R$3:R4963,'Stock - ETA'!$F$3:F4963,'Rango proyecciones'!C20,'Stock - ETA'!$AA$3:AA4963,'Rango proyecciones'!$AJ$5)</f>
        <v>179622.432</v>
      </c>
      <c r="N20" s="7">
        <f>SUMIF('Stock - Puerto Chile'!$G$2:G973,'Rango proyecciones'!C20,'Stock - Puerto Chile'!$L$2:L973)</f>
        <v>347428.56959999999</v>
      </c>
      <c r="O20" s="7">
        <f>59875.2 * (25 / 27)</f>
        <v>55440</v>
      </c>
      <c r="P20" s="7">
        <f>361700.573 * (25 / 27)</f>
        <v>334907.93796296295</v>
      </c>
      <c r="Q20" s="16">
        <f t="shared" si="1"/>
        <v>514530.36996296293</v>
      </c>
      <c r="R20" s="7">
        <f t="shared" si="2"/>
        <v>59142.857142857145</v>
      </c>
      <c r="S20" s="7">
        <f>SUMIFS('Stock - ETA'!$H$3:H4963,'Stock - ETA'!$F$3:F4963,'Rango proyecciones'!C20,'Stock - ETA'!$Q$3:Q4963,'Rango proyecciones'!$AJ$5)</f>
        <v>179622.432</v>
      </c>
      <c r="T20" s="7">
        <f>SUMIF('Stock - Puerto Chile'!$G$2:G973,'Rango proyecciones'!C20,'Stock - Puerto Chile'!$N$2:N973)</f>
        <v>416914.28351999994</v>
      </c>
      <c r="U20" s="7">
        <f>59875.2 * (25 / 27)</f>
        <v>55440</v>
      </c>
      <c r="V20" s="7">
        <f>361700.573 * (25 / 27)</f>
        <v>334907.93796296295</v>
      </c>
      <c r="W20" s="17">
        <f t="shared" si="3"/>
        <v>569970.36996296293</v>
      </c>
      <c r="X20" s="4">
        <v>299374</v>
      </c>
      <c r="Y20" s="7">
        <v>299374</v>
      </c>
      <c r="Z20" s="18">
        <f>SUMIFS('Stock - ETA'!$S$3:S4963,'Stock - ETA'!$F$3:F4963,'Rango proyecciones'!C20,'Stock - ETA'!$AA$3:AA4963,'Rango proyecciones'!$AJ$5) + SUMIFS('Stock - ETA'!$R$3:R4963,'Stock - ETA'!$F$3:F4963,'Rango proyecciones'!C20,'Stock - ETA'!$AA$3:AA4963,'Rango proyecciones'!$AJ$7)</f>
        <v>199580.47999999998</v>
      </c>
      <c r="AA20" s="13">
        <f t="shared" si="4"/>
        <v>498954.48</v>
      </c>
      <c r="AB20" s="7">
        <f>SUMIFS('Stock - ETA'!$I$3:I4963,'Stock - ETA'!$F$3:F4963,'Rango proyecciones'!C20,'Stock - ETA'!$Q$3:Q4963,'Rango proyecciones'!$AJ$5) + SUMIFS('Stock - ETA'!$H$3:H4963,'Stock - ETA'!$F$3:F4963,'Rango proyecciones'!C20,'Stock - ETA'!$Q$3:Q4963,'Rango proyecciones'!$AJ$7)</f>
        <v>199580.47999999998</v>
      </c>
      <c r="AC20" s="16">
        <f t="shared" si="5"/>
        <v>498954.48</v>
      </c>
      <c r="AD20" s="4">
        <v>299374</v>
      </c>
      <c r="AE20" s="7">
        <f>SUMIFS('Stock - ETA'!$T$3:T4963,'Stock - ETA'!$F$3:F4963,'Rango proyecciones'!C20,'Stock - ETA'!$AA$3:AA4963,'Rango proyecciones'!$AJ$5) + SUMIFS('Stock - ETA'!$S$3:S4963,'Stock - ETA'!$F$3:F4963,'Rango proyecciones'!C20,'Stock - ETA'!$AA$3:AA4963,'Rango proyecciones'!$AJ$8)</f>
        <v>19958.047999999999</v>
      </c>
      <c r="AF20" s="16">
        <f t="shared" si="6"/>
        <v>199582.448</v>
      </c>
      <c r="AG20" s="7">
        <f>SUMIFS('Stock - ETA'!$J$3:J4963,'Stock - ETA'!$F$3:F4963,'Rango proyecciones'!C20,'Stock - ETA'!$Q$3:Q4963,'Rango proyecciones'!$AJ$5) + SUMIFS('Stock - ETA'!$I$3:I4963,'Stock - ETA'!$F$3:F4963,'Rango proyecciones'!C20,'Stock - ETA'!$Q$3:Q4963,'Rango proyecciones'!$AJ$8)</f>
        <v>19958.047999999999</v>
      </c>
      <c r="AH20" s="16">
        <f t="shared" si="7"/>
        <v>199582.448</v>
      </c>
      <c r="AI20" s="4"/>
    </row>
    <row r="21" spans="1:35" x14ac:dyDescent="0.2">
      <c r="A21" s="2" t="s">
        <v>34</v>
      </c>
      <c r="B21" s="2" t="s">
        <v>35</v>
      </c>
      <c r="C21" s="2" t="s">
        <v>92</v>
      </c>
      <c r="D21" s="2" t="s">
        <v>52</v>
      </c>
      <c r="E21" s="2">
        <v>1023050</v>
      </c>
      <c r="F21" s="2" t="s">
        <v>93</v>
      </c>
      <c r="G21" s="2" t="s">
        <v>43</v>
      </c>
      <c r="H21" s="4">
        <v>0</v>
      </c>
      <c r="I21" s="7">
        <v>0</v>
      </c>
      <c r="J21" s="7"/>
      <c r="K21" s="7">
        <v>1010.54</v>
      </c>
      <c r="L21" s="4">
        <f t="shared" si="0"/>
        <v>0</v>
      </c>
      <c r="M21" s="7">
        <f>SUMIFS('Stock - ETA'!$R$3:R4963,'Stock - ETA'!$F$3:F4963,'Rango proyecciones'!C21,'Stock - ETA'!$AA$3:AA4963,'Rango proyecciones'!$AJ$5)</f>
        <v>0</v>
      </c>
      <c r="N21" s="7">
        <f>SUMIF('Stock - Puerto Chile'!$G$2:G973,'Rango proyecciones'!C21,'Stock - Puerto Chile'!$L$2:L973)</f>
        <v>0</v>
      </c>
      <c r="O21" s="7">
        <f>0 * (25 / 27)</f>
        <v>0</v>
      </c>
      <c r="P21" s="7">
        <f>187.996 * (25 / 27)</f>
        <v>174.07037037037037</v>
      </c>
      <c r="Q21" s="16">
        <f t="shared" si="1"/>
        <v>174.07037037037037</v>
      </c>
      <c r="R21" s="7">
        <f t="shared" si="2"/>
        <v>0</v>
      </c>
      <c r="S21" s="7">
        <f>SUMIFS('Stock - ETA'!$H$3:H4963,'Stock - ETA'!$F$3:F4963,'Rango proyecciones'!C21,'Stock - ETA'!$Q$3:Q4963,'Rango proyecciones'!$AJ$5)</f>
        <v>0</v>
      </c>
      <c r="T21" s="7">
        <f>SUMIF('Stock - Puerto Chile'!$G$2:G973,'Rango proyecciones'!C21,'Stock - Puerto Chile'!$N$2:N973)</f>
        <v>0</v>
      </c>
      <c r="U21" s="7">
        <f>0 * (25 / 27)</f>
        <v>0</v>
      </c>
      <c r="V21" s="7">
        <f>187.996 * (25 / 27)</f>
        <v>174.07037037037037</v>
      </c>
      <c r="W21" s="17">
        <f t="shared" si="3"/>
        <v>174.07037037037037</v>
      </c>
      <c r="X21" s="4"/>
      <c r="Y21" s="7"/>
      <c r="Z21" s="18">
        <f>SUMIFS('Stock - ETA'!$S$3:S4963,'Stock - ETA'!$F$3:F4963,'Rango proyecciones'!C21,'Stock - ETA'!$AA$3:AA4963,'Rango proyecciones'!$AJ$5) + SUMIFS('Stock - ETA'!$R$3:R4963,'Stock - ETA'!$F$3:F4963,'Rango proyecciones'!C21,'Stock - ETA'!$AA$3:AA4963,'Rango proyecciones'!$AJ$7)</f>
        <v>0</v>
      </c>
      <c r="AA21" s="13">
        <f t="shared" si="4"/>
        <v>0</v>
      </c>
      <c r="AB21" s="7">
        <f>SUMIFS('Stock - ETA'!$I$3:I4963,'Stock - ETA'!$F$3:F4963,'Rango proyecciones'!C21,'Stock - ETA'!$Q$3:Q4963,'Rango proyecciones'!$AJ$5) + SUMIFS('Stock - ETA'!$H$3:H4963,'Stock - ETA'!$F$3:F4963,'Rango proyecciones'!C21,'Stock - ETA'!$Q$3:Q4963,'Rango proyecciones'!$AJ$7)</f>
        <v>0</v>
      </c>
      <c r="AC21" s="16">
        <f t="shared" si="5"/>
        <v>0</v>
      </c>
      <c r="AD21" s="4"/>
      <c r="AE21" s="7">
        <f>SUMIFS('Stock - ETA'!$T$3:T4963,'Stock - ETA'!$F$3:F4963,'Rango proyecciones'!C21,'Stock - ETA'!$AA$3:AA4963,'Rango proyecciones'!$AJ$5) + SUMIFS('Stock - ETA'!$S$3:S4963,'Stock - ETA'!$F$3:F4963,'Rango proyecciones'!C21,'Stock - ETA'!$AA$3:AA4963,'Rango proyecciones'!$AJ$8)</f>
        <v>0</v>
      </c>
      <c r="AF21" s="16">
        <f t="shared" si="6"/>
        <v>0</v>
      </c>
      <c r="AG21" s="7">
        <f>SUMIFS('Stock - ETA'!$J$3:J4963,'Stock - ETA'!$F$3:F4963,'Rango proyecciones'!C21,'Stock - ETA'!$Q$3:Q4963,'Rango proyecciones'!$AJ$5) + SUMIFS('Stock - ETA'!$I$3:I4963,'Stock - ETA'!$F$3:F4963,'Rango proyecciones'!C21,'Stock - ETA'!$Q$3:Q4963,'Rango proyecciones'!$AJ$8)</f>
        <v>0</v>
      </c>
      <c r="AH21" s="16">
        <f t="shared" si="7"/>
        <v>0</v>
      </c>
      <c r="AI21" s="4"/>
    </row>
    <row r="22" spans="1:35" x14ac:dyDescent="0.2">
      <c r="A22" s="2" t="s">
        <v>34</v>
      </c>
      <c r="B22" s="2" t="s">
        <v>35</v>
      </c>
      <c r="C22" s="2" t="s">
        <v>94</v>
      </c>
      <c r="D22" s="2" t="s">
        <v>52</v>
      </c>
      <c r="E22" s="2">
        <v>1023276</v>
      </c>
      <c r="F22" s="2" t="s">
        <v>95</v>
      </c>
      <c r="G22" s="2" t="s">
        <v>96</v>
      </c>
      <c r="H22" s="4">
        <v>0</v>
      </c>
      <c r="I22" s="7">
        <v>0</v>
      </c>
      <c r="J22" s="7">
        <v>0</v>
      </c>
      <c r="K22" s="7">
        <v>0</v>
      </c>
      <c r="L22" s="4">
        <f t="shared" si="0"/>
        <v>0</v>
      </c>
      <c r="M22" s="7">
        <f>SUMIFS('Stock - ETA'!$R$3:R4963,'Stock - ETA'!$F$3:F4963,'Rango proyecciones'!C22,'Stock - ETA'!$AA$3:AA4963,'Rango proyecciones'!$AJ$5)</f>
        <v>21088.136183999999</v>
      </c>
      <c r="N22" s="7">
        <f>SUMIF('Stock - Puerto Chile'!$G$2:G973,'Rango proyecciones'!C22,'Stock - Puerto Chile'!$L$2:L973)</f>
        <v>0</v>
      </c>
      <c r="O22" s="7">
        <f>18152.34 * (25 / 27)</f>
        <v>16807.722222222223</v>
      </c>
      <c r="P22" s="7">
        <f>2805.965 * (25 / 27)</f>
        <v>2598.1157407407409</v>
      </c>
      <c r="Q22" s="16">
        <f t="shared" si="1"/>
        <v>23686.25192474074</v>
      </c>
      <c r="R22" s="7">
        <f t="shared" si="2"/>
        <v>0</v>
      </c>
      <c r="S22" s="7">
        <f>SUMIFS('Stock - ETA'!$H$3:H4963,'Stock - ETA'!$F$3:F4963,'Rango proyecciones'!C22,'Stock - ETA'!$Q$3:Q4963,'Rango proyecciones'!$AJ$5)</f>
        <v>21088.136183999999</v>
      </c>
      <c r="T22" s="7">
        <f>SUMIF('Stock - Puerto Chile'!$G$2:G973,'Rango proyecciones'!C22,'Stock - Puerto Chile'!$N$2:N973)</f>
        <v>0</v>
      </c>
      <c r="U22" s="7">
        <f>18152.34 * (25 / 27)</f>
        <v>16807.722222222223</v>
      </c>
      <c r="V22" s="7">
        <f>2805.965 * (25 / 27)</f>
        <v>2598.1157407407409</v>
      </c>
      <c r="W22" s="17">
        <f t="shared" si="3"/>
        <v>40493.974146962966</v>
      </c>
      <c r="X22" s="4"/>
      <c r="Y22" s="7"/>
      <c r="Z22" s="18">
        <f>SUMIFS('Stock - ETA'!$S$3:S4963,'Stock - ETA'!$F$3:F4963,'Rango proyecciones'!C22,'Stock - ETA'!$AA$3:AA4963,'Rango proyecciones'!$AJ$5) + SUMIFS('Stock - ETA'!$R$3:R4963,'Stock - ETA'!$F$3:F4963,'Rango proyecciones'!C22,'Stock - ETA'!$AA$3:AA4963,'Rango proyecciones'!$AJ$7)</f>
        <v>0</v>
      </c>
      <c r="AA22" s="13">
        <f t="shared" si="4"/>
        <v>0</v>
      </c>
      <c r="AB22" s="7">
        <f>SUMIFS('Stock - ETA'!$I$3:I4963,'Stock - ETA'!$F$3:F4963,'Rango proyecciones'!C22,'Stock - ETA'!$Q$3:Q4963,'Rango proyecciones'!$AJ$5) + SUMIFS('Stock - ETA'!$H$3:H4963,'Stock - ETA'!$F$3:F4963,'Rango proyecciones'!C22,'Stock - ETA'!$Q$3:Q4963,'Rango proyecciones'!$AJ$7)</f>
        <v>0</v>
      </c>
      <c r="AC22" s="16">
        <f t="shared" si="5"/>
        <v>0</v>
      </c>
      <c r="AD22" s="4"/>
      <c r="AE22" s="7">
        <f>SUMIFS('Stock - ETA'!$T$3:T4963,'Stock - ETA'!$F$3:F4963,'Rango proyecciones'!C22,'Stock - ETA'!$AA$3:AA4963,'Rango proyecciones'!$AJ$5) + SUMIFS('Stock - ETA'!$S$3:S4963,'Stock - ETA'!$F$3:F4963,'Rango proyecciones'!C22,'Stock - ETA'!$AA$3:AA4963,'Rango proyecciones'!$AJ$8)</f>
        <v>0</v>
      </c>
      <c r="AF22" s="16">
        <f t="shared" si="6"/>
        <v>0</v>
      </c>
      <c r="AG22" s="7">
        <f>SUMIFS('Stock - ETA'!$J$3:J4963,'Stock - ETA'!$F$3:F4963,'Rango proyecciones'!C22,'Stock - ETA'!$Q$3:Q4963,'Rango proyecciones'!$AJ$5) + SUMIFS('Stock - ETA'!$I$3:I4963,'Stock - ETA'!$F$3:F4963,'Rango proyecciones'!C22,'Stock - ETA'!$Q$3:Q4963,'Rango proyecciones'!$AJ$8)</f>
        <v>0</v>
      </c>
      <c r="AH22" s="16">
        <f t="shared" si="7"/>
        <v>0</v>
      </c>
      <c r="AI22" s="4"/>
    </row>
    <row r="23" spans="1:35" x14ac:dyDescent="0.2">
      <c r="A23" s="2" t="s">
        <v>50</v>
      </c>
      <c r="B23" s="2" t="s">
        <v>35</v>
      </c>
      <c r="C23" s="2" t="s">
        <v>97</v>
      </c>
      <c r="D23" s="2" t="s">
        <v>52</v>
      </c>
      <c r="E23" s="2">
        <v>1030379</v>
      </c>
      <c r="F23" s="2" t="s">
        <v>98</v>
      </c>
      <c r="G23" s="2" t="s">
        <v>79</v>
      </c>
      <c r="H23" s="4">
        <v>0</v>
      </c>
      <c r="I23" s="7">
        <v>0</v>
      </c>
      <c r="J23" s="7">
        <v>89616</v>
      </c>
      <c r="K23" s="7"/>
      <c r="L23" s="4">
        <f t="shared" si="0"/>
        <v>134424</v>
      </c>
      <c r="M23" s="7">
        <f>SUMIFS('Stock - ETA'!$R$3:R4963,'Stock - ETA'!$F$3:F4963,'Rango proyecciones'!C23,'Stock - ETA'!$AA$3:AA4963,'Rango proyecciones'!$AJ$5)</f>
        <v>756128.79215999972</v>
      </c>
      <c r="N23" s="7">
        <f>SUMIF('Stock - Puerto Chile'!$G$2:G973,'Rango proyecciones'!C23,'Stock - Puerto Chile'!$L$2:L973)</f>
        <v>585537.43199999991</v>
      </c>
      <c r="O23" s="7">
        <f>135288.12 * (25 / 27)</f>
        <v>125266.77777777778</v>
      </c>
      <c r="P23" s="7">
        <f>321930.58 * (25 / 27)</f>
        <v>298083.87037037039</v>
      </c>
      <c r="Q23" s="16">
        <f t="shared" si="1"/>
        <v>1054212.6625303701</v>
      </c>
      <c r="R23" s="7">
        <f t="shared" si="2"/>
        <v>230441.14285714287</v>
      </c>
      <c r="S23" s="7">
        <f>SUMIFS('Stock - ETA'!$H$3:H4963,'Stock - ETA'!$F$3:F4963,'Rango proyecciones'!C23,'Stock - ETA'!$Q$3:Q4963,'Rango proyecciones'!$AJ$5)</f>
        <v>756128.79215999972</v>
      </c>
      <c r="T23" s="7">
        <f>SUMIF('Stock - Puerto Chile'!$G$2:G973,'Rango proyecciones'!C23,'Stock - Puerto Chile'!$N$2:N973)</f>
        <v>702644.91840000008</v>
      </c>
      <c r="U23" s="7">
        <f>135288.12 * (25 / 27)</f>
        <v>125266.77777777778</v>
      </c>
      <c r="V23" s="7">
        <f>321930.58 * (25 / 27)</f>
        <v>298083.87037037039</v>
      </c>
      <c r="W23" s="17">
        <f t="shared" si="3"/>
        <v>1179479.4403081478</v>
      </c>
      <c r="X23" s="4">
        <v>636217</v>
      </c>
      <c r="Y23" s="7">
        <v>636217</v>
      </c>
      <c r="Z23" s="18">
        <f>SUMIFS('Stock - ETA'!$S$3:S4963,'Stock - ETA'!$F$3:F4963,'Rango proyecciones'!C23,'Stock - ETA'!$AA$3:AA4963,'Rango proyecciones'!$AJ$5) + SUMIFS('Stock - ETA'!$R$3:R4963,'Stock - ETA'!$F$3:F4963,'Rango proyecciones'!C23,'Stock - ETA'!$AA$3:AA4963,'Rango proyecciones'!$AJ$7)</f>
        <v>600174.79071999993</v>
      </c>
      <c r="AA23" s="13">
        <f t="shared" si="4"/>
        <v>1236391.7907199999</v>
      </c>
      <c r="AB23" s="7">
        <f>SUMIFS('Stock - ETA'!$I$3:I4963,'Stock - ETA'!$F$3:F4963,'Rango proyecciones'!C23,'Stock - ETA'!$Q$3:Q4963,'Rango proyecciones'!$AJ$5) + SUMIFS('Stock - ETA'!$H$3:H4963,'Stock - ETA'!$F$3:F4963,'Rango proyecciones'!C23,'Stock - ETA'!$Q$3:Q4963,'Rango proyecciones'!$AJ$7)</f>
        <v>600174.79071999993</v>
      </c>
      <c r="AC23" s="16">
        <f t="shared" si="5"/>
        <v>1236391.7907199999</v>
      </c>
      <c r="AD23" s="4">
        <v>792217</v>
      </c>
      <c r="AE23" s="7">
        <f>SUMIFS('Stock - ETA'!$T$3:T4963,'Stock - ETA'!$F$3:F4963,'Rango proyecciones'!C23,'Stock - ETA'!$AA$3:AA4963,'Rango proyecciones'!$AJ$5) + SUMIFS('Stock - ETA'!$S$3:S4963,'Stock - ETA'!$F$3:F4963,'Rango proyecciones'!C23,'Stock - ETA'!$AA$3:AA4963,'Rango proyecciones'!$AJ$8)</f>
        <v>24004.088640000002</v>
      </c>
      <c r="AF23" s="16">
        <f t="shared" si="6"/>
        <v>499334.28863999993</v>
      </c>
      <c r="AG23" s="7">
        <f>SUMIFS('Stock - ETA'!$J$3:J4963,'Stock - ETA'!$F$3:F4963,'Rango proyecciones'!C23,'Stock - ETA'!$Q$3:Q4963,'Rango proyecciones'!$AJ$5) + SUMIFS('Stock - ETA'!$I$3:I4963,'Stock - ETA'!$F$3:F4963,'Rango proyecciones'!C23,'Stock - ETA'!$Q$3:Q4963,'Rango proyecciones'!$AJ$8)</f>
        <v>24004.088640000002</v>
      </c>
      <c r="AH23" s="16">
        <f t="shared" si="7"/>
        <v>499334.28863999993</v>
      </c>
      <c r="AI23" s="4"/>
    </row>
    <row r="24" spans="1:35" x14ac:dyDescent="0.2">
      <c r="A24" s="2" t="s">
        <v>56</v>
      </c>
      <c r="B24" s="2" t="s">
        <v>35</v>
      </c>
      <c r="C24" s="2" t="s">
        <v>99</v>
      </c>
      <c r="D24" s="2" t="s">
        <v>52</v>
      </c>
      <c r="E24" s="2">
        <v>1012157</v>
      </c>
      <c r="F24" s="2" t="s">
        <v>100</v>
      </c>
      <c r="G24" s="2" t="s">
        <v>63</v>
      </c>
      <c r="H24" s="4">
        <v>0</v>
      </c>
      <c r="I24" s="7">
        <v>0</v>
      </c>
      <c r="J24" s="7">
        <v>0</v>
      </c>
      <c r="K24" s="7">
        <v>0</v>
      </c>
      <c r="L24" s="4">
        <f t="shared" si="0"/>
        <v>0</v>
      </c>
      <c r="M24" s="7">
        <f>SUMIFS('Stock - ETA'!$R$3:R4963,'Stock - ETA'!$F$3:F4963,'Rango proyecciones'!C24,'Stock - ETA'!$AA$3:AA4963,'Rango proyecciones'!$AJ$5)</f>
        <v>39916.095999999998</v>
      </c>
      <c r="N24" s="7">
        <f>SUMIF('Stock - Puerto Chile'!$G$2:G973,'Rango proyecciones'!C24,'Stock - Puerto Chile'!$L$2:L973)</f>
        <v>47900.160000000003</v>
      </c>
      <c r="O24" s="7">
        <f>0 * (25 / 27)</f>
        <v>0</v>
      </c>
      <c r="P24" s="7">
        <f>798.323 * (25 / 27)</f>
        <v>739.18796296296296</v>
      </c>
      <c r="Q24" s="16">
        <f t="shared" si="1"/>
        <v>40655.28396296296</v>
      </c>
      <c r="R24" s="7">
        <f t="shared" si="2"/>
        <v>0</v>
      </c>
      <c r="S24" s="7">
        <f>SUMIFS('Stock - ETA'!$H$3:H4963,'Stock - ETA'!$F$3:F4963,'Rango proyecciones'!C24,'Stock - ETA'!$Q$3:Q4963,'Rango proyecciones'!$AJ$5)</f>
        <v>39916.095999999998</v>
      </c>
      <c r="T24" s="7">
        <f>SUMIF('Stock - Puerto Chile'!$G$2:G973,'Rango proyecciones'!C24,'Stock - Puerto Chile'!$N$2:N973)</f>
        <v>57480.192000000003</v>
      </c>
      <c r="U24" s="7">
        <f>0 * (25 / 27)</f>
        <v>0</v>
      </c>
      <c r="V24" s="7">
        <f>798.323 * (25 / 27)</f>
        <v>739.18796296296296</v>
      </c>
      <c r="W24" s="17">
        <f t="shared" si="3"/>
        <v>40655.28396296296</v>
      </c>
      <c r="X24" s="4">
        <v>39917</v>
      </c>
      <c r="Y24" s="7">
        <v>39917</v>
      </c>
      <c r="Z24" s="18">
        <f>SUMIFS('Stock - ETA'!$S$3:S4963,'Stock - ETA'!$F$3:F4963,'Rango proyecciones'!C24,'Stock - ETA'!$AA$3:AA4963,'Rango proyecciones'!$AJ$5) + SUMIFS('Stock - ETA'!$R$3:R4963,'Stock - ETA'!$F$3:F4963,'Rango proyecciones'!C24,'Stock - ETA'!$AA$3:AA4963,'Rango proyecciones'!$AJ$7)</f>
        <v>19958.047999999999</v>
      </c>
      <c r="AA24" s="13">
        <f t="shared" si="4"/>
        <v>59875.047999999995</v>
      </c>
      <c r="AB24" s="7">
        <f>SUMIFS('Stock - ETA'!$I$3:I4963,'Stock - ETA'!$F$3:F4963,'Rango proyecciones'!C24,'Stock - ETA'!$Q$3:Q4963,'Rango proyecciones'!$AJ$5) + SUMIFS('Stock - ETA'!$H$3:H4963,'Stock - ETA'!$F$3:F4963,'Rango proyecciones'!C24,'Stock - ETA'!$Q$3:Q4963,'Rango proyecciones'!$AJ$7)</f>
        <v>19958.047999999999</v>
      </c>
      <c r="AC24" s="16">
        <f t="shared" si="5"/>
        <v>59875.047999999995</v>
      </c>
      <c r="AD24" s="4">
        <v>63504</v>
      </c>
      <c r="AE24" s="7">
        <f>SUMIFS('Stock - ETA'!$T$3:T4963,'Stock - ETA'!$F$3:F4963,'Rango proyecciones'!C24,'Stock - ETA'!$AA$3:AA4963,'Rango proyecciones'!$AJ$5) + SUMIFS('Stock - ETA'!$S$3:S4963,'Stock - ETA'!$F$3:F4963,'Rango proyecciones'!C24,'Stock - ETA'!$AA$3:AA4963,'Rango proyecciones'!$AJ$8)</f>
        <v>0</v>
      </c>
      <c r="AF24" s="16">
        <f t="shared" si="6"/>
        <v>38102.400000000001</v>
      </c>
      <c r="AG24" s="7">
        <f>SUMIFS('Stock - ETA'!$J$3:J4963,'Stock - ETA'!$F$3:F4963,'Rango proyecciones'!C24,'Stock - ETA'!$Q$3:Q4963,'Rango proyecciones'!$AJ$5) + SUMIFS('Stock - ETA'!$I$3:I4963,'Stock - ETA'!$F$3:F4963,'Rango proyecciones'!C24,'Stock - ETA'!$Q$3:Q4963,'Rango proyecciones'!$AJ$8)</f>
        <v>0</v>
      </c>
      <c r="AH24" s="16">
        <f t="shared" si="7"/>
        <v>38102.400000000001</v>
      </c>
      <c r="AI24" s="4"/>
    </row>
    <row r="25" spans="1:35" x14ac:dyDescent="0.2">
      <c r="A25" s="2" t="s">
        <v>56</v>
      </c>
      <c r="B25" s="2" t="s">
        <v>35</v>
      </c>
      <c r="C25" s="2" t="s">
        <v>101</v>
      </c>
      <c r="D25" s="2" t="s">
        <v>52</v>
      </c>
      <c r="E25" s="2">
        <v>1012161</v>
      </c>
      <c r="F25" s="2" t="s">
        <v>102</v>
      </c>
      <c r="G25" s="2" t="s">
        <v>63</v>
      </c>
      <c r="H25" s="4">
        <v>0</v>
      </c>
      <c r="I25" s="7">
        <v>0</v>
      </c>
      <c r="J25" s="7">
        <v>11009</v>
      </c>
      <c r="K25" s="7"/>
      <c r="L25" s="4">
        <f t="shared" si="0"/>
        <v>16513.5</v>
      </c>
      <c r="M25" s="7">
        <f>SUMIFS('Stock - ETA'!$R$3:R4963,'Stock - ETA'!$F$3:F4963,'Rango proyecciones'!C25,'Stock - ETA'!$AA$3:AA4963,'Rango proyecciones'!$AJ$5)</f>
        <v>110676.44799999999</v>
      </c>
      <c r="N25" s="7">
        <f>SUMIF('Stock - Puerto Chile'!$G$2:G973,'Rango proyecciones'!C25,'Stock - Puerto Chile'!$L$2:L973)</f>
        <v>133902.72</v>
      </c>
      <c r="O25" s="7">
        <f>907.2 * (25 / 27)</f>
        <v>840</v>
      </c>
      <c r="P25" s="7">
        <f>88597.116 * (25 / 27)</f>
        <v>82034.366666666669</v>
      </c>
      <c r="Q25" s="16">
        <f t="shared" si="1"/>
        <v>192710.81466666667</v>
      </c>
      <c r="R25" s="7">
        <f t="shared" si="2"/>
        <v>28308.857142857145</v>
      </c>
      <c r="S25" s="7">
        <f>SUMIFS('Stock - ETA'!$H$3:H4963,'Stock - ETA'!$F$3:F4963,'Rango proyecciones'!C25,'Stock - ETA'!$Q$3:Q4963,'Rango proyecciones'!$AJ$5)</f>
        <v>110676.44799999999</v>
      </c>
      <c r="T25" s="7">
        <f>SUMIF('Stock - Puerto Chile'!$G$2:G973,'Rango proyecciones'!C25,'Stock - Puerto Chile'!$N$2:N973)</f>
        <v>160683.264</v>
      </c>
      <c r="U25" s="7">
        <f>907.2 * (25 / 27)</f>
        <v>840</v>
      </c>
      <c r="V25" s="7">
        <f>88597.116 * (25 / 27)</f>
        <v>82034.366666666669</v>
      </c>
      <c r="W25" s="17">
        <f t="shared" si="3"/>
        <v>193550.81466666667</v>
      </c>
      <c r="X25" s="4">
        <v>159666</v>
      </c>
      <c r="Y25" s="7">
        <v>159666</v>
      </c>
      <c r="Z25" s="18">
        <f>SUMIFS('Stock - ETA'!$S$3:S4963,'Stock - ETA'!$F$3:F4963,'Rango proyecciones'!C25,'Stock - ETA'!$AA$3:AA4963,'Rango proyecciones'!$AJ$5) + SUMIFS('Stock - ETA'!$R$3:R4963,'Stock - ETA'!$F$3:F4963,'Rango proyecciones'!C25,'Stock - ETA'!$AA$3:AA4963,'Rango proyecciones'!$AJ$7)</f>
        <v>89811.215999999986</v>
      </c>
      <c r="AA25" s="13">
        <f t="shared" si="4"/>
        <v>249477.21599999999</v>
      </c>
      <c r="AB25" s="7">
        <f>SUMIFS('Stock - ETA'!$I$3:I4963,'Stock - ETA'!$F$3:F4963,'Rango proyecciones'!C25,'Stock - ETA'!$Q$3:Q4963,'Rango proyecciones'!$AJ$5) + SUMIFS('Stock - ETA'!$H$3:H4963,'Stock - ETA'!$F$3:F4963,'Rango proyecciones'!C25,'Stock - ETA'!$Q$3:Q4963,'Rango proyecciones'!$AJ$7)</f>
        <v>89811.215999999986</v>
      </c>
      <c r="AC25" s="16">
        <f t="shared" si="5"/>
        <v>249477.21599999999</v>
      </c>
      <c r="AD25" s="4">
        <v>159666</v>
      </c>
      <c r="AE25" s="7">
        <f>SUMIFS('Stock - ETA'!$T$3:T4963,'Stock - ETA'!$F$3:F4963,'Rango proyecciones'!C25,'Stock - ETA'!$AA$3:AA4963,'Rango proyecciones'!$AJ$5) + SUMIFS('Stock - ETA'!$S$3:S4963,'Stock - ETA'!$F$3:F4963,'Rango proyecciones'!C25,'Stock - ETA'!$AA$3:AA4963,'Rango proyecciones'!$AJ$8)</f>
        <v>0</v>
      </c>
      <c r="AF25" s="16">
        <f t="shared" si="6"/>
        <v>95799.599999999991</v>
      </c>
      <c r="AG25" s="7">
        <f>SUMIFS('Stock - ETA'!$J$3:J4963,'Stock - ETA'!$F$3:F4963,'Rango proyecciones'!C25,'Stock - ETA'!$Q$3:Q4963,'Rango proyecciones'!$AJ$5) + SUMIFS('Stock - ETA'!$I$3:I4963,'Stock - ETA'!$F$3:F4963,'Rango proyecciones'!C25,'Stock - ETA'!$Q$3:Q4963,'Rango proyecciones'!$AJ$8)</f>
        <v>0</v>
      </c>
      <c r="AH25" s="16">
        <f t="shared" si="7"/>
        <v>95799.599999999991</v>
      </c>
      <c r="AI25" s="4"/>
    </row>
    <row r="26" spans="1:35" x14ac:dyDescent="0.2">
      <c r="A26" s="2" t="s">
        <v>103</v>
      </c>
      <c r="B26" s="2" t="s">
        <v>35</v>
      </c>
      <c r="C26" s="2" t="s">
        <v>104</v>
      </c>
      <c r="D26" s="2" t="s">
        <v>52</v>
      </c>
      <c r="E26" s="2">
        <v>1100570</v>
      </c>
      <c r="F26" s="2" t="s">
        <v>105</v>
      </c>
      <c r="G26" s="2" t="s">
        <v>106</v>
      </c>
      <c r="H26" s="4">
        <v>0</v>
      </c>
      <c r="I26" s="7">
        <v>0</v>
      </c>
      <c r="J26" s="7">
        <v>0</v>
      </c>
      <c r="K26" s="7">
        <v>0</v>
      </c>
      <c r="L26" s="4">
        <f t="shared" si="0"/>
        <v>0</v>
      </c>
      <c r="M26" s="7">
        <f>SUMIFS('Stock - ETA'!$R$3:R4963,'Stock - ETA'!$F$3:F4963,'Rango proyecciones'!C26,'Stock - ETA'!$AA$3:AA4963,'Rango proyecciones'!$AJ$5)</f>
        <v>6730.8516879999997</v>
      </c>
      <c r="N26" s="7">
        <f>SUMIF('Stock - Puerto Chile'!$G$2:G973,'Rango proyecciones'!C26,'Stock - Puerto Chile'!$L$2:L973)</f>
        <v>0</v>
      </c>
      <c r="O26" s="7">
        <f>0 * (25 / 27)</f>
        <v>0</v>
      </c>
      <c r="P26" s="7">
        <f>244.8 * (25 / 27)</f>
        <v>226.66666666666669</v>
      </c>
      <c r="Q26" s="16">
        <f t="shared" si="1"/>
        <v>6957.5183546666667</v>
      </c>
      <c r="R26" s="7">
        <f t="shared" si="2"/>
        <v>0</v>
      </c>
      <c r="S26" s="7">
        <f>SUMIFS('Stock - ETA'!$H$3:H4963,'Stock - ETA'!$F$3:F4963,'Rango proyecciones'!C26,'Stock - ETA'!$Q$3:Q4963,'Rango proyecciones'!$AJ$5)</f>
        <v>6730.8516879999997</v>
      </c>
      <c r="T26" s="7">
        <f>SUMIF('Stock - Puerto Chile'!$G$2:G973,'Rango proyecciones'!C26,'Stock - Puerto Chile'!$N$2:N973)</f>
        <v>0</v>
      </c>
      <c r="U26" s="7">
        <f>0 * (25 / 27)</f>
        <v>0</v>
      </c>
      <c r="V26" s="7">
        <f>244.8 * (25 / 27)</f>
        <v>226.66666666666669</v>
      </c>
      <c r="W26" s="17">
        <f t="shared" si="3"/>
        <v>6957.5183546666667</v>
      </c>
      <c r="X26" s="4"/>
      <c r="Y26" s="7"/>
      <c r="Z26" s="18">
        <f>SUMIFS('Stock - ETA'!$S$3:S4963,'Stock - ETA'!$F$3:F4963,'Rango proyecciones'!C26,'Stock - ETA'!$AA$3:AA4963,'Rango proyecciones'!$AJ$5) + SUMIFS('Stock - ETA'!$R$3:R4963,'Stock - ETA'!$F$3:F4963,'Rango proyecciones'!C26,'Stock - ETA'!$AA$3:AA4963,'Rango proyecciones'!$AJ$7)</f>
        <v>4895.1648640000003</v>
      </c>
      <c r="AA26" s="13">
        <f t="shared" si="4"/>
        <v>4895.1648640000003</v>
      </c>
      <c r="AB26" s="7">
        <f>SUMIFS('Stock - ETA'!$I$3:I4963,'Stock - ETA'!$F$3:F4963,'Rango proyecciones'!C26,'Stock - ETA'!$Q$3:Q4963,'Rango proyecciones'!$AJ$5) + SUMIFS('Stock - ETA'!$H$3:H4963,'Stock - ETA'!$F$3:F4963,'Rango proyecciones'!C26,'Stock - ETA'!$Q$3:Q4963,'Rango proyecciones'!$AJ$7)</f>
        <v>4895.1648640000003</v>
      </c>
      <c r="AC26" s="16">
        <f t="shared" si="5"/>
        <v>4895.1648640000003</v>
      </c>
      <c r="AD26" s="4"/>
      <c r="AE26" s="7">
        <f>SUMIFS('Stock - ETA'!$T$3:T4963,'Stock - ETA'!$F$3:F4963,'Rango proyecciones'!C26,'Stock - ETA'!$AA$3:AA4963,'Rango proyecciones'!$AJ$5) + SUMIFS('Stock - ETA'!$S$3:S4963,'Stock - ETA'!$F$3:F4963,'Rango proyecciones'!C26,'Stock - ETA'!$AA$3:AA4963,'Rango proyecciones'!$AJ$8)</f>
        <v>0</v>
      </c>
      <c r="AF26" s="16">
        <f t="shared" si="6"/>
        <v>0</v>
      </c>
      <c r="AG26" s="7">
        <f>SUMIFS('Stock - ETA'!$J$3:J4963,'Stock - ETA'!$F$3:F4963,'Rango proyecciones'!C26,'Stock - ETA'!$Q$3:Q4963,'Rango proyecciones'!$AJ$5) + SUMIFS('Stock - ETA'!$I$3:I4963,'Stock - ETA'!$F$3:F4963,'Rango proyecciones'!C26,'Stock - ETA'!$Q$3:Q4963,'Rango proyecciones'!$AJ$8)</f>
        <v>0</v>
      </c>
      <c r="AH26" s="16">
        <f t="shared" si="7"/>
        <v>0</v>
      </c>
      <c r="AI26" s="4"/>
    </row>
    <row r="27" spans="1:35" x14ac:dyDescent="0.2">
      <c r="A27" s="2" t="s">
        <v>103</v>
      </c>
      <c r="B27" s="2" t="s">
        <v>35</v>
      </c>
      <c r="C27" s="2" t="s">
        <v>107</v>
      </c>
      <c r="D27" s="2" t="s">
        <v>52</v>
      </c>
      <c r="E27" s="2">
        <v>1100602</v>
      </c>
      <c r="F27" s="2" t="s">
        <v>108</v>
      </c>
      <c r="G27" s="2" t="s">
        <v>106</v>
      </c>
      <c r="H27" s="4">
        <v>0</v>
      </c>
      <c r="I27" s="7">
        <v>0</v>
      </c>
      <c r="J27" s="7">
        <v>0</v>
      </c>
      <c r="K27" s="7">
        <v>0</v>
      </c>
      <c r="L27" s="4">
        <f t="shared" si="0"/>
        <v>0</v>
      </c>
      <c r="M27" s="7">
        <f>SUMIFS('Stock - ETA'!$R$3:R4963,'Stock - ETA'!$F$3:F4963,'Rango proyecciones'!C27,'Stock - ETA'!$AA$3:AA4963,'Rango proyecciones'!$AJ$5)</f>
        <v>0</v>
      </c>
      <c r="N27" s="7">
        <f>SUMIF('Stock - Puerto Chile'!$G$2:G973,'Rango proyecciones'!C27,'Stock - Puerto Chile'!$L$2:L973)</f>
        <v>0</v>
      </c>
      <c r="O27" s="7">
        <f>0 * (25 / 27)</f>
        <v>0</v>
      </c>
      <c r="P27" s="7">
        <f>501.84 * (25 / 27)</f>
        <v>464.66666666666663</v>
      </c>
      <c r="Q27" s="16">
        <f t="shared" si="1"/>
        <v>464.66666666666663</v>
      </c>
      <c r="R27" s="7">
        <f t="shared" si="2"/>
        <v>0</v>
      </c>
      <c r="S27" s="7">
        <f>SUMIFS('Stock - ETA'!$H$3:H4963,'Stock - ETA'!$F$3:F4963,'Rango proyecciones'!C27,'Stock - ETA'!$Q$3:Q4963,'Rango proyecciones'!$AJ$5)</f>
        <v>0</v>
      </c>
      <c r="T27" s="7">
        <f>SUMIF('Stock - Puerto Chile'!$G$2:G973,'Rango proyecciones'!C27,'Stock - Puerto Chile'!$N$2:N973)</f>
        <v>0</v>
      </c>
      <c r="U27" s="7">
        <f>0 * (25 / 27)</f>
        <v>0</v>
      </c>
      <c r="V27" s="7">
        <f>501.84 * (25 / 27)</f>
        <v>464.66666666666663</v>
      </c>
      <c r="W27" s="17">
        <f t="shared" si="3"/>
        <v>464.66666666666663</v>
      </c>
      <c r="X27" s="4"/>
      <c r="Y27" s="7"/>
      <c r="Z27" s="18">
        <f>SUMIFS('Stock - ETA'!$S$3:S4963,'Stock - ETA'!$F$3:F4963,'Rango proyecciones'!C27,'Stock - ETA'!$AA$3:AA4963,'Rango proyecciones'!$AJ$5) + SUMIFS('Stock - ETA'!$R$3:R4963,'Stock - ETA'!$F$3:F4963,'Rango proyecciones'!C27,'Stock - ETA'!$AA$3:AA4963,'Rango proyecciones'!$AJ$7)</f>
        <v>0</v>
      </c>
      <c r="AA27" s="13">
        <f t="shared" si="4"/>
        <v>0</v>
      </c>
      <c r="AB27" s="7">
        <f>SUMIFS('Stock - ETA'!$I$3:I4963,'Stock - ETA'!$F$3:F4963,'Rango proyecciones'!C27,'Stock - ETA'!$Q$3:Q4963,'Rango proyecciones'!$AJ$5) + SUMIFS('Stock - ETA'!$H$3:H4963,'Stock - ETA'!$F$3:F4963,'Rango proyecciones'!C27,'Stock - ETA'!$Q$3:Q4963,'Rango proyecciones'!$AJ$7)</f>
        <v>0</v>
      </c>
      <c r="AC27" s="16">
        <f t="shared" si="5"/>
        <v>0</v>
      </c>
      <c r="AD27" s="4"/>
      <c r="AE27" s="7">
        <f>SUMIFS('Stock - ETA'!$T$3:T4963,'Stock - ETA'!$F$3:F4963,'Rango proyecciones'!C27,'Stock - ETA'!$AA$3:AA4963,'Rango proyecciones'!$AJ$5) + SUMIFS('Stock - ETA'!$S$3:S4963,'Stock - ETA'!$F$3:F4963,'Rango proyecciones'!C27,'Stock - ETA'!$AA$3:AA4963,'Rango proyecciones'!$AJ$8)</f>
        <v>0</v>
      </c>
      <c r="AF27" s="16">
        <f t="shared" si="6"/>
        <v>0</v>
      </c>
      <c r="AG27" s="7">
        <f>SUMIFS('Stock - ETA'!$J$3:J4963,'Stock - ETA'!$F$3:F4963,'Rango proyecciones'!C27,'Stock - ETA'!$Q$3:Q4963,'Rango proyecciones'!$AJ$5) + SUMIFS('Stock - ETA'!$I$3:I4963,'Stock - ETA'!$F$3:F4963,'Rango proyecciones'!C27,'Stock - ETA'!$Q$3:Q4963,'Rango proyecciones'!$AJ$8)</f>
        <v>0</v>
      </c>
      <c r="AH27" s="16">
        <f t="shared" si="7"/>
        <v>0</v>
      </c>
      <c r="AI27" s="4"/>
    </row>
    <row r="28" spans="1:35" x14ac:dyDescent="0.2">
      <c r="A28" s="2" t="s">
        <v>56</v>
      </c>
      <c r="B28" s="2" t="s">
        <v>35</v>
      </c>
      <c r="C28" s="2" t="s">
        <v>109</v>
      </c>
      <c r="D28" s="2" t="s">
        <v>52</v>
      </c>
      <c r="E28" s="2">
        <v>1012110</v>
      </c>
      <c r="F28" s="2" t="s">
        <v>110</v>
      </c>
      <c r="G28" s="2" t="s">
        <v>59</v>
      </c>
      <c r="H28" s="4">
        <v>0</v>
      </c>
      <c r="I28" s="7">
        <v>0</v>
      </c>
      <c r="J28" s="7">
        <v>0</v>
      </c>
      <c r="K28" s="7">
        <v>0</v>
      </c>
      <c r="L28" s="4">
        <f t="shared" si="0"/>
        <v>0</v>
      </c>
      <c r="M28" s="7">
        <f>SUMIFS('Stock - ETA'!$R$3:R4963,'Stock - ETA'!$F$3:F4963,'Rango proyecciones'!C28,'Stock - ETA'!$AA$3:AA4963,'Rango proyecciones'!$AJ$5)</f>
        <v>163057.25215999997</v>
      </c>
      <c r="N28" s="7">
        <f>SUMIF('Stock - Puerto Chile'!$G$2:G973,'Rango proyecciones'!C28,'Stock - Puerto Chile'!$L$2:L973)</f>
        <v>71850.239999999991</v>
      </c>
      <c r="O28" s="7">
        <f>22952.16 * (25 / 27)</f>
        <v>21252</v>
      </c>
      <c r="P28" s="7">
        <f>390803.616 * (25 / 27)</f>
        <v>361855.2</v>
      </c>
      <c r="Q28" s="16">
        <f t="shared" si="1"/>
        <v>524912.45215999999</v>
      </c>
      <c r="R28" s="7">
        <f t="shared" si="2"/>
        <v>0</v>
      </c>
      <c r="S28" s="7">
        <f>SUMIFS('Stock - ETA'!$H$3:H4963,'Stock - ETA'!$F$3:F4963,'Rango proyecciones'!C28,'Stock - ETA'!$Q$3:Q4963,'Rango proyecciones'!$AJ$5)</f>
        <v>163057.25215999997</v>
      </c>
      <c r="T28" s="7">
        <f>SUMIF('Stock - Puerto Chile'!$G$2:G973,'Rango proyecciones'!C28,'Stock - Puerto Chile'!$N$2:N973)</f>
        <v>86220.287999999986</v>
      </c>
      <c r="U28" s="7">
        <f>22952.16 * (25 / 27)</f>
        <v>21252</v>
      </c>
      <c r="V28" s="7">
        <f>390803.616 * (25 / 27)</f>
        <v>361855.2</v>
      </c>
      <c r="W28" s="17">
        <f t="shared" si="3"/>
        <v>546164.45215999999</v>
      </c>
      <c r="X28" s="4"/>
      <c r="Y28" s="7"/>
      <c r="Z28" s="18">
        <f>SUMIFS('Stock - ETA'!$S$3:S4963,'Stock - ETA'!$F$3:F4963,'Rango proyecciones'!C28,'Stock - ETA'!$AA$3:AA4963,'Rango proyecciones'!$AJ$5) + SUMIFS('Stock - ETA'!$R$3:R4963,'Stock - ETA'!$F$3:F4963,'Rango proyecciones'!C28,'Stock - ETA'!$AA$3:AA4963,'Rango proyecciones'!$AJ$7)</f>
        <v>0</v>
      </c>
      <c r="AA28" s="13">
        <f t="shared" si="4"/>
        <v>0</v>
      </c>
      <c r="AB28" s="7">
        <f>SUMIFS('Stock - ETA'!$I$3:I4963,'Stock - ETA'!$F$3:F4963,'Rango proyecciones'!C28,'Stock - ETA'!$Q$3:Q4963,'Rango proyecciones'!$AJ$5) + SUMIFS('Stock - ETA'!$H$3:H4963,'Stock - ETA'!$F$3:F4963,'Rango proyecciones'!C28,'Stock - ETA'!$Q$3:Q4963,'Rango proyecciones'!$AJ$7)</f>
        <v>0</v>
      </c>
      <c r="AC28" s="16">
        <f t="shared" si="5"/>
        <v>0</v>
      </c>
      <c r="AD28" s="4"/>
      <c r="AE28" s="7">
        <f>SUMIFS('Stock - ETA'!$T$3:T4963,'Stock - ETA'!$F$3:F4963,'Rango proyecciones'!C28,'Stock - ETA'!$AA$3:AA4963,'Rango proyecciones'!$AJ$5) + SUMIFS('Stock - ETA'!$S$3:S4963,'Stock - ETA'!$F$3:F4963,'Rango proyecciones'!C28,'Stock - ETA'!$AA$3:AA4963,'Rango proyecciones'!$AJ$8)</f>
        <v>0</v>
      </c>
      <c r="AF28" s="16">
        <f t="shared" si="6"/>
        <v>0</v>
      </c>
      <c r="AG28" s="7">
        <f>SUMIFS('Stock - ETA'!$J$3:J4963,'Stock - ETA'!$F$3:F4963,'Rango proyecciones'!C28,'Stock - ETA'!$Q$3:Q4963,'Rango proyecciones'!$AJ$5) + SUMIFS('Stock - ETA'!$I$3:I4963,'Stock - ETA'!$F$3:F4963,'Rango proyecciones'!C28,'Stock - ETA'!$Q$3:Q4963,'Rango proyecciones'!$AJ$8)</f>
        <v>0</v>
      </c>
      <c r="AH28" s="16">
        <f t="shared" si="7"/>
        <v>0</v>
      </c>
      <c r="AI28" s="4"/>
    </row>
    <row r="29" spans="1:35" x14ac:dyDescent="0.2">
      <c r="A29" s="2" t="s">
        <v>56</v>
      </c>
      <c r="B29" s="2" t="s">
        <v>35</v>
      </c>
      <c r="C29" s="2" t="s">
        <v>111</v>
      </c>
      <c r="D29" s="2" t="s">
        <v>52</v>
      </c>
      <c r="E29" s="2">
        <v>1012148</v>
      </c>
      <c r="F29" s="2" t="s">
        <v>112</v>
      </c>
      <c r="G29" s="2" t="s">
        <v>63</v>
      </c>
      <c r="H29" s="4">
        <v>0</v>
      </c>
      <c r="I29" s="7">
        <v>0</v>
      </c>
      <c r="J29" s="7">
        <v>0</v>
      </c>
      <c r="K29" s="7">
        <v>0</v>
      </c>
      <c r="L29" s="4">
        <f t="shared" si="0"/>
        <v>0</v>
      </c>
      <c r="M29" s="7">
        <f>SUMIFS('Stock - ETA'!$R$3:R4963,'Stock - ETA'!$F$3:F4963,'Rango proyecciones'!C29,'Stock - ETA'!$AA$3:AA4963,'Rango proyecciones'!$AJ$5)</f>
        <v>39516.935039999997</v>
      </c>
      <c r="N29" s="7">
        <f>SUMIF('Stock - Puerto Chile'!$G$2:G973,'Rango proyecciones'!C29,'Stock - Puerto Chile'!$L$2:L973)</f>
        <v>0</v>
      </c>
      <c r="O29" s="7">
        <f>19759.3 * (25 / 27)</f>
        <v>18295.648148148146</v>
      </c>
      <c r="P29" s="7">
        <f>99281.501 * (25 / 27)</f>
        <v>91927.315740740742</v>
      </c>
      <c r="Q29" s="16">
        <f t="shared" si="1"/>
        <v>131444.25078074075</v>
      </c>
      <c r="R29" s="7">
        <f t="shared" si="2"/>
        <v>0</v>
      </c>
      <c r="S29" s="7">
        <f>SUMIFS('Stock - ETA'!$H$3:H4963,'Stock - ETA'!$F$3:F4963,'Rango proyecciones'!C29,'Stock - ETA'!$Q$3:Q4963,'Rango proyecciones'!$AJ$5)</f>
        <v>39516.935039999997</v>
      </c>
      <c r="T29" s="7">
        <f>SUMIF('Stock - Puerto Chile'!$G$2:G973,'Rango proyecciones'!C29,'Stock - Puerto Chile'!$N$2:N973)</f>
        <v>0</v>
      </c>
      <c r="U29" s="7">
        <f>19759.3 * (25 / 27)</f>
        <v>18295.648148148146</v>
      </c>
      <c r="V29" s="7">
        <f>99281.501 * (25 / 27)</f>
        <v>91927.315740740742</v>
      </c>
      <c r="W29" s="17">
        <f t="shared" si="3"/>
        <v>149739.8989288889</v>
      </c>
      <c r="X29" s="4">
        <v>199583</v>
      </c>
      <c r="Y29" s="7">
        <v>199583</v>
      </c>
      <c r="Z29" s="18">
        <f>SUMIFS('Stock - ETA'!$S$3:S4963,'Stock - ETA'!$F$3:F4963,'Rango proyecciones'!C29,'Stock - ETA'!$AA$3:AA4963,'Rango proyecciones'!$AJ$5) + SUMIFS('Stock - ETA'!$R$3:R4963,'Stock - ETA'!$F$3:F4963,'Rango proyecciones'!C29,'Stock - ETA'!$AA$3:AA4963,'Rango proyecciones'!$AJ$7)</f>
        <v>39516.935039999997</v>
      </c>
      <c r="AA29" s="13">
        <f t="shared" si="4"/>
        <v>239099.93504000001</v>
      </c>
      <c r="AB29" s="7">
        <f>SUMIFS('Stock - ETA'!$I$3:I4963,'Stock - ETA'!$F$3:F4963,'Rango proyecciones'!C29,'Stock - ETA'!$Q$3:Q4963,'Rango proyecciones'!$AJ$5) + SUMIFS('Stock - ETA'!$H$3:H4963,'Stock - ETA'!$F$3:F4963,'Rango proyecciones'!C29,'Stock - ETA'!$Q$3:Q4963,'Rango proyecciones'!$AJ$7)</f>
        <v>39516.935039999997</v>
      </c>
      <c r="AC29" s="16">
        <f t="shared" si="5"/>
        <v>239099.93504000001</v>
      </c>
      <c r="AD29" s="4">
        <v>319332</v>
      </c>
      <c r="AE29" s="7">
        <f>SUMIFS('Stock - ETA'!$T$3:T4963,'Stock - ETA'!$F$3:F4963,'Rango proyecciones'!C29,'Stock - ETA'!$AA$3:AA4963,'Rango proyecciones'!$AJ$5) + SUMIFS('Stock - ETA'!$S$3:S4963,'Stock - ETA'!$F$3:F4963,'Rango proyecciones'!C29,'Stock - ETA'!$AA$3:AA4963,'Rango proyecciones'!$AJ$8)</f>
        <v>0</v>
      </c>
      <c r="AF29" s="16">
        <f t="shared" si="6"/>
        <v>191599.19999999998</v>
      </c>
      <c r="AG29" s="7">
        <f>SUMIFS('Stock - ETA'!$J$3:J4963,'Stock - ETA'!$F$3:F4963,'Rango proyecciones'!C29,'Stock - ETA'!$Q$3:Q4963,'Rango proyecciones'!$AJ$5) + SUMIFS('Stock - ETA'!$I$3:I4963,'Stock - ETA'!$F$3:F4963,'Rango proyecciones'!C29,'Stock - ETA'!$Q$3:Q4963,'Rango proyecciones'!$AJ$8)</f>
        <v>0</v>
      </c>
      <c r="AH29" s="16">
        <f t="shared" si="7"/>
        <v>191599.19999999998</v>
      </c>
      <c r="AI29" s="4"/>
    </row>
    <row r="30" spans="1:35" x14ac:dyDescent="0.2">
      <c r="A30" s="2" t="s">
        <v>56</v>
      </c>
      <c r="B30" s="2" t="s">
        <v>35</v>
      </c>
      <c r="C30" s="2" t="s">
        <v>113</v>
      </c>
      <c r="D30" s="2" t="s">
        <v>52</v>
      </c>
      <c r="E30" s="2">
        <v>1012520</v>
      </c>
      <c r="F30" s="2" t="s">
        <v>58</v>
      </c>
      <c r="G30" s="2" t="s">
        <v>59</v>
      </c>
      <c r="H30" s="4">
        <v>0</v>
      </c>
      <c r="I30" s="7">
        <v>0</v>
      </c>
      <c r="J30" s="7">
        <v>0</v>
      </c>
      <c r="K30" s="7">
        <v>0</v>
      </c>
      <c r="L30" s="4">
        <f t="shared" si="0"/>
        <v>0</v>
      </c>
      <c r="M30" s="7">
        <f>SUMIFS('Stock - ETA'!$R$3:R4963,'Stock - ETA'!$F$3:F4963,'Rango proyecciones'!C30,'Stock - ETA'!$AA$3:AA4963,'Rango proyecciones'!$AJ$5)</f>
        <v>36287.360000000001</v>
      </c>
      <c r="N30" s="7">
        <f>SUMIF('Stock - Puerto Chile'!$G$2:G973,'Rango proyecciones'!C30,'Stock - Puerto Chile'!$L$2:L973)</f>
        <v>0</v>
      </c>
      <c r="O30" s="7">
        <f>0 * (25 / 27)</f>
        <v>0</v>
      </c>
      <c r="P30" s="7">
        <f>23133.6 * (25 / 27)</f>
        <v>21420</v>
      </c>
      <c r="Q30" s="16">
        <f t="shared" si="1"/>
        <v>57707.360000000001</v>
      </c>
      <c r="R30" s="7">
        <f t="shared" si="2"/>
        <v>0</v>
      </c>
      <c r="S30" s="7">
        <f>SUMIFS('Stock - ETA'!$H$3:H4963,'Stock - ETA'!$F$3:F4963,'Rango proyecciones'!C30,'Stock - ETA'!$Q$3:Q4963,'Rango proyecciones'!$AJ$5)</f>
        <v>36287.360000000001</v>
      </c>
      <c r="T30" s="7">
        <f>SUMIF('Stock - Puerto Chile'!$G$2:G973,'Rango proyecciones'!C30,'Stock - Puerto Chile'!$N$2:N973)</f>
        <v>0</v>
      </c>
      <c r="U30" s="7">
        <f>0 * (25 / 27)</f>
        <v>0</v>
      </c>
      <c r="V30" s="7">
        <f>23133.6 * (25 / 27)</f>
        <v>21420</v>
      </c>
      <c r="W30" s="17">
        <f t="shared" si="3"/>
        <v>57707.360000000001</v>
      </c>
      <c r="X30" s="4">
        <v>449061</v>
      </c>
      <c r="Y30" s="7">
        <v>449061</v>
      </c>
      <c r="Z30" s="18">
        <f>SUMIFS('Stock - ETA'!$S$3:S4963,'Stock - ETA'!$F$3:F4963,'Rango proyecciones'!C30,'Stock - ETA'!$AA$3:AA4963,'Rango proyecciones'!$AJ$5) + SUMIFS('Stock - ETA'!$R$3:R4963,'Stock - ETA'!$F$3:F4963,'Rango proyecciones'!C30,'Stock - ETA'!$AA$3:AA4963,'Rango proyecciones'!$AJ$7)</f>
        <v>38101.728000000003</v>
      </c>
      <c r="AA30" s="13">
        <f t="shared" si="4"/>
        <v>487162.728</v>
      </c>
      <c r="AB30" s="7">
        <f>SUMIFS('Stock - ETA'!$I$3:I4963,'Stock - ETA'!$F$3:F4963,'Rango proyecciones'!C30,'Stock - ETA'!$Q$3:Q4963,'Rango proyecciones'!$AJ$5) + SUMIFS('Stock - ETA'!$H$3:H4963,'Stock - ETA'!$F$3:F4963,'Rango proyecciones'!C30,'Stock - ETA'!$Q$3:Q4963,'Rango proyecciones'!$AJ$7)</f>
        <v>38101.728000000003</v>
      </c>
      <c r="AC30" s="16">
        <f t="shared" si="5"/>
        <v>487162.728</v>
      </c>
      <c r="AD30" s="4">
        <v>449061</v>
      </c>
      <c r="AE30" s="7">
        <f>SUMIFS('Stock - ETA'!$T$3:T4963,'Stock - ETA'!$F$3:F4963,'Rango proyecciones'!C30,'Stock - ETA'!$AA$3:AA4963,'Rango proyecciones'!$AJ$5) + SUMIFS('Stock - ETA'!$S$3:S4963,'Stock - ETA'!$F$3:F4963,'Rango proyecciones'!C30,'Stock - ETA'!$AA$3:AA4963,'Rango proyecciones'!$AJ$8)</f>
        <v>0</v>
      </c>
      <c r="AF30" s="16">
        <f t="shared" si="6"/>
        <v>269436.59999999998</v>
      </c>
      <c r="AG30" s="7">
        <f>SUMIFS('Stock - ETA'!$J$3:J4963,'Stock - ETA'!$F$3:F4963,'Rango proyecciones'!C30,'Stock - ETA'!$Q$3:Q4963,'Rango proyecciones'!$AJ$5) + SUMIFS('Stock - ETA'!$I$3:I4963,'Stock - ETA'!$F$3:F4963,'Rango proyecciones'!C30,'Stock - ETA'!$Q$3:Q4963,'Rango proyecciones'!$AJ$8)</f>
        <v>0</v>
      </c>
      <c r="AH30" s="16">
        <f t="shared" si="7"/>
        <v>269436.59999999998</v>
      </c>
      <c r="AI30" s="4"/>
    </row>
    <row r="31" spans="1:35" x14ac:dyDescent="0.2">
      <c r="A31" s="2" t="s">
        <v>56</v>
      </c>
      <c r="B31" s="2" t="s">
        <v>35</v>
      </c>
      <c r="C31" s="2" t="s">
        <v>114</v>
      </c>
      <c r="D31" s="2" t="s">
        <v>52</v>
      </c>
      <c r="E31" s="2">
        <v>1012521</v>
      </c>
      <c r="F31" s="2" t="s">
        <v>69</v>
      </c>
      <c r="G31" s="2" t="s">
        <v>59</v>
      </c>
      <c r="H31" s="4">
        <v>0</v>
      </c>
      <c r="I31" s="7">
        <v>0</v>
      </c>
      <c r="J31" s="7">
        <v>0</v>
      </c>
      <c r="K31" s="7">
        <v>0</v>
      </c>
      <c r="L31" s="4">
        <f t="shared" si="0"/>
        <v>0</v>
      </c>
      <c r="M31" s="7">
        <f>SUMIFS('Stock - ETA'!$R$3:R4963,'Stock - ETA'!$F$3:F4963,'Rango proyecciones'!C31,'Stock - ETA'!$AA$3:AA4963,'Rango proyecciones'!$AJ$5)</f>
        <v>71195.800319999995</v>
      </c>
      <c r="N31" s="7">
        <f>SUMIF('Stock - Puerto Chile'!$G$2:G973,'Rango proyecciones'!C31,'Stock - Puerto Chile'!$L$2:L973)</f>
        <v>0</v>
      </c>
      <c r="O31" s="7">
        <f>18144 * (25 / 27)</f>
        <v>16800</v>
      </c>
      <c r="P31" s="7">
        <f>130273.92 * (25 / 27)</f>
        <v>120624</v>
      </c>
      <c r="Q31" s="16">
        <f t="shared" si="1"/>
        <v>191819.80031999998</v>
      </c>
      <c r="R31" s="7">
        <f t="shared" si="2"/>
        <v>0</v>
      </c>
      <c r="S31" s="7">
        <f>SUMIFS('Stock - ETA'!$H$3:H4963,'Stock - ETA'!$F$3:F4963,'Rango proyecciones'!C31,'Stock - ETA'!$Q$3:Q4963,'Rango proyecciones'!$AJ$5)</f>
        <v>71195.800319999995</v>
      </c>
      <c r="T31" s="7">
        <f>SUMIF('Stock - Puerto Chile'!$G$2:G973,'Rango proyecciones'!C31,'Stock - Puerto Chile'!$N$2:N973)</f>
        <v>0</v>
      </c>
      <c r="U31" s="7">
        <f>18144 * (25 / 27)</f>
        <v>16800</v>
      </c>
      <c r="V31" s="7">
        <f>130273.92 * (25 / 27)</f>
        <v>120624</v>
      </c>
      <c r="W31" s="17">
        <f t="shared" si="3"/>
        <v>208619.80031999998</v>
      </c>
      <c r="X31" s="4">
        <v>747948</v>
      </c>
      <c r="Y31" s="7">
        <v>747948</v>
      </c>
      <c r="Z31" s="18">
        <f>SUMIFS('Stock - ETA'!$S$3:S4963,'Stock - ETA'!$F$3:F4963,'Rango proyecciones'!C31,'Stock - ETA'!$AA$3:AA4963,'Rango proyecciones'!$AJ$5) + SUMIFS('Stock - ETA'!$R$3:R4963,'Stock - ETA'!$F$3:F4963,'Rango proyecciones'!C31,'Stock - ETA'!$AA$3:AA4963,'Rango proyecciones'!$AJ$7)</f>
        <v>96524.377599999978</v>
      </c>
      <c r="AA31" s="13">
        <f t="shared" si="4"/>
        <v>844472.37760000001</v>
      </c>
      <c r="AB31" s="7">
        <f>SUMIFS('Stock - ETA'!$I$3:I4963,'Stock - ETA'!$F$3:F4963,'Rango proyecciones'!C31,'Stock - ETA'!$Q$3:Q4963,'Rango proyecciones'!$AJ$5) + SUMIFS('Stock - ETA'!$H$3:H4963,'Stock - ETA'!$F$3:F4963,'Rango proyecciones'!C31,'Stock - ETA'!$Q$3:Q4963,'Rango proyecciones'!$AJ$7)</f>
        <v>96524.377599999978</v>
      </c>
      <c r="AC31" s="16">
        <f t="shared" si="5"/>
        <v>844472.37760000001</v>
      </c>
      <c r="AD31" s="4">
        <v>762043</v>
      </c>
      <c r="AE31" s="7">
        <f>SUMIFS('Stock - ETA'!$T$3:T4963,'Stock - ETA'!$F$3:F4963,'Rango proyecciones'!C31,'Stock - ETA'!$AA$3:AA4963,'Rango proyecciones'!$AJ$5) + SUMIFS('Stock - ETA'!$S$3:S4963,'Stock - ETA'!$F$3:F4963,'Rango proyecciones'!C31,'Stock - ETA'!$AA$3:AA4963,'Rango proyecciones'!$AJ$8)</f>
        <v>0</v>
      </c>
      <c r="AF31" s="16">
        <f t="shared" si="6"/>
        <v>457225.8</v>
      </c>
      <c r="AG31" s="7">
        <f>SUMIFS('Stock - ETA'!$J$3:J4963,'Stock - ETA'!$F$3:F4963,'Rango proyecciones'!C31,'Stock - ETA'!$Q$3:Q4963,'Rango proyecciones'!$AJ$5) + SUMIFS('Stock - ETA'!$I$3:I4963,'Stock - ETA'!$F$3:F4963,'Rango proyecciones'!C31,'Stock - ETA'!$Q$3:Q4963,'Rango proyecciones'!$AJ$8)</f>
        <v>0</v>
      </c>
      <c r="AH31" s="16">
        <f t="shared" si="7"/>
        <v>457225.8</v>
      </c>
      <c r="AI31" s="4"/>
    </row>
    <row r="32" spans="1:35" x14ac:dyDescent="0.2">
      <c r="A32" s="2" t="s">
        <v>56</v>
      </c>
      <c r="B32" s="2" t="s">
        <v>35</v>
      </c>
      <c r="C32" s="2" t="s">
        <v>115</v>
      </c>
      <c r="D32" s="2" t="s">
        <v>52</v>
      </c>
      <c r="E32" s="2">
        <v>1012522</v>
      </c>
      <c r="F32" s="2" t="s">
        <v>110</v>
      </c>
      <c r="G32" s="2" t="s">
        <v>59</v>
      </c>
      <c r="H32" s="4">
        <v>0</v>
      </c>
      <c r="I32" s="7">
        <v>0</v>
      </c>
      <c r="J32" s="7">
        <v>10400</v>
      </c>
      <c r="K32" s="7">
        <v>904.17</v>
      </c>
      <c r="L32" s="4">
        <f t="shared" si="0"/>
        <v>14243.744999999999</v>
      </c>
      <c r="M32" s="7">
        <f>SUMIFS('Stock - ETA'!$R$3:R4963,'Stock - ETA'!$F$3:F4963,'Rango proyecciones'!C32,'Stock - ETA'!$AA$3:AA4963,'Rango proyecciones'!$AJ$5)</f>
        <v>54431.040000000001</v>
      </c>
      <c r="N32" s="7">
        <f>SUMIF('Stock - Puerto Chile'!$G$2:G973,'Rango proyecciones'!C32,'Stock - Puerto Chile'!$L$2:L973)</f>
        <v>35925.119999999995</v>
      </c>
      <c r="O32" s="7">
        <f>16964.64 * (25 / 27)</f>
        <v>15708</v>
      </c>
      <c r="P32" s="7">
        <f>165455.133 * (25 / 27)</f>
        <v>153199.19722222222</v>
      </c>
      <c r="Q32" s="16">
        <f t="shared" si="1"/>
        <v>207630.23722222223</v>
      </c>
      <c r="R32" s="7">
        <f t="shared" si="2"/>
        <v>24417.848571428574</v>
      </c>
      <c r="S32" s="7">
        <f>SUMIFS('Stock - ETA'!$H$3:H4963,'Stock - ETA'!$F$3:F4963,'Rango proyecciones'!C32,'Stock - ETA'!$Q$3:Q4963,'Rango proyecciones'!$AJ$5)</f>
        <v>54431.040000000001</v>
      </c>
      <c r="T32" s="7">
        <f>SUMIF('Stock - Puerto Chile'!$G$2:G973,'Rango proyecciones'!C32,'Stock - Puerto Chile'!$N$2:N973)</f>
        <v>43110.143999999993</v>
      </c>
      <c r="U32" s="7">
        <f>16964.64 * (25 / 27)</f>
        <v>15708</v>
      </c>
      <c r="V32" s="7">
        <f>165455.133 * (25 / 27)</f>
        <v>153199.19722222222</v>
      </c>
      <c r="W32" s="17">
        <f t="shared" si="3"/>
        <v>223338.23722222223</v>
      </c>
      <c r="X32" s="4">
        <v>79833</v>
      </c>
      <c r="Y32" s="7">
        <v>79833</v>
      </c>
      <c r="Z32" s="18">
        <f>SUMIFS('Stock - ETA'!$S$3:S4963,'Stock - ETA'!$F$3:F4963,'Rango proyecciones'!C32,'Stock - ETA'!$AA$3:AA4963,'Rango proyecciones'!$AJ$5) + SUMIFS('Stock - ETA'!$R$3:R4963,'Stock - ETA'!$F$3:F4963,'Rango proyecciones'!C32,'Stock - ETA'!$AA$3:AA4963,'Rango proyecciones'!$AJ$7)</f>
        <v>18143.68</v>
      </c>
      <c r="AA32" s="13">
        <f t="shared" si="4"/>
        <v>97976.68</v>
      </c>
      <c r="AB32" s="7">
        <f>SUMIFS('Stock - ETA'!$I$3:I4963,'Stock - ETA'!$F$3:F4963,'Rango proyecciones'!C32,'Stock - ETA'!$Q$3:Q4963,'Rango proyecciones'!$AJ$5) + SUMIFS('Stock - ETA'!$H$3:H4963,'Stock - ETA'!$F$3:F4963,'Rango proyecciones'!C32,'Stock - ETA'!$Q$3:Q4963,'Rango proyecciones'!$AJ$7)</f>
        <v>18143.68</v>
      </c>
      <c r="AC32" s="16">
        <f t="shared" si="5"/>
        <v>97976.68</v>
      </c>
      <c r="AD32" s="4">
        <v>123378</v>
      </c>
      <c r="AE32" s="7">
        <f>SUMIFS('Stock - ETA'!$T$3:T4963,'Stock - ETA'!$F$3:F4963,'Rango proyecciones'!C32,'Stock - ETA'!$AA$3:AA4963,'Rango proyecciones'!$AJ$5) + SUMIFS('Stock - ETA'!$S$3:S4963,'Stock - ETA'!$F$3:F4963,'Rango proyecciones'!C32,'Stock - ETA'!$AA$3:AA4963,'Rango proyecciones'!$AJ$8)</f>
        <v>0</v>
      </c>
      <c r="AF32" s="16">
        <f t="shared" si="6"/>
        <v>74026.8</v>
      </c>
      <c r="AG32" s="7">
        <f>SUMIFS('Stock - ETA'!$J$3:J4963,'Stock - ETA'!$F$3:F4963,'Rango proyecciones'!C32,'Stock - ETA'!$Q$3:Q4963,'Rango proyecciones'!$AJ$5) + SUMIFS('Stock - ETA'!$I$3:I4963,'Stock - ETA'!$F$3:F4963,'Rango proyecciones'!C32,'Stock - ETA'!$Q$3:Q4963,'Rango proyecciones'!$AJ$8)</f>
        <v>0</v>
      </c>
      <c r="AH32" s="16">
        <f t="shared" si="7"/>
        <v>74026.8</v>
      </c>
      <c r="AI32" s="4"/>
    </row>
    <row r="33" spans="1:35" x14ac:dyDescent="0.2">
      <c r="A33" s="2" t="s">
        <v>56</v>
      </c>
      <c r="B33" s="2" t="s">
        <v>35</v>
      </c>
      <c r="C33" s="2" t="s">
        <v>116</v>
      </c>
      <c r="D33" s="2" t="s">
        <v>52</v>
      </c>
      <c r="E33" s="2">
        <v>1012523</v>
      </c>
      <c r="F33" s="2" t="s">
        <v>117</v>
      </c>
      <c r="G33" s="2" t="s">
        <v>59</v>
      </c>
      <c r="H33" s="4">
        <v>0</v>
      </c>
      <c r="I33" s="7">
        <v>0</v>
      </c>
      <c r="J33" s="7">
        <v>0</v>
      </c>
      <c r="K33" s="7">
        <v>0</v>
      </c>
      <c r="L33" s="4">
        <f t="shared" si="0"/>
        <v>0</v>
      </c>
      <c r="M33" s="7">
        <f>SUMIFS('Stock - ETA'!$R$3:R4963,'Stock - ETA'!$F$3:F4963,'Rango proyecciones'!C33,'Stock - ETA'!$AA$3:AA4963,'Rango proyecciones'!$AJ$5)</f>
        <v>0</v>
      </c>
      <c r="N33" s="7">
        <f>SUMIF('Stock - Puerto Chile'!$G$2:G973,'Rango proyecciones'!C33,'Stock - Puerto Chile'!$L$2:L973)</f>
        <v>0</v>
      </c>
      <c r="O33" s="7">
        <f>19958.4 * (25 / 27)</f>
        <v>18480</v>
      </c>
      <c r="P33" s="7">
        <f>38138.688 * (25 / 27)</f>
        <v>35313.599999999999</v>
      </c>
      <c r="Q33" s="16">
        <f t="shared" si="1"/>
        <v>35313.599999999999</v>
      </c>
      <c r="R33" s="7">
        <f t="shared" si="2"/>
        <v>0</v>
      </c>
      <c r="S33" s="7">
        <f>SUMIFS('Stock - ETA'!$H$3:H4963,'Stock - ETA'!$F$3:F4963,'Rango proyecciones'!C33,'Stock - ETA'!$Q$3:Q4963,'Rango proyecciones'!$AJ$5)</f>
        <v>0</v>
      </c>
      <c r="T33" s="7">
        <f>SUMIF('Stock - Puerto Chile'!$G$2:G973,'Rango proyecciones'!C33,'Stock - Puerto Chile'!$N$2:N973)</f>
        <v>0</v>
      </c>
      <c r="U33" s="7">
        <f>19958.4 * (25 / 27)</f>
        <v>18480</v>
      </c>
      <c r="V33" s="7">
        <f>38138.688 * (25 / 27)</f>
        <v>35313.599999999999</v>
      </c>
      <c r="W33" s="17">
        <f t="shared" si="3"/>
        <v>53793.599999999999</v>
      </c>
      <c r="X33" s="4">
        <v>87681</v>
      </c>
      <c r="Y33" s="7">
        <v>87681</v>
      </c>
      <c r="Z33" s="18">
        <f>SUMIFS('Stock - ETA'!$S$3:S4963,'Stock - ETA'!$F$3:F4963,'Rango proyecciones'!C33,'Stock - ETA'!$AA$3:AA4963,'Rango proyecciones'!$AJ$5) + SUMIFS('Stock - ETA'!$R$3:R4963,'Stock - ETA'!$F$3:F4963,'Rango proyecciones'!C33,'Stock - ETA'!$AA$3:AA4963,'Rango proyecciones'!$AJ$7)</f>
        <v>997.90239999999994</v>
      </c>
      <c r="AA33" s="13">
        <f t="shared" si="4"/>
        <v>88678.902400000006</v>
      </c>
      <c r="AB33" s="7">
        <f>SUMIFS('Stock - ETA'!$I$3:I4963,'Stock - ETA'!$F$3:F4963,'Rango proyecciones'!C33,'Stock - ETA'!$Q$3:Q4963,'Rango proyecciones'!$AJ$5) + SUMIFS('Stock - ETA'!$H$3:H4963,'Stock - ETA'!$F$3:F4963,'Rango proyecciones'!C33,'Stock - ETA'!$Q$3:Q4963,'Rango proyecciones'!$AJ$7)</f>
        <v>997.90239999999994</v>
      </c>
      <c r="AC33" s="16">
        <f t="shared" si="5"/>
        <v>88678.902400000006</v>
      </c>
      <c r="AD33" s="4">
        <v>149687</v>
      </c>
      <c r="AE33" s="7">
        <f>SUMIFS('Stock - ETA'!$T$3:T4963,'Stock - ETA'!$F$3:F4963,'Rango proyecciones'!C33,'Stock - ETA'!$AA$3:AA4963,'Rango proyecciones'!$AJ$5) + SUMIFS('Stock - ETA'!$S$3:S4963,'Stock - ETA'!$F$3:F4963,'Rango proyecciones'!C33,'Stock - ETA'!$AA$3:AA4963,'Rango proyecciones'!$AJ$8)</f>
        <v>0</v>
      </c>
      <c r="AF33" s="16">
        <f t="shared" si="6"/>
        <v>89812.2</v>
      </c>
      <c r="AG33" s="7">
        <f>SUMIFS('Stock - ETA'!$J$3:J4963,'Stock - ETA'!$F$3:F4963,'Rango proyecciones'!C33,'Stock - ETA'!$Q$3:Q4963,'Rango proyecciones'!$AJ$5) + SUMIFS('Stock - ETA'!$I$3:I4963,'Stock - ETA'!$F$3:F4963,'Rango proyecciones'!C33,'Stock - ETA'!$Q$3:Q4963,'Rango proyecciones'!$AJ$8)</f>
        <v>0</v>
      </c>
      <c r="AH33" s="16">
        <f t="shared" si="7"/>
        <v>89812.2</v>
      </c>
      <c r="AI33" s="4"/>
    </row>
    <row r="34" spans="1:35" x14ac:dyDescent="0.2">
      <c r="A34" s="2" t="s">
        <v>34</v>
      </c>
      <c r="B34" s="2" t="s">
        <v>35</v>
      </c>
      <c r="C34" s="2" t="s">
        <v>118</v>
      </c>
      <c r="D34" s="2" t="s">
        <v>52</v>
      </c>
      <c r="E34" s="2">
        <v>1021398</v>
      </c>
      <c r="F34" s="2" t="s">
        <v>119</v>
      </c>
      <c r="G34" s="2" t="s">
        <v>67</v>
      </c>
      <c r="H34" s="4">
        <v>0</v>
      </c>
      <c r="I34" s="7">
        <v>0</v>
      </c>
      <c r="J34" s="7">
        <v>0</v>
      </c>
      <c r="K34" s="7">
        <v>0</v>
      </c>
      <c r="L34" s="4">
        <f t="shared" si="0"/>
        <v>0</v>
      </c>
      <c r="M34" s="7">
        <f>SUMIFS('Stock - ETA'!$R$3:R4963,'Stock - ETA'!$F$3:F4963,'Rango proyecciones'!C34,'Stock - ETA'!$AA$3:AA4963,'Rango proyecciones'!$AJ$5)</f>
        <v>0</v>
      </c>
      <c r="N34" s="7">
        <f>SUMIF('Stock - Puerto Chile'!$G$2:G973,'Rango proyecciones'!C34,'Stock - Puerto Chile'!$L$2:L973)</f>
        <v>0</v>
      </c>
      <c r="O34" s="7">
        <f>0 * (25 / 27)</f>
        <v>0</v>
      </c>
      <c r="P34" s="7">
        <f>28465 * (25 / 27)</f>
        <v>26356.481481481482</v>
      </c>
      <c r="Q34" s="16">
        <f t="shared" si="1"/>
        <v>26356.481481481482</v>
      </c>
      <c r="R34" s="7">
        <f t="shared" si="2"/>
        <v>0</v>
      </c>
      <c r="S34" s="7">
        <f>SUMIFS('Stock - ETA'!$H$3:H4963,'Stock - ETA'!$F$3:F4963,'Rango proyecciones'!C34,'Stock - ETA'!$Q$3:Q4963,'Rango proyecciones'!$AJ$5)</f>
        <v>0</v>
      </c>
      <c r="T34" s="7">
        <f>SUMIF('Stock - Puerto Chile'!$G$2:G973,'Rango proyecciones'!C34,'Stock - Puerto Chile'!$N$2:N973)</f>
        <v>0</v>
      </c>
      <c r="U34" s="7">
        <f>0 * (25 / 27)</f>
        <v>0</v>
      </c>
      <c r="V34" s="7">
        <f>28465 * (25 / 27)</f>
        <v>26356.481481481482</v>
      </c>
      <c r="W34" s="17">
        <f t="shared" si="3"/>
        <v>26356.481481481482</v>
      </c>
      <c r="X34" s="4">
        <v>24041</v>
      </c>
      <c r="Y34" s="7">
        <v>24041</v>
      </c>
      <c r="Z34" s="18">
        <f>SUMIFS('Stock - ETA'!$S$3:S4963,'Stock - ETA'!$F$3:F4963,'Rango proyecciones'!C34,'Stock - ETA'!$AA$3:AA4963,'Rango proyecciones'!$AJ$5) + SUMIFS('Stock - ETA'!$R$3:R4963,'Stock - ETA'!$F$3:F4963,'Rango proyecciones'!C34,'Stock - ETA'!$AA$3:AA4963,'Rango proyecciones'!$AJ$7)</f>
        <v>0</v>
      </c>
      <c r="AA34" s="13">
        <f t="shared" si="4"/>
        <v>24041</v>
      </c>
      <c r="AB34" s="7">
        <f>SUMIFS('Stock - ETA'!$I$3:I4963,'Stock - ETA'!$F$3:F4963,'Rango proyecciones'!C34,'Stock - ETA'!$Q$3:Q4963,'Rango proyecciones'!$AJ$5) + SUMIFS('Stock - ETA'!$H$3:H4963,'Stock - ETA'!$F$3:F4963,'Rango proyecciones'!C34,'Stock - ETA'!$Q$3:Q4963,'Rango proyecciones'!$AJ$7)</f>
        <v>0</v>
      </c>
      <c r="AC34" s="16">
        <f t="shared" si="5"/>
        <v>24041</v>
      </c>
      <c r="AD34" s="4">
        <v>24041</v>
      </c>
      <c r="AE34" s="7">
        <f>SUMIFS('Stock - ETA'!$T$3:T4963,'Stock - ETA'!$F$3:F4963,'Rango proyecciones'!C34,'Stock - ETA'!$AA$3:AA4963,'Rango proyecciones'!$AJ$5) + SUMIFS('Stock - ETA'!$S$3:S4963,'Stock - ETA'!$F$3:F4963,'Rango proyecciones'!C34,'Stock - ETA'!$AA$3:AA4963,'Rango proyecciones'!$AJ$8)</f>
        <v>0</v>
      </c>
      <c r="AF34" s="16">
        <f t="shared" si="6"/>
        <v>14424.6</v>
      </c>
      <c r="AG34" s="7">
        <f>SUMIFS('Stock - ETA'!$J$3:J4963,'Stock - ETA'!$F$3:F4963,'Rango proyecciones'!C34,'Stock - ETA'!$Q$3:Q4963,'Rango proyecciones'!$AJ$5) + SUMIFS('Stock - ETA'!$I$3:I4963,'Stock - ETA'!$F$3:F4963,'Rango proyecciones'!C34,'Stock - ETA'!$Q$3:Q4963,'Rango proyecciones'!$AJ$8)</f>
        <v>0</v>
      </c>
      <c r="AH34" s="16">
        <f t="shared" si="7"/>
        <v>14424.6</v>
      </c>
      <c r="AI34" s="4"/>
    </row>
    <row r="35" spans="1:35" x14ac:dyDescent="0.2">
      <c r="A35" s="2" t="s">
        <v>34</v>
      </c>
      <c r="B35" s="2" t="s">
        <v>35</v>
      </c>
      <c r="C35" s="2" t="s">
        <v>120</v>
      </c>
      <c r="D35" s="2" t="s">
        <v>52</v>
      </c>
      <c r="E35" s="2">
        <v>1022883</v>
      </c>
      <c r="F35" s="2" t="s">
        <v>121</v>
      </c>
      <c r="G35" s="2" t="s">
        <v>76</v>
      </c>
      <c r="H35" s="4">
        <v>0</v>
      </c>
      <c r="I35" s="7">
        <v>0</v>
      </c>
      <c r="J35" s="7">
        <v>0</v>
      </c>
      <c r="K35" s="7">
        <v>0</v>
      </c>
      <c r="L35" s="4">
        <f t="shared" si="0"/>
        <v>0</v>
      </c>
      <c r="M35" s="7">
        <f>SUMIFS('Stock - ETA'!$R$3:R4963,'Stock - ETA'!$F$3:F4963,'Rango proyecciones'!C35,'Stock - ETA'!$AA$3:AA4963,'Rango proyecciones'!$AJ$5)</f>
        <v>0</v>
      </c>
      <c r="N35" s="7">
        <f>SUMIF('Stock - Puerto Chile'!$G$2:G973,'Rango proyecciones'!C35,'Stock - Puerto Chile'!$L$2:L973)</f>
        <v>0</v>
      </c>
      <c r="O35" s="7">
        <f>0 * (25 / 27)</f>
        <v>0</v>
      </c>
      <c r="P35" s="7">
        <f>33536 * (25 / 27)</f>
        <v>31051.85185185185</v>
      </c>
      <c r="Q35" s="16">
        <f t="shared" ref="Q35:Q66" si="8">H35 + P35 + M35</f>
        <v>31051.85185185185</v>
      </c>
      <c r="R35" s="7">
        <f t="shared" si="2"/>
        <v>0</v>
      </c>
      <c r="S35" s="7">
        <f>SUMIFS('Stock - ETA'!$H$3:H4963,'Stock - ETA'!$F$3:F4963,'Rango proyecciones'!C35,'Stock - ETA'!$Q$3:Q4963,'Rango proyecciones'!$AJ$5)</f>
        <v>0</v>
      </c>
      <c r="T35" s="7">
        <f>SUMIF('Stock - Puerto Chile'!$G$2:G973,'Rango proyecciones'!C35,'Stock - Puerto Chile'!$N$2:N973)</f>
        <v>0</v>
      </c>
      <c r="U35" s="7">
        <f>0 * (25 / 27)</f>
        <v>0</v>
      </c>
      <c r="V35" s="7">
        <f>33536 * (25 / 27)</f>
        <v>31051.85185185185</v>
      </c>
      <c r="W35" s="17">
        <f t="shared" ref="W35:W66" si="9">H35 + V35 + S35 + U35</f>
        <v>31051.85185185185</v>
      </c>
      <c r="X35" s="4">
        <v>14775</v>
      </c>
      <c r="Y35" s="7">
        <v>14775</v>
      </c>
      <c r="Z35" s="18">
        <f>SUMIFS('Stock - ETA'!$S$3:S4963,'Stock - ETA'!$F$3:F4963,'Rango proyecciones'!C35,'Stock - ETA'!$AA$3:AA4963,'Rango proyecciones'!$AJ$5) + SUMIFS('Stock - ETA'!$R$3:R4963,'Stock - ETA'!$F$3:F4963,'Rango proyecciones'!C35,'Stock - ETA'!$AA$3:AA4963,'Rango proyecciones'!$AJ$7)</f>
        <v>0</v>
      </c>
      <c r="AA35" s="13">
        <f t="shared" si="4"/>
        <v>14775</v>
      </c>
      <c r="AB35" s="7">
        <f>SUMIFS('Stock - ETA'!$I$3:I4963,'Stock - ETA'!$F$3:F4963,'Rango proyecciones'!C35,'Stock - ETA'!$Q$3:Q4963,'Rango proyecciones'!$AJ$5) + SUMIFS('Stock - ETA'!$H$3:H4963,'Stock - ETA'!$F$3:F4963,'Rango proyecciones'!C35,'Stock - ETA'!$Q$3:Q4963,'Rango proyecciones'!$AJ$7)</f>
        <v>0</v>
      </c>
      <c r="AC35" s="16">
        <f t="shared" si="5"/>
        <v>14775</v>
      </c>
      <c r="AD35" s="4">
        <v>23587</v>
      </c>
      <c r="AE35" s="7">
        <f>SUMIFS('Stock - ETA'!$T$3:T4963,'Stock - ETA'!$F$3:F4963,'Rango proyecciones'!C35,'Stock - ETA'!$AA$3:AA4963,'Rango proyecciones'!$AJ$5) + SUMIFS('Stock - ETA'!$S$3:S4963,'Stock - ETA'!$F$3:F4963,'Rango proyecciones'!C35,'Stock - ETA'!$AA$3:AA4963,'Rango proyecciones'!$AJ$8)</f>
        <v>0</v>
      </c>
      <c r="AF35" s="16">
        <f t="shared" si="6"/>
        <v>14152.199999999999</v>
      </c>
      <c r="AG35" s="7">
        <f>SUMIFS('Stock - ETA'!$J$3:J4963,'Stock - ETA'!$F$3:F4963,'Rango proyecciones'!C35,'Stock - ETA'!$Q$3:Q4963,'Rango proyecciones'!$AJ$5) + SUMIFS('Stock - ETA'!$I$3:I4963,'Stock - ETA'!$F$3:F4963,'Rango proyecciones'!C35,'Stock - ETA'!$Q$3:Q4963,'Rango proyecciones'!$AJ$8)</f>
        <v>0</v>
      </c>
      <c r="AH35" s="16">
        <f t="shared" si="7"/>
        <v>14152.199999999999</v>
      </c>
      <c r="AI35" s="4"/>
    </row>
    <row r="36" spans="1:35" x14ac:dyDescent="0.2">
      <c r="A36" s="2" t="s">
        <v>34</v>
      </c>
      <c r="B36" s="2" t="s">
        <v>35</v>
      </c>
      <c r="C36" s="2" t="s">
        <v>122</v>
      </c>
      <c r="D36" s="2" t="s">
        <v>52</v>
      </c>
      <c r="E36" s="2">
        <v>1023175</v>
      </c>
      <c r="F36" s="2" t="s">
        <v>123</v>
      </c>
      <c r="G36" s="2" t="s">
        <v>124</v>
      </c>
      <c r="H36" s="4">
        <v>0</v>
      </c>
      <c r="I36" s="7">
        <v>0</v>
      </c>
      <c r="J36" s="7">
        <v>0</v>
      </c>
      <c r="K36" s="7">
        <v>0</v>
      </c>
      <c r="L36" s="4">
        <f t="shared" si="0"/>
        <v>0</v>
      </c>
      <c r="M36" s="7">
        <f>SUMIFS('Stock - ETA'!$R$3:R4963,'Stock - ETA'!$F$3:F4963,'Rango proyecciones'!C36,'Stock - ETA'!$AA$3:AA4963,'Rango proyecciones'!$AJ$5)</f>
        <v>0</v>
      </c>
      <c r="N36" s="7">
        <f>SUMIF('Stock - Puerto Chile'!$G$2:G973,'Rango proyecciones'!C36,'Stock - Puerto Chile'!$L$2:L973)</f>
        <v>0</v>
      </c>
      <c r="O36" s="7">
        <f>0 * (25 / 27)</f>
        <v>0</v>
      </c>
      <c r="P36" s="7">
        <f>46.9 * (25 / 27)</f>
        <v>43.425925925925924</v>
      </c>
      <c r="Q36" s="16">
        <f t="shared" si="8"/>
        <v>43.425925925925924</v>
      </c>
      <c r="R36" s="7">
        <f t="shared" si="2"/>
        <v>0</v>
      </c>
      <c r="S36" s="7">
        <f>SUMIFS('Stock - ETA'!$H$3:H4963,'Stock - ETA'!$F$3:F4963,'Rango proyecciones'!C36,'Stock - ETA'!$Q$3:Q4963,'Rango proyecciones'!$AJ$5)</f>
        <v>0</v>
      </c>
      <c r="T36" s="7">
        <f>SUMIF('Stock - Puerto Chile'!$G$2:G973,'Rango proyecciones'!C36,'Stock - Puerto Chile'!$N$2:N973)</f>
        <v>0</v>
      </c>
      <c r="U36" s="7">
        <f>0 * (25 / 27)</f>
        <v>0</v>
      </c>
      <c r="V36" s="7">
        <f>46.9 * (25 / 27)</f>
        <v>43.425925925925924</v>
      </c>
      <c r="W36" s="17">
        <f t="shared" si="9"/>
        <v>43.425925925925924</v>
      </c>
      <c r="X36" s="4"/>
      <c r="Y36" s="7"/>
      <c r="Z36" s="18">
        <f>SUMIFS('Stock - ETA'!$S$3:S4963,'Stock - ETA'!$F$3:F4963,'Rango proyecciones'!C36,'Stock - ETA'!$AA$3:AA4963,'Rango proyecciones'!$AJ$5) + SUMIFS('Stock - ETA'!$R$3:R4963,'Stock - ETA'!$F$3:F4963,'Rango proyecciones'!C36,'Stock - ETA'!$AA$3:AA4963,'Rango proyecciones'!$AJ$7)</f>
        <v>0</v>
      </c>
      <c r="AA36" s="13">
        <f t="shared" si="4"/>
        <v>0</v>
      </c>
      <c r="AB36" s="7">
        <f>SUMIFS('Stock - ETA'!$I$3:I4963,'Stock - ETA'!$F$3:F4963,'Rango proyecciones'!C36,'Stock - ETA'!$Q$3:Q4963,'Rango proyecciones'!$AJ$5) + SUMIFS('Stock - ETA'!$H$3:H4963,'Stock - ETA'!$F$3:F4963,'Rango proyecciones'!C36,'Stock - ETA'!$Q$3:Q4963,'Rango proyecciones'!$AJ$7)</f>
        <v>0</v>
      </c>
      <c r="AC36" s="16">
        <f t="shared" si="5"/>
        <v>0</v>
      </c>
      <c r="AD36" s="4"/>
      <c r="AE36" s="7">
        <f>SUMIFS('Stock - ETA'!$T$3:T4963,'Stock - ETA'!$F$3:F4963,'Rango proyecciones'!C36,'Stock - ETA'!$AA$3:AA4963,'Rango proyecciones'!$AJ$5) + SUMIFS('Stock - ETA'!$S$3:S4963,'Stock - ETA'!$F$3:F4963,'Rango proyecciones'!C36,'Stock - ETA'!$AA$3:AA4963,'Rango proyecciones'!$AJ$8)</f>
        <v>0</v>
      </c>
      <c r="AF36" s="16">
        <f t="shared" si="6"/>
        <v>0</v>
      </c>
      <c r="AG36" s="7">
        <f>SUMIFS('Stock - ETA'!$J$3:J4963,'Stock - ETA'!$F$3:F4963,'Rango proyecciones'!C36,'Stock - ETA'!$Q$3:Q4963,'Rango proyecciones'!$AJ$5) + SUMIFS('Stock - ETA'!$I$3:I4963,'Stock - ETA'!$F$3:F4963,'Rango proyecciones'!C36,'Stock - ETA'!$Q$3:Q4963,'Rango proyecciones'!$AJ$8)</f>
        <v>0</v>
      </c>
      <c r="AH36" s="16">
        <f t="shared" si="7"/>
        <v>0</v>
      </c>
      <c r="AI36" s="4"/>
    </row>
    <row r="37" spans="1:35" x14ac:dyDescent="0.2">
      <c r="A37" s="2" t="s">
        <v>34</v>
      </c>
      <c r="B37" s="2" t="s">
        <v>35</v>
      </c>
      <c r="C37" s="2" t="s">
        <v>125</v>
      </c>
      <c r="D37" s="2" t="s">
        <v>37</v>
      </c>
      <c r="E37" s="2">
        <v>1021952</v>
      </c>
      <c r="F37" s="2" t="s">
        <v>75</v>
      </c>
      <c r="G37" s="2" t="s">
        <v>76</v>
      </c>
      <c r="H37" s="4">
        <v>0</v>
      </c>
      <c r="I37" s="7">
        <v>0</v>
      </c>
      <c r="J37" s="7">
        <v>1012</v>
      </c>
      <c r="K37" s="7"/>
      <c r="L37" s="4">
        <f t="shared" si="0"/>
        <v>1518</v>
      </c>
      <c r="M37" s="7">
        <f>SUMIFS('Stock - ETA'!$R$3:R4963,'Stock - ETA'!$F$3:F4963,'Rango proyecciones'!C37,'Stock - ETA'!$AA$3:AA4963,'Rango proyecciones'!$AJ$5)</f>
        <v>1500</v>
      </c>
      <c r="N37" s="7">
        <f>SUMIF('Stock - Puerto Chile'!$G$2:G973,'Rango proyecciones'!C37,'Stock - Puerto Chile'!$L$2:L973)</f>
        <v>0</v>
      </c>
      <c r="O37" s="7">
        <f>0 * (25 / 27)</f>
        <v>0</v>
      </c>
      <c r="P37" s="7">
        <f>6110 * (25 / 27)</f>
        <v>5657.4074074074078</v>
      </c>
      <c r="Q37" s="16">
        <f t="shared" si="8"/>
        <v>7157.4074074074078</v>
      </c>
      <c r="R37" s="7">
        <f t="shared" si="2"/>
        <v>2602.2857142857147</v>
      </c>
      <c r="S37" s="7">
        <f>SUMIFS('Stock - ETA'!$H$3:H4963,'Stock - ETA'!$F$3:F4963,'Rango proyecciones'!C37,'Stock - ETA'!$Q$3:Q4963,'Rango proyecciones'!$AJ$5)</f>
        <v>1500</v>
      </c>
      <c r="T37" s="7">
        <f>SUMIF('Stock - Puerto Chile'!$G$2:G973,'Rango proyecciones'!C37,'Stock - Puerto Chile'!$N$2:N973)</f>
        <v>0</v>
      </c>
      <c r="U37" s="7">
        <f>0 * (25 / 27)</f>
        <v>0</v>
      </c>
      <c r="V37" s="7">
        <f>6110 * (25 / 27)</f>
        <v>5657.4074074074078</v>
      </c>
      <c r="W37" s="17">
        <f t="shared" si="9"/>
        <v>7157.4074074074078</v>
      </c>
      <c r="X37" s="4">
        <v>3000</v>
      </c>
      <c r="Y37" s="7">
        <v>3000</v>
      </c>
      <c r="Z37" s="18">
        <f>SUMIFS('Stock - ETA'!$S$3:S4963,'Stock - ETA'!$F$3:F4963,'Rango proyecciones'!C37,'Stock - ETA'!$AA$3:AA4963,'Rango proyecciones'!$AJ$5) + SUMIFS('Stock - ETA'!$R$3:R4963,'Stock - ETA'!$F$3:F4963,'Rango proyecciones'!C37,'Stock - ETA'!$AA$3:AA4963,'Rango proyecciones'!$AJ$7)</f>
        <v>0</v>
      </c>
      <c r="AA37" s="13">
        <f t="shared" si="4"/>
        <v>3000</v>
      </c>
      <c r="AB37" s="7">
        <f>SUMIFS('Stock - ETA'!$I$3:I4963,'Stock - ETA'!$F$3:F4963,'Rango proyecciones'!C37,'Stock - ETA'!$Q$3:Q4963,'Rango proyecciones'!$AJ$5) + SUMIFS('Stock - ETA'!$H$3:H4963,'Stock - ETA'!$F$3:F4963,'Rango proyecciones'!C37,'Stock - ETA'!$Q$3:Q4963,'Rango proyecciones'!$AJ$7)</f>
        <v>0</v>
      </c>
      <c r="AC37" s="16">
        <f t="shared" si="5"/>
        <v>3000</v>
      </c>
      <c r="AD37" s="4">
        <v>3000</v>
      </c>
      <c r="AE37" s="7">
        <f>SUMIFS('Stock - ETA'!$T$3:T4963,'Stock - ETA'!$F$3:F4963,'Rango proyecciones'!C37,'Stock - ETA'!$AA$3:AA4963,'Rango proyecciones'!$AJ$5) + SUMIFS('Stock - ETA'!$S$3:S4963,'Stock - ETA'!$F$3:F4963,'Rango proyecciones'!C37,'Stock - ETA'!$AA$3:AA4963,'Rango proyecciones'!$AJ$8)</f>
        <v>0</v>
      </c>
      <c r="AF37" s="16">
        <f>0.7 * AD37 + AE37</f>
        <v>2100</v>
      </c>
      <c r="AG37" s="7">
        <f>SUMIFS('Stock - ETA'!$J$3:J4963,'Stock - ETA'!$F$3:F4963,'Rango proyecciones'!C37,'Stock - ETA'!$Q$3:Q4963,'Rango proyecciones'!$AJ$5) + SUMIFS('Stock - ETA'!$I$3:I4963,'Stock - ETA'!$F$3:F4963,'Rango proyecciones'!C37,'Stock - ETA'!$Q$3:Q4963,'Rango proyecciones'!$AJ$8)</f>
        <v>0</v>
      </c>
      <c r="AH37" s="16">
        <f>0.7 * AD37 + AG37</f>
        <v>2100</v>
      </c>
      <c r="AI37" s="4"/>
    </row>
    <row r="38" spans="1:35" x14ac:dyDescent="0.2">
      <c r="A38" s="2" t="s">
        <v>34</v>
      </c>
      <c r="B38" s="2" t="s">
        <v>35</v>
      </c>
      <c r="C38" s="2" t="s">
        <v>126</v>
      </c>
      <c r="D38" s="2" t="s">
        <v>37</v>
      </c>
      <c r="E38" s="2">
        <v>1022141</v>
      </c>
      <c r="F38" s="2" t="s">
        <v>127</v>
      </c>
      <c r="G38" s="2" t="s">
        <v>96</v>
      </c>
      <c r="H38" s="4">
        <v>0</v>
      </c>
      <c r="I38" s="7">
        <v>0</v>
      </c>
      <c r="J38" s="7">
        <v>12782.06</v>
      </c>
      <c r="K38" s="7">
        <v>884.98</v>
      </c>
      <c r="L38" s="4">
        <f t="shared" si="0"/>
        <v>17845.62</v>
      </c>
      <c r="M38" s="7">
        <f>SUMIFS('Stock - ETA'!$R$3:R4963,'Stock - ETA'!$F$3:F4963,'Rango proyecciones'!C38,'Stock - ETA'!$AA$3:AA4963,'Rango proyecciones'!$AJ$5)</f>
        <v>44079.299999999996</v>
      </c>
      <c r="N38" s="7">
        <f>SUMIF('Stock - Puerto Chile'!$G$2:G973,'Rango proyecciones'!C38,'Stock - Puerto Chile'!$L$2:L973)</f>
        <v>46911.643799999998</v>
      </c>
      <c r="O38" s="7">
        <f>0 * (25 / 27)</f>
        <v>0</v>
      </c>
      <c r="P38" s="7">
        <f>907.283 * (25 / 27)</f>
        <v>840.07685185185187</v>
      </c>
      <c r="Q38" s="16">
        <f t="shared" si="8"/>
        <v>44919.376851851848</v>
      </c>
      <c r="R38" s="7">
        <f t="shared" si="2"/>
        <v>30592.491428571429</v>
      </c>
      <c r="S38" s="7">
        <f>SUMIFS('Stock - ETA'!$H$3:H4963,'Stock - ETA'!$F$3:F4963,'Rango proyecciones'!C38,'Stock - ETA'!$Q$3:Q4963,'Rango proyecciones'!$AJ$5)</f>
        <v>44079.299999999996</v>
      </c>
      <c r="T38" s="7">
        <f>SUMIF('Stock - Puerto Chile'!$G$2:G973,'Rango proyecciones'!C38,'Stock - Puerto Chile'!$N$2:N973)</f>
        <v>56293.972559999995</v>
      </c>
      <c r="U38" s="7">
        <f>0 * (25 / 27)</f>
        <v>0</v>
      </c>
      <c r="V38" s="7">
        <f>907.283 * (25 / 27)</f>
        <v>840.07685185185187</v>
      </c>
      <c r="W38" s="17">
        <f t="shared" si="9"/>
        <v>44919.376851851848</v>
      </c>
      <c r="X38" s="4">
        <v>42065</v>
      </c>
      <c r="Y38" s="7">
        <v>42065</v>
      </c>
      <c r="Z38" s="18">
        <f>SUMIFS('Stock - ETA'!$S$3:S4963,'Stock - ETA'!$F$3:F4963,'Rango proyecciones'!C38,'Stock - ETA'!$AA$3:AA4963,'Rango proyecciones'!$AJ$5) + SUMIFS('Stock - ETA'!$R$3:R4963,'Stock - ETA'!$F$3:F4963,'Rango proyecciones'!C38,'Stock - ETA'!$AA$3:AA4963,'Rango proyecciones'!$AJ$7)</f>
        <v>30748.45</v>
      </c>
      <c r="AA38" s="13">
        <f t="shared" si="4"/>
        <v>72813.45</v>
      </c>
      <c r="AB38" s="7">
        <f>SUMIFS('Stock - ETA'!$I$3:I4963,'Stock - ETA'!$F$3:F4963,'Rango proyecciones'!C38,'Stock - ETA'!$Q$3:Q4963,'Rango proyecciones'!$AJ$5) + SUMIFS('Stock - ETA'!$H$3:H4963,'Stock - ETA'!$F$3:F4963,'Rango proyecciones'!C38,'Stock - ETA'!$Q$3:Q4963,'Rango proyecciones'!$AJ$7)</f>
        <v>30748.45</v>
      </c>
      <c r="AC38" s="16">
        <f t="shared" si="5"/>
        <v>72813.45</v>
      </c>
      <c r="AD38" s="4">
        <v>49847</v>
      </c>
      <c r="AE38" s="7">
        <f>SUMIFS('Stock - ETA'!$T$3:T4963,'Stock - ETA'!$F$3:F4963,'Rango proyecciones'!C38,'Stock - ETA'!$AA$3:AA4963,'Rango proyecciones'!$AJ$5) + SUMIFS('Stock - ETA'!$S$3:S4963,'Stock - ETA'!$F$3:F4963,'Rango proyecciones'!C38,'Stock - ETA'!$AA$3:AA4963,'Rango proyecciones'!$AJ$8)</f>
        <v>6012.68</v>
      </c>
      <c r="AF38" s="16">
        <f>0.7 * AD38 + AE38</f>
        <v>40905.579999999994</v>
      </c>
      <c r="AG38" s="7">
        <f>SUMIFS('Stock - ETA'!$J$3:J4963,'Stock - ETA'!$F$3:F4963,'Rango proyecciones'!C38,'Stock - ETA'!$Q$3:Q4963,'Rango proyecciones'!$AJ$5) + SUMIFS('Stock - ETA'!$I$3:I4963,'Stock - ETA'!$F$3:F4963,'Rango proyecciones'!C38,'Stock - ETA'!$Q$3:Q4963,'Rango proyecciones'!$AJ$8)</f>
        <v>6012.68</v>
      </c>
      <c r="AH38" s="16">
        <f>0.7 * AD38 + AG38</f>
        <v>40905.579999999994</v>
      </c>
      <c r="AI38" s="4"/>
    </row>
    <row r="39" spans="1:35" x14ac:dyDescent="0.2">
      <c r="A39" s="2" t="s">
        <v>50</v>
      </c>
      <c r="B39" s="2" t="s">
        <v>35</v>
      </c>
      <c r="C39" s="2" t="s">
        <v>128</v>
      </c>
      <c r="D39" s="2" t="s">
        <v>52</v>
      </c>
      <c r="E39" s="2">
        <v>1030461</v>
      </c>
      <c r="F39" s="2" t="s">
        <v>129</v>
      </c>
      <c r="G39" s="2" t="s">
        <v>79</v>
      </c>
      <c r="H39" s="4">
        <v>0</v>
      </c>
      <c r="I39" s="7">
        <v>0</v>
      </c>
      <c r="J39" s="7">
        <v>520</v>
      </c>
      <c r="K39" s="7"/>
      <c r="L39" s="4">
        <f t="shared" si="0"/>
        <v>780</v>
      </c>
      <c r="M39" s="7">
        <f>SUMIFS('Stock - ETA'!$R$3:R4963,'Stock - ETA'!$F$3:F4963,'Rango proyecciones'!C39,'Stock - ETA'!$AA$3:AA4963,'Rango proyecciones'!$AJ$5)</f>
        <v>7996.210075</v>
      </c>
      <c r="N39" s="7">
        <f>SUMIF('Stock - Puerto Chile'!$G$2:G973,'Rango proyecciones'!C39,'Stock - Puerto Chile'!$L$2:L973)</f>
        <v>107434.98899999999</v>
      </c>
      <c r="O39" s="7">
        <f>3528.285 * (25 / 27)</f>
        <v>3266.9305555555557</v>
      </c>
      <c r="P39" s="7">
        <f>8804.056 * (25 / 27)</f>
        <v>8151.9037037037042</v>
      </c>
      <c r="Q39" s="16">
        <f t="shared" si="8"/>
        <v>16148.113778703704</v>
      </c>
      <c r="R39" s="7">
        <f t="shared" si="2"/>
        <v>1337.1428571428573</v>
      </c>
      <c r="S39" s="7">
        <f>SUMIFS('Stock - ETA'!$H$3:H4963,'Stock - ETA'!$F$3:F4963,'Rango proyecciones'!C39,'Stock - ETA'!$Q$3:Q4963,'Rango proyecciones'!$AJ$5)</f>
        <v>7996.210075</v>
      </c>
      <c r="T39" s="7">
        <f>SUMIF('Stock - Puerto Chile'!$G$2:G973,'Rango proyecciones'!C39,'Stock - Puerto Chile'!$N$2:N973)</f>
        <v>128921.9868</v>
      </c>
      <c r="U39" s="7">
        <f>3528.285 * (25 / 27)</f>
        <v>3266.9305555555557</v>
      </c>
      <c r="V39" s="7">
        <f>8804.056 * (25 / 27)</f>
        <v>8151.9037037037042</v>
      </c>
      <c r="W39" s="17">
        <f t="shared" si="9"/>
        <v>19415.044334259259</v>
      </c>
      <c r="X39" s="4"/>
      <c r="Y39" s="7"/>
      <c r="Z39" s="18">
        <f>SUMIFS('Stock - ETA'!$S$3:S4963,'Stock - ETA'!$F$3:F4963,'Rango proyecciones'!C39,'Stock - ETA'!$AA$3:AA4963,'Rango proyecciones'!$AJ$5) + SUMIFS('Stock - ETA'!$R$3:R4963,'Stock - ETA'!$F$3:F4963,'Rango proyecciones'!C39,'Stock - ETA'!$AA$3:AA4963,'Rango proyecciones'!$AJ$7)</f>
        <v>7995.7428749999999</v>
      </c>
      <c r="AA39" s="13">
        <f t="shared" si="4"/>
        <v>7995.7428749999999</v>
      </c>
      <c r="AB39" s="7">
        <f>SUMIFS('Stock - ETA'!$I$3:I4963,'Stock - ETA'!$F$3:F4963,'Rango proyecciones'!C39,'Stock - ETA'!$Q$3:Q4963,'Rango proyecciones'!$AJ$5) + SUMIFS('Stock - ETA'!$H$3:H4963,'Stock - ETA'!$F$3:F4963,'Rango proyecciones'!C39,'Stock - ETA'!$Q$3:Q4963,'Rango proyecciones'!$AJ$7)</f>
        <v>7995.7428749999999</v>
      </c>
      <c r="AC39" s="16">
        <f t="shared" si="5"/>
        <v>7995.7428749999999</v>
      </c>
      <c r="AD39" s="4"/>
      <c r="AE39" s="7">
        <f>SUMIFS('Stock - ETA'!$T$3:T4963,'Stock - ETA'!$F$3:F4963,'Rango proyecciones'!C39,'Stock - ETA'!$AA$3:AA4963,'Rango proyecciones'!$AJ$5) + SUMIFS('Stock - ETA'!$S$3:S4963,'Stock - ETA'!$F$3:F4963,'Rango proyecciones'!C39,'Stock - ETA'!$AA$3:AA4963,'Rango proyecciones'!$AJ$8)</f>
        <v>0</v>
      </c>
      <c r="AF39" s="16">
        <f t="shared" ref="AF39:AF49" si="10">0.6 * AD39 + AE39</f>
        <v>0</v>
      </c>
      <c r="AG39" s="7">
        <f>SUMIFS('Stock - ETA'!$J$3:J4963,'Stock - ETA'!$F$3:F4963,'Rango proyecciones'!C39,'Stock - ETA'!$Q$3:Q4963,'Rango proyecciones'!$AJ$5) + SUMIFS('Stock - ETA'!$I$3:I4963,'Stock - ETA'!$F$3:F4963,'Rango proyecciones'!C39,'Stock - ETA'!$Q$3:Q4963,'Rango proyecciones'!$AJ$8)</f>
        <v>0</v>
      </c>
      <c r="AH39" s="16">
        <f t="shared" ref="AH39:AH49" si="11">0.6 * AD39 + AG39</f>
        <v>0</v>
      </c>
      <c r="AI39" s="4"/>
    </row>
    <row r="40" spans="1:35" x14ac:dyDescent="0.2">
      <c r="A40" s="2" t="s">
        <v>50</v>
      </c>
      <c r="B40" s="2" t="s">
        <v>35</v>
      </c>
      <c r="C40" s="2" t="s">
        <v>130</v>
      </c>
      <c r="D40" s="2" t="s">
        <v>52</v>
      </c>
      <c r="E40" s="2">
        <v>1030783</v>
      </c>
      <c r="F40" s="2" t="s">
        <v>131</v>
      </c>
      <c r="G40" s="2" t="s">
        <v>132</v>
      </c>
      <c r="H40" s="4">
        <v>0</v>
      </c>
      <c r="I40" s="7">
        <v>0</v>
      </c>
      <c r="J40" s="7">
        <v>0</v>
      </c>
      <c r="K40" s="7">
        <v>0</v>
      </c>
      <c r="L40" s="4">
        <f t="shared" si="0"/>
        <v>0</v>
      </c>
      <c r="M40" s="7">
        <f>SUMIFS('Stock - ETA'!$R$3:R4963,'Stock - ETA'!$F$3:F4963,'Rango proyecciones'!C40,'Stock - ETA'!$AA$3:AA4963,'Rango proyecciones'!$AJ$5)</f>
        <v>0</v>
      </c>
      <c r="N40" s="7">
        <f>SUMIF('Stock - Puerto Chile'!$G$2:G973,'Rango proyecciones'!C40,'Stock - Puerto Chile'!$L$2:L973)</f>
        <v>0</v>
      </c>
      <c r="O40" s="7">
        <f>2260.12 * (25 / 27)</f>
        <v>2092.7037037037035</v>
      </c>
      <c r="P40" s="7">
        <f>16.886 * (25 / 27)</f>
        <v>15.635185185185184</v>
      </c>
      <c r="Q40" s="16">
        <f t="shared" si="8"/>
        <v>15.635185185185184</v>
      </c>
      <c r="R40" s="7">
        <f t="shared" si="2"/>
        <v>0</v>
      </c>
      <c r="S40" s="7">
        <f>SUMIFS('Stock - ETA'!$H$3:H4963,'Stock - ETA'!$F$3:F4963,'Rango proyecciones'!C40,'Stock - ETA'!$Q$3:Q4963,'Rango proyecciones'!$AJ$5)</f>
        <v>0</v>
      </c>
      <c r="T40" s="7">
        <f>SUMIF('Stock - Puerto Chile'!$G$2:G973,'Rango proyecciones'!C40,'Stock - Puerto Chile'!$N$2:N973)</f>
        <v>0</v>
      </c>
      <c r="U40" s="7">
        <f>2260.12 * (25 / 27)</f>
        <v>2092.7037037037035</v>
      </c>
      <c r="V40" s="7">
        <f>16.886 * (25 / 27)</f>
        <v>15.635185185185184</v>
      </c>
      <c r="W40" s="17">
        <f t="shared" si="9"/>
        <v>2108.3388888888885</v>
      </c>
      <c r="X40" s="4">
        <v>1320</v>
      </c>
      <c r="Y40" s="7">
        <v>1320</v>
      </c>
      <c r="Z40" s="18">
        <f>SUMIFS('Stock - ETA'!$S$3:S4963,'Stock - ETA'!$F$3:F4963,'Rango proyecciones'!C40,'Stock - ETA'!$AA$3:AA4963,'Rango proyecciones'!$AJ$5) + SUMIFS('Stock - ETA'!$R$3:R4963,'Stock - ETA'!$F$3:F4963,'Rango proyecciones'!C40,'Stock - ETA'!$AA$3:AA4963,'Rango proyecciones'!$AJ$7)</f>
        <v>0</v>
      </c>
      <c r="AA40" s="13">
        <f t="shared" si="4"/>
        <v>1320</v>
      </c>
      <c r="AB40" s="7">
        <f>SUMIFS('Stock - ETA'!$I$3:I4963,'Stock - ETA'!$F$3:F4963,'Rango proyecciones'!C40,'Stock - ETA'!$Q$3:Q4963,'Rango proyecciones'!$AJ$5) + SUMIFS('Stock - ETA'!$H$3:H4963,'Stock - ETA'!$F$3:F4963,'Rango proyecciones'!C40,'Stock - ETA'!$Q$3:Q4963,'Rango proyecciones'!$AJ$7)</f>
        <v>0</v>
      </c>
      <c r="AC40" s="16">
        <f t="shared" si="5"/>
        <v>1320</v>
      </c>
      <c r="AD40" s="4">
        <v>1320</v>
      </c>
      <c r="AE40" s="7">
        <f>SUMIFS('Stock - ETA'!$T$3:T4963,'Stock - ETA'!$F$3:F4963,'Rango proyecciones'!C40,'Stock - ETA'!$AA$3:AA4963,'Rango proyecciones'!$AJ$5) + SUMIFS('Stock - ETA'!$S$3:S4963,'Stock - ETA'!$F$3:F4963,'Rango proyecciones'!C40,'Stock - ETA'!$AA$3:AA4963,'Rango proyecciones'!$AJ$8)</f>
        <v>0</v>
      </c>
      <c r="AF40" s="16">
        <f t="shared" si="10"/>
        <v>792</v>
      </c>
      <c r="AG40" s="7">
        <f>SUMIFS('Stock - ETA'!$J$3:J4963,'Stock - ETA'!$F$3:F4963,'Rango proyecciones'!C40,'Stock - ETA'!$Q$3:Q4963,'Rango proyecciones'!$AJ$5) + SUMIFS('Stock - ETA'!$I$3:I4963,'Stock - ETA'!$F$3:F4963,'Rango proyecciones'!C40,'Stock - ETA'!$Q$3:Q4963,'Rango proyecciones'!$AJ$8)</f>
        <v>0</v>
      </c>
      <c r="AH40" s="16">
        <f t="shared" si="11"/>
        <v>792</v>
      </c>
      <c r="AI40" s="4"/>
    </row>
    <row r="41" spans="1:35" x14ac:dyDescent="0.2">
      <c r="A41" s="2" t="s">
        <v>50</v>
      </c>
      <c r="B41" s="2" t="s">
        <v>35</v>
      </c>
      <c r="C41" s="2" t="s">
        <v>133</v>
      </c>
      <c r="D41" s="2" t="s">
        <v>52</v>
      </c>
      <c r="E41" s="2">
        <v>1030818</v>
      </c>
      <c r="F41" s="2" t="s">
        <v>134</v>
      </c>
      <c r="G41" s="2" t="s">
        <v>79</v>
      </c>
      <c r="H41" s="4">
        <v>0</v>
      </c>
      <c r="I41" s="7">
        <v>0</v>
      </c>
      <c r="J41" s="7">
        <v>13950</v>
      </c>
      <c r="K41" s="7"/>
      <c r="L41" s="4">
        <f t="shared" si="0"/>
        <v>20925</v>
      </c>
      <c r="M41" s="7">
        <f>SUMIFS('Stock - ETA'!$R$3:R4963,'Stock - ETA'!$F$3:F4963,'Rango proyecciones'!C41,'Stock - ETA'!$AA$3:AA4963,'Rango proyecciones'!$AJ$5)</f>
        <v>24004.088640000002</v>
      </c>
      <c r="N41" s="7">
        <f>SUMIF('Stock - Puerto Chile'!$G$2:G973,'Rango proyecciones'!C41,'Stock - Puerto Chile'!$L$2:L973)</f>
        <v>0</v>
      </c>
      <c r="O41" s="7">
        <f>0 * (25 / 27)</f>
        <v>0</v>
      </c>
      <c r="P41" s="7">
        <f>25813.22 * (25 / 27)</f>
        <v>23901.129629629631</v>
      </c>
      <c r="Q41" s="16">
        <f t="shared" si="8"/>
        <v>47905.218269629637</v>
      </c>
      <c r="R41" s="7">
        <f t="shared" si="2"/>
        <v>35871.428571428572</v>
      </c>
      <c r="S41" s="7">
        <f>SUMIFS('Stock - ETA'!$H$3:H4963,'Stock - ETA'!$F$3:F4963,'Rango proyecciones'!C41,'Stock - ETA'!$Q$3:Q4963,'Rango proyecciones'!$AJ$5)</f>
        <v>24004.088640000002</v>
      </c>
      <c r="T41" s="7">
        <f>SUMIF('Stock - Puerto Chile'!$G$2:G973,'Rango proyecciones'!C41,'Stock - Puerto Chile'!$N$2:N973)</f>
        <v>0</v>
      </c>
      <c r="U41" s="7">
        <f>0 * (25 / 27)</f>
        <v>0</v>
      </c>
      <c r="V41" s="7">
        <f>25813.22 * (25 / 27)</f>
        <v>23901.129629629631</v>
      </c>
      <c r="W41" s="17">
        <f t="shared" si="9"/>
        <v>47905.218269629637</v>
      </c>
      <c r="X41" s="4">
        <v>48000</v>
      </c>
      <c r="Y41" s="7">
        <v>48000</v>
      </c>
      <c r="Z41" s="18">
        <f>SUMIFS('Stock - ETA'!$S$3:S4963,'Stock - ETA'!$F$3:F4963,'Rango proyecciones'!C41,'Stock - ETA'!$AA$3:AA4963,'Rango proyecciones'!$AJ$5) + SUMIFS('Stock - ETA'!$R$3:R4963,'Stock - ETA'!$F$3:F4963,'Rango proyecciones'!C41,'Stock - ETA'!$AA$3:AA4963,'Rango proyecciones'!$AJ$7)</f>
        <v>72066.696960000001</v>
      </c>
      <c r="AA41" s="13">
        <f t="shared" si="4"/>
        <v>120066.69696</v>
      </c>
      <c r="AB41" s="7">
        <f>SUMIFS('Stock - ETA'!$I$3:I4963,'Stock - ETA'!$F$3:F4963,'Rango proyecciones'!C41,'Stock - ETA'!$Q$3:Q4963,'Rango proyecciones'!$AJ$5) + SUMIFS('Stock - ETA'!$H$3:H4963,'Stock - ETA'!$F$3:F4963,'Rango proyecciones'!C41,'Stock - ETA'!$Q$3:Q4963,'Rango proyecciones'!$AJ$7)</f>
        <v>72066.696960000001</v>
      </c>
      <c r="AC41" s="16">
        <f t="shared" si="5"/>
        <v>120066.69696</v>
      </c>
      <c r="AD41" s="4">
        <v>24000</v>
      </c>
      <c r="AE41" s="7">
        <f>SUMIFS('Stock - ETA'!$T$3:T4963,'Stock - ETA'!$F$3:F4963,'Rango proyecciones'!C41,'Stock - ETA'!$AA$3:AA4963,'Rango proyecciones'!$AJ$5) + SUMIFS('Stock - ETA'!$S$3:S4963,'Stock - ETA'!$F$3:F4963,'Rango proyecciones'!C41,'Stock - ETA'!$AA$3:AA4963,'Rango proyecciones'!$AJ$8)</f>
        <v>0</v>
      </c>
      <c r="AF41" s="16">
        <f t="shared" si="10"/>
        <v>14400</v>
      </c>
      <c r="AG41" s="7">
        <f>SUMIFS('Stock - ETA'!$J$3:J4963,'Stock - ETA'!$F$3:F4963,'Rango proyecciones'!C41,'Stock - ETA'!$Q$3:Q4963,'Rango proyecciones'!$AJ$5) + SUMIFS('Stock - ETA'!$I$3:I4963,'Stock - ETA'!$F$3:F4963,'Rango proyecciones'!C41,'Stock - ETA'!$Q$3:Q4963,'Rango proyecciones'!$AJ$8)</f>
        <v>0</v>
      </c>
      <c r="AH41" s="16">
        <f t="shared" si="11"/>
        <v>14400</v>
      </c>
      <c r="AI41" s="4"/>
    </row>
    <row r="42" spans="1:35" x14ac:dyDescent="0.2">
      <c r="A42" s="2" t="s">
        <v>103</v>
      </c>
      <c r="B42" s="2" t="s">
        <v>35</v>
      </c>
      <c r="C42" s="2" t="s">
        <v>135</v>
      </c>
      <c r="D42" s="2" t="s">
        <v>52</v>
      </c>
      <c r="E42" s="2">
        <v>1100573</v>
      </c>
      <c r="F42" s="2" t="s">
        <v>136</v>
      </c>
      <c r="G42" s="2" t="s">
        <v>106</v>
      </c>
      <c r="H42" s="4">
        <v>0</v>
      </c>
      <c r="I42" s="7">
        <v>0</v>
      </c>
      <c r="J42" s="7">
        <v>0</v>
      </c>
      <c r="K42" s="7">
        <v>0</v>
      </c>
      <c r="L42" s="4">
        <f t="shared" si="0"/>
        <v>0</v>
      </c>
      <c r="M42" s="7">
        <f>SUMIFS('Stock - ETA'!$R$3:R4963,'Stock - ETA'!$F$3:F4963,'Rango proyecciones'!C42,'Stock - ETA'!$AA$3:AA4963,'Rango proyecciones'!$AJ$5)</f>
        <v>5507.0604719999992</v>
      </c>
      <c r="N42" s="7">
        <f>SUMIF('Stock - Puerto Chile'!$G$2:G973,'Rango proyecciones'!C42,'Stock - Puerto Chile'!$L$2:L973)</f>
        <v>0</v>
      </c>
      <c r="O42" s="7">
        <f>0 * (25 / 27)</f>
        <v>0</v>
      </c>
      <c r="P42" s="7">
        <f>1481.04 * (25 / 27)</f>
        <v>1371.3333333333333</v>
      </c>
      <c r="Q42" s="16">
        <f t="shared" si="8"/>
        <v>6878.3938053333322</v>
      </c>
      <c r="R42" s="7">
        <f t="shared" si="2"/>
        <v>0</v>
      </c>
      <c r="S42" s="7">
        <f>SUMIFS('Stock - ETA'!$H$3:H4963,'Stock - ETA'!$F$3:F4963,'Rango proyecciones'!C42,'Stock - ETA'!$Q$3:Q4963,'Rango proyecciones'!$AJ$5)</f>
        <v>5507.0604719999992</v>
      </c>
      <c r="T42" s="7">
        <f>SUMIF('Stock - Puerto Chile'!$G$2:G973,'Rango proyecciones'!C42,'Stock - Puerto Chile'!$N$2:N973)</f>
        <v>0</v>
      </c>
      <c r="U42" s="7">
        <f>0 * (25 / 27)</f>
        <v>0</v>
      </c>
      <c r="V42" s="7">
        <f>1481.04 * (25 / 27)</f>
        <v>1371.3333333333333</v>
      </c>
      <c r="W42" s="17">
        <f t="shared" si="9"/>
        <v>6878.3938053333322</v>
      </c>
      <c r="X42" s="4"/>
      <c r="Y42" s="7"/>
      <c r="Z42" s="18">
        <f>SUMIFS('Stock - ETA'!$S$3:S4963,'Stock - ETA'!$F$3:F4963,'Rango proyecciones'!C42,'Stock - ETA'!$AA$3:AA4963,'Rango proyecciones'!$AJ$5) + SUMIFS('Stock - ETA'!$R$3:R4963,'Stock - ETA'!$F$3:F4963,'Rango proyecciones'!C42,'Stock - ETA'!$AA$3:AA4963,'Rango proyecciones'!$AJ$7)</f>
        <v>3671.3736479999998</v>
      </c>
      <c r="AA42" s="13">
        <f t="shared" si="4"/>
        <v>3671.3736479999998</v>
      </c>
      <c r="AB42" s="7">
        <f>SUMIFS('Stock - ETA'!$I$3:I4963,'Stock - ETA'!$F$3:F4963,'Rango proyecciones'!C42,'Stock - ETA'!$Q$3:Q4963,'Rango proyecciones'!$AJ$5) + SUMIFS('Stock - ETA'!$H$3:H4963,'Stock - ETA'!$F$3:F4963,'Rango proyecciones'!C42,'Stock - ETA'!$Q$3:Q4963,'Rango proyecciones'!$AJ$7)</f>
        <v>3671.3736479999998</v>
      </c>
      <c r="AC42" s="16">
        <f t="shared" si="5"/>
        <v>3671.3736479999998</v>
      </c>
      <c r="AD42" s="4"/>
      <c r="AE42" s="7">
        <f>SUMIFS('Stock - ETA'!$T$3:T4963,'Stock - ETA'!$F$3:F4963,'Rango proyecciones'!C42,'Stock - ETA'!$AA$3:AA4963,'Rango proyecciones'!$AJ$5) + SUMIFS('Stock - ETA'!$S$3:S4963,'Stock - ETA'!$F$3:F4963,'Rango proyecciones'!C42,'Stock - ETA'!$AA$3:AA4963,'Rango proyecciones'!$AJ$8)</f>
        <v>0</v>
      </c>
      <c r="AF42" s="16">
        <f t="shared" si="10"/>
        <v>0</v>
      </c>
      <c r="AG42" s="7">
        <f>SUMIFS('Stock - ETA'!$J$3:J4963,'Stock - ETA'!$F$3:F4963,'Rango proyecciones'!C42,'Stock - ETA'!$Q$3:Q4963,'Rango proyecciones'!$AJ$5) + SUMIFS('Stock - ETA'!$I$3:I4963,'Stock - ETA'!$F$3:F4963,'Rango proyecciones'!C42,'Stock - ETA'!$Q$3:Q4963,'Rango proyecciones'!$AJ$8)</f>
        <v>0</v>
      </c>
      <c r="AH42" s="16">
        <f t="shared" si="11"/>
        <v>0</v>
      </c>
      <c r="AI42" s="4"/>
    </row>
    <row r="43" spans="1:35" x14ac:dyDescent="0.2">
      <c r="A43" s="2" t="s">
        <v>56</v>
      </c>
      <c r="B43" s="2" t="s">
        <v>35</v>
      </c>
      <c r="C43" s="2" t="s">
        <v>137</v>
      </c>
      <c r="D43" s="2" t="s">
        <v>52</v>
      </c>
      <c r="E43" s="2">
        <v>1012111</v>
      </c>
      <c r="F43" s="2" t="s">
        <v>117</v>
      </c>
      <c r="G43" s="2" t="s">
        <v>59</v>
      </c>
      <c r="H43" s="4">
        <v>0</v>
      </c>
      <c r="I43" s="7">
        <v>0</v>
      </c>
      <c r="J43" s="7">
        <v>12000</v>
      </c>
      <c r="K43" s="7">
        <v>751.15</v>
      </c>
      <c r="L43" s="4">
        <f t="shared" si="0"/>
        <v>16873.275000000001</v>
      </c>
      <c r="M43" s="7">
        <f>SUMIFS('Stock - ETA'!$R$3:R4963,'Stock - ETA'!$F$3:F4963,'Rango proyecciones'!C43,'Stock - ETA'!$AA$3:AA4963,'Rango proyecciones'!$AJ$5)</f>
        <v>79596.324160000004</v>
      </c>
      <c r="N43" s="7">
        <f>SUMIF('Stock - Puerto Chile'!$G$2:G973,'Rango proyecciones'!C43,'Stock - Puerto Chile'!$L$2:L973)</f>
        <v>41912.639999999999</v>
      </c>
      <c r="O43" s="7">
        <f>39916.8 * (25 / 27)</f>
        <v>36960</v>
      </c>
      <c r="P43" s="7">
        <f>94965.696 * (25 / 27)</f>
        <v>87931.199999999997</v>
      </c>
      <c r="Q43" s="16">
        <f t="shared" si="8"/>
        <v>167527.52416</v>
      </c>
      <c r="R43" s="7">
        <f t="shared" si="2"/>
        <v>28925.614285714288</v>
      </c>
      <c r="S43" s="7">
        <f>SUMIFS('Stock - ETA'!$H$3:H4963,'Stock - ETA'!$F$3:F4963,'Rango proyecciones'!C43,'Stock - ETA'!$Q$3:Q4963,'Rango proyecciones'!$AJ$5)</f>
        <v>79596.324160000004</v>
      </c>
      <c r="T43" s="7">
        <f>SUMIF('Stock - Puerto Chile'!$G$2:G973,'Rango proyecciones'!C43,'Stock - Puerto Chile'!$N$2:N973)</f>
        <v>50295.167999999998</v>
      </c>
      <c r="U43" s="7">
        <f>39916.8 * (25 / 27)</f>
        <v>36960</v>
      </c>
      <c r="V43" s="7">
        <f>94965.696 * (25 / 27)</f>
        <v>87931.199999999997</v>
      </c>
      <c r="W43" s="17">
        <f t="shared" si="9"/>
        <v>204487.52416</v>
      </c>
      <c r="X43" s="4"/>
      <c r="Y43" s="7"/>
      <c r="Z43" s="18">
        <f>SUMIFS('Stock - ETA'!$S$3:S4963,'Stock - ETA'!$F$3:F4963,'Rango proyecciones'!C43,'Stock - ETA'!$AA$3:AA4963,'Rango proyecciones'!$AJ$5) + SUMIFS('Stock - ETA'!$R$3:R4963,'Stock - ETA'!$F$3:F4963,'Rango proyecciones'!C43,'Stock - ETA'!$AA$3:AA4963,'Rango proyecciones'!$AJ$7)</f>
        <v>114758.77600000001</v>
      </c>
      <c r="AA43" s="13">
        <f t="shared" si="4"/>
        <v>114758.77600000001</v>
      </c>
      <c r="AB43" s="7">
        <f>SUMIFS('Stock - ETA'!$I$3:I4963,'Stock - ETA'!$F$3:F4963,'Rango proyecciones'!C43,'Stock - ETA'!$Q$3:Q4963,'Rango proyecciones'!$AJ$5) + SUMIFS('Stock - ETA'!$H$3:H4963,'Stock - ETA'!$F$3:F4963,'Rango proyecciones'!C43,'Stock - ETA'!$Q$3:Q4963,'Rango proyecciones'!$AJ$7)</f>
        <v>114758.77600000001</v>
      </c>
      <c r="AC43" s="16">
        <f t="shared" si="5"/>
        <v>114758.77600000001</v>
      </c>
      <c r="AD43" s="4"/>
      <c r="AE43" s="7">
        <f>SUMIFS('Stock - ETA'!$T$3:T4963,'Stock - ETA'!$F$3:F4963,'Rango proyecciones'!C43,'Stock - ETA'!$AA$3:AA4963,'Rango proyecciones'!$AJ$5) + SUMIFS('Stock - ETA'!$S$3:S4963,'Stock - ETA'!$F$3:F4963,'Rango proyecciones'!C43,'Stock - ETA'!$AA$3:AA4963,'Rango proyecciones'!$AJ$8)</f>
        <v>0</v>
      </c>
      <c r="AF43" s="16">
        <f t="shared" si="10"/>
        <v>0</v>
      </c>
      <c r="AG43" s="7">
        <f>SUMIFS('Stock - ETA'!$J$3:J4963,'Stock - ETA'!$F$3:F4963,'Rango proyecciones'!C43,'Stock - ETA'!$Q$3:Q4963,'Rango proyecciones'!$AJ$5) + SUMIFS('Stock - ETA'!$I$3:I4963,'Stock - ETA'!$F$3:F4963,'Rango proyecciones'!C43,'Stock - ETA'!$Q$3:Q4963,'Rango proyecciones'!$AJ$8)</f>
        <v>0</v>
      </c>
      <c r="AH43" s="16">
        <f t="shared" si="11"/>
        <v>0</v>
      </c>
      <c r="AI43" s="4"/>
    </row>
    <row r="44" spans="1:35" x14ac:dyDescent="0.2">
      <c r="A44" s="2" t="s">
        <v>56</v>
      </c>
      <c r="B44" s="2" t="s">
        <v>35</v>
      </c>
      <c r="C44" s="2" t="s">
        <v>138</v>
      </c>
      <c r="D44" s="2" t="s">
        <v>52</v>
      </c>
      <c r="E44" s="2">
        <v>1012112</v>
      </c>
      <c r="F44" s="2" t="s">
        <v>139</v>
      </c>
      <c r="G44" s="2" t="s">
        <v>59</v>
      </c>
      <c r="H44" s="4">
        <v>0</v>
      </c>
      <c r="I44" s="7">
        <v>0</v>
      </c>
      <c r="J44" s="7">
        <v>0</v>
      </c>
      <c r="K44" s="7">
        <v>0</v>
      </c>
      <c r="L44" s="4">
        <f t="shared" si="0"/>
        <v>0</v>
      </c>
      <c r="M44" s="7">
        <f>SUMIFS('Stock - ETA'!$R$3:R4963,'Stock - ETA'!$F$3:F4963,'Rango proyecciones'!C44,'Stock - ETA'!$AA$3:AA4963,'Rango proyecciones'!$AJ$5)</f>
        <v>0</v>
      </c>
      <c r="N44" s="7">
        <f>SUMIF('Stock - Puerto Chile'!$G$2:G973,'Rango proyecciones'!C44,'Stock - Puerto Chile'!$L$2:L973)</f>
        <v>0</v>
      </c>
      <c r="O44" s="7">
        <f>0 * (25 / 27)</f>
        <v>0</v>
      </c>
      <c r="P44" s="7">
        <f>55520.64 * (25 / 27)</f>
        <v>51408</v>
      </c>
      <c r="Q44" s="16">
        <f t="shared" si="8"/>
        <v>51408</v>
      </c>
      <c r="R44" s="7">
        <f t="shared" si="2"/>
        <v>0</v>
      </c>
      <c r="S44" s="7">
        <f>SUMIFS('Stock - ETA'!$H$3:H4963,'Stock - ETA'!$F$3:F4963,'Rango proyecciones'!C44,'Stock - ETA'!$Q$3:Q4963,'Rango proyecciones'!$AJ$5)</f>
        <v>0</v>
      </c>
      <c r="T44" s="7">
        <f>SUMIF('Stock - Puerto Chile'!$G$2:G973,'Rango proyecciones'!C44,'Stock - Puerto Chile'!$N$2:N973)</f>
        <v>0</v>
      </c>
      <c r="U44" s="7">
        <f>0 * (25 / 27)</f>
        <v>0</v>
      </c>
      <c r="V44" s="7">
        <f>55520.64 * (25 / 27)</f>
        <v>51408</v>
      </c>
      <c r="W44" s="17">
        <f t="shared" si="9"/>
        <v>51408</v>
      </c>
      <c r="X44" s="4"/>
      <c r="Y44" s="7"/>
      <c r="Z44" s="18">
        <f>SUMIFS('Stock - ETA'!$S$3:S4963,'Stock - ETA'!$F$3:F4963,'Rango proyecciones'!C44,'Stock - ETA'!$AA$3:AA4963,'Rango proyecciones'!$AJ$5) + SUMIFS('Stock - ETA'!$R$3:R4963,'Stock - ETA'!$F$3:F4963,'Rango proyecciones'!C44,'Stock - ETA'!$AA$3:AA4963,'Rango proyecciones'!$AJ$7)</f>
        <v>0</v>
      </c>
      <c r="AA44" s="13">
        <f t="shared" si="4"/>
        <v>0</v>
      </c>
      <c r="AB44" s="7">
        <f>SUMIFS('Stock - ETA'!$I$3:I4963,'Stock - ETA'!$F$3:F4963,'Rango proyecciones'!C44,'Stock - ETA'!$Q$3:Q4963,'Rango proyecciones'!$AJ$5) + SUMIFS('Stock - ETA'!$H$3:H4963,'Stock - ETA'!$F$3:F4963,'Rango proyecciones'!C44,'Stock - ETA'!$Q$3:Q4963,'Rango proyecciones'!$AJ$7)</f>
        <v>0</v>
      </c>
      <c r="AC44" s="16">
        <f t="shared" si="5"/>
        <v>0</v>
      </c>
      <c r="AD44" s="4"/>
      <c r="AE44" s="7">
        <f>SUMIFS('Stock - ETA'!$T$3:T4963,'Stock - ETA'!$F$3:F4963,'Rango proyecciones'!C44,'Stock - ETA'!$AA$3:AA4963,'Rango proyecciones'!$AJ$5) + SUMIFS('Stock - ETA'!$S$3:S4963,'Stock - ETA'!$F$3:F4963,'Rango proyecciones'!C44,'Stock - ETA'!$AA$3:AA4963,'Rango proyecciones'!$AJ$8)</f>
        <v>0</v>
      </c>
      <c r="AF44" s="16">
        <f t="shared" si="10"/>
        <v>0</v>
      </c>
      <c r="AG44" s="7">
        <f>SUMIFS('Stock - ETA'!$J$3:J4963,'Stock - ETA'!$F$3:F4963,'Rango proyecciones'!C44,'Stock - ETA'!$Q$3:Q4963,'Rango proyecciones'!$AJ$5) + SUMIFS('Stock - ETA'!$I$3:I4963,'Stock - ETA'!$F$3:F4963,'Rango proyecciones'!C44,'Stock - ETA'!$Q$3:Q4963,'Rango proyecciones'!$AJ$8)</f>
        <v>0</v>
      </c>
      <c r="AH44" s="16">
        <f t="shared" si="11"/>
        <v>0</v>
      </c>
      <c r="AI44" s="4"/>
    </row>
    <row r="45" spans="1:35" x14ac:dyDescent="0.2">
      <c r="A45" s="2" t="s">
        <v>56</v>
      </c>
      <c r="B45" s="2" t="s">
        <v>35</v>
      </c>
      <c r="C45" s="2" t="s">
        <v>140</v>
      </c>
      <c r="D45" s="2" t="s">
        <v>52</v>
      </c>
      <c r="E45" s="2">
        <v>1012163</v>
      </c>
      <c r="F45" s="2" t="s">
        <v>141</v>
      </c>
      <c r="G45" s="2" t="s">
        <v>67</v>
      </c>
      <c r="H45" s="4">
        <v>0</v>
      </c>
      <c r="I45" s="7">
        <v>0</v>
      </c>
      <c r="J45" s="7">
        <v>18959</v>
      </c>
      <c r="K45" s="7"/>
      <c r="L45" s="4">
        <f t="shared" si="0"/>
        <v>28438.5</v>
      </c>
      <c r="M45" s="7">
        <f>SUMIFS('Stock - ETA'!$R$3:R4963,'Stock - ETA'!$F$3:F4963,'Rango proyecciones'!C45,'Stock - ETA'!$AA$3:AA4963,'Rango proyecciones'!$AJ$5)</f>
        <v>219538.52800000002</v>
      </c>
      <c r="N45" s="7">
        <f>SUMIF('Stock - Puerto Chile'!$G$2:G973,'Rango proyecciones'!C45,'Stock - Puerto Chile'!$L$2:L973)</f>
        <v>179625.60000000001</v>
      </c>
      <c r="O45" s="7">
        <f>18180.288 * (25 / 27)</f>
        <v>16833.600000000002</v>
      </c>
      <c r="P45" s="7">
        <f>184814.784 * (25 / 27)</f>
        <v>171124.80000000002</v>
      </c>
      <c r="Q45" s="16">
        <f t="shared" si="8"/>
        <v>390663.32800000004</v>
      </c>
      <c r="R45" s="7">
        <f t="shared" si="2"/>
        <v>48751.71428571429</v>
      </c>
      <c r="S45" s="7">
        <f>SUMIFS('Stock - ETA'!$H$3:H4963,'Stock - ETA'!$F$3:F4963,'Rango proyecciones'!C45,'Stock - ETA'!$Q$3:Q4963,'Rango proyecciones'!$AJ$5)</f>
        <v>219538.52800000002</v>
      </c>
      <c r="T45" s="7">
        <f>SUMIF('Stock - Puerto Chile'!$G$2:G973,'Rango proyecciones'!C45,'Stock - Puerto Chile'!$N$2:N973)</f>
        <v>215550.72</v>
      </c>
      <c r="U45" s="7">
        <f>18180.288 * (25 / 27)</f>
        <v>16833.600000000002</v>
      </c>
      <c r="V45" s="7">
        <f>184814.784 * (25 / 27)</f>
        <v>171124.80000000002</v>
      </c>
      <c r="W45" s="17">
        <f t="shared" si="9"/>
        <v>407496.92800000001</v>
      </c>
      <c r="X45" s="4">
        <v>168738</v>
      </c>
      <c r="Y45" s="7">
        <v>168738</v>
      </c>
      <c r="Z45" s="18">
        <f>SUMIFS('Stock - ETA'!$S$3:S4963,'Stock - ETA'!$F$3:F4963,'Rango proyecciones'!C45,'Stock - ETA'!$AA$3:AA4963,'Rango proyecciones'!$AJ$5) + SUMIFS('Stock - ETA'!$R$3:R4963,'Stock - ETA'!$F$3:F4963,'Rango proyecciones'!C45,'Stock - ETA'!$AA$3:AA4963,'Rango proyecciones'!$AJ$7)</f>
        <v>159664.38399999999</v>
      </c>
      <c r="AA45" s="13">
        <f t="shared" si="4"/>
        <v>328402.38399999996</v>
      </c>
      <c r="AB45" s="7">
        <f>SUMIFS('Stock - ETA'!$I$3:I4963,'Stock - ETA'!$F$3:F4963,'Rango proyecciones'!C45,'Stock - ETA'!$Q$3:Q4963,'Rango proyecciones'!$AJ$5) + SUMIFS('Stock - ETA'!$H$3:H4963,'Stock - ETA'!$F$3:F4963,'Rango proyecciones'!C45,'Stock - ETA'!$Q$3:Q4963,'Rango proyecciones'!$AJ$7)</f>
        <v>159664.38399999999</v>
      </c>
      <c r="AC45" s="16">
        <f t="shared" si="5"/>
        <v>328402.38399999996</v>
      </c>
      <c r="AD45" s="4">
        <v>168738</v>
      </c>
      <c r="AE45" s="7">
        <f>SUMIFS('Stock - ETA'!$T$3:T4963,'Stock - ETA'!$F$3:F4963,'Rango proyecciones'!C45,'Stock - ETA'!$AA$3:AA4963,'Rango proyecciones'!$AJ$5) + SUMIFS('Stock - ETA'!$S$3:S4963,'Stock - ETA'!$F$3:F4963,'Rango proyecciones'!C45,'Stock - ETA'!$AA$3:AA4963,'Rango proyecciones'!$AJ$8)</f>
        <v>0</v>
      </c>
      <c r="AF45" s="16">
        <f t="shared" si="10"/>
        <v>101242.8</v>
      </c>
      <c r="AG45" s="7">
        <f>SUMIFS('Stock - ETA'!$J$3:J4963,'Stock - ETA'!$F$3:F4963,'Rango proyecciones'!C45,'Stock - ETA'!$Q$3:Q4963,'Rango proyecciones'!$AJ$5) + SUMIFS('Stock - ETA'!$I$3:I4963,'Stock - ETA'!$F$3:F4963,'Rango proyecciones'!C45,'Stock - ETA'!$Q$3:Q4963,'Rango proyecciones'!$AJ$8)</f>
        <v>0</v>
      </c>
      <c r="AH45" s="16">
        <f t="shared" si="11"/>
        <v>101242.8</v>
      </c>
      <c r="AI45" s="4"/>
    </row>
    <row r="46" spans="1:35" x14ac:dyDescent="0.2">
      <c r="A46" s="2" t="s">
        <v>56</v>
      </c>
      <c r="B46" s="2" t="s">
        <v>35</v>
      </c>
      <c r="C46" s="2" t="s">
        <v>142</v>
      </c>
      <c r="D46" s="2" t="s">
        <v>52</v>
      </c>
      <c r="E46" s="2">
        <v>1012164</v>
      </c>
      <c r="F46" s="2" t="s">
        <v>143</v>
      </c>
      <c r="G46" s="2" t="s">
        <v>63</v>
      </c>
      <c r="H46" s="4">
        <v>0</v>
      </c>
      <c r="I46" s="7">
        <v>0</v>
      </c>
      <c r="J46" s="7">
        <v>0</v>
      </c>
      <c r="K46" s="7">
        <v>0</v>
      </c>
      <c r="L46" s="4">
        <f t="shared" si="0"/>
        <v>0</v>
      </c>
      <c r="M46" s="7">
        <f>SUMIFS('Stock - ETA'!$R$3:R4963,'Stock - ETA'!$F$3:F4963,'Rango proyecciones'!C46,'Stock - ETA'!$AA$3:AA4963,'Rango proyecciones'!$AJ$5)</f>
        <v>0</v>
      </c>
      <c r="N46" s="7">
        <f>SUMIF('Stock - Puerto Chile'!$G$2:G973,'Rango proyecciones'!C46,'Stock - Puerto Chile'!$L$2:L973)</f>
        <v>0</v>
      </c>
      <c r="O46" s="7">
        <f>0 * (25 / 27)</f>
        <v>0</v>
      </c>
      <c r="P46" s="7">
        <f>76041.504 * (25 / 27)</f>
        <v>70408.800000000003</v>
      </c>
      <c r="Q46" s="16">
        <f t="shared" si="8"/>
        <v>70408.800000000003</v>
      </c>
      <c r="R46" s="7">
        <f t="shared" si="2"/>
        <v>0</v>
      </c>
      <c r="S46" s="7">
        <f>SUMIFS('Stock - ETA'!$H$3:H4963,'Stock - ETA'!$F$3:F4963,'Rango proyecciones'!C46,'Stock - ETA'!$Q$3:Q4963,'Rango proyecciones'!$AJ$5)</f>
        <v>0</v>
      </c>
      <c r="T46" s="7">
        <f>SUMIF('Stock - Puerto Chile'!$G$2:G973,'Rango proyecciones'!C46,'Stock - Puerto Chile'!$N$2:N973)</f>
        <v>0</v>
      </c>
      <c r="U46" s="7">
        <f>0 * (25 / 27)</f>
        <v>0</v>
      </c>
      <c r="V46" s="7">
        <f>76041.504 * (25 / 27)</f>
        <v>70408.800000000003</v>
      </c>
      <c r="W46" s="17">
        <f t="shared" si="9"/>
        <v>70408.800000000003</v>
      </c>
      <c r="X46" s="4">
        <v>59875</v>
      </c>
      <c r="Y46" s="7">
        <v>59875</v>
      </c>
      <c r="Z46" s="18">
        <f>SUMIFS('Stock - ETA'!$S$3:S4963,'Stock - ETA'!$F$3:F4963,'Rango proyecciones'!C46,'Stock - ETA'!$AA$3:AA4963,'Rango proyecciones'!$AJ$5) + SUMIFS('Stock - ETA'!$R$3:R4963,'Stock - ETA'!$F$3:F4963,'Rango proyecciones'!C46,'Stock - ETA'!$AA$3:AA4963,'Rango proyecciones'!$AJ$7)</f>
        <v>39716.515520000001</v>
      </c>
      <c r="AA46" s="13">
        <f t="shared" si="4"/>
        <v>99591.515520000001</v>
      </c>
      <c r="AB46" s="7">
        <f>SUMIFS('Stock - ETA'!$I$3:I4963,'Stock - ETA'!$F$3:F4963,'Rango proyecciones'!C46,'Stock - ETA'!$Q$3:Q4963,'Rango proyecciones'!$AJ$5) + SUMIFS('Stock - ETA'!$H$3:H4963,'Stock - ETA'!$F$3:F4963,'Rango proyecciones'!C46,'Stock - ETA'!$Q$3:Q4963,'Rango proyecciones'!$AJ$7)</f>
        <v>39716.515520000001</v>
      </c>
      <c r="AC46" s="16">
        <f t="shared" si="5"/>
        <v>99591.515520000001</v>
      </c>
      <c r="AD46" s="4">
        <v>59875</v>
      </c>
      <c r="AE46" s="7">
        <f>SUMIFS('Stock - ETA'!$T$3:T4963,'Stock - ETA'!$F$3:F4963,'Rango proyecciones'!C46,'Stock - ETA'!$AA$3:AA4963,'Rango proyecciones'!$AJ$5) + SUMIFS('Stock - ETA'!$S$3:S4963,'Stock - ETA'!$F$3:F4963,'Rango proyecciones'!C46,'Stock - ETA'!$AA$3:AA4963,'Rango proyecciones'!$AJ$8)</f>
        <v>0</v>
      </c>
      <c r="AF46" s="16">
        <f t="shared" si="10"/>
        <v>35925</v>
      </c>
      <c r="AG46" s="7">
        <f>SUMIFS('Stock - ETA'!$J$3:J4963,'Stock - ETA'!$F$3:F4963,'Rango proyecciones'!C46,'Stock - ETA'!$Q$3:Q4963,'Rango proyecciones'!$AJ$5) + SUMIFS('Stock - ETA'!$I$3:I4963,'Stock - ETA'!$F$3:F4963,'Rango proyecciones'!C46,'Stock - ETA'!$Q$3:Q4963,'Rango proyecciones'!$AJ$8)</f>
        <v>0</v>
      </c>
      <c r="AH46" s="16">
        <f t="shared" si="11"/>
        <v>35925</v>
      </c>
      <c r="AI46" s="4"/>
    </row>
    <row r="47" spans="1:35" x14ac:dyDescent="0.2">
      <c r="A47" s="2" t="s">
        <v>56</v>
      </c>
      <c r="B47" s="2" t="s">
        <v>35</v>
      </c>
      <c r="C47" s="2" t="s">
        <v>144</v>
      </c>
      <c r="D47" s="2" t="s">
        <v>52</v>
      </c>
      <c r="E47" s="2">
        <v>1012524</v>
      </c>
      <c r="F47" s="2" t="s">
        <v>139</v>
      </c>
      <c r="G47" s="2" t="s">
        <v>59</v>
      </c>
      <c r="H47" s="4">
        <v>0</v>
      </c>
      <c r="I47" s="7">
        <v>0</v>
      </c>
      <c r="J47" s="7">
        <v>2300</v>
      </c>
      <c r="K47" s="7">
        <v>184.67</v>
      </c>
      <c r="L47" s="4">
        <f t="shared" si="0"/>
        <v>3172.9949999999999</v>
      </c>
      <c r="M47" s="7">
        <f>SUMIFS('Stock - ETA'!$R$3:R4963,'Stock - ETA'!$F$3:F4963,'Rango proyecciones'!C47,'Stock - ETA'!$AA$3:AA4963,'Rango proyecciones'!$AJ$5)</f>
        <v>0</v>
      </c>
      <c r="N47" s="7">
        <f>SUMIF('Stock - Puerto Chile'!$G$2:G973,'Rango proyecciones'!C47,'Stock - Puerto Chile'!$L$2:L973)</f>
        <v>0</v>
      </c>
      <c r="O47" s="7">
        <f>0 * (25 / 27)</f>
        <v>0</v>
      </c>
      <c r="P47" s="7">
        <f>26308.8 * (25 / 27)</f>
        <v>24360</v>
      </c>
      <c r="Q47" s="16">
        <f t="shared" si="8"/>
        <v>24360</v>
      </c>
      <c r="R47" s="7">
        <f t="shared" si="2"/>
        <v>5439.42</v>
      </c>
      <c r="S47" s="7">
        <f>SUMIFS('Stock - ETA'!$H$3:H4963,'Stock - ETA'!$F$3:F4963,'Rango proyecciones'!C47,'Stock - ETA'!$Q$3:Q4963,'Rango proyecciones'!$AJ$5)</f>
        <v>0</v>
      </c>
      <c r="T47" s="7">
        <f>SUMIF('Stock - Puerto Chile'!$G$2:G973,'Rango proyecciones'!C47,'Stock - Puerto Chile'!$N$2:N973)</f>
        <v>0</v>
      </c>
      <c r="U47" s="7">
        <f>0 * (25 / 27)</f>
        <v>0</v>
      </c>
      <c r="V47" s="7">
        <f>26308.8 * (25 / 27)</f>
        <v>24360</v>
      </c>
      <c r="W47" s="17">
        <f t="shared" si="9"/>
        <v>24360</v>
      </c>
      <c r="X47" s="4">
        <v>39917</v>
      </c>
      <c r="Y47" s="7">
        <v>39917</v>
      </c>
      <c r="Z47" s="18">
        <f>SUMIFS('Stock - ETA'!$S$3:S4963,'Stock - ETA'!$F$3:F4963,'Rango proyecciones'!C47,'Stock - ETA'!$AA$3:AA4963,'Rango proyecciones'!$AJ$5) + SUMIFS('Stock - ETA'!$R$3:R4963,'Stock - ETA'!$F$3:F4963,'Rango proyecciones'!C47,'Stock - ETA'!$AA$3:AA4963,'Rango proyecciones'!$AJ$7)</f>
        <v>18143.68</v>
      </c>
      <c r="AA47" s="13">
        <f t="shared" si="4"/>
        <v>58060.68</v>
      </c>
      <c r="AB47" s="7">
        <f>SUMIFS('Stock - ETA'!$I$3:I4963,'Stock - ETA'!$F$3:F4963,'Rango proyecciones'!C47,'Stock - ETA'!$Q$3:Q4963,'Rango proyecciones'!$AJ$5) + SUMIFS('Stock - ETA'!$H$3:H4963,'Stock - ETA'!$F$3:F4963,'Rango proyecciones'!C47,'Stock - ETA'!$Q$3:Q4963,'Rango proyecciones'!$AJ$7)</f>
        <v>18143.68</v>
      </c>
      <c r="AC47" s="16">
        <f t="shared" si="5"/>
        <v>58060.68</v>
      </c>
      <c r="AD47" s="4">
        <v>39917</v>
      </c>
      <c r="AE47" s="7">
        <f>SUMIFS('Stock - ETA'!$T$3:T4963,'Stock - ETA'!$F$3:F4963,'Rango proyecciones'!C47,'Stock - ETA'!$AA$3:AA4963,'Rango proyecciones'!$AJ$5) + SUMIFS('Stock - ETA'!$S$3:S4963,'Stock - ETA'!$F$3:F4963,'Rango proyecciones'!C47,'Stock - ETA'!$AA$3:AA4963,'Rango proyecciones'!$AJ$8)</f>
        <v>0</v>
      </c>
      <c r="AF47" s="16">
        <f t="shared" si="10"/>
        <v>23950.2</v>
      </c>
      <c r="AG47" s="7">
        <f>SUMIFS('Stock - ETA'!$J$3:J4963,'Stock - ETA'!$F$3:F4963,'Rango proyecciones'!C47,'Stock - ETA'!$Q$3:Q4963,'Rango proyecciones'!$AJ$5) + SUMIFS('Stock - ETA'!$I$3:I4963,'Stock - ETA'!$F$3:F4963,'Rango proyecciones'!C47,'Stock - ETA'!$Q$3:Q4963,'Rango proyecciones'!$AJ$8)</f>
        <v>0</v>
      </c>
      <c r="AH47" s="16">
        <f t="shared" si="11"/>
        <v>23950.2</v>
      </c>
      <c r="AI47" s="4"/>
    </row>
    <row r="48" spans="1:35" x14ac:dyDescent="0.2">
      <c r="A48" s="2" t="s">
        <v>56</v>
      </c>
      <c r="B48" s="2" t="s">
        <v>35</v>
      </c>
      <c r="C48" s="2" t="s">
        <v>145</v>
      </c>
      <c r="D48" s="2" t="s">
        <v>52</v>
      </c>
      <c r="E48" s="2">
        <v>1012579</v>
      </c>
      <c r="F48" s="2" t="s">
        <v>146</v>
      </c>
      <c r="G48" s="2" t="s">
        <v>59</v>
      </c>
      <c r="H48" s="4">
        <v>0</v>
      </c>
      <c r="I48" s="7">
        <v>0</v>
      </c>
      <c r="J48" s="7">
        <v>0</v>
      </c>
      <c r="K48" s="7">
        <v>0</v>
      </c>
      <c r="L48" s="4">
        <f t="shared" si="0"/>
        <v>0</v>
      </c>
      <c r="M48" s="7">
        <f>SUMIFS('Stock - ETA'!$R$3:R4963,'Stock - ETA'!$F$3:F4963,'Rango proyecciones'!C48,'Stock - ETA'!$AA$3:AA4963,'Rango proyecciones'!$AJ$5)</f>
        <v>0</v>
      </c>
      <c r="N48" s="7">
        <f>SUMIF('Stock - Puerto Chile'!$G$2:G973,'Rango proyecciones'!C48,'Stock - Puerto Chile'!$L$2:L973)</f>
        <v>0</v>
      </c>
      <c r="O48" s="7">
        <f>0 * (25 / 27)</f>
        <v>0</v>
      </c>
      <c r="P48" s="7">
        <f>3048.138 * (25 / 27)</f>
        <v>2822.35</v>
      </c>
      <c r="Q48" s="16">
        <f t="shared" si="8"/>
        <v>2822.35</v>
      </c>
      <c r="R48" s="7">
        <f t="shared" si="2"/>
        <v>0</v>
      </c>
      <c r="S48" s="7">
        <f>SUMIFS('Stock - ETA'!$H$3:H4963,'Stock - ETA'!$F$3:F4963,'Rango proyecciones'!C48,'Stock - ETA'!$Q$3:Q4963,'Rango proyecciones'!$AJ$5)</f>
        <v>0</v>
      </c>
      <c r="T48" s="7">
        <f>SUMIF('Stock - Puerto Chile'!$G$2:G973,'Rango proyecciones'!C48,'Stock - Puerto Chile'!$N$2:N973)</f>
        <v>0</v>
      </c>
      <c r="U48" s="7">
        <f>0 * (25 / 27)</f>
        <v>0</v>
      </c>
      <c r="V48" s="7">
        <f>3048.138 * (25 / 27)</f>
        <v>2822.35</v>
      </c>
      <c r="W48" s="17">
        <f t="shared" si="9"/>
        <v>2822.35</v>
      </c>
      <c r="X48" s="4"/>
      <c r="Y48" s="7"/>
      <c r="Z48" s="18">
        <f>SUMIFS('Stock - ETA'!$S$3:S4963,'Stock - ETA'!$F$3:F4963,'Rango proyecciones'!C48,'Stock - ETA'!$AA$3:AA4963,'Rango proyecciones'!$AJ$5) + SUMIFS('Stock - ETA'!$R$3:R4963,'Stock - ETA'!$F$3:F4963,'Rango proyecciones'!C48,'Stock - ETA'!$AA$3:AA4963,'Rango proyecciones'!$AJ$7)</f>
        <v>0</v>
      </c>
      <c r="AA48" s="13">
        <f t="shared" si="4"/>
        <v>0</v>
      </c>
      <c r="AB48" s="7">
        <f>SUMIFS('Stock - ETA'!$I$3:I4963,'Stock - ETA'!$F$3:F4963,'Rango proyecciones'!C48,'Stock - ETA'!$Q$3:Q4963,'Rango proyecciones'!$AJ$5) + SUMIFS('Stock - ETA'!$H$3:H4963,'Stock - ETA'!$F$3:F4963,'Rango proyecciones'!C48,'Stock - ETA'!$Q$3:Q4963,'Rango proyecciones'!$AJ$7)</f>
        <v>0</v>
      </c>
      <c r="AC48" s="16">
        <f t="shared" si="5"/>
        <v>0</v>
      </c>
      <c r="AD48" s="4"/>
      <c r="AE48" s="7">
        <f>SUMIFS('Stock - ETA'!$T$3:T4963,'Stock - ETA'!$F$3:F4963,'Rango proyecciones'!C48,'Stock - ETA'!$AA$3:AA4963,'Rango proyecciones'!$AJ$5) + SUMIFS('Stock - ETA'!$S$3:S4963,'Stock - ETA'!$F$3:F4963,'Rango proyecciones'!C48,'Stock - ETA'!$AA$3:AA4963,'Rango proyecciones'!$AJ$8)</f>
        <v>0</v>
      </c>
      <c r="AF48" s="16">
        <f t="shared" si="10"/>
        <v>0</v>
      </c>
      <c r="AG48" s="7">
        <f>SUMIFS('Stock - ETA'!$J$3:J4963,'Stock - ETA'!$F$3:F4963,'Rango proyecciones'!C48,'Stock - ETA'!$Q$3:Q4963,'Rango proyecciones'!$AJ$5) + SUMIFS('Stock - ETA'!$I$3:I4963,'Stock - ETA'!$F$3:F4963,'Rango proyecciones'!C48,'Stock - ETA'!$Q$3:Q4963,'Rango proyecciones'!$AJ$8)</f>
        <v>0</v>
      </c>
      <c r="AH48" s="16">
        <f t="shared" si="11"/>
        <v>0</v>
      </c>
      <c r="AI48" s="4"/>
    </row>
    <row r="49" spans="1:35" x14ac:dyDescent="0.2">
      <c r="A49" s="2" t="s">
        <v>56</v>
      </c>
      <c r="B49" s="2" t="s">
        <v>35</v>
      </c>
      <c r="C49" s="2" t="s">
        <v>147</v>
      </c>
      <c r="D49" s="2" t="s">
        <v>52</v>
      </c>
      <c r="E49" s="2">
        <v>1012597</v>
      </c>
      <c r="F49" s="2" t="s">
        <v>148</v>
      </c>
      <c r="G49" s="2" t="s">
        <v>63</v>
      </c>
      <c r="H49" s="4">
        <v>0</v>
      </c>
      <c r="I49" s="7">
        <v>0</v>
      </c>
      <c r="J49" s="7">
        <v>0</v>
      </c>
      <c r="K49" s="7">
        <v>0</v>
      </c>
      <c r="L49" s="4">
        <f t="shared" si="0"/>
        <v>0</v>
      </c>
      <c r="M49" s="7">
        <f>SUMIFS('Stock - ETA'!$R$3:R4963,'Stock - ETA'!$F$3:F4963,'Rango proyecciones'!C49,'Stock - ETA'!$AA$3:AA4963,'Rango proyecciones'!$AJ$5)</f>
        <v>0</v>
      </c>
      <c r="N49" s="7">
        <f>SUMIF('Stock - Puerto Chile'!$G$2:G973,'Rango proyecciones'!C49,'Stock - Puerto Chile'!$L$2:L973)</f>
        <v>0</v>
      </c>
      <c r="O49" s="7">
        <f>0 * (25 / 27)</f>
        <v>0</v>
      </c>
      <c r="P49" s="7">
        <f>798.3 * (25 / 27)</f>
        <v>739.16666666666663</v>
      </c>
      <c r="Q49" s="16">
        <f t="shared" si="8"/>
        <v>739.16666666666663</v>
      </c>
      <c r="R49" s="7">
        <f t="shared" si="2"/>
        <v>0</v>
      </c>
      <c r="S49" s="7">
        <f>SUMIFS('Stock - ETA'!$H$3:H4963,'Stock - ETA'!$F$3:F4963,'Rango proyecciones'!C49,'Stock - ETA'!$Q$3:Q4963,'Rango proyecciones'!$AJ$5)</f>
        <v>0</v>
      </c>
      <c r="T49" s="7">
        <f>SUMIF('Stock - Puerto Chile'!$G$2:G973,'Rango proyecciones'!C49,'Stock - Puerto Chile'!$N$2:N973)</f>
        <v>0</v>
      </c>
      <c r="U49" s="7">
        <f>0 * (25 / 27)</f>
        <v>0</v>
      </c>
      <c r="V49" s="7">
        <f>798.3 * (25 / 27)</f>
        <v>739.16666666666663</v>
      </c>
      <c r="W49" s="17">
        <f t="shared" si="9"/>
        <v>739.16666666666663</v>
      </c>
      <c r="X49" s="4"/>
      <c r="Y49" s="7"/>
      <c r="Z49" s="18">
        <f>SUMIFS('Stock - ETA'!$S$3:S4963,'Stock - ETA'!$F$3:F4963,'Rango proyecciones'!C49,'Stock - ETA'!$AA$3:AA4963,'Rango proyecciones'!$AJ$5) + SUMIFS('Stock - ETA'!$R$3:R4963,'Stock - ETA'!$F$3:F4963,'Rango proyecciones'!C49,'Stock - ETA'!$AA$3:AA4963,'Rango proyecciones'!$AJ$7)</f>
        <v>0</v>
      </c>
      <c r="AA49" s="13">
        <f t="shared" si="4"/>
        <v>0</v>
      </c>
      <c r="AB49" s="7">
        <f>SUMIFS('Stock - ETA'!$I$3:I4963,'Stock - ETA'!$F$3:F4963,'Rango proyecciones'!C49,'Stock - ETA'!$Q$3:Q4963,'Rango proyecciones'!$AJ$5) + SUMIFS('Stock - ETA'!$H$3:H4963,'Stock - ETA'!$F$3:F4963,'Rango proyecciones'!C49,'Stock - ETA'!$Q$3:Q4963,'Rango proyecciones'!$AJ$7)</f>
        <v>0</v>
      </c>
      <c r="AC49" s="16">
        <f t="shared" si="5"/>
        <v>0</v>
      </c>
      <c r="AD49" s="4"/>
      <c r="AE49" s="7">
        <f>SUMIFS('Stock - ETA'!$T$3:T4963,'Stock - ETA'!$F$3:F4963,'Rango proyecciones'!C49,'Stock - ETA'!$AA$3:AA4963,'Rango proyecciones'!$AJ$5) + SUMIFS('Stock - ETA'!$S$3:S4963,'Stock - ETA'!$F$3:F4963,'Rango proyecciones'!C49,'Stock - ETA'!$AA$3:AA4963,'Rango proyecciones'!$AJ$8)</f>
        <v>0</v>
      </c>
      <c r="AF49" s="16">
        <f t="shared" si="10"/>
        <v>0</v>
      </c>
      <c r="AG49" s="7">
        <f>SUMIFS('Stock - ETA'!$J$3:J4963,'Stock - ETA'!$F$3:F4963,'Rango proyecciones'!C49,'Stock - ETA'!$Q$3:Q4963,'Rango proyecciones'!$AJ$5) + SUMIFS('Stock - ETA'!$I$3:I4963,'Stock - ETA'!$F$3:F4963,'Rango proyecciones'!C49,'Stock - ETA'!$Q$3:Q4963,'Rango proyecciones'!$AJ$8)</f>
        <v>0</v>
      </c>
      <c r="AH49" s="16">
        <f t="shared" si="11"/>
        <v>0</v>
      </c>
      <c r="AI49" s="4"/>
    </row>
    <row r="50" spans="1:35" x14ac:dyDescent="0.2">
      <c r="A50" s="2" t="s">
        <v>56</v>
      </c>
      <c r="B50" s="2" t="s">
        <v>35</v>
      </c>
      <c r="C50" s="2" t="s">
        <v>149</v>
      </c>
      <c r="D50" s="2" t="s">
        <v>150</v>
      </c>
      <c r="E50" s="2">
        <v>1011150</v>
      </c>
      <c r="F50" s="2" t="s">
        <v>151</v>
      </c>
      <c r="G50" s="2" t="s">
        <v>63</v>
      </c>
      <c r="H50" s="4">
        <v>0</v>
      </c>
      <c r="I50" s="7">
        <v>0</v>
      </c>
      <c r="J50" s="7">
        <v>0</v>
      </c>
      <c r="K50" s="7">
        <v>0</v>
      </c>
      <c r="L50" s="4">
        <f>MAX(J50 - K50, 0) * MAX((23 - 10)/(10), 0)</f>
        <v>0</v>
      </c>
      <c r="M50" s="7">
        <f>SUMIFS('Stock - ETA'!$R$3:R4963,'Stock - ETA'!$F$3:F4963,'Rango proyecciones'!C50,'Stock - ETA'!$AA$3:AA4963,'Rango proyecciones'!$AJ$5)</f>
        <v>40014</v>
      </c>
      <c r="N50" s="7">
        <f>SUMIF('Stock - Puerto Chile'!$G$2:G973,'Rango proyecciones'!C50,'Stock - Puerto Chile'!$L$2:L973)</f>
        <v>159186.13043478259</v>
      </c>
      <c r="O50" s="7">
        <f>0 * (23 / 27)</f>
        <v>0</v>
      </c>
      <c r="P50" s="7">
        <f>40527 * (23 / 27)</f>
        <v>34523</v>
      </c>
      <c r="Q50" s="16">
        <f t="shared" si="8"/>
        <v>74537</v>
      </c>
      <c r="R50" s="7">
        <f>MAX(J50 - K50, 0) * MAX((23 - 7)/(7), 0)</f>
        <v>0</v>
      </c>
      <c r="S50" s="7">
        <f>SUMIFS('Stock - ETA'!$H$3:H4963,'Stock - ETA'!$F$3:F4963,'Rango proyecciones'!C50,'Stock - ETA'!$Q$3:Q4963,'Rango proyecciones'!$AJ$5)</f>
        <v>40014</v>
      </c>
      <c r="T50" s="7">
        <f>SUMIF('Stock - Puerto Chile'!$G$2:G973,'Rango proyecciones'!C50,'Stock - Puerto Chile'!$N$2:N973)</f>
        <v>195921.39130434781</v>
      </c>
      <c r="U50" s="7">
        <f>0 * (23 / 27)</f>
        <v>0</v>
      </c>
      <c r="V50" s="7">
        <f>40527 * (23 / 27)</f>
        <v>34523</v>
      </c>
      <c r="W50" s="17">
        <f t="shared" si="9"/>
        <v>74537</v>
      </c>
      <c r="X50" s="4">
        <v>80000</v>
      </c>
      <c r="Y50" s="7">
        <v>80000</v>
      </c>
      <c r="Z50" s="18">
        <f>SUMIFS('Stock - ETA'!$S$3:S4963,'Stock - ETA'!$F$3:F4963,'Rango proyecciones'!C50,'Stock - ETA'!$AA$3:AA4963,'Rango proyecciones'!$AJ$5) + SUMIFS('Stock - ETA'!$R$3:R4963,'Stock - ETA'!$F$3:F4963,'Rango proyecciones'!C50,'Stock - ETA'!$AA$3:AA4963,'Rango proyecciones'!$AJ$7)</f>
        <v>0</v>
      </c>
      <c r="AA50" s="13">
        <f t="shared" si="4"/>
        <v>80000</v>
      </c>
      <c r="AB50" s="7">
        <f>SUMIFS('Stock - ETA'!$I$3:I4963,'Stock - ETA'!$F$3:F4963,'Rango proyecciones'!C50,'Stock - ETA'!$Q$3:Q4963,'Rango proyecciones'!$AJ$5) + SUMIFS('Stock - ETA'!$H$3:H4963,'Stock - ETA'!$F$3:F4963,'Rango proyecciones'!C50,'Stock - ETA'!$Q$3:Q4963,'Rango proyecciones'!$AJ$7)</f>
        <v>0</v>
      </c>
      <c r="AC50" s="16">
        <f t="shared" si="5"/>
        <v>80000</v>
      </c>
      <c r="AD50" s="4">
        <v>80000</v>
      </c>
      <c r="AE50" s="7">
        <f>SUMIFS('Stock - ETA'!$T$3:T4963,'Stock - ETA'!$F$3:F4963,'Rango proyecciones'!C50,'Stock - ETA'!$AA$3:AA4963,'Rango proyecciones'!$AJ$5) + SUMIFS('Stock - ETA'!$S$3:S4963,'Stock - ETA'!$F$3:F4963,'Rango proyecciones'!C50,'Stock - ETA'!$AA$3:AA4963,'Rango proyecciones'!$AJ$8)</f>
        <v>0</v>
      </c>
      <c r="AF50" s="16">
        <f>0.8 * AD50 + AE50</f>
        <v>64000</v>
      </c>
      <c r="AG50" s="7">
        <f>SUMIFS('Stock - ETA'!$J$3:J4963,'Stock - ETA'!$F$3:F4963,'Rango proyecciones'!C50,'Stock - ETA'!$Q$3:Q4963,'Rango proyecciones'!$AJ$5) + SUMIFS('Stock - ETA'!$I$3:I4963,'Stock - ETA'!$F$3:F4963,'Rango proyecciones'!C50,'Stock - ETA'!$Q$3:Q4963,'Rango proyecciones'!$AJ$8)</f>
        <v>0</v>
      </c>
      <c r="AH50" s="16">
        <f>0.8 * AD50 + AG50</f>
        <v>64000</v>
      </c>
      <c r="AI50" s="4"/>
    </row>
    <row r="51" spans="1:35" x14ac:dyDescent="0.2">
      <c r="A51" s="2" t="s">
        <v>56</v>
      </c>
      <c r="B51" s="2" t="s">
        <v>35</v>
      </c>
      <c r="C51" s="2" t="s">
        <v>152</v>
      </c>
      <c r="D51" s="2" t="s">
        <v>150</v>
      </c>
      <c r="E51" s="2">
        <v>1011151</v>
      </c>
      <c r="F51" s="2" t="s">
        <v>153</v>
      </c>
      <c r="G51" s="2" t="s">
        <v>67</v>
      </c>
      <c r="H51" s="4">
        <v>0</v>
      </c>
      <c r="I51" s="7">
        <v>0</v>
      </c>
      <c r="J51" s="7">
        <v>0</v>
      </c>
      <c r="K51" s="7">
        <v>0</v>
      </c>
      <c r="L51" s="4">
        <f>MAX(J51 - K51, 0) * MAX((23 - 10)/(10), 0)</f>
        <v>0</v>
      </c>
      <c r="M51" s="7">
        <f>SUMIFS('Stock - ETA'!$R$3:R4963,'Stock - ETA'!$F$3:F4963,'Rango proyecciones'!C51,'Stock - ETA'!$AA$3:AA4963,'Rango proyecciones'!$AJ$5)</f>
        <v>20007</v>
      </c>
      <c r="N51" s="7">
        <f>SUMIF('Stock - Puerto Chile'!$G$2:G973,'Rango proyecciones'!C51,'Stock - Puerto Chile'!$L$2:L973)</f>
        <v>158316.26086956519</v>
      </c>
      <c r="O51" s="7">
        <f>0 * (23 / 27)</f>
        <v>0</v>
      </c>
      <c r="P51" s="7">
        <f>20007 * (23 / 27)</f>
        <v>17043</v>
      </c>
      <c r="Q51" s="16">
        <f t="shared" si="8"/>
        <v>37050</v>
      </c>
      <c r="R51" s="7">
        <f>MAX(J51 - K51, 0) * MAX((23 - 7)/(7), 0)</f>
        <v>0</v>
      </c>
      <c r="S51" s="7">
        <f>SUMIFS('Stock - ETA'!$H$3:H4963,'Stock - ETA'!$F$3:F4963,'Rango proyecciones'!C51,'Stock - ETA'!$Q$3:Q4963,'Rango proyecciones'!$AJ$5)</f>
        <v>20007</v>
      </c>
      <c r="T51" s="7">
        <f>SUMIF('Stock - Puerto Chile'!$G$2:G973,'Rango proyecciones'!C51,'Stock - Puerto Chile'!$N$2:N973)</f>
        <v>194850.78260869565</v>
      </c>
      <c r="U51" s="7">
        <f>0 * (23 / 27)</f>
        <v>0</v>
      </c>
      <c r="V51" s="7">
        <f>20007 * (23 / 27)</f>
        <v>17043</v>
      </c>
      <c r="W51" s="17">
        <f t="shared" si="9"/>
        <v>37050</v>
      </c>
      <c r="X51" s="4"/>
      <c r="Y51" s="7"/>
      <c r="Z51" s="18">
        <f>SUMIFS('Stock - ETA'!$S$3:S4963,'Stock - ETA'!$F$3:F4963,'Rango proyecciones'!C51,'Stock - ETA'!$AA$3:AA4963,'Rango proyecciones'!$AJ$5) + SUMIFS('Stock - ETA'!$R$3:R4963,'Stock - ETA'!$F$3:F4963,'Rango proyecciones'!C51,'Stock - ETA'!$AA$3:AA4963,'Rango proyecciones'!$AJ$7)</f>
        <v>0</v>
      </c>
      <c r="AA51" s="13">
        <f t="shared" si="4"/>
        <v>0</v>
      </c>
      <c r="AB51" s="7">
        <f>SUMIFS('Stock - ETA'!$I$3:I4963,'Stock - ETA'!$F$3:F4963,'Rango proyecciones'!C51,'Stock - ETA'!$Q$3:Q4963,'Rango proyecciones'!$AJ$5) + SUMIFS('Stock - ETA'!$H$3:H4963,'Stock - ETA'!$F$3:F4963,'Rango proyecciones'!C51,'Stock - ETA'!$Q$3:Q4963,'Rango proyecciones'!$AJ$7)</f>
        <v>0</v>
      </c>
      <c r="AC51" s="16">
        <f t="shared" si="5"/>
        <v>0</v>
      </c>
      <c r="AD51" s="4"/>
      <c r="AE51" s="7">
        <f>SUMIFS('Stock - ETA'!$T$3:T4963,'Stock - ETA'!$F$3:F4963,'Rango proyecciones'!C51,'Stock - ETA'!$AA$3:AA4963,'Rango proyecciones'!$AJ$5) + SUMIFS('Stock - ETA'!$S$3:S4963,'Stock - ETA'!$F$3:F4963,'Rango proyecciones'!C51,'Stock - ETA'!$AA$3:AA4963,'Rango proyecciones'!$AJ$8)</f>
        <v>0</v>
      </c>
      <c r="AF51" s="16">
        <f>0.8 * AD51 + AE51</f>
        <v>0</v>
      </c>
      <c r="AG51" s="7">
        <f>SUMIFS('Stock - ETA'!$J$3:J4963,'Stock - ETA'!$F$3:F4963,'Rango proyecciones'!C51,'Stock - ETA'!$Q$3:Q4963,'Rango proyecciones'!$AJ$5) + SUMIFS('Stock - ETA'!$I$3:I4963,'Stock - ETA'!$F$3:F4963,'Rango proyecciones'!C51,'Stock - ETA'!$Q$3:Q4963,'Rango proyecciones'!$AJ$8)</f>
        <v>0</v>
      </c>
      <c r="AH51" s="16">
        <f>0.8 * AD51 + AG51</f>
        <v>0</v>
      </c>
      <c r="AI51" s="4"/>
    </row>
    <row r="52" spans="1:35" x14ac:dyDescent="0.2">
      <c r="A52" s="2" t="s">
        <v>56</v>
      </c>
      <c r="B52" s="2" t="s">
        <v>35</v>
      </c>
      <c r="C52" s="2" t="s">
        <v>154</v>
      </c>
      <c r="D52" s="2" t="s">
        <v>150</v>
      </c>
      <c r="E52" s="2">
        <v>1012725</v>
      </c>
      <c r="F52" s="2" t="s">
        <v>155</v>
      </c>
      <c r="G52" s="2" t="s">
        <v>67</v>
      </c>
      <c r="H52" s="4">
        <v>0</v>
      </c>
      <c r="I52" s="7">
        <v>0</v>
      </c>
      <c r="J52" s="7">
        <v>0</v>
      </c>
      <c r="K52" s="7">
        <v>0</v>
      </c>
      <c r="L52" s="4">
        <f>MAX(J52 - K52, 0) * MAX((23 - 10)/(10), 0)</f>
        <v>0</v>
      </c>
      <c r="M52" s="7">
        <f>SUMIFS('Stock - ETA'!$R$3:R4963,'Stock - ETA'!$F$3:F4963,'Rango proyecciones'!C52,'Stock - ETA'!$AA$3:AA4963,'Rango proyecciones'!$AJ$5)</f>
        <v>0</v>
      </c>
      <c r="N52" s="7">
        <f>SUMIF('Stock - Puerto Chile'!$G$2:G973,'Rango proyecciones'!C52,'Stock - Puerto Chile'!$L$2:L973)</f>
        <v>0</v>
      </c>
      <c r="O52" s="7">
        <f>19958.4 * (23 / 27)</f>
        <v>17001.600000000002</v>
      </c>
      <c r="P52" s="7">
        <f>19958.4 * (23 / 27)</f>
        <v>17001.600000000002</v>
      </c>
      <c r="Q52" s="16">
        <f t="shared" si="8"/>
        <v>17001.600000000002</v>
      </c>
      <c r="R52" s="7">
        <f>MAX(J52 - K52, 0) * MAX((23 - 7)/(7), 0)</f>
        <v>0</v>
      </c>
      <c r="S52" s="7">
        <f>SUMIFS('Stock - ETA'!$H$3:H4963,'Stock - ETA'!$F$3:F4963,'Rango proyecciones'!C52,'Stock - ETA'!$Q$3:Q4963,'Rango proyecciones'!$AJ$5)</f>
        <v>0</v>
      </c>
      <c r="T52" s="7">
        <f>SUMIF('Stock - Puerto Chile'!$G$2:G973,'Rango proyecciones'!C52,'Stock - Puerto Chile'!$N$2:N973)</f>
        <v>0</v>
      </c>
      <c r="U52" s="7">
        <f>19958.4 * (23 / 27)</f>
        <v>17001.600000000002</v>
      </c>
      <c r="V52" s="7">
        <f>19958.4 * (23 / 27)</f>
        <v>17001.600000000002</v>
      </c>
      <c r="W52" s="17">
        <f t="shared" si="9"/>
        <v>34003.200000000004</v>
      </c>
      <c r="X52" s="4"/>
      <c r="Y52" s="7"/>
      <c r="Z52" s="18">
        <f>SUMIFS('Stock - ETA'!$S$3:S4963,'Stock - ETA'!$F$3:F4963,'Rango proyecciones'!C52,'Stock - ETA'!$AA$3:AA4963,'Rango proyecciones'!$AJ$5) + SUMIFS('Stock - ETA'!$R$3:R4963,'Stock - ETA'!$F$3:F4963,'Rango proyecciones'!C52,'Stock - ETA'!$AA$3:AA4963,'Rango proyecciones'!$AJ$7)</f>
        <v>0</v>
      </c>
      <c r="AA52" s="13">
        <f t="shared" si="4"/>
        <v>0</v>
      </c>
      <c r="AB52" s="7">
        <f>SUMIFS('Stock - ETA'!$I$3:I4963,'Stock - ETA'!$F$3:F4963,'Rango proyecciones'!C52,'Stock - ETA'!$Q$3:Q4963,'Rango proyecciones'!$AJ$5) + SUMIFS('Stock - ETA'!$H$3:H4963,'Stock - ETA'!$F$3:F4963,'Rango proyecciones'!C52,'Stock - ETA'!$Q$3:Q4963,'Rango proyecciones'!$AJ$7)</f>
        <v>0</v>
      </c>
      <c r="AC52" s="16">
        <f t="shared" si="5"/>
        <v>0</v>
      </c>
      <c r="AD52" s="4"/>
      <c r="AE52" s="7">
        <f>SUMIFS('Stock - ETA'!$T$3:T4963,'Stock - ETA'!$F$3:F4963,'Rango proyecciones'!C52,'Stock - ETA'!$AA$3:AA4963,'Rango proyecciones'!$AJ$5) + SUMIFS('Stock - ETA'!$S$3:S4963,'Stock - ETA'!$F$3:F4963,'Rango proyecciones'!C52,'Stock - ETA'!$AA$3:AA4963,'Rango proyecciones'!$AJ$8)</f>
        <v>0</v>
      </c>
      <c r="AF52" s="16">
        <f>0.8 * AD52 + AE52</f>
        <v>0</v>
      </c>
      <c r="AG52" s="7">
        <f>SUMIFS('Stock - ETA'!$J$3:J4963,'Stock - ETA'!$F$3:F4963,'Rango proyecciones'!C52,'Stock - ETA'!$Q$3:Q4963,'Rango proyecciones'!$AJ$5) + SUMIFS('Stock - ETA'!$I$3:I4963,'Stock - ETA'!$F$3:F4963,'Rango proyecciones'!C52,'Stock - ETA'!$Q$3:Q4963,'Rango proyecciones'!$AJ$8)</f>
        <v>0</v>
      </c>
      <c r="AH52" s="16">
        <f>0.8 * AD52 + AG52</f>
        <v>0</v>
      </c>
      <c r="AI52" s="4"/>
    </row>
    <row r="53" spans="1:35" x14ac:dyDescent="0.2">
      <c r="A53" s="2" t="s">
        <v>56</v>
      </c>
      <c r="B53" s="2" t="s">
        <v>35</v>
      </c>
      <c r="C53" s="2" t="s">
        <v>156</v>
      </c>
      <c r="D53" s="2" t="s">
        <v>46</v>
      </c>
      <c r="E53" s="2">
        <v>1012451</v>
      </c>
      <c r="F53" s="2" t="s">
        <v>157</v>
      </c>
      <c r="G53" s="2" t="s">
        <v>63</v>
      </c>
      <c r="H53" s="4">
        <v>0</v>
      </c>
      <c r="I53" s="7">
        <v>0</v>
      </c>
      <c r="J53" s="7">
        <v>0</v>
      </c>
      <c r="K53" s="7">
        <v>0</v>
      </c>
      <c r="L53" s="4">
        <f t="shared" ref="L53:L83" si="12">MAX(J53 - K53, 0) * MAX((25 - 10)/(10), 0)</f>
        <v>0</v>
      </c>
      <c r="M53" s="7">
        <f>SUMIFS('Stock - ETA'!$R$3:R4963,'Stock - ETA'!$F$3:F4963,'Rango proyecciones'!C53,'Stock - ETA'!$AA$3:AA4963,'Rango proyecciones'!$AJ$5)</f>
        <v>0</v>
      </c>
      <c r="N53" s="7">
        <f>SUMIF('Stock - Puerto Chile'!$G$2:G973,'Rango proyecciones'!C53,'Stock - Puerto Chile'!$L$2:L973)</f>
        <v>91854</v>
      </c>
      <c r="O53" s="7">
        <f>4050 * (25 / 27)</f>
        <v>3750</v>
      </c>
      <c r="P53" s="7">
        <f>38866.95 * (25 / 27)</f>
        <v>35987.916666666664</v>
      </c>
      <c r="Q53" s="16">
        <f t="shared" si="8"/>
        <v>35987.916666666664</v>
      </c>
      <c r="R53" s="7">
        <f t="shared" ref="R53:R83" si="13">MAX(J53 - K53, 0) * MAX((25 - 7)/(7), 0)</f>
        <v>0</v>
      </c>
      <c r="S53" s="7">
        <f>SUMIFS('Stock - ETA'!$H$3:H4963,'Stock - ETA'!$F$3:F4963,'Rango proyecciones'!C53,'Stock - ETA'!$Q$3:Q4963,'Rango proyecciones'!$AJ$5)</f>
        <v>0</v>
      </c>
      <c r="T53" s="7">
        <f>SUMIF('Stock - Puerto Chile'!$G$2:G973,'Rango proyecciones'!C53,'Stock - Puerto Chile'!$N$2:N973)</f>
        <v>110224.79999999999</v>
      </c>
      <c r="U53" s="7">
        <f>4050 * (25 / 27)</f>
        <v>3750</v>
      </c>
      <c r="V53" s="7">
        <f>38866.95 * (25 / 27)</f>
        <v>35987.916666666664</v>
      </c>
      <c r="W53" s="17">
        <f t="shared" si="9"/>
        <v>39737.916666666664</v>
      </c>
      <c r="X53" s="4"/>
      <c r="Y53" s="7"/>
      <c r="Z53" s="18">
        <f>SUMIFS('Stock - ETA'!$S$3:S4963,'Stock - ETA'!$F$3:F4963,'Rango proyecciones'!C53,'Stock - ETA'!$AA$3:AA4963,'Rango proyecciones'!$AJ$5) + SUMIFS('Stock - ETA'!$R$3:R4963,'Stock - ETA'!$F$3:F4963,'Rango proyecciones'!C53,'Stock - ETA'!$AA$3:AA4963,'Rango proyecciones'!$AJ$7)</f>
        <v>870</v>
      </c>
      <c r="AA53" s="13">
        <f t="shared" si="4"/>
        <v>870</v>
      </c>
      <c r="AB53" s="7">
        <f>SUMIFS('Stock - ETA'!$I$3:I4963,'Stock - ETA'!$F$3:F4963,'Rango proyecciones'!C53,'Stock - ETA'!$Q$3:Q4963,'Rango proyecciones'!$AJ$5) + SUMIFS('Stock - ETA'!$H$3:H4963,'Stock - ETA'!$F$3:F4963,'Rango proyecciones'!C53,'Stock - ETA'!$Q$3:Q4963,'Rango proyecciones'!$AJ$7)</f>
        <v>870</v>
      </c>
      <c r="AC53" s="16">
        <f t="shared" si="5"/>
        <v>870</v>
      </c>
      <c r="AD53" s="4"/>
      <c r="AE53" s="7">
        <f>SUMIFS('Stock - ETA'!$T$3:T4963,'Stock - ETA'!$F$3:F4963,'Rango proyecciones'!C53,'Stock - ETA'!$AA$3:AA4963,'Rango proyecciones'!$AJ$5) + SUMIFS('Stock - ETA'!$S$3:S4963,'Stock - ETA'!$F$3:F4963,'Rango proyecciones'!C53,'Stock - ETA'!$AA$3:AA4963,'Rango proyecciones'!$AJ$8)</f>
        <v>0</v>
      </c>
      <c r="AF53" s="16">
        <f t="shared" ref="AF53:AF63" si="14">0.6 * AD53 + AE53</f>
        <v>0</v>
      </c>
      <c r="AG53" s="7">
        <f>SUMIFS('Stock - ETA'!$J$3:J4963,'Stock - ETA'!$F$3:F4963,'Rango proyecciones'!C53,'Stock - ETA'!$Q$3:Q4963,'Rango proyecciones'!$AJ$5) + SUMIFS('Stock - ETA'!$I$3:I4963,'Stock - ETA'!$F$3:F4963,'Rango proyecciones'!C53,'Stock - ETA'!$Q$3:Q4963,'Rango proyecciones'!$AJ$8)</f>
        <v>0</v>
      </c>
      <c r="AH53" s="16">
        <f t="shared" ref="AH53:AH63" si="15">0.6 * AD53 + AG53</f>
        <v>0</v>
      </c>
      <c r="AI53" s="4"/>
    </row>
    <row r="54" spans="1:35" x14ac:dyDescent="0.2">
      <c r="A54" s="2" t="s">
        <v>34</v>
      </c>
      <c r="B54" s="2" t="s">
        <v>35</v>
      </c>
      <c r="C54" s="2" t="s">
        <v>158</v>
      </c>
      <c r="D54" s="2" t="s">
        <v>52</v>
      </c>
      <c r="E54" s="2">
        <v>1022619</v>
      </c>
      <c r="F54" s="2" t="s">
        <v>159</v>
      </c>
      <c r="G54" s="2" t="s">
        <v>160</v>
      </c>
      <c r="H54" s="4">
        <v>0</v>
      </c>
      <c r="I54" s="7">
        <v>0</v>
      </c>
      <c r="J54" s="7">
        <v>0</v>
      </c>
      <c r="K54" s="7">
        <v>0</v>
      </c>
      <c r="L54" s="4">
        <f t="shared" si="12"/>
        <v>0</v>
      </c>
      <c r="M54" s="7">
        <f>SUMIFS('Stock - ETA'!$R$3:R4963,'Stock - ETA'!$F$3:F4963,'Rango proyecciones'!C54,'Stock - ETA'!$AA$3:AA4963,'Rango proyecciones'!$AJ$5)</f>
        <v>2164.7315330000001</v>
      </c>
      <c r="N54" s="7">
        <f>SUMIF('Stock - Puerto Chile'!$G$2:G973,'Rango proyecciones'!C54,'Stock - Puerto Chile'!$L$2:L973)</f>
        <v>2602.2395999999999</v>
      </c>
      <c r="O54" s="7">
        <f>0 * (25 / 27)</f>
        <v>0</v>
      </c>
      <c r="P54" s="7">
        <f>31906.54 * (25 / 27)</f>
        <v>29543.092592592595</v>
      </c>
      <c r="Q54" s="16">
        <f t="shared" si="8"/>
        <v>31707.824125592597</v>
      </c>
      <c r="R54" s="7">
        <f t="shared" si="13"/>
        <v>0</v>
      </c>
      <c r="S54" s="7">
        <f>SUMIFS('Stock - ETA'!$H$3:H4963,'Stock - ETA'!$F$3:F4963,'Rango proyecciones'!C54,'Stock - ETA'!$Q$3:Q4963,'Rango proyecciones'!$AJ$5)</f>
        <v>2164.7315330000001</v>
      </c>
      <c r="T54" s="7">
        <f>SUMIF('Stock - Puerto Chile'!$G$2:G973,'Rango proyecciones'!C54,'Stock - Puerto Chile'!$N$2:N973)</f>
        <v>3122.6875199999999</v>
      </c>
      <c r="U54" s="7">
        <f>0 * (25 / 27)</f>
        <v>0</v>
      </c>
      <c r="V54" s="7">
        <f>31906.54 * (25 / 27)</f>
        <v>29543.092592592595</v>
      </c>
      <c r="W54" s="17">
        <f t="shared" si="9"/>
        <v>31707.824125592597</v>
      </c>
      <c r="X54" s="4"/>
      <c r="Y54" s="7"/>
      <c r="Z54" s="18">
        <f>SUMIFS('Stock - ETA'!$S$3:S4963,'Stock - ETA'!$F$3:F4963,'Rango proyecciones'!C54,'Stock - ETA'!$AA$3:AA4963,'Rango proyecciones'!$AJ$5) + SUMIFS('Stock - ETA'!$R$3:R4963,'Stock - ETA'!$F$3:F4963,'Rango proyecciones'!C54,'Stock - ETA'!$AA$3:AA4963,'Rango proyecciones'!$AJ$7)</f>
        <v>0</v>
      </c>
      <c r="AA54" s="13">
        <f t="shared" si="4"/>
        <v>0</v>
      </c>
      <c r="AB54" s="7">
        <f>SUMIFS('Stock - ETA'!$I$3:I4963,'Stock - ETA'!$F$3:F4963,'Rango proyecciones'!C54,'Stock - ETA'!$Q$3:Q4963,'Rango proyecciones'!$AJ$5) + SUMIFS('Stock - ETA'!$H$3:H4963,'Stock - ETA'!$F$3:F4963,'Rango proyecciones'!C54,'Stock - ETA'!$Q$3:Q4963,'Rango proyecciones'!$AJ$7)</f>
        <v>0</v>
      </c>
      <c r="AC54" s="16">
        <f t="shared" si="5"/>
        <v>0</v>
      </c>
      <c r="AD54" s="4"/>
      <c r="AE54" s="7">
        <f>SUMIFS('Stock - ETA'!$T$3:T4963,'Stock - ETA'!$F$3:F4963,'Rango proyecciones'!C54,'Stock - ETA'!$AA$3:AA4963,'Rango proyecciones'!$AJ$5) + SUMIFS('Stock - ETA'!$S$3:S4963,'Stock - ETA'!$F$3:F4963,'Rango proyecciones'!C54,'Stock - ETA'!$AA$3:AA4963,'Rango proyecciones'!$AJ$8)</f>
        <v>0</v>
      </c>
      <c r="AF54" s="16">
        <f t="shared" si="14"/>
        <v>0</v>
      </c>
      <c r="AG54" s="7">
        <f>SUMIFS('Stock - ETA'!$J$3:J4963,'Stock - ETA'!$F$3:F4963,'Rango proyecciones'!C54,'Stock - ETA'!$Q$3:Q4963,'Rango proyecciones'!$AJ$5) + SUMIFS('Stock - ETA'!$I$3:I4963,'Stock - ETA'!$F$3:F4963,'Rango proyecciones'!C54,'Stock - ETA'!$Q$3:Q4963,'Rango proyecciones'!$AJ$8)</f>
        <v>0</v>
      </c>
      <c r="AH54" s="16">
        <f t="shared" si="15"/>
        <v>0</v>
      </c>
      <c r="AI54" s="4"/>
    </row>
    <row r="55" spans="1:35" x14ac:dyDescent="0.2">
      <c r="A55" s="2" t="s">
        <v>34</v>
      </c>
      <c r="B55" s="2" t="s">
        <v>35</v>
      </c>
      <c r="C55" s="2" t="s">
        <v>161</v>
      </c>
      <c r="D55" s="2" t="s">
        <v>52</v>
      </c>
      <c r="E55" s="2">
        <v>1023274</v>
      </c>
      <c r="F55" s="2" t="s">
        <v>162</v>
      </c>
      <c r="G55" s="2" t="s">
        <v>96</v>
      </c>
      <c r="H55" s="4">
        <v>0</v>
      </c>
      <c r="I55" s="7">
        <v>0</v>
      </c>
      <c r="J55" s="7">
        <v>0</v>
      </c>
      <c r="K55" s="7">
        <v>0</v>
      </c>
      <c r="L55" s="4">
        <f t="shared" si="12"/>
        <v>0</v>
      </c>
      <c r="M55" s="7">
        <f>SUMIFS('Stock - ETA'!$R$3:R4963,'Stock - ETA'!$F$3:F4963,'Rango proyecciones'!C55,'Stock - ETA'!$AA$3:AA4963,'Rango proyecciones'!$AJ$5)</f>
        <v>18070.32057</v>
      </c>
      <c r="N55" s="7">
        <f>SUMIF('Stock - Puerto Chile'!$G$2:G973,'Rango proyecciones'!C55,'Stock - Puerto Chile'!$L$2:L973)</f>
        <v>0</v>
      </c>
      <c r="O55" s="7">
        <f>14992.85 * (25 / 27)</f>
        <v>13882.268518518518</v>
      </c>
      <c r="P55" s="7">
        <f>20207.009 * (25 / 27)</f>
        <v>18710.193518518518</v>
      </c>
      <c r="Q55" s="16">
        <f t="shared" si="8"/>
        <v>36780.514088518517</v>
      </c>
      <c r="R55" s="7">
        <f t="shared" si="13"/>
        <v>0</v>
      </c>
      <c r="S55" s="7">
        <f>SUMIFS('Stock - ETA'!$H$3:H4963,'Stock - ETA'!$F$3:F4963,'Rango proyecciones'!C55,'Stock - ETA'!$Q$3:Q4963,'Rango proyecciones'!$AJ$5)</f>
        <v>18070.32057</v>
      </c>
      <c r="T55" s="7">
        <f>SUMIF('Stock - Puerto Chile'!$G$2:G973,'Rango proyecciones'!C55,'Stock - Puerto Chile'!$N$2:N973)</f>
        <v>0</v>
      </c>
      <c r="U55" s="7">
        <f>14992.85 * (25 / 27)</f>
        <v>13882.268518518518</v>
      </c>
      <c r="V55" s="7">
        <f>20207.009 * (25 / 27)</f>
        <v>18710.193518518518</v>
      </c>
      <c r="W55" s="17">
        <f t="shared" si="9"/>
        <v>50662.782607037036</v>
      </c>
      <c r="X55" s="4">
        <v>243</v>
      </c>
      <c r="Y55" s="7">
        <v>243</v>
      </c>
      <c r="Z55" s="18">
        <f>SUMIFS('Stock - ETA'!$S$3:S4963,'Stock - ETA'!$F$3:F4963,'Rango proyecciones'!C55,'Stock - ETA'!$AA$3:AA4963,'Rango proyecciones'!$AJ$5) + SUMIFS('Stock - ETA'!$R$3:R4963,'Stock - ETA'!$F$3:F4963,'Rango proyecciones'!C55,'Stock - ETA'!$AA$3:AA4963,'Rango proyecciones'!$AJ$7)</f>
        <v>0</v>
      </c>
      <c r="AA55" s="13">
        <f t="shared" si="4"/>
        <v>243</v>
      </c>
      <c r="AB55" s="7">
        <f>SUMIFS('Stock - ETA'!$I$3:I4963,'Stock - ETA'!$F$3:F4963,'Rango proyecciones'!C55,'Stock - ETA'!$Q$3:Q4963,'Rango proyecciones'!$AJ$5) + SUMIFS('Stock - ETA'!$H$3:H4963,'Stock - ETA'!$F$3:F4963,'Rango proyecciones'!C55,'Stock - ETA'!$Q$3:Q4963,'Rango proyecciones'!$AJ$7)</f>
        <v>0</v>
      </c>
      <c r="AC55" s="16">
        <f t="shared" si="5"/>
        <v>243</v>
      </c>
      <c r="AD55" s="4">
        <v>15364</v>
      </c>
      <c r="AE55" s="7">
        <f>SUMIFS('Stock - ETA'!$T$3:T4963,'Stock - ETA'!$F$3:F4963,'Rango proyecciones'!C55,'Stock - ETA'!$AA$3:AA4963,'Rango proyecciones'!$AJ$5) + SUMIFS('Stock - ETA'!$S$3:S4963,'Stock - ETA'!$F$3:F4963,'Rango proyecciones'!C55,'Stock - ETA'!$AA$3:AA4963,'Rango proyecciones'!$AJ$8)</f>
        <v>0</v>
      </c>
      <c r="AF55" s="16">
        <f t="shared" si="14"/>
        <v>9218.4</v>
      </c>
      <c r="AG55" s="7">
        <f>SUMIFS('Stock - ETA'!$J$3:J4963,'Stock - ETA'!$F$3:F4963,'Rango proyecciones'!C55,'Stock - ETA'!$Q$3:Q4963,'Rango proyecciones'!$AJ$5) + SUMIFS('Stock - ETA'!$I$3:I4963,'Stock - ETA'!$F$3:F4963,'Rango proyecciones'!C55,'Stock - ETA'!$Q$3:Q4963,'Rango proyecciones'!$AJ$8)</f>
        <v>0</v>
      </c>
      <c r="AH55" s="16">
        <f t="shared" si="15"/>
        <v>9218.4</v>
      </c>
      <c r="AI55" s="4"/>
    </row>
    <row r="56" spans="1:35" x14ac:dyDescent="0.2">
      <c r="A56" s="2" t="s">
        <v>34</v>
      </c>
      <c r="B56" s="2" t="s">
        <v>35</v>
      </c>
      <c r="C56" s="2" t="s">
        <v>163</v>
      </c>
      <c r="D56" s="2" t="s">
        <v>52</v>
      </c>
      <c r="E56" s="2">
        <v>1023410</v>
      </c>
      <c r="F56" s="2" t="s">
        <v>164</v>
      </c>
      <c r="G56" s="2" t="s">
        <v>67</v>
      </c>
      <c r="H56" s="4">
        <v>0</v>
      </c>
      <c r="I56" s="7">
        <v>0</v>
      </c>
      <c r="J56" s="7">
        <v>0</v>
      </c>
      <c r="K56" s="7">
        <v>0</v>
      </c>
      <c r="L56" s="4">
        <f t="shared" si="12"/>
        <v>0</v>
      </c>
      <c r="M56" s="7">
        <f>SUMIFS('Stock - ETA'!$R$3:R4963,'Stock - ETA'!$F$3:F4963,'Rango proyecciones'!C56,'Stock - ETA'!$AA$3:AA4963,'Rango proyecciones'!$AJ$5)</f>
        <v>0</v>
      </c>
      <c r="N56" s="7">
        <f>SUMIF('Stock - Puerto Chile'!$G$2:G973,'Rango proyecciones'!C56,'Stock - Puerto Chile'!$L$2:L973)</f>
        <v>0</v>
      </c>
      <c r="O56" s="7">
        <f>96 * (25 / 27)</f>
        <v>88.888888888888886</v>
      </c>
      <c r="P56" s="7">
        <f>24 * (25 / 27)</f>
        <v>22.222222222222221</v>
      </c>
      <c r="Q56" s="16">
        <f t="shared" si="8"/>
        <v>22.222222222222221</v>
      </c>
      <c r="R56" s="7">
        <f t="shared" si="13"/>
        <v>0</v>
      </c>
      <c r="S56" s="7">
        <f>SUMIFS('Stock - ETA'!$H$3:H4963,'Stock - ETA'!$F$3:F4963,'Rango proyecciones'!C56,'Stock - ETA'!$Q$3:Q4963,'Rango proyecciones'!$AJ$5)</f>
        <v>0</v>
      </c>
      <c r="T56" s="7">
        <f>SUMIF('Stock - Puerto Chile'!$G$2:G973,'Rango proyecciones'!C56,'Stock - Puerto Chile'!$N$2:N973)</f>
        <v>0</v>
      </c>
      <c r="U56" s="7">
        <f>96 * (25 / 27)</f>
        <v>88.888888888888886</v>
      </c>
      <c r="V56" s="7">
        <f>24 * (25 / 27)</f>
        <v>22.222222222222221</v>
      </c>
      <c r="W56" s="17">
        <f t="shared" si="9"/>
        <v>111.11111111111111</v>
      </c>
      <c r="X56" s="4"/>
      <c r="Y56" s="7"/>
      <c r="Z56" s="18">
        <f>SUMIFS('Stock - ETA'!$S$3:S4963,'Stock - ETA'!$F$3:F4963,'Rango proyecciones'!C56,'Stock - ETA'!$AA$3:AA4963,'Rango proyecciones'!$AJ$5) + SUMIFS('Stock - ETA'!$R$3:R4963,'Stock - ETA'!$F$3:F4963,'Rango proyecciones'!C56,'Stock - ETA'!$AA$3:AA4963,'Rango proyecciones'!$AJ$7)</f>
        <v>0</v>
      </c>
      <c r="AA56" s="13">
        <f t="shared" si="4"/>
        <v>0</v>
      </c>
      <c r="AB56" s="7">
        <f>SUMIFS('Stock - ETA'!$I$3:I4963,'Stock - ETA'!$F$3:F4963,'Rango proyecciones'!C56,'Stock - ETA'!$Q$3:Q4963,'Rango proyecciones'!$AJ$5) + SUMIFS('Stock - ETA'!$H$3:H4963,'Stock - ETA'!$F$3:F4963,'Rango proyecciones'!C56,'Stock - ETA'!$Q$3:Q4963,'Rango proyecciones'!$AJ$7)</f>
        <v>0</v>
      </c>
      <c r="AC56" s="16">
        <f t="shared" si="5"/>
        <v>0</v>
      </c>
      <c r="AD56" s="4"/>
      <c r="AE56" s="7">
        <f>SUMIFS('Stock - ETA'!$T$3:T4963,'Stock - ETA'!$F$3:F4963,'Rango proyecciones'!C56,'Stock - ETA'!$AA$3:AA4963,'Rango proyecciones'!$AJ$5) + SUMIFS('Stock - ETA'!$S$3:S4963,'Stock - ETA'!$F$3:F4963,'Rango proyecciones'!C56,'Stock - ETA'!$AA$3:AA4963,'Rango proyecciones'!$AJ$8)</f>
        <v>0</v>
      </c>
      <c r="AF56" s="16">
        <f t="shared" si="14"/>
        <v>0</v>
      </c>
      <c r="AG56" s="7">
        <f>SUMIFS('Stock - ETA'!$J$3:J4963,'Stock - ETA'!$F$3:F4963,'Rango proyecciones'!C56,'Stock - ETA'!$Q$3:Q4963,'Rango proyecciones'!$AJ$5) + SUMIFS('Stock - ETA'!$I$3:I4963,'Stock - ETA'!$F$3:F4963,'Rango proyecciones'!C56,'Stock - ETA'!$Q$3:Q4963,'Rango proyecciones'!$AJ$8)</f>
        <v>0</v>
      </c>
      <c r="AH56" s="16">
        <f t="shared" si="15"/>
        <v>0</v>
      </c>
      <c r="AI56" s="4"/>
    </row>
    <row r="57" spans="1:35" x14ac:dyDescent="0.2">
      <c r="A57" s="2" t="s">
        <v>34</v>
      </c>
      <c r="B57" s="2" t="s">
        <v>35</v>
      </c>
      <c r="C57" s="2" t="s">
        <v>165</v>
      </c>
      <c r="D57" s="2" t="s">
        <v>46</v>
      </c>
      <c r="E57" s="2">
        <v>1022183</v>
      </c>
      <c r="F57" s="2" t="s">
        <v>166</v>
      </c>
      <c r="G57" s="2" t="s">
        <v>167</v>
      </c>
      <c r="H57" s="4">
        <v>0</v>
      </c>
      <c r="I57" s="7">
        <v>0</v>
      </c>
      <c r="J57" s="7">
        <v>76688.08</v>
      </c>
      <c r="K57" s="7">
        <v>6691.08</v>
      </c>
      <c r="L57" s="4">
        <f t="shared" si="12"/>
        <v>104995.5</v>
      </c>
      <c r="M57" s="7">
        <f>SUMIFS('Stock - ETA'!$R$3:R4963,'Stock - ETA'!$F$3:F4963,'Rango proyecciones'!C57,'Stock - ETA'!$AA$3:AA4963,'Rango proyecciones'!$AJ$5)</f>
        <v>916229.58</v>
      </c>
      <c r="N57" s="7">
        <f>SUMIF('Stock - Puerto Chile'!$G$2:G973,'Rango proyecciones'!C57,'Stock - Puerto Chile'!$L$2:L973)</f>
        <v>1303382.1017999998</v>
      </c>
      <c r="O57" s="7">
        <f t="shared" ref="O57:O79" si="16">0 * (25 / 27)</f>
        <v>0</v>
      </c>
      <c r="P57" s="7">
        <f>44274.826 * (25 / 27)</f>
        <v>40995.20925925926</v>
      </c>
      <c r="Q57" s="16">
        <f t="shared" si="8"/>
        <v>957224.78925925924</v>
      </c>
      <c r="R57" s="7">
        <f t="shared" si="13"/>
        <v>179992.28571428574</v>
      </c>
      <c r="S57" s="7">
        <f>SUMIFS('Stock - ETA'!$H$3:H4963,'Stock - ETA'!$F$3:F4963,'Rango proyecciones'!C57,'Stock - ETA'!$Q$3:Q4963,'Rango proyecciones'!$AJ$5)</f>
        <v>916229.58</v>
      </c>
      <c r="T57" s="7">
        <f>SUMIF('Stock - Puerto Chile'!$G$2:G973,'Rango proyecciones'!C57,'Stock - Puerto Chile'!$N$2:N973)</f>
        <v>1564058.5221599997</v>
      </c>
      <c r="U57" s="7">
        <f t="shared" ref="U57:U79" si="17">0 * (25 / 27)</f>
        <v>0</v>
      </c>
      <c r="V57" s="7">
        <f>44274.826 * (25 / 27)</f>
        <v>40995.20925925926</v>
      </c>
      <c r="W57" s="17">
        <f t="shared" si="9"/>
        <v>957224.78925925924</v>
      </c>
      <c r="X57" s="4">
        <v>685505</v>
      </c>
      <c r="Y57" s="7">
        <v>685505</v>
      </c>
      <c r="Z57" s="18">
        <f>SUMIFS('Stock - ETA'!$S$3:S4963,'Stock - ETA'!$F$3:F4963,'Rango proyecciones'!C57,'Stock - ETA'!$AA$3:AA4963,'Rango proyecciones'!$AJ$5) + SUMIFS('Stock - ETA'!$R$3:R4963,'Stock - ETA'!$F$3:F4963,'Rango proyecciones'!C57,'Stock - ETA'!$AA$3:AA4963,'Rango proyecciones'!$AJ$7)</f>
        <v>642279.27999999991</v>
      </c>
      <c r="AA57" s="13">
        <f t="shared" si="4"/>
        <v>1327784.2799999998</v>
      </c>
      <c r="AB57" s="7">
        <f>SUMIFS('Stock - ETA'!$I$3:I4963,'Stock - ETA'!$F$3:F4963,'Rango proyecciones'!C57,'Stock - ETA'!$Q$3:Q4963,'Rango proyecciones'!$AJ$5) + SUMIFS('Stock - ETA'!$H$3:H4963,'Stock - ETA'!$F$3:F4963,'Rango proyecciones'!C57,'Stock - ETA'!$Q$3:Q4963,'Rango proyecciones'!$AJ$7)</f>
        <v>642279.27999999991</v>
      </c>
      <c r="AC57" s="16">
        <f t="shared" si="5"/>
        <v>1327784.2799999998</v>
      </c>
      <c r="AD57" s="4">
        <v>700000</v>
      </c>
      <c r="AE57" s="7">
        <f>SUMIFS('Stock - ETA'!$T$3:T4963,'Stock - ETA'!$F$3:F4963,'Rango proyecciones'!C57,'Stock - ETA'!$AA$3:AA4963,'Rango proyecciones'!$AJ$5) + SUMIFS('Stock - ETA'!$S$3:S4963,'Stock - ETA'!$F$3:F4963,'Rango proyecciones'!C57,'Stock - ETA'!$AA$3:AA4963,'Rango proyecciones'!$AJ$8)</f>
        <v>0</v>
      </c>
      <c r="AF57" s="16">
        <f t="shared" si="14"/>
        <v>420000</v>
      </c>
      <c r="AG57" s="7">
        <f>SUMIFS('Stock - ETA'!$J$3:J4963,'Stock - ETA'!$F$3:F4963,'Rango proyecciones'!C57,'Stock - ETA'!$Q$3:Q4963,'Rango proyecciones'!$AJ$5) + SUMIFS('Stock - ETA'!$I$3:I4963,'Stock - ETA'!$F$3:F4963,'Rango proyecciones'!C57,'Stock - ETA'!$Q$3:Q4963,'Rango proyecciones'!$AJ$8)</f>
        <v>0</v>
      </c>
      <c r="AH57" s="16">
        <f t="shared" si="15"/>
        <v>420000</v>
      </c>
      <c r="AI57" s="4"/>
    </row>
    <row r="58" spans="1:35" x14ac:dyDescent="0.2">
      <c r="A58" s="2" t="s">
        <v>34</v>
      </c>
      <c r="B58" s="2" t="s">
        <v>35</v>
      </c>
      <c r="C58" s="2" t="s">
        <v>168</v>
      </c>
      <c r="D58" s="2" t="s">
        <v>46</v>
      </c>
      <c r="E58" s="2">
        <v>1022193</v>
      </c>
      <c r="F58" s="2" t="s">
        <v>169</v>
      </c>
      <c r="G58" s="2" t="s">
        <v>43</v>
      </c>
      <c r="H58" s="4">
        <v>0</v>
      </c>
      <c r="I58" s="7">
        <v>0</v>
      </c>
      <c r="J58" s="7">
        <v>0</v>
      </c>
      <c r="K58" s="7">
        <v>0</v>
      </c>
      <c r="L58" s="4">
        <f t="shared" si="12"/>
        <v>0</v>
      </c>
      <c r="M58" s="7">
        <f>SUMIFS('Stock - ETA'!$R$3:R4963,'Stock - ETA'!$F$3:F4963,'Rango proyecciones'!C58,'Stock - ETA'!$AA$3:AA4963,'Rango proyecciones'!$AJ$5)</f>
        <v>0</v>
      </c>
      <c r="N58" s="7">
        <f>SUMIF('Stock - Puerto Chile'!$G$2:G973,'Rango proyecciones'!C58,'Stock - Puerto Chile'!$L$2:L973)</f>
        <v>0</v>
      </c>
      <c r="O58" s="7">
        <f t="shared" si="16"/>
        <v>0</v>
      </c>
      <c r="P58" s="7">
        <f>10621.756 * (25 / 27)</f>
        <v>9834.959259259258</v>
      </c>
      <c r="Q58" s="16">
        <f t="shared" si="8"/>
        <v>9834.959259259258</v>
      </c>
      <c r="R58" s="7">
        <f t="shared" si="13"/>
        <v>0</v>
      </c>
      <c r="S58" s="7">
        <f>SUMIFS('Stock - ETA'!$H$3:H4963,'Stock - ETA'!$F$3:F4963,'Rango proyecciones'!C58,'Stock - ETA'!$Q$3:Q4963,'Rango proyecciones'!$AJ$5)</f>
        <v>0</v>
      </c>
      <c r="T58" s="7">
        <f>SUMIF('Stock - Puerto Chile'!$G$2:G973,'Rango proyecciones'!C58,'Stock - Puerto Chile'!$N$2:N973)</f>
        <v>0</v>
      </c>
      <c r="U58" s="7">
        <f t="shared" si="17"/>
        <v>0</v>
      </c>
      <c r="V58" s="7">
        <f>10621.756 * (25 / 27)</f>
        <v>9834.959259259258</v>
      </c>
      <c r="W58" s="17">
        <f t="shared" si="9"/>
        <v>9834.959259259258</v>
      </c>
      <c r="X58" s="4"/>
      <c r="Y58" s="7"/>
      <c r="Z58" s="18">
        <f>SUMIFS('Stock - ETA'!$S$3:S4963,'Stock - ETA'!$F$3:F4963,'Rango proyecciones'!C58,'Stock - ETA'!$AA$3:AA4963,'Rango proyecciones'!$AJ$5) + SUMIFS('Stock - ETA'!$R$3:R4963,'Stock - ETA'!$F$3:F4963,'Rango proyecciones'!C58,'Stock - ETA'!$AA$3:AA4963,'Rango proyecciones'!$AJ$7)</f>
        <v>0</v>
      </c>
      <c r="AA58" s="13">
        <f t="shared" si="4"/>
        <v>0</v>
      </c>
      <c r="AB58" s="7">
        <f>SUMIFS('Stock - ETA'!$I$3:I4963,'Stock - ETA'!$F$3:F4963,'Rango proyecciones'!C58,'Stock - ETA'!$Q$3:Q4963,'Rango proyecciones'!$AJ$5) + SUMIFS('Stock - ETA'!$H$3:H4963,'Stock - ETA'!$F$3:F4963,'Rango proyecciones'!C58,'Stock - ETA'!$Q$3:Q4963,'Rango proyecciones'!$AJ$7)</f>
        <v>0</v>
      </c>
      <c r="AC58" s="16">
        <f t="shared" si="5"/>
        <v>0</v>
      </c>
      <c r="AD58" s="4"/>
      <c r="AE58" s="7">
        <f>SUMIFS('Stock - ETA'!$T$3:T4963,'Stock - ETA'!$F$3:F4963,'Rango proyecciones'!C58,'Stock - ETA'!$AA$3:AA4963,'Rango proyecciones'!$AJ$5) + SUMIFS('Stock - ETA'!$S$3:S4963,'Stock - ETA'!$F$3:F4963,'Rango proyecciones'!C58,'Stock - ETA'!$AA$3:AA4963,'Rango proyecciones'!$AJ$8)</f>
        <v>0</v>
      </c>
      <c r="AF58" s="16">
        <f t="shared" si="14"/>
        <v>0</v>
      </c>
      <c r="AG58" s="7">
        <f>SUMIFS('Stock - ETA'!$J$3:J4963,'Stock - ETA'!$F$3:F4963,'Rango proyecciones'!C58,'Stock - ETA'!$Q$3:Q4963,'Rango proyecciones'!$AJ$5) + SUMIFS('Stock - ETA'!$I$3:I4963,'Stock - ETA'!$F$3:F4963,'Rango proyecciones'!C58,'Stock - ETA'!$Q$3:Q4963,'Rango proyecciones'!$AJ$8)</f>
        <v>0</v>
      </c>
      <c r="AH58" s="16">
        <f t="shared" si="15"/>
        <v>0</v>
      </c>
      <c r="AI58" s="4"/>
    </row>
    <row r="59" spans="1:35" x14ac:dyDescent="0.2">
      <c r="A59" s="2" t="s">
        <v>34</v>
      </c>
      <c r="B59" s="2" t="s">
        <v>35</v>
      </c>
      <c r="C59" s="2" t="s">
        <v>170</v>
      </c>
      <c r="D59" s="2" t="s">
        <v>46</v>
      </c>
      <c r="E59" s="2">
        <v>1022388</v>
      </c>
      <c r="F59" s="2" t="s">
        <v>171</v>
      </c>
      <c r="G59" s="2" t="s">
        <v>172</v>
      </c>
      <c r="H59" s="4">
        <v>0</v>
      </c>
      <c r="I59" s="7">
        <v>0</v>
      </c>
      <c r="J59" s="7">
        <v>12477.272000000001</v>
      </c>
      <c r="K59" s="7">
        <v>788.42</v>
      </c>
      <c r="L59" s="4">
        <f t="shared" si="12"/>
        <v>17533.278000000002</v>
      </c>
      <c r="M59" s="7">
        <f>SUMIFS('Stock - ETA'!$R$3:R4963,'Stock - ETA'!$F$3:F4963,'Rango proyecciones'!C59,'Stock - ETA'!$AA$3:AA4963,'Rango proyecciones'!$AJ$5)</f>
        <v>159640</v>
      </c>
      <c r="N59" s="7">
        <f>SUMIF('Stock - Puerto Chile'!$G$2:G973,'Rango proyecciones'!C59,'Stock - Puerto Chile'!$L$2:L973)</f>
        <v>317544</v>
      </c>
      <c r="O59" s="7">
        <f t="shared" si="16"/>
        <v>0</v>
      </c>
      <c r="P59" s="7">
        <f>5140 * (25 / 27)</f>
        <v>4759.2592592592591</v>
      </c>
      <c r="Q59" s="16">
        <f t="shared" si="8"/>
        <v>164399.25925925927</v>
      </c>
      <c r="R59" s="7">
        <f t="shared" si="13"/>
        <v>30057.048000000003</v>
      </c>
      <c r="S59" s="7">
        <f>SUMIFS('Stock - ETA'!$H$3:H4963,'Stock - ETA'!$F$3:F4963,'Rango proyecciones'!C59,'Stock - ETA'!$Q$3:Q4963,'Rango proyecciones'!$AJ$5)</f>
        <v>159640</v>
      </c>
      <c r="T59" s="7">
        <f>SUMIF('Stock - Puerto Chile'!$G$2:G973,'Rango proyecciones'!C59,'Stock - Puerto Chile'!$N$2:N973)</f>
        <v>381052.79999999993</v>
      </c>
      <c r="U59" s="7">
        <f t="shared" si="17"/>
        <v>0</v>
      </c>
      <c r="V59" s="7">
        <f>5140 * (25 / 27)</f>
        <v>4759.2592592592591</v>
      </c>
      <c r="W59" s="17">
        <f t="shared" si="9"/>
        <v>164399.25925925927</v>
      </c>
      <c r="X59" s="4">
        <v>120000</v>
      </c>
      <c r="Y59" s="7">
        <v>120000</v>
      </c>
      <c r="Z59" s="18">
        <f>SUMIFS('Stock - ETA'!$S$3:S4963,'Stock - ETA'!$F$3:F4963,'Rango proyecciones'!C59,'Stock - ETA'!$AA$3:AA4963,'Rango proyecciones'!$AJ$5) + SUMIFS('Stock - ETA'!$R$3:R4963,'Stock - ETA'!$F$3:F4963,'Rango proyecciones'!C59,'Stock - ETA'!$AA$3:AA4963,'Rango proyecciones'!$AJ$7)</f>
        <v>126040</v>
      </c>
      <c r="AA59" s="13">
        <f t="shared" si="4"/>
        <v>246040</v>
      </c>
      <c r="AB59" s="7">
        <f>SUMIFS('Stock - ETA'!$I$3:I4963,'Stock - ETA'!$F$3:F4963,'Rango proyecciones'!C59,'Stock - ETA'!$Q$3:Q4963,'Rango proyecciones'!$AJ$5) + SUMIFS('Stock - ETA'!$H$3:H4963,'Stock - ETA'!$F$3:F4963,'Rango proyecciones'!C59,'Stock - ETA'!$Q$3:Q4963,'Rango proyecciones'!$AJ$7)</f>
        <v>126040</v>
      </c>
      <c r="AC59" s="16">
        <f t="shared" si="5"/>
        <v>246040</v>
      </c>
      <c r="AD59" s="4">
        <v>120000</v>
      </c>
      <c r="AE59" s="7">
        <f>SUMIFS('Stock - ETA'!$T$3:T4963,'Stock - ETA'!$F$3:F4963,'Rango proyecciones'!C59,'Stock - ETA'!$AA$3:AA4963,'Rango proyecciones'!$AJ$5) + SUMIFS('Stock - ETA'!$S$3:S4963,'Stock - ETA'!$F$3:F4963,'Rango proyecciones'!C59,'Stock - ETA'!$AA$3:AA4963,'Rango proyecciones'!$AJ$8)</f>
        <v>0</v>
      </c>
      <c r="AF59" s="16">
        <f t="shared" si="14"/>
        <v>72000</v>
      </c>
      <c r="AG59" s="7">
        <f>SUMIFS('Stock - ETA'!$J$3:J4963,'Stock - ETA'!$F$3:F4963,'Rango proyecciones'!C59,'Stock - ETA'!$Q$3:Q4963,'Rango proyecciones'!$AJ$5) + SUMIFS('Stock - ETA'!$I$3:I4963,'Stock - ETA'!$F$3:F4963,'Rango proyecciones'!C59,'Stock - ETA'!$Q$3:Q4963,'Rango proyecciones'!$AJ$8)</f>
        <v>0</v>
      </c>
      <c r="AH59" s="16">
        <f t="shared" si="15"/>
        <v>72000</v>
      </c>
      <c r="AI59" s="4"/>
    </row>
    <row r="60" spans="1:35" x14ac:dyDescent="0.2">
      <c r="A60" s="2" t="s">
        <v>34</v>
      </c>
      <c r="B60" s="2" t="s">
        <v>35</v>
      </c>
      <c r="C60" s="2" t="s">
        <v>173</v>
      </c>
      <c r="D60" s="2" t="s">
        <v>46</v>
      </c>
      <c r="E60" s="2">
        <v>1022417</v>
      </c>
      <c r="F60" s="2" t="s">
        <v>174</v>
      </c>
      <c r="G60" s="2" t="s">
        <v>175</v>
      </c>
      <c r="H60" s="4">
        <v>0</v>
      </c>
      <c r="I60" s="7">
        <v>0</v>
      </c>
      <c r="J60" s="7">
        <v>0</v>
      </c>
      <c r="K60" s="7">
        <v>0</v>
      </c>
      <c r="L60" s="4">
        <f t="shared" si="12"/>
        <v>0</v>
      </c>
      <c r="M60" s="7">
        <f>SUMIFS('Stock - ETA'!$R$3:R4963,'Stock - ETA'!$F$3:F4963,'Rango proyecciones'!C60,'Stock - ETA'!$AA$3:AA4963,'Rango proyecciones'!$AJ$5)</f>
        <v>77420</v>
      </c>
      <c r="N60" s="7">
        <f>SUMIF('Stock - Puerto Chile'!$G$2:G973,'Rango proyecciones'!C60,'Stock - Puerto Chile'!$L$2:L973)</f>
        <v>0</v>
      </c>
      <c r="O60" s="7">
        <f t="shared" si="16"/>
        <v>0</v>
      </c>
      <c r="P60" s="7">
        <f>7800 * (25 / 27)</f>
        <v>7222.2222222222226</v>
      </c>
      <c r="Q60" s="16">
        <f t="shared" si="8"/>
        <v>84642.222222222219</v>
      </c>
      <c r="R60" s="7">
        <f t="shared" si="13"/>
        <v>0</v>
      </c>
      <c r="S60" s="7">
        <f>SUMIFS('Stock - ETA'!$H$3:H4963,'Stock - ETA'!$F$3:F4963,'Rango proyecciones'!C60,'Stock - ETA'!$Q$3:Q4963,'Rango proyecciones'!$AJ$5)</f>
        <v>77420</v>
      </c>
      <c r="T60" s="7">
        <f>SUMIF('Stock - Puerto Chile'!$G$2:G973,'Rango proyecciones'!C60,'Stock - Puerto Chile'!$N$2:N973)</f>
        <v>0</v>
      </c>
      <c r="U60" s="7">
        <f t="shared" si="17"/>
        <v>0</v>
      </c>
      <c r="V60" s="7">
        <f>7800 * (25 / 27)</f>
        <v>7222.2222222222226</v>
      </c>
      <c r="W60" s="17">
        <f t="shared" si="9"/>
        <v>84642.222222222219</v>
      </c>
      <c r="X60" s="4"/>
      <c r="Y60" s="7"/>
      <c r="Z60" s="18">
        <f>SUMIFS('Stock - ETA'!$S$3:S4963,'Stock - ETA'!$F$3:F4963,'Rango proyecciones'!C60,'Stock - ETA'!$AA$3:AA4963,'Rango proyecciones'!$AJ$5) + SUMIFS('Stock - ETA'!$R$3:R4963,'Stock - ETA'!$F$3:F4963,'Rango proyecciones'!C60,'Stock - ETA'!$AA$3:AA4963,'Rango proyecciones'!$AJ$7)</f>
        <v>73500</v>
      </c>
      <c r="AA60" s="13">
        <f t="shared" si="4"/>
        <v>73500</v>
      </c>
      <c r="AB60" s="7">
        <f>SUMIFS('Stock - ETA'!$I$3:I4963,'Stock - ETA'!$F$3:F4963,'Rango proyecciones'!C60,'Stock - ETA'!$Q$3:Q4963,'Rango proyecciones'!$AJ$5) + SUMIFS('Stock - ETA'!$H$3:H4963,'Stock - ETA'!$F$3:F4963,'Rango proyecciones'!C60,'Stock - ETA'!$Q$3:Q4963,'Rango proyecciones'!$AJ$7)</f>
        <v>73500</v>
      </c>
      <c r="AC60" s="16">
        <f t="shared" si="5"/>
        <v>73500</v>
      </c>
      <c r="AD60" s="4"/>
      <c r="AE60" s="7">
        <f>SUMIFS('Stock - ETA'!$T$3:T4963,'Stock - ETA'!$F$3:F4963,'Rango proyecciones'!C60,'Stock - ETA'!$AA$3:AA4963,'Rango proyecciones'!$AJ$5) + SUMIFS('Stock - ETA'!$S$3:S4963,'Stock - ETA'!$F$3:F4963,'Rango proyecciones'!C60,'Stock - ETA'!$AA$3:AA4963,'Rango proyecciones'!$AJ$8)</f>
        <v>0</v>
      </c>
      <c r="AF60" s="16">
        <f t="shared" si="14"/>
        <v>0</v>
      </c>
      <c r="AG60" s="7">
        <f>SUMIFS('Stock - ETA'!$J$3:J4963,'Stock - ETA'!$F$3:F4963,'Rango proyecciones'!C60,'Stock - ETA'!$Q$3:Q4963,'Rango proyecciones'!$AJ$5) + SUMIFS('Stock - ETA'!$I$3:I4963,'Stock - ETA'!$F$3:F4963,'Rango proyecciones'!C60,'Stock - ETA'!$Q$3:Q4963,'Rango proyecciones'!$AJ$8)</f>
        <v>0</v>
      </c>
      <c r="AH60" s="16">
        <f t="shared" si="15"/>
        <v>0</v>
      </c>
      <c r="AI60" s="4"/>
    </row>
    <row r="61" spans="1:35" x14ac:dyDescent="0.2">
      <c r="A61" s="2" t="s">
        <v>34</v>
      </c>
      <c r="B61" s="2" t="s">
        <v>35</v>
      </c>
      <c r="C61" s="2" t="s">
        <v>176</v>
      </c>
      <c r="D61" s="2" t="s">
        <v>46</v>
      </c>
      <c r="E61" s="2">
        <v>1022646</v>
      </c>
      <c r="F61" s="2" t="s">
        <v>177</v>
      </c>
      <c r="G61" s="2" t="s">
        <v>178</v>
      </c>
      <c r="H61" s="4">
        <v>0</v>
      </c>
      <c r="I61" s="7">
        <v>0</v>
      </c>
      <c r="J61" s="7">
        <v>0</v>
      </c>
      <c r="K61" s="7">
        <v>0</v>
      </c>
      <c r="L61" s="4">
        <f t="shared" si="12"/>
        <v>0</v>
      </c>
      <c r="M61" s="7">
        <f>SUMIFS('Stock - ETA'!$R$3:R4963,'Stock - ETA'!$F$3:F4963,'Rango proyecciones'!C61,'Stock - ETA'!$AA$3:AA4963,'Rango proyecciones'!$AJ$5)</f>
        <v>0</v>
      </c>
      <c r="N61" s="7">
        <f>SUMIF('Stock - Puerto Chile'!$G$2:G973,'Rango proyecciones'!C61,'Stock - Puerto Chile'!$L$2:L973)</f>
        <v>0</v>
      </c>
      <c r="O61" s="7">
        <f t="shared" si="16"/>
        <v>0</v>
      </c>
      <c r="P61" s="7">
        <f>39560.646 * (25 / 27)</f>
        <v>36630.227777777778</v>
      </c>
      <c r="Q61" s="16">
        <f t="shared" si="8"/>
        <v>36630.227777777778</v>
      </c>
      <c r="R61" s="7">
        <f t="shared" si="13"/>
        <v>0</v>
      </c>
      <c r="S61" s="7">
        <f>SUMIFS('Stock - ETA'!$H$3:H4963,'Stock - ETA'!$F$3:F4963,'Rango proyecciones'!C61,'Stock - ETA'!$Q$3:Q4963,'Rango proyecciones'!$AJ$5)</f>
        <v>0</v>
      </c>
      <c r="T61" s="7">
        <f>SUMIF('Stock - Puerto Chile'!$G$2:G973,'Rango proyecciones'!C61,'Stock - Puerto Chile'!$N$2:N973)</f>
        <v>0</v>
      </c>
      <c r="U61" s="7">
        <f t="shared" si="17"/>
        <v>0</v>
      </c>
      <c r="V61" s="7">
        <f>39560.646 * (25 / 27)</f>
        <v>36630.227777777778</v>
      </c>
      <c r="W61" s="17">
        <f t="shared" si="9"/>
        <v>36630.227777777778</v>
      </c>
      <c r="X61" s="4"/>
      <c r="Y61" s="7"/>
      <c r="Z61" s="18">
        <f>SUMIFS('Stock - ETA'!$S$3:S4963,'Stock - ETA'!$F$3:F4963,'Rango proyecciones'!C61,'Stock - ETA'!$AA$3:AA4963,'Rango proyecciones'!$AJ$5) + SUMIFS('Stock - ETA'!$R$3:R4963,'Stock - ETA'!$F$3:F4963,'Rango proyecciones'!C61,'Stock - ETA'!$AA$3:AA4963,'Rango proyecciones'!$AJ$7)</f>
        <v>35232.79</v>
      </c>
      <c r="AA61" s="13">
        <f t="shared" si="4"/>
        <v>35232.79</v>
      </c>
      <c r="AB61" s="7">
        <f>SUMIFS('Stock - ETA'!$I$3:I4963,'Stock - ETA'!$F$3:F4963,'Rango proyecciones'!C61,'Stock - ETA'!$Q$3:Q4963,'Rango proyecciones'!$AJ$5) + SUMIFS('Stock - ETA'!$H$3:H4963,'Stock - ETA'!$F$3:F4963,'Rango proyecciones'!C61,'Stock - ETA'!$Q$3:Q4963,'Rango proyecciones'!$AJ$7)</f>
        <v>35232.79</v>
      </c>
      <c r="AC61" s="16">
        <f t="shared" si="5"/>
        <v>35232.79</v>
      </c>
      <c r="AD61" s="4"/>
      <c r="AE61" s="7">
        <f>SUMIFS('Stock - ETA'!$T$3:T4963,'Stock - ETA'!$F$3:F4963,'Rango proyecciones'!C61,'Stock - ETA'!$AA$3:AA4963,'Rango proyecciones'!$AJ$5) + SUMIFS('Stock - ETA'!$S$3:S4963,'Stock - ETA'!$F$3:F4963,'Rango proyecciones'!C61,'Stock - ETA'!$AA$3:AA4963,'Rango proyecciones'!$AJ$8)</f>
        <v>0</v>
      </c>
      <c r="AF61" s="16">
        <f t="shared" si="14"/>
        <v>0</v>
      </c>
      <c r="AG61" s="7">
        <f>SUMIFS('Stock - ETA'!$J$3:J4963,'Stock - ETA'!$F$3:F4963,'Rango proyecciones'!C61,'Stock - ETA'!$Q$3:Q4963,'Rango proyecciones'!$AJ$5) + SUMIFS('Stock - ETA'!$I$3:I4963,'Stock - ETA'!$F$3:F4963,'Rango proyecciones'!C61,'Stock - ETA'!$Q$3:Q4963,'Rango proyecciones'!$AJ$8)</f>
        <v>0</v>
      </c>
      <c r="AH61" s="16">
        <f t="shared" si="15"/>
        <v>0</v>
      </c>
      <c r="AI61" s="4"/>
    </row>
    <row r="62" spans="1:35" x14ac:dyDescent="0.2">
      <c r="A62" s="2" t="s">
        <v>34</v>
      </c>
      <c r="B62" s="2" t="s">
        <v>35</v>
      </c>
      <c r="C62" s="2" t="s">
        <v>179</v>
      </c>
      <c r="D62" s="2" t="s">
        <v>46</v>
      </c>
      <c r="E62" s="2">
        <v>1023093</v>
      </c>
      <c r="F62" s="2" t="s">
        <v>180</v>
      </c>
      <c r="G62" s="2" t="s">
        <v>181</v>
      </c>
      <c r="H62" s="4">
        <v>0</v>
      </c>
      <c r="I62" s="7">
        <v>0</v>
      </c>
      <c r="J62" s="7">
        <v>0</v>
      </c>
      <c r="K62" s="7">
        <v>0</v>
      </c>
      <c r="L62" s="4">
        <f t="shared" si="12"/>
        <v>0</v>
      </c>
      <c r="M62" s="7">
        <f>SUMIFS('Stock - ETA'!$R$3:R4963,'Stock - ETA'!$F$3:F4963,'Rango proyecciones'!C62,'Stock - ETA'!$AA$3:AA4963,'Rango proyecciones'!$AJ$5)</f>
        <v>24000</v>
      </c>
      <c r="N62" s="7">
        <f>SUMIF('Stock - Puerto Chile'!$G$2:G973,'Rango proyecciones'!C62,'Stock - Puerto Chile'!$L$2:L973)</f>
        <v>0</v>
      </c>
      <c r="O62" s="7">
        <f t="shared" si="16"/>
        <v>0</v>
      </c>
      <c r="P62" s="7">
        <f>110337 * (25 / 27)</f>
        <v>102163.88888888889</v>
      </c>
      <c r="Q62" s="16">
        <f t="shared" si="8"/>
        <v>126163.88888888889</v>
      </c>
      <c r="R62" s="7">
        <f t="shared" si="13"/>
        <v>0</v>
      </c>
      <c r="S62" s="7">
        <f>SUMIFS('Stock - ETA'!$H$3:H4963,'Stock - ETA'!$F$3:F4963,'Rango proyecciones'!C62,'Stock - ETA'!$Q$3:Q4963,'Rango proyecciones'!$AJ$5)</f>
        <v>24000</v>
      </c>
      <c r="T62" s="7">
        <f>SUMIF('Stock - Puerto Chile'!$G$2:G973,'Rango proyecciones'!C62,'Stock - Puerto Chile'!$N$2:N973)</f>
        <v>0</v>
      </c>
      <c r="U62" s="7">
        <f t="shared" si="17"/>
        <v>0</v>
      </c>
      <c r="V62" s="7">
        <f>110337 * (25 / 27)</f>
        <v>102163.88888888889</v>
      </c>
      <c r="W62" s="17">
        <f t="shared" si="9"/>
        <v>126163.88888888889</v>
      </c>
      <c r="X62" s="4">
        <v>48000</v>
      </c>
      <c r="Y62" s="7">
        <v>48000</v>
      </c>
      <c r="Z62" s="18">
        <f>SUMIFS('Stock - ETA'!$S$3:S4963,'Stock - ETA'!$F$3:F4963,'Rango proyecciones'!C62,'Stock - ETA'!$AA$3:AA4963,'Rango proyecciones'!$AJ$5) + SUMIFS('Stock - ETA'!$R$3:R4963,'Stock - ETA'!$F$3:F4963,'Rango proyecciones'!C62,'Stock - ETA'!$AA$3:AA4963,'Rango proyecciones'!$AJ$7)</f>
        <v>61440</v>
      </c>
      <c r="AA62" s="13">
        <f t="shared" si="4"/>
        <v>109440</v>
      </c>
      <c r="AB62" s="7">
        <f>SUMIFS('Stock - ETA'!$I$3:I4963,'Stock - ETA'!$F$3:F4963,'Rango proyecciones'!C62,'Stock - ETA'!$Q$3:Q4963,'Rango proyecciones'!$AJ$5) + SUMIFS('Stock - ETA'!$H$3:H4963,'Stock - ETA'!$F$3:F4963,'Rango proyecciones'!C62,'Stock - ETA'!$Q$3:Q4963,'Rango proyecciones'!$AJ$7)</f>
        <v>61440</v>
      </c>
      <c r="AC62" s="16">
        <f t="shared" si="5"/>
        <v>109440</v>
      </c>
      <c r="AD62" s="4">
        <v>48000</v>
      </c>
      <c r="AE62" s="7">
        <f>SUMIFS('Stock - ETA'!$T$3:T4963,'Stock - ETA'!$F$3:F4963,'Rango proyecciones'!C62,'Stock - ETA'!$AA$3:AA4963,'Rango proyecciones'!$AJ$5) + SUMIFS('Stock - ETA'!$S$3:S4963,'Stock - ETA'!$F$3:F4963,'Rango proyecciones'!C62,'Stock - ETA'!$AA$3:AA4963,'Rango proyecciones'!$AJ$8)</f>
        <v>0</v>
      </c>
      <c r="AF62" s="16">
        <f t="shared" si="14"/>
        <v>28800</v>
      </c>
      <c r="AG62" s="7">
        <f>SUMIFS('Stock - ETA'!$J$3:J4963,'Stock - ETA'!$F$3:F4963,'Rango proyecciones'!C62,'Stock - ETA'!$Q$3:Q4963,'Rango proyecciones'!$AJ$5) + SUMIFS('Stock - ETA'!$I$3:I4963,'Stock - ETA'!$F$3:F4963,'Rango proyecciones'!C62,'Stock - ETA'!$Q$3:Q4963,'Rango proyecciones'!$AJ$8)</f>
        <v>0</v>
      </c>
      <c r="AH62" s="16">
        <f t="shared" si="15"/>
        <v>28800</v>
      </c>
      <c r="AI62" s="4"/>
    </row>
    <row r="63" spans="1:35" x14ac:dyDescent="0.2">
      <c r="A63" s="2" t="s">
        <v>34</v>
      </c>
      <c r="B63" s="2" t="s">
        <v>35</v>
      </c>
      <c r="C63" s="2" t="s">
        <v>182</v>
      </c>
      <c r="D63" s="2" t="s">
        <v>46</v>
      </c>
      <c r="E63" s="2">
        <v>1023143</v>
      </c>
      <c r="F63" s="2" t="s">
        <v>183</v>
      </c>
      <c r="G63" s="2" t="s">
        <v>160</v>
      </c>
      <c r="H63" s="4">
        <v>0</v>
      </c>
      <c r="I63" s="7">
        <v>0</v>
      </c>
      <c r="J63" s="7">
        <v>0</v>
      </c>
      <c r="K63" s="7">
        <v>0</v>
      </c>
      <c r="L63" s="4">
        <f t="shared" si="12"/>
        <v>0</v>
      </c>
      <c r="M63" s="7">
        <f>SUMIFS('Stock - ETA'!$R$3:R4963,'Stock - ETA'!$F$3:F4963,'Rango proyecciones'!C63,'Stock - ETA'!$AA$3:AA4963,'Rango proyecciones'!$AJ$5)</f>
        <v>0</v>
      </c>
      <c r="N63" s="7">
        <f>SUMIF('Stock - Puerto Chile'!$G$2:G973,'Rango proyecciones'!C63,'Stock - Puerto Chile'!$L$2:L973)</f>
        <v>0</v>
      </c>
      <c r="O63" s="7">
        <f t="shared" si="16"/>
        <v>0</v>
      </c>
      <c r="P63" s="7">
        <f>1520 * (25 / 27)</f>
        <v>1407.4074074074074</v>
      </c>
      <c r="Q63" s="16">
        <f t="shared" si="8"/>
        <v>1407.4074074074074</v>
      </c>
      <c r="R63" s="7">
        <f t="shared" si="13"/>
        <v>0</v>
      </c>
      <c r="S63" s="7">
        <f>SUMIFS('Stock - ETA'!$H$3:H4963,'Stock - ETA'!$F$3:F4963,'Rango proyecciones'!C63,'Stock - ETA'!$Q$3:Q4963,'Rango proyecciones'!$AJ$5)</f>
        <v>0</v>
      </c>
      <c r="T63" s="7">
        <f>SUMIF('Stock - Puerto Chile'!$G$2:G973,'Rango proyecciones'!C63,'Stock - Puerto Chile'!$N$2:N973)</f>
        <v>0</v>
      </c>
      <c r="U63" s="7">
        <f t="shared" si="17"/>
        <v>0</v>
      </c>
      <c r="V63" s="7">
        <f>1520 * (25 / 27)</f>
        <v>1407.4074074074074</v>
      </c>
      <c r="W63" s="17">
        <f t="shared" si="9"/>
        <v>1407.4074074074074</v>
      </c>
      <c r="X63" s="4"/>
      <c r="Y63" s="7"/>
      <c r="Z63" s="18">
        <f>SUMIFS('Stock - ETA'!$S$3:S4963,'Stock - ETA'!$F$3:F4963,'Rango proyecciones'!C63,'Stock - ETA'!$AA$3:AA4963,'Rango proyecciones'!$AJ$5) + SUMIFS('Stock - ETA'!$R$3:R4963,'Stock - ETA'!$F$3:F4963,'Rango proyecciones'!C63,'Stock - ETA'!$AA$3:AA4963,'Rango proyecciones'!$AJ$7)</f>
        <v>0</v>
      </c>
      <c r="AA63" s="13">
        <f t="shared" si="4"/>
        <v>0</v>
      </c>
      <c r="AB63" s="7">
        <f>SUMIFS('Stock - ETA'!$I$3:I4963,'Stock - ETA'!$F$3:F4963,'Rango proyecciones'!C63,'Stock - ETA'!$Q$3:Q4963,'Rango proyecciones'!$AJ$5) + SUMIFS('Stock - ETA'!$H$3:H4963,'Stock - ETA'!$F$3:F4963,'Rango proyecciones'!C63,'Stock - ETA'!$Q$3:Q4963,'Rango proyecciones'!$AJ$7)</f>
        <v>0</v>
      </c>
      <c r="AC63" s="16">
        <f t="shared" si="5"/>
        <v>0</v>
      </c>
      <c r="AD63" s="4"/>
      <c r="AE63" s="7">
        <f>SUMIFS('Stock - ETA'!$T$3:T4963,'Stock - ETA'!$F$3:F4963,'Rango proyecciones'!C63,'Stock - ETA'!$AA$3:AA4963,'Rango proyecciones'!$AJ$5) + SUMIFS('Stock - ETA'!$S$3:S4963,'Stock - ETA'!$F$3:F4963,'Rango proyecciones'!C63,'Stock - ETA'!$AA$3:AA4963,'Rango proyecciones'!$AJ$8)</f>
        <v>0</v>
      </c>
      <c r="AF63" s="16">
        <f t="shared" si="14"/>
        <v>0</v>
      </c>
      <c r="AG63" s="7">
        <f>SUMIFS('Stock - ETA'!$J$3:J4963,'Stock - ETA'!$F$3:F4963,'Rango proyecciones'!C63,'Stock - ETA'!$Q$3:Q4963,'Rango proyecciones'!$AJ$5) + SUMIFS('Stock - ETA'!$I$3:I4963,'Stock - ETA'!$F$3:F4963,'Rango proyecciones'!C63,'Stock - ETA'!$Q$3:Q4963,'Rango proyecciones'!$AJ$8)</f>
        <v>0</v>
      </c>
      <c r="AH63" s="16">
        <f t="shared" si="15"/>
        <v>0</v>
      </c>
      <c r="AI63" s="4"/>
    </row>
    <row r="64" spans="1:35" x14ac:dyDescent="0.2">
      <c r="A64" s="2" t="s">
        <v>34</v>
      </c>
      <c r="B64" s="2" t="s">
        <v>35</v>
      </c>
      <c r="C64" s="2" t="s">
        <v>184</v>
      </c>
      <c r="D64" s="2" t="s">
        <v>37</v>
      </c>
      <c r="E64" s="2">
        <v>1021921</v>
      </c>
      <c r="F64" s="2" t="s">
        <v>185</v>
      </c>
      <c r="G64" s="2" t="s">
        <v>43</v>
      </c>
      <c r="H64" s="4">
        <v>0</v>
      </c>
      <c r="I64" s="7">
        <v>0</v>
      </c>
      <c r="J64" s="7">
        <v>2341.056</v>
      </c>
      <c r="K64" s="7"/>
      <c r="L64" s="4">
        <f t="shared" si="12"/>
        <v>3511.5839999999998</v>
      </c>
      <c r="M64" s="7">
        <f>SUMIFS('Stock - ETA'!$R$3:R4963,'Stock - ETA'!$F$3:F4963,'Rango proyecciones'!C64,'Stock - ETA'!$AA$3:AA4963,'Rango proyecciones'!$AJ$5)</f>
        <v>0</v>
      </c>
      <c r="N64" s="7">
        <f>SUMIF('Stock - Puerto Chile'!$G$2:G973,'Rango proyecciones'!C64,'Stock - Puerto Chile'!$L$2:L973)</f>
        <v>0</v>
      </c>
      <c r="O64" s="7">
        <f t="shared" si="16"/>
        <v>0</v>
      </c>
      <c r="P64" s="7">
        <f>887.123 * (25 / 27)</f>
        <v>821.41018518518524</v>
      </c>
      <c r="Q64" s="16">
        <f t="shared" si="8"/>
        <v>821.41018518518524</v>
      </c>
      <c r="R64" s="7">
        <f t="shared" si="13"/>
        <v>6019.8582857142865</v>
      </c>
      <c r="S64" s="7">
        <f>SUMIFS('Stock - ETA'!$H$3:H4963,'Stock - ETA'!$F$3:F4963,'Rango proyecciones'!C64,'Stock - ETA'!$Q$3:Q4963,'Rango proyecciones'!$AJ$5)</f>
        <v>0</v>
      </c>
      <c r="T64" s="7">
        <f>SUMIF('Stock - Puerto Chile'!$G$2:G973,'Rango proyecciones'!C64,'Stock - Puerto Chile'!$N$2:N973)</f>
        <v>0</v>
      </c>
      <c r="U64" s="7">
        <f t="shared" si="17"/>
        <v>0</v>
      </c>
      <c r="V64" s="7">
        <f>887.123 * (25 / 27)</f>
        <v>821.41018518518524</v>
      </c>
      <c r="W64" s="17">
        <f t="shared" si="9"/>
        <v>821.41018518518524</v>
      </c>
      <c r="X64" s="4">
        <v>2000</v>
      </c>
      <c r="Y64" s="7">
        <v>2000</v>
      </c>
      <c r="Z64" s="18">
        <f>SUMIFS('Stock - ETA'!$S$3:S4963,'Stock - ETA'!$F$3:F4963,'Rango proyecciones'!C64,'Stock - ETA'!$AA$3:AA4963,'Rango proyecciones'!$AJ$5) + SUMIFS('Stock - ETA'!$R$3:R4963,'Stock - ETA'!$F$3:F4963,'Rango proyecciones'!C64,'Stock - ETA'!$AA$3:AA4963,'Rango proyecciones'!$AJ$7)</f>
        <v>5012.82</v>
      </c>
      <c r="AA64" s="13">
        <f t="shared" si="4"/>
        <v>7012.82</v>
      </c>
      <c r="AB64" s="7">
        <f>SUMIFS('Stock - ETA'!$I$3:I4963,'Stock - ETA'!$F$3:F4963,'Rango proyecciones'!C64,'Stock - ETA'!$Q$3:Q4963,'Rango proyecciones'!$AJ$5) + SUMIFS('Stock - ETA'!$H$3:H4963,'Stock - ETA'!$F$3:F4963,'Rango proyecciones'!C64,'Stock - ETA'!$Q$3:Q4963,'Rango proyecciones'!$AJ$7)</f>
        <v>5012.82</v>
      </c>
      <c r="AC64" s="16">
        <f t="shared" si="5"/>
        <v>7012.82</v>
      </c>
      <c r="AD64" s="4">
        <v>2000</v>
      </c>
      <c r="AE64" s="7">
        <f>SUMIFS('Stock - ETA'!$T$3:T4963,'Stock - ETA'!$F$3:F4963,'Rango proyecciones'!C64,'Stock - ETA'!$AA$3:AA4963,'Rango proyecciones'!$AJ$5) + SUMIFS('Stock - ETA'!$S$3:S4963,'Stock - ETA'!$F$3:F4963,'Rango proyecciones'!C64,'Stock - ETA'!$AA$3:AA4963,'Rango proyecciones'!$AJ$8)</f>
        <v>2016.73</v>
      </c>
      <c r="AF64" s="16">
        <f t="shared" ref="AF64:AF73" si="18">0.7 * AD64 + AE64</f>
        <v>3416.73</v>
      </c>
      <c r="AG64" s="7">
        <f>SUMIFS('Stock - ETA'!$J$3:J4963,'Stock - ETA'!$F$3:F4963,'Rango proyecciones'!C64,'Stock - ETA'!$Q$3:Q4963,'Rango proyecciones'!$AJ$5) + SUMIFS('Stock - ETA'!$I$3:I4963,'Stock - ETA'!$F$3:F4963,'Rango proyecciones'!C64,'Stock - ETA'!$Q$3:Q4963,'Rango proyecciones'!$AJ$8)</f>
        <v>2016.73</v>
      </c>
      <c r="AH64" s="16">
        <f t="shared" ref="AH64:AH73" si="19">0.7 * AD64 + AG64</f>
        <v>3416.73</v>
      </c>
      <c r="AI64" s="4"/>
    </row>
    <row r="65" spans="1:35" x14ac:dyDescent="0.2">
      <c r="A65" s="2" t="s">
        <v>34</v>
      </c>
      <c r="B65" s="2" t="s">
        <v>35</v>
      </c>
      <c r="C65" s="2" t="s">
        <v>186</v>
      </c>
      <c r="D65" s="2" t="s">
        <v>37</v>
      </c>
      <c r="E65" s="2">
        <v>1021922</v>
      </c>
      <c r="F65" s="2" t="s">
        <v>119</v>
      </c>
      <c r="G65" s="2" t="s">
        <v>67</v>
      </c>
      <c r="H65" s="4">
        <v>0</v>
      </c>
      <c r="I65" s="7">
        <v>0</v>
      </c>
      <c r="J65" s="7">
        <v>0</v>
      </c>
      <c r="K65" s="7">
        <v>0</v>
      </c>
      <c r="L65" s="4">
        <f t="shared" si="12"/>
        <v>0</v>
      </c>
      <c r="M65" s="7">
        <f>SUMIFS('Stock - ETA'!$R$3:R4963,'Stock - ETA'!$F$3:F4963,'Rango proyecciones'!C65,'Stock - ETA'!$AA$3:AA4963,'Rango proyecciones'!$AJ$5)</f>
        <v>0</v>
      </c>
      <c r="N65" s="7">
        <f>SUMIF('Stock - Puerto Chile'!$G$2:G973,'Rango proyecciones'!C65,'Stock - Puerto Chile'!$L$2:L973)</f>
        <v>0</v>
      </c>
      <c r="O65" s="7">
        <f t="shared" si="16"/>
        <v>0</v>
      </c>
      <c r="P65" s="7">
        <f>2330 * (25 / 27)</f>
        <v>2157.4074074074074</v>
      </c>
      <c r="Q65" s="16">
        <f t="shared" si="8"/>
        <v>2157.4074074074074</v>
      </c>
      <c r="R65" s="7">
        <f t="shared" si="13"/>
        <v>0</v>
      </c>
      <c r="S65" s="7">
        <f>SUMIFS('Stock - ETA'!$H$3:H4963,'Stock - ETA'!$F$3:F4963,'Rango proyecciones'!C65,'Stock - ETA'!$Q$3:Q4963,'Rango proyecciones'!$AJ$5)</f>
        <v>0</v>
      </c>
      <c r="T65" s="7">
        <f>SUMIF('Stock - Puerto Chile'!$G$2:G973,'Rango proyecciones'!C65,'Stock - Puerto Chile'!$N$2:N973)</f>
        <v>0</v>
      </c>
      <c r="U65" s="7">
        <f t="shared" si="17"/>
        <v>0</v>
      </c>
      <c r="V65" s="7">
        <f>2330 * (25 / 27)</f>
        <v>2157.4074074074074</v>
      </c>
      <c r="W65" s="17">
        <f t="shared" si="9"/>
        <v>2157.4074074074074</v>
      </c>
      <c r="X65" s="4"/>
      <c r="Y65" s="7"/>
      <c r="Z65" s="18">
        <f>SUMIFS('Stock - ETA'!$S$3:S4963,'Stock - ETA'!$F$3:F4963,'Rango proyecciones'!C65,'Stock - ETA'!$AA$3:AA4963,'Rango proyecciones'!$AJ$5) + SUMIFS('Stock - ETA'!$R$3:R4963,'Stock - ETA'!$F$3:F4963,'Rango proyecciones'!C65,'Stock - ETA'!$AA$3:AA4963,'Rango proyecciones'!$AJ$7)</f>
        <v>0</v>
      </c>
      <c r="AA65" s="13">
        <f t="shared" si="4"/>
        <v>0</v>
      </c>
      <c r="AB65" s="7">
        <f>SUMIFS('Stock - ETA'!$I$3:I4963,'Stock - ETA'!$F$3:F4963,'Rango proyecciones'!C65,'Stock - ETA'!$Q$3:Q4963,'Rango proyecciones'!$AJ$5) + SUMIFS('Stock - ETA'!$H$3:H4963,'Stock - ETA'!$F$3:F4963,'Rango proyecciones'!C65,'Stock - ETA'!$Q$3:Q4963,'Rango proyecciones'!$AJ$7)</f>
        <v>0</v>
      </c>
      <c r="AC65" s="16">
        <f t="shared" si="5"/>
        <v>0</v>
      </c>
      <c r="AD65" s="4"/>
      <c r="AE65" s="7">
        <f>SUMIFS('Stock - ETA'!$T$3:T4963,'Stock - ETA'!$F$3:F4963,'Rango proyecciones'!C65,'Stock - ETA'!$AA$3:AA4963,'Rango proyecciones'!$AJ$5) + SUMIFS('Stock - ETA'!$S$3:S4963,'Stock - ETA'!$F$3:F4963,'Rango proyecciones'!C65,'Stock - ETA'!$AA$3:AA4963,'Rango proyecciones'!$AJ$8)</f>
        <v>0</v>
      </c>
      <c r="AF65" s="16">
        <f t="shared" si="18"/>
        <v>0</v>
      </c>
      <c r="AG65" s="7">
        <f>SUMIFS('Stock - ETA'!$J$3:J4963,'Stock - ETA'!$F$3:F4963,'Rango proyecciones'!C65,'Stock - ETA'!$Q$3:Q4963,'Rango proyecciones'!$AJ$5) + SUMIFS('Stock - ETA'!$I$3:I4963,'Stock - ETA'!$F$3:F4963,'Rango proyecciones'!C65,'Stock - ETA'!$Q$3:Q4963,'Rango proyecciones'!$AJ$8)</f>
        <v>0</v>
      </c>
      <c r="AH65" s="16">
        <f t="shared" si="19"/>
        <v>0</v>
      </c>
      <c r="AI65" s="4"/>
    </row>
    <row r="66" spans="1:35" x14ac:dyDescent="0.2">
      <c r="A66" s="2" t="s">
        <v>34</v>
      </c>
      <c r="B66" s="2" t="s">
        <v>35</v>
      </c>
      <c r="C66" s="2" t="s">
        <v>187</v>
      </c>
      <c r="D66" s="2" t="s">
        <v>37</v>
      </c>
      <c r="E66" s="2">
        <v>1021924</v>
      </c>
      <c r="F66" s="2" t="s">
        <v>188</v>
      </c>
      <c r="G66" s="2" t="s">
        <v>43</v>
      </c>
      <c r="H66" s="4">
        <v>0</v>
      </c>
      <c r="I66" s="7">
        <v>0</v>
      </c>
      <c r="J66" s="7"/>
      <c r="K66" s="7">
        <v>2360.06</v>
      </c>
      <c r="L66" s="4">
        <f t="shared" si="12"/>
        <v>0</v>
      </c>
      <c r="M66" s="7">
        <f>SUMIFS('Stock - ETA'!$R$3:R4963,'Stock - ETA'!$F$3:F4963,'Rango proyecciones'!C66,'Stock - ETA'!$AA$3:AA4963,'Rango proyecciones'!$AJ$5)</f>
        <v>69122.55</v>
      </c>
      <c r="N66" s="7">
        <f>SUMIF('Stock - Puerto Chile'!$G$2:G973,'Rango proyecciones'!C66,'Stock - Puerto Chile'!$L$2:L973)</f>
        <v>69657.338399999993</v>
      </c>
      <c r="O66" s="7">
        <f t="shared" si="16"/>
        <v>0</v>
      </c>
      <c r="P66" s="7">
        <f>3506.197 * (25 / 27)</f>
        <v>3246.478703703704</v>
      </c>
      <c r="Q66" s="16">
        <f t="shared" si="8"/>
        <v>72369.028703703705</v>
      </c>
      <c r="R66" s="7">
        <f t="shared" si="13"/>
        <v>0</v>
      </c>
      <c r="S66" s="7">
        <f>SUMIFS('Stock - ETA'!$H$3:H4963,'Stock - ETA'!$F$3:F4963,'Rango proyecciones'!C66,'Stock - ETA'!$Q$3:Q4963,'Rango proyecciones'!$AJ$5)</f>
        <v>69122.55</v>
      </c>
      <c r="T66" s="7">
        <f>SUMIF('Stock - Puerto Chile'!$G$2:G973,'Rango proyecciones'!C66,'Stock - Puerto Chile'!$N$2:N973)</f>
        <v>83588.806080000009</v>
      </c>
      <c r="U66" s="7">
        <f t="shared" si="17"/>
        <v>0</v>
      </c>
      <c r="V66" s="7">
        <f>3506.197 * (25 / 27)</f>
        <v>3246.478703703704</v>
      </c>
      <c r="W66" s="17">
        <f t="shared" si="9"/>
        <v>72369.028703703705</v>
      </c>
      <c r="X66" s="4">
        <v>250000</v>
      </c>
      <c r="Y66" s="7">
        <v>250000</v>
      </c>
      <c r="Z66" s="18">
        <f>SUMIFS('Stock - ETA'!$S$3:S4963,'Stock - ETA'!$F$3:F4963,'Rango proyecciones'!C66,'Stock - ETA'!$AA$3:AA4963,'Rango proyecciones'!$AJ$5) + SUMIFS('Stock - ETA'!$R$3:R4963,'Stock - ETA'!$F$3:F4963,'Rango proyecciones'!C66,'Stock - ETA'!$AA$3:AA4963,'Rango proyecciones'!$AJ$7)</f>
        <v>52047.69</v>
      </c>
      <c r="AA66" s="13">
        <f t="shared" si="4"/>
        <v>302047.69</v>
      </c>
      <c r="AB66" s="7">
        <f>SUMIFS('Stock - ETA'!$I$3:I4963,'Stock - ETA'!$F$3:F4963,'Rango proyecciones'!C66,'Stock - ETA'!$Q$3:Q4963,'Rango proyecciones'!$AJ$5) + SUMIFS('Stock - ETA'!$H$3:H4963,'Stock - ETA'!$F$3:F4963,'Rango proyecciones'!C66,'Stock - ETA'!$Q$3:Q4963,'Rango proyecciones'!$AJ$7)</f>
        <v>52047.69</v>
      </c>
      <c r="AC66" s="16">
        <f t="shared" si="5"/>
        <v>302047.69</v>
      </c>
      <c r="AD66" s="4">
        <v>250000</v>
      </c>
      <c r="AE66" s="7">
        <f>SUMIFS('Stock - ETA'!$T$3:T4963,'Stock - ETA'!$F$3:F4963,'Rango proyecciones'!C66,'Stock - ETA'!$AA$3:AA4963,'Rango proyecciones'!$AJ$5) + SUMIFS('Stock - ETA'!$S$3:S4963,'Stock - ETA'!$F$3:F4963,'Rango proyecciones'!C66,'Stock - ETA'!$AA$3:AA4963,'Rango proyecciones'!$AJ$8)</f>
        <v>33011.949999999997</v>
      </c>
      <c r="AF66" s="16">
        <f t="shared" si="18"/>
        <v>208011.95</v>
      </c>
      <c r="AG66" s="7">
        <f>SUMIFS('Stock - ETA'!$J$3:J4963,'Stock - ETA'!$F$3:F4963,'Rango proyecciones'!C66,'Stock - ETA'!$Q$3:Q4963,'Rango proyecciones'!$AJ$5) + SUMIFS('Stock - ETA'!$I$3:I4963,'Stock - ETA'!$F$3:F4963,'Rango proyecciones'!C66,'Stock - ETA'!$Q$3:Q4963,'Rango proyecciones'!$AJ$8)</f>
        <v>33011.949999999997</v>
      </c>
      <c r="AH66" s="16">
        <f t="shared" si="19"/>
        <v>208011.95</v>
      </c>
      <c r="AI66" s="4"/>
    </row>
    <row r="67" spans="1:35" x14ac:dyDescent="0.2">
      <c r="A67" s="2" t="s">
        <v>34</v>
      </c>
      <c r="B67" s="2" t="s">
        <v>35</v>
      </c>
      <c r="C67" s="2" t="s">
        <v>189</v>
      </c>
      <c r="D67" s="2" t="s">
        <v>37</v>
      </c>
      <c r="E67" s="2">
        <v>1021931</v>
      </c>
      <c r="F67" s="2" t="s">
        <v>190</v>
      </c>
      <c r="G67" s="2" t="s">
        <v>191</v>
      </c>
      <c r="H67" s="4">
        <v>0</v>
      </c>
      <c r="I67" s="7">
        <v>0</v>
      </c>
      <c r="J67" s="7">
        <v>1701</v>
      </c>
      <c r="K67" s="7"/>
      <c r="L67" s="4">
        <f t="shared" si="12"/>
        <v>2551.5</v>
      </c>
      <c r="M67" s="7">
        <f>SUMIFS('Stock - ETA'!$R$3:R4963,'Stock - ETA'!$F$3:F4963,'Rango proyecciones'!C67,'Stock - ETA'!$AA$3:AA4963,'Rango proyecciones'!$AJ$5)</f>
        <v>15993.84</v>
      </c>
      <c r="N67" s="7">
        <f>SUMIF('Stock - Puerto Chile'!$G$2:G973,'Rango proyecciones'!C67,'Stock - Puerto Chile'!$L$2:L973)</f>
        <v>31312.490399999999</v>
      </c>
      <c r="O67" s="7">
        <f t="shared" si="16"/>
        <v>0</v>
      </c>
      <c r="P67" s="7">
        <f>631.033 * (25 / 27)</f>
        <v>584.2898148148148</v>
      </c>
      <c r="Q67" s="16">
        <f t="shared" ref="Q67:Q98" si="20">H67 + P67 + M67</f>
        <v>16578.129814814816</v>
      </c>
      <c r="R67" s="7">
        <f t="shared" si="13"/>
        <v>4374</v>
      </c>
      <c r="S67" s="7">
        <f>SUMIFS('Stock - ETA'!$H$3:H4963,'Stock - ETA'!$F$3:F4963,'Rango proyecciones'!C67,'Stock - ETA'!$Q$3:Q4963,'Rango proyecciones'!$AJ$5)</f>
        <v>15993.84</v>
      </c>
      <c r="T67" s="7">
        <f>SUMIF('Stock - Puerto Chile'!$G$2:G973,'Rango proyecciones'!C67,'Stock - Puerto Chile'!$N$2:N973)</f>
        <v>37574.98848</v>
      </c>
      <c r="U67" s="7">
        <f t="shared" si="17"/>
        <v>0</v>
      </c>
      <c r="V67" s="7">
        <f>631.033 * (25 / 27)</f>
        <v>584.2898148148148</v>
      </c>
      <c r="W67" s="17">
        <f t="shared" ref="W67:W98" si="21">H67 + V67 + S67 + U67</f>
        <v>16578.129814814816</v>
      </c>
      <c r="X67" s="4">
        <v>7516</v>
      </c>
      <c r="Y67" s="7">
        <v>7516</v>
      </c>
      <c r="Z67" s="18">
        <f>SUMIFS('Stock - ETA'!$S$3:S4963,'Stock - ETA'!$F$3:F4963,'Rango proyecciones'!C67,'Stock - ETA'!$AA$3:AA4963,'Rango proyecciones'!$AJ$5) + SUMIFS('Stock - ETA'!$R$3:R4963,'Stock - ETA'!$F$3:F4963,'Rango proyecciones'!C67,'Stock - ETA'!$AA$3:AA4963,'Rango proyecciones'!$AJ$7)</f>
        <v>21246.47</v>
      </c>
      <c r="AA67" s="13">
        <f t="shared" ref="AA67:AA130" si="22">Z67 + X67</f>
        <v>28762.47</v>
      </c>
      <c r="AB67" s="7">
        <f>SUMIFS('Stock - ETA'!$I$3:I4963,'Stock - ETA'!$F$3:F4963,'Rango proyecciones'!C67,'Stock - ETA'!$Q$3:Q4963,'Rango proyecciones'!$AJ$5) + SUMIFS('Stock - ETA'!$H$3:H4963,'Stock - ETA'!$F$3:F4963,'Rango proyecciones'!C67,'Stock - ETA'!$Q$3:Q4963,'Rango proyecciones'!$AJ$7)</f>
        <v>21246.47</v>
      </c>
      <c r="AC67" s="16">
        <f t="shared" ref="AC67:AC130" si="23">AB67 + X67</f>
        <v>28762.47</v>
      </c>
      <c r="AD67" s="4">
        <v>5144</v>
      </c>
      <c r="AE67" s="7">
        <f>SUMIFS('Stock - ETA'!$T$3:T4963,'Stock - ETA'!$F$3:F4963,'Rango proyecciones'!C67,'Stock - ETA'!$AA$3:AA4963,'Rango proyecciones'!$AJ$5) + SUMIFS('Stock - ETA'!$S$3:S4963,'Stock - ETA'!$F$3:F4963,'Rango proyecciones'!C67,'Stock - ETA'!$AA$3:AA4963,'Rango proyecciones'!$AJ$8)</f>
        <v>0</v>
      </c>
      <c r="AF67" s="16">
        <f t="shared" si="18"/>
        <v>3600.7999999999997</v>
      </c>
      <c r="AG67" s="7">
        <f>SUMIFS('Stock - ETA'!$J$3:J4963,'Stock - ETA'!$F$3:F4963,'Rango proyecciones'!C67,'Stock - ETA'!$Q$3:Q4963,'Rango proyecciones'!$AJ$5) + SUMIFS('Stock - ETA'!$I$3:I4963,'Stock - ETA'!$F$3:F4963,'Rango proyecciones'!C67,'Stock - ETA'!$Q$3:Q4963,'Rango proyecciones'!$AJ$8)</f>
        <v>0</v>
      </c>
      <c r="AH67" s="16">
        <f t="shared" si="19"/>
        <v>3600.7999999999997</v>
      </c>
      <c r="AI67" s="4"/>
    </row>
    <row r="68" spans="1:35" x14ac:dyDescent="0.2">
      <c r="A68" s="2" t="s">
        <v>34</v>
      </c>
      <c r="B68" s="2" t="s">
        <v>35</v>
      </c>
      <c r="C68" s="2" t="s">
        <v>192</v>
      </c>
      <c r="D68" s="2" t="s">
        <v>37</v>
      </c>
      <c r="E68" s="2">
        <v>1021944</v>
      </c>
      <c r="F68" s="2" t="s">
        <v>193</v>
      </c>
      <c r="G68" s="2" t="s">
        <v>181</v>
      </c>
      <c r="H68" s="4">
        <v>0</v>
      </c>
      <c r="I68" s="7">
        <v>0</v>
      </c>
      <c r="J68" s="7">
        <v>601</v>
      </c>
      <c r="K68" s="7"/>
      <c r="L68" s="4">
        <f t="shared" si="12"/>
        <v>901.5</v>
      </c>
      <c r="M68" s="7">
        <f>SUMIFS('Stock - ETA'!$R$3:R4963,'Stock - ETA'!$F$3:F4963,'Rango proyecciones'!C68,'Stock - ETA'!$AA$3:AA4963,'Rango proyecciones'!$AJ$5)</f>
        <v>6000</v>
      </c>
      <c r="N68" s="7">
        <f>SUMIF('Stock - Puerto Chile'!$G$2:G973,'Rango proyecciones'!C68,'Stock - Puerto Chile'!$L$2:L973)</f>
        <v>4800</v>
      </c>
      <c r="O68" s="7">
        <f t="shared" si="16"/>
        <v>0</v>
      </c>
      <c r="P68" s="7">
        <f>2400 * (25 / 27)</f>
        <v>2222.2222222222222</v>
      </c>
      <c r="Q68" s="16">
        <f t="shared" si="20"/>
        <v>8222.2222222222226</v>
      </c>
      <c r="R68" s="7">
        <f t="shared" si="13"/>
        <v>1545.4285714285716</v>
      </c>
      <c r="S68" s="7">
        <f>SUMIFS('Stock - ETA'!$H$3:H4963,'Stock - ETA'!$F$3:F4963,'Rango proyecciones'!C68,'Stock - ETA'!$Q$3:Q4963,'Rango proyecciones'!$AJ$5)</f>
        <v>6000</v>
      </c>
      <c r="T68" s="7">
        <f>SUMIF('Stock - Puerto Chile'!$G$2:G973,'Rango proyecciones'!C68,'Stock - Puerto Chile'!$N$2:N973)</f>
        <v>5760</v>
      </c>
      <c r="U68" s="7">
        <f t="shared" si="17"/>
        <v>0</v>
      </c>
      <c r="V68" s="7">
        <f>2400 * (25 / 27)</f>
        <v>2222.2222222222222</v>
      </c>
      <c r="W68" s="17">
        <f t="shared" si="21"/>
        <v>8222.2222222222226</v>
      </c>
      <c r="X68" s="4">
        <v>2883</v>
      </c>
      <c r="Y68" s="7">
        <v>2883</v>
      </c>
      <c r="Z68" s="18">
        <f>SUMIFS('Stock - ETA'!$S$3:S4963,'Stock - ETA'!$F$3:F4963,'Rango proyecciones'!C68,'Stock - ETA'!$AA$3:AA4963,'Rango proyecciones'!$AJ$5) + SUMIFS('Stock - ETA'!$R$3:R4963,'Stock - ETA'!$F$3:F4963,'Rango proyecciones'!C68,'Stock - ETA'!$AA$3:AA4963,'Rango proyecciones'!$AJ$7)</f>
        <v>8976</v>
      </c>
      <c r="AA68" s="13">
        <f t="shared" si="22"/>
        <v>11859</v>
      </c>
      <c r="AB68" s="7">
        <f>SUMIFS('Stock - ETA'!$I$3:I4963,'Stock - ETA'!$F$3:F4963,'Rango proyecciones'!C68,'Stock - ETA'!$Q$3:Q4963,'Rango proyecciones'!$AJ$5) + SUMIFS('Stock - ETA'!$H$3:H4963,'Stock - ETA'!$F$3:F4963,'Rango proyecciones'!C68,'Stock - ETA'!$Q$3:Q4963,'Rango proyecciones'!$AJ$7)</f>
        <v>8976</v>
      </c>
      <c r="AC68" s="16">
        <f t="shared" si="23"/>
        <v>11859</v>
      </c>
      <c r="AD68" s="4">
        <v>4325</v>
      </c>
      <c r="AE68" s="7">
        <f>SUMIFS('Stock - ETA'!$T$3:T4963,'Stock - ETA'!$F$3:F4963,'Rango proyecciones'!C68,'Stock - ETA'!$AA$3:AA4963,'Rango proyecciones'!$AJ$5) + SUMIFS('Stock - ETA'!$S$3:S4963,'Stock - ETA'!$F$3:F4963,'Rango proyecciones'!C68,'Stock - ETA'!$AA$3:AA4963,'Rango proyecciones'!$AJ$8)</f>
        <v>0</v>
      </c>
      <c r="AF68" s="16">
        <f t="shared" si="18"/>
        <v>3027.5</v>
      </c>
      <c r="AG68" s="7">
        <f>SUMIFS('Stock - ETA'!$J$3:J4963,'Stock - ETA'!$F$3:F4963,'Rango proyecciones'!C68,'Stock - ETA'!$Q$3:Q4963,'Rango proyecciones'!$AJ$5) + SUMIFS('Stock - ETA'!$I$3:I4963,'Stock - ETA'!$F$3:F4963,'Rango proyecciones'!C68,'Stock - ETA'!$Q$3:Q4963,'Rango proyecciones'!$AJ$8)</f>
        <v>0</v>
      </c>
      <c r="AH68" s="16">
        <f t="shared" si="19"/>
        <v>3027.5</v>
      </c>
      <c r="AI68" s="4"/>
    </row>
    <row r="69" spans="1:35" x14ac:dyDescent="0.2">
      <c r="A69" s="2" t="s">
        <v>34</v>
      </c>
      <c r="B69" s="2" t="s">
        <v>35</v>
      </c>
      <c r="C69" s="2" t="s">
        <v>194</v>
      </c>
      <c r="D69" s="2" t="s">
        <v>37</v>
      </c>
      <c r="E69" s="2">
        <v>1021945</v>
      </c>
      <c r="F69" s="2" t="s">
        <v>195</v>
      </c>
      <c r="G69" s="2" t="s">
        <v>196</v>
      </c>
      <c r="H69" s="4">
        <v>0</v>
      </c>
      <c r="I69" s="7">
        <v>0</v>
      </c>
      <c r="J69" s="7">
        <v>0</v>
      </c>
      <c r="K69" s="7">
        <v>0</v>
      </c>
      <c r="L69" s="4">
        <f t="shared" si="12"/>
        <v>0</v>
      </c>
      <c r="M69" s="7">
        <f>SUMIFS('Stock - ETA'!$R$3:R4963,'Stock - ETA'!$F$3:F4963,'Rango proyecciones'!C69,'Stock - ETA'!$AA$3:AA4963,'Rango proyecciones'!$AJ$5)</f>
        <v>2950</v>
      </c>
      <c r="N69" s="7">
        <f>SUMIF('Stock - Puerto Chile'!$G$2:G973,'Rango proyecciones'!C69,'Stock - Puerto Chile'!$L$2:L973)</f>
        <v>0</v>
      </c>
      <c r="O69" s="7">
        <f t="shared" si="16"/>
        <v>0</v>
      </c>
      <c r="P69" s="7">
        <f>2400 * (25 / 27)</f>
        <v>2222.2222222222222</v>
      </c>
      <c r="Q69" s="16">
        <f t="shared" si="20"/>
        <v>5172.2222222222226</v>
      </c>
      <c r="R69" s="7">
        <f t="shared" si="13"/>
        <v>0</v>
      </c>
      <c r="S69" s="7">
        <f>SUMIFS('Stock - ETA'!$H$3:H4963,'Stock - ETA'!$F$3:F4963,'Rango proyecciones'!C69,'Stock - ETA'!$Q$3:Q4963,'Rango proyecciones'!$AJ$5)</f>
        <v>2950</v>
      </c>
      <c r="T69" s="7">
        <f>SUMIF('Stock - Puerto Chile'!$G$2:G973,'Rango proyecciones'!C69,'Stock - Puerto Chile'!$N$2:N973)</f>
        <v>0</v>
      </c>
      <c r="U69" s="7">
        <f t="shared" si="17"/>
        <v>0</v>
      </c>
      <c r="V69" s="7">
        <f>2400 * (25 / 27)</f>
        <v>2222.2222222222222</v>
      </c>
      <c r="W69" s="17">
        <f t="shared" si="21"/>
        <v>5172.2222222222226</v>
      </c>
      <c r="X69" s="4"/>
      <c r="Y69" s="7"/>
      <c r="Z69" s="18">
        <f>SUMIFS('Stock - ETA'!$S$3:S4963,'Stock - ETA'!$F$3:F4963,'Rango proyecciones'!C69,'Stock - ETA'!$AA$3:AA4963,'Rango proyecciones'!$AJ$5) + SUMIFS('Stock - ETA'!$R$3:R4963,'Stock - ETA'!$F$3:F4963,'Rango proyecciones'!C69,'Stock - ETA'!$AA$3:AA4963,'Rango proyecciones'!$AJ$7)</f>
        <v>0</v>
      </c>
      <c r="AA69" s="13">
        <f t="shared" si="22"/>
        <v>0</v>
      </c>
      <c r="AB69" s="7">
        <f>SUMIFS('Stock - ETA'!$I$3:I4963,'Stock - ETA'!$F$3:F4963,'Rango proyecciones'!C69,'Stock - ETA'!$Q$3:Q4963,'Rango proyecciones'!$AJ$5) + SUMIFS('Stock - ETA'!$H$3:H4963,'Stock - ETA'!$F$3:F4963,'Rango proyecciones'!C69,'Stock - ETA'!$Q$3:Q4963,'Rango proyecciones'!$AJ$7)</f>
        <v>0</v>
      </c>
      <c r="AC69" s="16">
        <f t="shared" si="23"/>
        <v>0</v>
      </c>
      <c r="AD69" s="4"/>
      <c r="AE69" s="7">
        <f>SUMIFS('Stock - ETA'!$T$3:T4963,'Stock - ETA'!$F$3:F4963,'Rango proyecciones'!C69,'Stock - ETA'!$AA$3:AA4963,'Rango proyecciones'!$AJ$5) + SUMIFS('Stock - ETA'!$S$3:S4963,'Stock - ETA'!$F$3:F4963,'Rango proyecciones'!C69,'Stock - ETA'!$AA$3:AA4963,'Rango proyecciones'!$AJ$8)</f>
        <v>0</v>
      </c>
      <c r="AF69" s="16">
        <f t="shared" si="18"/>
        <v>0</v>
      </c>
      <c r="AG69" s="7">
        <f>SUMIFS('Stock - ETA'!$J$3:J4963,'Stock - ETA'!$F$3:F4963,'Rango proyecciones'!C69,'Stock - ETA'!$Q$3:Q4963,'Rango proyecciones'!$AJ$5) + SUMIFS('Stock - ETA'!$I$3:I4963,'Stock - ETA'!$F$3:F4963,'Rango proyecciones'!C69,'Stock - ETA'!$Q$3:Q4963,'Rango proyecciones'!$AJ$8)</f>
        <v>0</v>
      </c>
      <c r="AH69" s="16">
        <f t="shared" si="19"/>
        <v>0</v>
      </c>
      <c r="AI69" s="4"/>
    </row>
    <row r="70" spans="1:35" x14ac:dyDescent="0.2">
      <c r="A70" s="2" t="s">
        <v>34</v>
      </c>
      <c r="B70" s="2" t="s">
        <v>35</v>
      </c>
      <c r="C70" s="2" t="s">
        <v>197</v>
      </c>
      <c r="D70" s="2" t="s">
        <v>37</v>
      </c>
      <c r="E70" s="2">
        <v>1022515</v>
      </c>
      <c r="F70" s="2" t="s">
        <v>198</v>
      </c>
      <c r="G70" s="2" t="s">
        <v>178</v>
      </c>
      <c r="H70" s="4">
        <v>0</v>
      </c>
      <c r="I70" s="7">
        <v>0</v>
      </c>
      <c r="J70" s="7">
        <v>0</v>
      </c>
      <c r="K70" s="7">
        <v>0</v>
      </c>
      <c r="L70" s="4">
        <f t="shared" si="12"/>
        <v>0</v>
      </c>
      <c r="M70" s="7">
        <f>SUMIFS('Stock - ETA'!$R$3:R4963,'Stock - ETA'!$F$3:F4963,'Rango proyecciones'!C70,'Stock - ETA'!$AA$3:AA4963,'Rango proyecciones'!$AJ$5)</f>
        <v>5028.5599999999995</v>
      </c>
      <c r="N70" s="7">
        <f>SUMIF('Stock - Puerto Chile'!$G$2:G973,'Rango proyecciones'!C70,'Stock - Puerto Chile'!$L$2:L973)</f>
        <v>7205.8487999999998</v>
      </c>
      <c r="O70" s="7">
        <f t="shared" si="16"/>
        <v>0</v>
      </c>
      <c r="P70" s="7">
        <f>7439.079 * (25 / 27)</f>
        <v>6888.0361111111106</v>
      </c>
      <c r="Q70" s="16">
        <f t="shared" si="20"/>
        <v>11916.59611111111</v>
      </c>
      <c r="R70" s="7">
        <f t="shared" si="13"/>
        <v>0</v>
      </c>
      <c r="S70" s="7">
        <f>SUMIFS('Stock - ETA'!$H$3:H4963,'Stock - ETA'!$F$3:F4963,'Rango proyecciones'!C70,'Stock - ETA'!$Q$3:Q4963,'Rango proyecciones'!$AJ$5)</f>
        <v>5028.5599999999995</v>
      </c>
      <c r="T70" s="7">
        <f>SUMIF('Stock - Puerto Chile'!$G$2:G973,'Rango proyecciones'!C70,'Stock - Puerto Chile'!$N$2:N973)</f>
        <v>8647.0185599999986</v>
      </c>
      <c r="U70" s="7">
        <f t="shared" si="17"/>
        <v>0</v>
      </c>
      <c r="V70" s="7">
        <f>7439.079 * (25 / 27)</f>
        <v>6888.0361111111106</v>
      </c>
      <c r="W70" s="17">
        <f t="shared" si="21"/>
        <v>11916.59611111111</v>
      </c>
      <c r="X70" s="4">
        <v>10000</v>
      </c>
      <c r="Y70" s="7">
        <v>10000</v>
      </c>
      <c r="Z70" s="18">
        <f>SUMIFS('Stock - ETA'!$S$3:S4963,'Stock - ETA'!$F$3:F4963,'Rango proyecciones'!C70,'Stock - ETA'!$AA$3:AA4963,'Rango proyecciones'!$AJ$5) + SUMIFS('Stock - ETA'!$R$3:R4963,'Stock - ETA'!$F$3:F4963,'Rango proyecciones'!C70,'Stock - ETA'!$AA$3:AA4963,'Rango proyecciones'!$AJ$7)</f>
        <v>5013.3099999999995</v>
      </c>
      <c r="AA70" s="13">
        <f t="shared" si="22"/>
        <v>15013.31</v>
      </c>
      <c r="AB70" s="7">
        <f>SUMIFS('Stock - ETA'!$I$3:I4963,'Stock - ETA'!$F$3:F4963,'Rango proyecciones'!C70,'Stock - ETA'!$Q$3:Q4963,'Rango proyecciones'!$AJ$5) + SUMIFS('Stock - ETA'!$H$3:H4963,'Stock - ETA'!$F$3:F4963,'Rango proyecciones'!C70,'Stock - ETA'!$Q$3:Q4963,'Rango proyecciones'!$AJ$7)</f>
        <v>5013.3099999999995</v>
      </c>
      <c r="AC70" s="16">
        <f t="shared" si="23"/>
        <v>15013.31</v>
      </c>
      <c r="AD70" s="4">
        <v>10000</v>
      </c>
      <c r="AE70" s="7">
        <f>SUMIFS('Stock - ETA'!$T$3:T4963,'Stock - ETA'!$F$3:F4963,'Rango proyecciones'!C70,'Stock - ETA'!$AA$3:AA4963,'Rango proyecciones'!$AJ$5) + SUMIFS('Stock - ETA'!$S$3:S4963,'Stock - ETA'!$F$3:F4963,'Rango proyecciones'!C70,'Stock - ETA'!$AA$3:AA4963,'Rango proyecciones'!$AJ$8)</f>
        <v>0</v>
      </c>
      <c r="AF70" s="16">
        <f t="shared" si="18"/>
        <v>7000</v>
      </c>
      <c r="AG70" s="7">
        <f>SUMIFS('Stock - ETA'!$J$3:J4963,'Stock - ETA'!$F$3:F4963,'Rango proyecciones'!C70,'Stock - ETA'!$Q$3:Q4963,'Rango proyecciones'!$AJ$5) + SUMIFS('Stock - ETA'!$I$3:I4963,'Stock - ETA'!$F$3:F4963,'Rango proyecciones'!C70,'Stock - ETA'!$Q$3:Q4963,'Rango proyecciones'!$AJ$8)</f>
        <v>0</v>
      </c>
      <c r="AH70" s="16">
        <f t="shared" si="19"/>
        <v>7000</v>
      </c>
      <c r="AI70" s="4"/>
    </row>
    <row r="71" spans="1:35" x14ac:dyDescent="0.2">
      <c r="A71" s="2" t="s">
        <v>34</v>
      </c>
      <c r="B71" s="2" t="s">
        <v>35</v>
      </c>
      <c r="C71" s="2" t="s">
        <v>199</v>
      </c>
      <c r="D71" s="2" t="s">
        <v>37</v>
      </c>
      <c r="E71" s="2">
        <v>1022621</v>
      </c>
      <c r="F71" s="2" t="s">
        <v>200</v>
      </c>
      <c r="G71" s="2" t="s">
        <v>178</v>
      </c>
      <c r="H71" s="4">
        <v>0</v>
      </c>
      <c r="I71" s="7">
        <v>0</v>
      </c>
      <c r="J71" s="7">
        <v>7857.9629999999997</v>
      </c>
      <c r="K71" s="7">
        <v>1762.33</v>
      </c>
      <c r="L71" s="4">
        <f t="shared" si="12"/>
        <v>9143.4494999999988</v>
      </c>
      <c r="M71" s="7">
        <f>SUMIFS('Stock - ETA'!$R$3:R4963,'Stock - ETA'!$F$3:F4963,'Rango proyecciones'!C71,'Stock - ETA'!$AA$3:AA4963,'Rango proyecciones'!$AJ$5)</f>
        <v>24051.02</v>
      </c>
      <c r="N71" s="7">
        <f>SUMIF('Stock - Puerto Chile'!$G$2:G973,'Rango proyecciones'!C71,'Stock - Puerto Chile'!$L$2:L973)</f>
        <v>124636.4988</v>
      </c>
      <c r="O71" s="7">
        <f t="shared" si="16"/>
        <v>0</v>
      </c>
      <c r="P71" s="7">
        <f>25913.478 * (25 / 27)</f>
        <v>23993.961111111112</v>
      </c>
      <c r="Q71" s="16">
        <f t="shared" si="20"/>
        <v>48044.981111111112</v>
      </c>
      <c r="R71" s="7">
        <f t="shared" si="13"/>
        <v>15674.484857142857</v>
      </c>
      <c r="S71" s="7">
        <f>SUMIFS('Stock - ETA'!$H$3:H4963,'Stock - ETA'!$F$3:F4963,'Rango proyecciones'!C71,'Stock - ETA'!$Q$3:Q4963,'Rango proyecciones'!$AJ$5)</f>
        <v>24051.02</v>
      </c>
      <c r="T71" s="7">
        <f>SUMIF('Stock - Puerto Chile'!$G$2:G973,'Rango proyecciones'!C71,'Stock - Puerto Chile'!$N$2:N973)</f>
        <v>149563.79856</v>
      </c>
      <c r="U71" s="7">
        <f t="shared" si="17"/>
        <v>0</v>
      </c>
      <c r="V71" s="7">
        <f>25913.478 * (25 / 27)</f>
        <v>23993.961111111112</v>
      </c>
      <c r="W71" s="17">
        <f t="shared" si="21"/>
        <v>48044.981111111112</v>
      </c>
      <c r="X71" s="4">
        <v>60000</v>
      </c>
      <c r="Y71" s="7">
        <v>60000</v>
      </c>
      <c r="Z71" s="18">
        <f>SUMIFS('Stock - ETA'!$S$3:S4963,'Stock - ETA'!$F$3:F4963,'Rango proyecciones'!C71,'Stock - ETA'!$AA$3:AA4963,'Rango proyecciones'!$AJ$5) + SUMIFS('Stock - ETA'!$R$3:R4963,'Stock - ETA'!$F$3:F4963,'Rango proyecciones'!C71,'Stock - ETA'!$AA$3:AA4963,'Rango proyecciones'!$AJ$7)</f>
        <v>42021.210000000006</v>
      </c>
      <c r="AA71" s="13">
        <f t="shared" si="22"/>
        <v>102021.21</v>
      </c>
      <c r="AB71" s="7">
        <f>SUMIFS('Stock - ETA'!$I$3:I4963,'Stock - ETA'!$F$3:F4963,'Rango proyecciones'!C71,'Stock - ETA'!$Q$3:Q4963,'Rango proyecciones'!$AJ$5) + SUMIFS('Stock - ETA'!$H$3:H4963,'Stock - ETA'!$F$3:F4963,'Rango proyecciones'!C71,'Stock - ETA'!$Q$3:Q4963,'Rango proyecciones'!$AJ$7)</f>
        <v>42021.210000000006</v>
      </c>
      <c r="AC71" s="16">
        <f t="shared" si="23"/>
        <v>102021.21</v>
      </c>
      <c r="AD71" s="4">
        <v>60000</v>
      </c>
      <c r="AE71" s="7">
        <f>SUMIFS('Stock - ETA'!$T$3:T4963,'Stock - ETA'!$F$3:F4963,'Rango proyecciones'!C71,'Stock - ETA'!$AA$3:AA4963,'Rango proyecciones'!$AJ$5) + SUMIFS('Stock - ETA'!$S$3:S4963,'Stock - ETA'!$F$3:F4963,'Rango proyecciones'!C71,'Stock - ETA'!$AA$3:AA4963,'Rango proyecciones'!$AJ$8)</f>
        <v>10005.74</v>
      </c>
      <c r="AF71" s="16">
        <f t="shared" si="18"/>
        <v>52005.74</v>
      </c>
      <c r="AG71" s="7">
        <f>SUMIFS('Stock - ETA'!$J$3:J4963,'Stock - ETA'!$F$3:F4963,'Rango proyecciones'!C71,'Stock - ETA'!$Q$3:Q4963,'Rango proyecciones'!$AJ$5) + SUMIFS('Stock - ETA'!$I$3:I4963,'Stock - ETA'!$F$3:F4963,'Rango proyecciones'!C71,'Stock - ETA'!$Q$3:Q4963,'Rango proyecciones'!$AJ$8)</f>
        <v>10005.74</v>
      </c>
      <c r="AH71" s="16">
        <f t="shared" si="19"/>
        <v>52005.74</v>
      </c>
      <c r="AI71" s="4"/>
    </row>
    <row r="72" spans="1:35" x14ac:dyDescent="0.2">
      <c r="A72" s="2" t="s">
        <v>34</v>
      </c>
      <c r="B72" s="2" t="s">
        <v>35</v>
      </c>
      <c r="C72" s="2" t="s">
        <v>201</v>
      </c>
      <c r="D72" s="2" t="s">
        <v>37</v>
      </c>
      <c r="E72" s="2">
        <v>1022863</v>
      </c>
      <c r="F72" s="2" t="s">
        <v>202</v>
      </c>
      <c r="G72" s="2" t="s">
        <v>43</v>
      </c>
      <c r="H72" s="4">
        <v>0</v>
      </c>
      <c r="I72" s="7">
        <v>0</v>
      </c>
      <c r="J72" s="7"/>
      <c r="K72" s="7">
        <v>651.53</v>
      </c>
      <c r="L72" s="4">
        <f t="shared" si="12"/>
        <v>0</v>
      </c>
      <c r="M72" s="7">
        <f>SUMIFS('Stock - ETA'!$R$3:R4963,'Stock - ETA'!$F$3:F4963,'Rango proyecciones'!C72,'Stock - ETA'!$AA$3:AA4963,'Rango proyecciones'!$AJ$5)</f>
        <v>29555.14</v>
      </c>
      <c r="N72" s="7">
        <f>SUMIF('Stock - Puerto Chile'!$G$2:G973,'Rango proyecciones'!C72,'Stock - Puerto Chile'!$L$2:L973)</f>
        <v>52254.067799999997</v>
      </c>
      <c r="O72" s="7">
        <f t="shared" si="16"/>
        <v>0</v>
      </c>
      <c r="P72" s="7">
        <f>48410.608 * (25 / 27)</f>
        <v>44824.637037037035</v>
      </c>
      <c r="Q72" s="16">
        <f t="shared" si="20"/>
        <v>74379.777037037042</v>
      </c>
      <c r="R72" s="7">
        <f t="shared" si="13"/>
        <v>0</v>
      </c>
      <c r="S72" s="7">
        <f>SUMIFS('Stock - ETA'!$H$3:H4963,'Stock - ETA'!$F$3:F4963,'Rango proyecciones'!C72,'Stock - ETA'!$Q$3:Q4963,'Rango proyecciones'!$AJ$5)</f>
        <v>29555.14</v>
      </c>
      <c r="T72" s="7">
        <f>SUMIF('Stock - Puerto Chile'!$G$2:G973,'Rango proyecciones'!C72,'Stock - Puerto Chile'!$N$2:N973)</f>
        <v>62704.881359999999</v>
      </c>
      <c r="U72" s="7">
        <f t="shared" si="17"/>
        <v>0</v>
      </c>
      <c r="V72" s="7">
        <f>48410.608 * (25 / 27)</f>
        <v>44824.637037037035</v>
      </c>
      <c r="W72" s="17">
        <f t="shared" si="21"/>
        <v>74379.777037037042</v>
      </c>
      <c r="X72" s="4">
        <v>60000</v>
      </c>
      <c r="Y72" s="7">
        <v>60000</v>
      </c>
      <c r="Z72" s="18">
        <f>SUMIFS('Stock - ETA'!$S$3:S4963,'Stock - ETA'!$F$3:F4963,'Rango proyecciones'!C72,'Stock - ETA'!$AA$3:AA4963,'Rango proyecciones'!$AJ$5) + SUMIFS('Stock - ETA'!$R$3:R4963,'Stock - ETA'!$F$3:F4963,'Rango proyecciones'!C72,'Stock - ETA'!$AA$3:AA4963,'Rango proyecciones'!$AJ$7)</f>
        <v>62318.12</v>
      </c>
      <c r="AA72" s="13">
        <f t="shared" si="22"/>
        <v>122318.12</v>
      </c>
      <c r="AB72" s="7">
        <f>SUMIFS('Stock - ETA'!$I$3:I4963,'Stock - ETA'!$F$3:F4963,'Rango proyecciones'!C72,'Stock - ETA'!$Q$3:Q4963,'Rango proyecciones'!$AJ$5) + SUMIFS('Stock - ETA'!$H$3:H4963,'Stock - ETA'!$F$3:F4963,'Rango proyecciones'!C72,'Stock - ETA'!$Q$3:Q4963,'Rango proyecciones'!$AJ$7)</f>
        <v>62318.12</v>
      </c>
      <c r="AC72" s="16">
        <f t="shared" si="23"/>
        <v>122318.12</v>
      </c>
      <c r="AD72" s="4">
        <v>60000</v>
      </c>
      <c r="AE72" s="7">
        <f>SUMIFS('Stock - ETA'!$T$3:T4963,'Stock - ETA'!$F$3:F4963,'Rango proyecciones'!C72,'Stock - ETA'!$AA$3:AA4963,'Rango proyecciones'!$AJ$5) + SUMIFS('Stock - ETA'!$S$3:S4963,'Stock - ETA'!$F$3:F4963,'Rango proyecciones'!C72,'Stock - ETA'!$AA$3:AA4963,'Rango proyecciones'!$AJ$8)</f>
        <v>0</v>
      </c>
      <c r="AF72" s="16">
        <f t="shared" si="18"/>
        <v>42000</v>
      </c>
      <c r="AG72" s="7">
        <f>SUMIFS('Stock - ETA'!$J$3:J4963,'Stock - ETA'!$F$3:F4963,'Rango proyecciones'!C72,'Stock - ETA'!$Q$3:Q4963,'Rango proyecciones'!$AJ$5) + SUMIFS('Stock - ETA'!$I$3:I4963,'Stock - ETA'!$F$3:F4963,'Rango proyecciones'!C72,'Stock - ETA'!$Q$3:Q4963,'Rango proyecciones'!$AJ$8)</f>
        <v>0</v>
      </c>
      <c r="AH72" s="16">
        <f t="shared" si="19"/>
        <v>42000</v>
      </c>
      <c r="AI72" s="4"/>
    </row>
    <row r="73" spans="1:35" x14ac:dyDescent="0.2">
      <c r="A73" s="2" t="s">
        <v>34</v>
      </c>
      <c r="B73" s="2" t="s">
        <v>35</v>
      </c>
      <c r="C73" s="2" t="s">
        <v>203</v>
      </c>
      <c r="D73" s="2" t="s">
        <v>37</v>
      </c>
      <c r="E73" s="2">
        <v>1022866</v>
      </c>
      <c r="F73" s="2" t="s">
        <v>204</v>
      </c>
      <c r="G73" s="2" t="s">
        <v>178</v>
      </c>
      <c r="H73" s="4">
        <v>0</v>
      </c>
      <c r="I73" s="7">
        <v>0</v>
      </c>
      <c r="J73" s="7">
        <v>3287.5830000000001</v>
      </c>
      <c r="K73" s="7">
        <v>259.58999999999997</v>
      </c>
      <c r="L73" s="4">
        <f t="shared" si="12"/>
        <v>4541.9894999999997</v>
      </c>
      <c r="M73" s="7">
        <f>SUMIFS('Stock - ETA'!$R$3:R4963,'Stock - ETA'!$F$3:F4963,'Rango proyecciones'!C73,'Stock - ETA'!$AA$3:AA4963,'Rango proyecciones'!$AJ$5)</f>
        <v>17957.060000000001</v>
      </c>
      <c r="N73" s="7">
        <f>SUMIF('Stock - Puerto Chile'!$G$2:G973,'Rango proyecciones'!C73,'Stock - Puerto Chile'!$L$2:L973)</f>
        <v>57694.179000000004</v>
      </c>
      <c r="O73" s="7">
        <f t="shared" si="16"/>
        <v>0</v>
      </c>
      <c r="P73" s="7">
        <f>37227.791 * (25 / 27)</f>
        <v>34470.176851851851</v>
      </c>
      <c r="Q73" s="16">
        <f t="shared" si="20"/>
        <v>52427.236851851849</v>
      </c>
      <c r="R73" s="7">
        <f t="shared" si="13"/>
        <v>7786.2677142857146</v>
      </c>
      <c r="S73" s="7">
        <f>SUMIFS('Stock - ETA'!$H$3:H4963,'Stock - ETA'!$F$3:F4963,'Rango proyecciones'!C73,'Stock - ETA'!$Q$3:Q4963,'Rango proyecciones'!$AJ$5)</f>
        <v>17957.060000000001</v>
      </c>
      <c r="T73" s="7">
        <f>SUMIF('Stock - Puerto Chile'!$G$2:G973,'Rango proyecciones'!C73,'Stock - Puerto Chile'!$N$2:N973)</f>
        <v>69233.014800000004</v>
      </c>
      <c r="U73" s="7">
        <f t="shared" si="17"/>
        <v>0</v>
      </c>
      <c r="V73" s="7">
        <f>37227.791 * (25 / 27)</f>
        <v>34470.176851851851</v>
      </c>
      <c r="W73" s="17">
        <f t="shared" si="21"/>
        <v>52427.236851851849</v>
      </c>
      <c r="X73" s="4">
        <v>60000</v>
      </c>
      <c r="Y73" s="7">
        <v>60000</v>
      </c>
      <c r="Z73" s="18">
        <f>SUMIFS('Stock - ETA'!$S$3:S4963,'Stock - ETA'!$F$3:F4963,'Rango proyecciones'!C73,'Stock - ETA'!$AA$3:AA4963,'Rango proyecciones'!$AJ$5) + SUMIFS('Stock - ETA'!$R$3:R4963,'Stock - ETA'!$F$3:F4963,'Rango proyecciones'!C73,'Stock - ETA'!$AA$3:AA4963,'Rango proyecciones'!$AJ$7)</f>
        <v>78175.69</v>
      </c>
      <c r="AA73" s="13">
        <f t="shared" si="22"/>
        <v>138175.69</v>
      </c>
      <c r="AB73" s="7">
        <f>SUMIFS('Stock - ETA'!$I$3:I4963,'Stock - ETA'!$F$3:F4963,'Rango proyecciones'!C73,'Stock - ETA'!$Q$3:Q4963,'Rango proyecciones'!$AJ$5) + SUMIFS('Stock - ETA'!$H$3:H4963,'Stock - ETA'!$F$3:F4963,'Rango proyecciones'!C73,'Stock - ETA'!$Q$3:Q4963,'Rango proyecciones'!$AJ$7)</f>
        <v>78175.69</v>
      </c>
      <c r="AC73" s="16">
        <f t="shared" si="23"/>
        <v>138175.69</v>
      </c>
      <c r="AD73" s="4">
        <v>60000</v>
      </c>
      <c r="AE73" s="7">
        <f>SUMIFS('Stock - ETA'!$T$3:T4963,'Stock - ETA'!$F$3:F4963,'Rango proyecciones'!C73,'Stock - ETA'!$AA$3:AA4963,'Rango proyecciones'!$AJ$5) + SUMIFS('Stock - ETA'!$S$3:S4963,'Stock - ETA'!$F$3:F4963,'Rango proyecciones'!C73,'Stock - ETA'!$AA$3:AA4963,'Rango proyecciones'!$AJ$8)</f>
        <v>10060.200000000001</v>
      </c>
      <c r="AF73" s="16">
        <f t="shared" si="18"/>
        <v>52060.2</v>
      </c>
      <c r="AG73" s="7">
        <f>SUMIFS('Stock - ETA'!$J$3:J4963,'Stock - ETA'!$F$3:F4963,'Rango proyecciones'!C73,'Stock - ETA'!$Q$3:Q4963,'Rango proyecciones'!$AJ$5) + SUMIFS('Stock - ETA'!$I$3:I4963,'Stock - ETA'!$F$3:F4963,'Rango proyecciones'!C73,'Stock - ETA'!$Q$3:Q4963,'Rango proyecciones'!$AJ$8)</f>
        <v>10060.200000000001</v>
      </c>
      <c r="AH73" s="16">
        <f t="shared" si="19"/>
        <v>52060.2</v>
      </c>
      <c r="AI73" s="4"/>
    </row>
    <row r="74" spans="1:35" x14ac:dyDescent="0.2">
      <c r="A74" s="2" t="s">
        <v>50</v>
      </c>
      <c r="B74" s="2" t="s">
        <v>35</v>
      </c>
      <c r="C74" s="2" t="s">
        <v>205</v>
      </c>
      <c r="D74" s="2" t="s">
        <v>52</v>
      </c>
      <c r="E74" s="2">
        <v>1030228</v>
      </c>
      <c r="F74" s="2" t="s">
        <v>206</v>
      </c>
      <c r="G74" s="2" t="s">
        <v>207</v>
      </c>
      <c r="H74" s="4">
        <v>0</v>
      </c>
      <c r="I74" s="7">
        <v>0</v>
      </c>
      <c r="J74" s="7">
        <v>0</v>
      </c>
      <c r="K74" s="7">
        <v>0</v>
      </c>
      <c r="L74" s="4">
        <f t="shared" si="12"/>
        <v>0</v>
      </c>
      <c r="M74" s="7">
        <f>SUMIFS('Stock - ETA'!$R$3:R4963,'Stock - ETA'!$F$3:F4963,'Rango proyecciones'!C74,'Stock - ETA'!$AA$3:AA4963,'Rango proyecciones'!$AJ$5)</f>
        <v>0</v>
      </c>
      <c r="N74" s="7">
        <f>SUMIF('Stock - Puerto Chile'!$G$2:G973,'Rango proyecciones'!C74,'Stock - Puerto Chile'!$L$2:L973)</f>
        <v>148980.38399999999</v>
      </c>
      <c r="O74" s="7">
        <f t="shared" si="16"/>
        <v>0</v>
      </c>
      <c r="P74" s="7">
        <f>163.296 * (25 / 27)</f>
        <v>151.19999999999999</v>
      </c>
      <c r="Q74" s="16">
        <f t="shared" si="20"/>
        <v>151.19999999999999</v>
      </c>
      <c r="R74" s="7">
        <f t="shared" si="13"/>
        <v>0</v>
      </c>
      <c r="S74" s="7">
        <f>SUMIFS('Stock - ETA'!$H$3:H4963,'Stock - ETA'!$F$3:F4963,'Rango proyecciones'!C74,'Stock - ETA'!$Q$3:Q4963,'Rango proyecciones'!$AJ$5)</f>
        <v>0</v>
      </c>
      <c r="T74" s="7">
        <f>SUMIF('Stock - Puerto Chile'!$G$2:G973,'Rango proyecciones'!C74,'Stock - Puerto Chile'!$N$2:N973)</f>
        <v>178776.4608</v>
      </c>
      <c r="U74" s="7">
        <f t="shared" si="17"/>
        <v>0</v>
      </c>
      <c r="V74" s="7">
        <f>163.296 * (25 / 27)</f>
        <v>151.19999999999999</v>
      </c>
      <c r="W74" s="17">
        <f t="shared" si="21"/>
        <v>151.19999999999999</v>
      </c>
      <c r="X74" s="4"/>
      <c r="Y74" s="7"/>
      <c r="Z74" s="18">
        <f>SUMIFS('Stock - ETA'!$S$3:S4963,'Stock - ETA'!$F$3:F4963,'Rango proyecciones'!C74,'Stock - ETA'!$AA$3:AA4963,'Rango proyecciones'!$AJ$5) + SUMIFS('Stock - ETA'!$R$3:R4963,'Stock - ETA'!$F$3:F4963,'Rango proyecciones'!C74,'Stock - ETA'!$AA$3:AA4963,'Rango proyecciones'!$AJ$7)</f>
        <v>0</v>
      </c>
      <c r="AA74" s="13">
        <f t="shared" si="22"/>
        <v>0</v>
      </c>
      <c r="AB74" s="7">
        <f>SUMIFS('Stock - ETA'!$I$3:I4963,'Stock - ETA'!$F$3:F4963,'Rango proyecciones'!C74,'Stock - ETA'!$Q$3:Q4963,'Rango proyecciones'!$AJ$5) + SUMIFS('Stock - ETA'!$H$3:H4963,'Stock - ETA'!$F$3:F4963,'Rango proyecciones'!C74,'Stock - ETA'!$Q$3:Q4963,'Rango proyecciones'!$AJ$7)</f>
        <v>0</v>
      </c>
      <c r="AC74" s="16">
        <f t="shared" si="23"/>
        <v>0</v>
      </c>
      <c r="AD74" s="4"/>
      <c r="AE74" s="7">
        <f>SUMIFS('Stock - ETA'!$T$3:T4963,'Stock - ETA'!$F$3:F4963,'Rango proyecciones'!C74,'Stock - ETA'!$AA$3:AA4963,'Rango proyecciones'!$AJ$5) + SUMIFS('Stock - ETA'!$S$3:S4963,'Stock - ETA'!$F$3:F4963,'Rango proyecciones'!C74,'Stock - ETA'!$AA$3:AA4963,'Rango proyecciones'!$AJ$8)</f>
        <v>0</v>
      </c>
      <c r="AF74" s="16">
        <f t="shared" ref="AF74:AF82" si="24">0.6 * AD74 + AE74</f>
        <v>0</v>
      </c>
      <c r="AG74" s="7">
        <f>SUMIFS('Stock - ETA'!$J$3:J4963,'Stock - ETA'!$F$3:F4963,'Rango proyecciones'!C74,'Stock - ETA'!$Q$3:Q4963,'Rango proyecciones'!$AJ$5) + SUMIFS('Stock - ETA'!$I$3:I4963,'Stock - ETA'!$F$3:F4963,'Rango proyecciones'!C74,'Stock - ETA'!$Q$3:Q4963,'Rango proyecciones'!$AJ$8)</f>
        <v>0</v>
      </c>
      <c r="AH74" s="16">
        <f t="shared" ref="AH74:AH82" si="25">0.6 * AD74 + AG74</f>
        <v>0</v>
      </c>
      <c r="AI74" s="4"/>
    </row>
    <row r="75" spans="1:35" x14ac:dyDescent="0.2">
      <c r="A75" s="2" t="s">
        <v>50</v>
      </c>
      <c r="B75" s="2" t="s">
        <v>35</v>
      </c>
      <c r="C75" s="2" t="s">
        <v>208</v>
      </c>
      <c r="D75" s="2" t="s">
        <v>52</v>
      </c>
      <c r="E75" s="2">
        <v>1030239</v>
      </c>
      <c r="F75" s="2" t="s">
        <v>209</v>
      </c>
      <c r="G75" s="2" t="s">
        <v>63</v>
      </c>
      <c r="H75" s="4">
        <v>0</v>
      </c>
      <c r="I75" s="7">
        <v>0</v>
      </c>
      <c r="J75" s="7">
        <v>0</v>
      </c>
      <c r="K75" s="7">
        <v>0</v>
      </c>
      <c r="L75" s="4">
        <f t="shared" si="12"/>
        <v>0</v>
      </c>
      <c r="M75" s="7">
        <f>SUMIFS('Stock - ETA'!$R$3:R4963,'Stock - ETA'!$F$3:F4963,'Rango proyecciones'!C75,'Stock - ETA'!$AA$3:AA4963,'Rango proyecciones'!$AJ$5)</f>
        <v>0</v>
      </c>
      <c r="N75" s="7">
        <f>SUMIF('Stock - Puerto Chile'!$G$2:G973,'Rango proyecciones'!C75,'Stock - Puerto Chile'!$L$2:L973)</f>
        <v>0</v>
      </c>
      <c r="O75" s="7">
        <f t="shared" si="16"/>
        <v>0</v>
      </c>
      <c r="P75" s="7">
        <f>6410.31 * (25 / 27)</f>
        <v>5935.4722222222226</v>
      </c>
      <c r="Q75" s="16">
        <f t="shared" si="20"/>
        <v>5935.4722222222226</v>
      </c>
      <c r="R75" s="7">
        <f t="shared" si="13"/>
        <v>0</v>
      </c>
      <c r="S75" s="7">
        <f>SUMIFS('Stock - ETA'!$H$3:H4963,'Stock - ETA'!$F$3:F4963,'Rango proyecciones'!C75,'Stock - ETA'!$Q$3:Q4963,'Rango proyecciones'!$AJ$5)</f>
        <v>0</v>
      </c>
      <c r="T75" s="7">
        <f>SUMIF('Stock - Puerto Chile'!$G$2:G973,'Rango proyecciones'!C75,'Stock - Puerto Chile'!$N$2:N973)</f>
        <v>0</v>
      </c>
      <c r="U75" s="7">
        <f t="shared" si="17"/>
        <v>0</v>
      </c>
      <c r="V75" s="7">
        <f>6410.31 * (25 / 27)</f>
        <v>5935.4722222222226</v>
      </c>
      <c r="W75" s="17">
        <f t="shared" si="21"/>
        <v>5935.4722222222226</v>
      </c>
      <c r="X75" s="4">
        <v>24041</v>
      </c>
      <c r="Y75" s="7">
        <v>24041</v>
      </c>
      <c r="Z75" s="18">
        <f>SUMIFS('Stock - ETA'!$S$3:S4963,'Stock - ETA'!$F$3:F4963,'Rango proyecciones'!C75,'Stock - ETA'!$AA$3:AA4963,'Rango proyecciones'!$AJ$5) + SUMIFS('Stock - ETA'!$R$3:R4963,'Stock - ETA'!$F$3:F4963,'Rango proyecciones'!C75,'Stock - ETA'!$AA$3:AA4963,'Rango proyecciones'!$AJ$7)</f>
        <v>0</v>
      </c>
      <c r="AA75" s="13">
        <f t="shared" si="22"/>
        <v>24041</v>
      </c>
      <c r="AB75" s="7">
        <f>SUMIFS('Stock - ETA'!$I$3:I4963,'Stock - ETA'!$F$3:F4963,'Rango proyecciones'!C75,'Stock - ETA'!$Q$3:Q4963,'Rango proyecciones'!$AJ$5) + SUMIFS('Stock - ETA'!$H$3:H4963,'Stock - ETA'!$F$3:F4963,'Rango proyecciones'!C75,'Stock - ETA'!$Q$3:Q4963,'Rango proyecciones'!$AJ$7)</f>
        <v>0</v>
      </c>
      <c r="AC75" s="16">
        <f t="shared" si="23"/>
        <v>24041</v>
      </c>
      <c r="AD75" s="4">
        <v>48081</v>
      </c>
      <c r="AE75" s="7">
        <f>SUMIFS('Stock - ETA'!$T$3:T4963,'Stock - ETA'!$F$3:F4963,'Rango proyecciones'!C75,'Stock - ETA'!$AA$3:AA4963,'Rango proyecciones'!$AJ$5) + SUMIFS('Stock - ETA'!$S$3:S4963,'Stock - ETA'!$F$3:F4963,'Rango proyecciones'!C75,'Stock - ETA'!$AA$3:AA4963,'Rango proyecciones'!$AJ$8)</f>
        <v>0</v>
      </c>
      <c r="AF75" s="16">
        <f t="shared" si="24"/>
        <v>28848.6</v>
      </c>
      <c r="AG75" s="7">
        <f>SUMIFS('Stock - ETA'!$J$3:J4963,'Stock - ETA'!$F$3:F4963,'Rango proyecciones'!C75,'Stock - ETA'!$Q$3:Q4963,'Rango proyecciones'!$AJ$5) + SUMIFS('Stock - ETA'!$I$3:I4963,'Stock - ETA'!$F$3:F4963,'Rango proyecciones'!C75,'Stock - ETA'!$Q$3:Q4963,'Rango proyecciones'!$AJ$8)</f>
        <v>0</v>
      </c>
      <c r="AH75" s="16">
        <f t="shared" si="25"/>
        <v>28848.6</v>
      </c>
      <c r="AI75" s="4"/>
    </row>
    <row r="76" spans="1:35" x14ac:dyDescent="0.2">
      <c r="A76" s="2" t="s">
        <v>50</v>
      </c>
      <c r="B76" s="2" t="s">
        <v>35</v>
      </c>
      <c r="C76" s="2" t="s">
        <v>210</v>
      </c>
      <c r="D76" s="2" t="s">
        <v>52</v>
      </c>
      <c r="E76" s="2">
        <v>1030773</v>
      </c>
      <c r="F76" s="2" t="s">
        <v>211</v>
      </c>
      <c r="G76" s="2" t="s">
        <v>79</v>
      </c>
      <c r="H76" s="4">
        <v>0</v>
      </c>
      <c r="I76" s="7">
        <v>0</v>
      </c>
      <c r="J76" s="7">
        <v>0</v>
      </c>
      <c r="K76" s="7">
        <v>0</v>
      </c>
      <c r="L76" s="4">
        <f t="shared" si="12"/>
        <v>0</v>
      </c>
      <c r="M76" s="7">
        <f>SUMIFS('Stock - ETA'!$R$3:R4963,'Stock - ETA'!$F$3:F4963,'Rango proyecciones'!C76,'Stock - ETA'!$AA$3:AA4963,'Rango proyecciones'!$AJ$5)</f>
        <v>0</v>
      </c>
      <c r="N76" s="7">
        <f>SUMIF('Stock - Puerto Chile'!$G$2:G973,'Rango proyecciones'!C76,'Stock - Puerto Chile'!$L$2:L973)</f>
        <v>0</v>
      </c>
      <c r="O76" s="7">
        <f t="shared" si="16"/>
        <v>0</v>
      </c>
      <c r="P76" s="7">
        <f>15022 * (25 / 27)</f>
        <v>13909.259259259259</v>
      </c>
      <c r="Q76" s="16">
        <f t="shared" si="20"/>
        <v>13909.259259259259</v>
      </c>
      <c r="R76" s="7">
        <f t="shared" si="13"/>
        <v>0</v>
      </c>
      <c r="S76" s="7">
        <f>SUMIFS('Stock - ETA'!$H$3:H4963,'Stock - ETA'!$F$3:F4963,'Rango proyecciones'!C76,'Stock - ETA'!$Q$3:Q4963,'Rango proyecciones'!$AJ$5)</f>
        <v>0</v>
      </c>
      <c r="T76" s="7">
        <f>SUMIF('Stock - Puerto Chile'!$G$2:G973,'Rango proyecciones'!C76,'Stock - Puerto Chile'!$N$2:N973)</f>
        <v>0</v>
      </c>
      <c r="U76" s="7">
        <f t="shared" si="17"/>
        <v>0</v>
      </c>
      <c r="V76" s="7">
        <f>15022 * (25 / 27)</f>
        <v>13909.259259259259</v>
      </c>
      <c r="W76" s="17">
        <f t="shared" si="21"/>
        <v>13909.259259259259</v>
      </c>
      <c r="X76" s="4"/>
      <c r="Y76" s="7"/>
      <c r="Z76" s="18">
        <f>SUMIFS('Stock - ETA'!$S$3:S4963,'Stock - ETA'!$F$3:F4963,'Rango proyecciones'!C76,'Stock - ETA'!$AA$3:AA4963,'Rango proyecciones'!$AJ$5) + SUMIFS('Stock - ETA'!$R$3:R4963,'Stock - ETA'!$F$3:F4963,'Rango proyecciones'!C76,'Stock - ETA'!$AA$3:AA4963,'Rango proyecciones'!$AJ$7)</f>
        <v>0</v>
      </c>
      <c r="AA76" s="13">
        <f t="shared" si="22"/>
        <v>0</v>
      </c>
      <c r="AB76" s="7">
        <f>SUMIFS('Stock - ETA'!$I$3:I4963,'Stock - ETA'!$F$3:F4963,'Rango proyecciones'!C76,'Stock - ETA'!$Q$3:Q4963,'Rango proyecciones'!$AJ$5) + SUMIFS('Stock - ETA'!$H$3:H4963,'Stock - ETA'!$F$3:F4963,'Rango proyecciones'!C76,'Stock - ETA'!$Q$3:Q4963,'Rango proyecciones'!$AJ$7)</f>
        <v>0</v>
      </c>
      <c r="AC76" s="16">
        <f t="shared" si="23"/>
        <v>0</v>
      </c>
      <c r="AD76" s="4"/>
      <c r="AE76" s="7">
        <f>SUMIFS('Stock - ETA'!$T$3:T4963,'Stock - ETA'!$F$3:F4963,'Rango proyecciones'!C76,'Stock - ETA'!$AA$3:AA4963,'Rango proyecciones'!$AJ$5) + SUMIFS('Stock - ETA'!$S$3:S4963,'Stock - ETA'!$F$3:F4963,'Rango proyecciones'!C76,'Stock - ETA'!$AA$3:AA4963,'Rango proyecciones'!$AJ$8)</f>
        <v>0</v>
      </c>
      <c r="AF76" s="16">
        <f t="shared" si="24"/>
        <v>0</v>
      </c>
      <c r="AG76" s="7">
        <f>SUMIFS('Stock - ETA'!$J$3:J4963,'Stock - ETA'!$F$3:F4963,'Rango proyecciones'!C76,'Stock - ETA'!$Q$3:Q4963,'Rango proyecciones'!$AJ$5) + SUMIFS('Stock - ETA'!$I$3:I4963,'Stock - ETA'!$F$3:F4963,'Rango proyecciones'!C76,'Stock - ETA'!$Q$3:Q4963,'Rango proyecciones'!$AJ$8)</f>
        <v>0</v>
      </c>
      <c r="AH76" s="16">
        <f t="shared" si="25"/>
        <v>0</v>
      </c>
      <c r="AI76" s="4"/>
    </row>
    <row r="77" spans="1:35" x14ac:dyDescent="0.2">
      <c r="A77" s="2" t="s">
        <v>50</v>
      </c>
      <c r="B77" s="2" t="s">
        <v>35</v>
      </c>
      <c r="C77" s="2" t="s">
        <v>212</v>
      </c>
      <c r="D77" s="2" t="s">
        <v>46</v>
      </c>
      <c r="E77" s="2">
        <v>1030791</v>
      </c>
      <c r="F77" s="2" t="s">
        <v>213</v>
      </c>
      <c r="G77" s="2" t="s">
        <v>214</v>
      </c>
      <c r="H77" s="4">
        <v>0</v>
      </c>
      <c r="I77" s="7">
        <v>0</v>
      </c>
      <c r="J77" s="7">
        <v>0</v>
      </c>
      <c r="K77" s="7">
        <v>0</v>
      </c>
      <c r="L77" s="4">
        <f t="shared" si="12"/>
        <v>0</v>
      </c>
      <c r="M77" s="7">
        <f>SUMIFS('Stock - ETA'!$R$3:R4963,'Stock - ETA'!$F$3:F4963,'Rango proyecciones'!C77,'Stock - ETA'!$AA$3:AA4963,'Rango proyecciones'!$AJ$5)</f>
        <v>0</v>
      </c>
      <c r="N77" s="7">
        <f>SUMIF('Stock - Puerto Chile'!$G$2:G973,'Rango proyecciones'!C77,'Stock - Puerto Chile'!$L$2:L973)</f>
        <v>6678</v>
      </c>
      <c r="O77" s="7">
        <f t="shared" si="16"/>
        <v>0</v>
      </c>
      <c r="P77" s="7">
        <f>3675 * (25 / 27)</f>
        <v>3402.7777777777778</v>
      </c>
      <c r="Q77" s="16">
        <f t="shared" si="20"/>
        <v>3402.7777777777778</v>
      </c>
      <c r="R77" s="7">
        <f t="shared" si="13"/>
        <v>0</v>
      </c>
      <c r="S77" s="7">
        <f>SUMIFS('Stock - ETA'!$H$3:H4963,'Stock - ETA'!$F$3:F4963,'Rango proyecciones'!C77,'Stock - ETA'!$Q$3:Q4963,'Rango proyecciones'!$AJ$5)</f>
        <v>0</v>
      </c>
      <c r="T77" s="7">
        <f>SUMIF('Stock - Puerto Chile'!$G$2:G973,'Rango proyecciones'!C77,'Stock - Puerto Chile'!$N$2:N973)</f>
        <v>8013.6</v>
      </c>
      <c r="U77" s="7">
        <f t="shared" si="17"/>
        <v>0</v>
      </c>
      <c r="V77" s="7">
        <f>3675 * (25 / 27)</f>
        <v>3402.7777777777778</v>
      </c>
      <c r="W77" s="17">
        <f t="shared" si="21"/>
        <v>3402.7777777777778</v>
      </c>
      <c r="X77" s="4"/>
      <c r="Y77" s="7"/>
      <c r="Z77" s="18">
        <f>SUMIFS('Stock - ETA'!$S$3:S4963,'Stock - ETA'!$F$3:F4963,'Rango proyecciones'!C77,'Stock - ETA'!$AA$3:AA4963,'Rango proyecciones'!$AJ$5) + SUMIFS('Stock - ETA'!$R$3:R4963,'Stock - ETA'!$F$3:F4963,'Rango proyecciones'!C77,'Stock - ETA'!$AA$3:AA4963,'Rango proyecciones'!$AJ$7)</f>
        <v>4980</v>
      </c>
      <c r="AA77" s="13">
        <f t="shared" si="22"/>
        <v>4980</v>
      </c>
      <c r="AB77" s="7">
        <f>SUMIFS('Stock - ETA'!$I$3:I4963,'Stock - ETA'!$F$3:F4963,'Rango proyecciones'!C77,'Stock - ETA'!$Q$3:Q4963,'Rango proyecciones'!$AJ$5) + SUMIFS('Stock - ETA'!$H$3:H4963,'Stock - ETA'!$F$3:F4963,'Rango proyecciones'!C77,'Stock - ETA'!$Q$3:Q4963,'Rango proyecciones'!$AJ$7)</f>
        <v>4980</v>
      </c>
      <c r="AC77" s="16">
        <f t="shared" si="23"/>
        <v>4980</v>
      </c>
      <c r="AD77" s="4"/>
      <c r="AE77" s="7">
        <f>SUMIFS('Stock - ETA'!$T$3:T4963,'Stock - ETA'!$F$3:F4963,'Rango proyecciones'!C77,'Stock - ETA'!$AA$3:AA4963,'Rango proyecciones'!$AJ$5) + SUMIFS('Stock - ETA'!$S$3:S4963,'Stock - ETA'!$F$3:F4963,'Rango proyecciones'!C77,'Stock - ETA'!$AA$3:AA4963,'Rango proyecciones'!$AJ$8)</f>
        <v>0</v>
      </c>
      <c r="AF77" s="16">
        <f t="shared" si="24"/>
        <v>0</v>
      </c>
      <c r="AG77" s="7">
        <f>SUMIFS('Stock - ETA'!$J$3:J4963,'Stock - ETA'!$F$3:F4963,'Rango proyecciones'!C77,'Stock - ETA'!$Q$3:Q4963,'Rango proyecciones'!$AJ$5) + SUMIFS('Stock - ETA'!$I$3:I4963,'Stock - ETA'!$F$3:F4963,'Rango proyecciones'!C77,'Stock - ETA'!$Q$3:Q4963,'Rango proyecciones'!$AJ$8)</f>
        <v>0</v>
      </c>
      <c r="AH77" s="16">
        <f t="shared" si="25"/>
        <v>0</v>
      </c>
      <c r="AI77" s="4"/>
    </row>
    <row r="78" spans="1:35" x14ac:dyDescent="0.2">
      <c r="A78" s="2" t="s">
        <v>56</v>
      </c>
      <c r="B78" s="2" t="s">
        <v>35</v>
      </c>
      <c r="C78" s="2" t="s">
        <v>215</v>
      </c>
      <c r="D78" s="2" t="s">
        <v>52</v>
      </c>
      <c r="E78" s="2">
        <v>1012107</v>
      </c>
      <c r="F78" s="2" t="s">
        <v>216</v>
      </c>
      <c r="G78" s="2" t="s">
        <v>59</v>
      </c>
      <c r="H78" s="4">
        <v>0</v>
      </c>
      <c r="I78" s="7">
        <v>0</v>
      </c>
      <c r="J78" s="7">
        <v>12600</v>
      </c>
      <c r="K78" s="7">
        <v>1648.0550000000001</v>
      </c>
      <c r="L78" s="4">
        <f t="shared" si="12"/>
        <v>16427.9175</v>
      </c>
      <c r="M78" s="7">
        <f>SUMIFS('Stock - ETA'!$R$3:R4963,'Stock - ETA'!$F$3:F4963,'Rango proyecciones'!C78,'Stock - ETA'!$AA$3:AA4963,'Rango proyecciones'!$AJ$5)</f>
        <v>117153.74176</v>
      </c>
      <c r="N78" s="7">
        <f>SUMIF('Stock - Puerto Chile'!$G$2:G973,'Rango proyecciones'!C78,'Stock - Puerto Chile'!$L$2:L973)</f>
        <v>103420.8</v>
      </c>
      <c r="O78" s="7">
        <f t="shared" si="16"/>
        <v>0</v>
      </c>
      <c r="P78" s="7">
        <f>14642.208 * (25 / 27)</f>
        <v>13557.6</v>
      </c>
      <c r="Q78" s="16">
        <f t="shared" si="20"/>
        <v>130711.34176000001</v>
      </c>
      <c r="R78" s="7">
        <f t="shared" si="13"/>
        <v>28162.144285714287</v>
      </c>
      <c r="S78" s="7">
        <f>SUMIFS('Stock - ETA'!$H$3:H4963,'Stock - ETA'!$F$3:F4963,'Rango proyecciones'!C78,'Stock - ETA'!$Q$3:Q4963,'Rango proyecciones'!$AJ$5)</f>
        <v>117153.74176</v>
      </c>
      <c r="T78" s="7">
        <f>SUMIF('Stock - Puerto Chile'!$G$2:G973,'Rango proyecciones'!C78,'Stock - Puerto Chile'!$N$2:N973)</f>
        <v>124104.95999999999</v>
      </c>
      <c r="U78" s="7">
        <f t="shared" si="17"/>
        <v>0</v>
      </c>
      <c r="V78" s="7">
        <f>14642.208 * (25 / 27)</f>
        <v>13557.6</v>
      </c>
      <c r="W78" s="17">
        <f t="shared" si="21"/>
        <v>130711.34176000001</v>
      </c>
      <c r="X78" s="4"/>
      <c r="Y78" s="7"/>
      <c r="Z78" s="18">
        <f>SUMIFS('Stock - ETA'!$S$3:S4963,'Stock - ETA'!$F$3:F4963,'Rango proyecciones'!C78,'Stock - ETA'!$AA$3:AA4963,'Rango proyecciones'!$AJ$5) + SUMIFS('Stock - ETA'!$R$3:R4963,'Stock - ETA'!$F$3:F4963,'Rango proyecciones'!C78,'Stock - ETA'!$AA$3:AA4963,'Rango proyecciones'!$AJ$7)</f>
        <v>79832.191999999995</v>
      </c>
      <c r="AA78" s="13">
        <f t="shared" si="22"/>
        <v>79832.191999999995</v>
      </c>
      <c r="AB78" s="7">
        <f>SUMIFS('Stock - ETA'!$I$3:I4963,'Stock - ETA'!$F$3:F4963,'Rango proyecciones'!C78,'Stock - ETA'!$Q$3:Q4963,'Rango proyecciones'!$AJ$5) + SUMIFS('Stock - ETA'!$H$3:H4963,'Stock - ETA'!$F$3:F4963,'Rango proyecciones'!C78,'Stock - ETA'!$Q$3:Q4963,'Rango proyecciones'!$AJ$7)</f>
        <v>79832.191999999995</v>
      </c>
      <c r="AC78" s="16">
        <f t="shared" si="23"/>
        <v>79832.191999999995</v>
      </c>
      <c r="AD78" s="4"/>
      <c r="AE78" s="7">
        <f>SUMIFS('Stock - ETA'!$T$3:T4963,'Stock - ETA'!$F$3:F4963,'Rango proyecciones'!C78,'Stock - ETA'!$AA$3:AA4963,'Rango proyecciones'!$AJ$5) + SUMIFS('Stock - ETA'!$S$3:S4963,'Stock - ETA'!$F$3:F4963,'Rango proyecciones'!C78,'Stock - ETA'!$AA$3:AA4963,'Rango proyecciones'!$AJ$8)</f>
        <v>0</v>
      </c>
      <c r="AF78" s="16">
        <f t="shared" si="24"/>
        <v>0</v>
      </c>
      <c r="AG78" s="7">
        <f>SUMIFS('Stock - ETA'!$J$3:J4963,'Stock - ETA'!$F$3:F4963,'Rango proyecciones'!C78,'Stock - ETA'!$Q$3:Q4963,'Rango proyecciones'!$AJ$5) + SUMIFS('Stock - ETA'!$I$3:I4963,'Stock - ETA'!$F$3:F4963,'Rango proyecciones'!C78,'Stock - ETA'!$Q$3:Q4963,'Rango proyecciones'!$AJ$8)</f>
        <v>0</v>
      </c>
      <c r="AH78" s="16">
        <f t="shared" si="25"/>
        <v>0</v>
      </c>
      <c r="AI78" s="4"/>
    </row>
    <row r="79" spans="1:35" x14ac:dyDescent="0.2">
      <c r="A79" s="2" t="s">
        <v>56</v>
      </c>
      <c r="B79" s="2" t="s">
        <v>35</v>
      </c>
      <c r="C79" s="2" t="s">
        <v>217</v>
      </c>
      <c r="D79" s="2" t="s">
        <v>52</v>
      </c>
      <c r="E79" s="2">
        <v>1012147</v>
      </c>
      <c r="F79" s="2" t="s">
        <v>218</v>
      </c>
      <c r="G79" s="2" t="s">
        <v>67</v>
      </c>
      <c r="H79" s="4">
        <v>0</v>
      </c>
      <c r="I79" s="7">
        <v>0</v>
      </c>
      <c r="J79" s="7">
        <v>19959</v>
      </c>
      <c r="K79" s="7">
        <v>1057.942</v>
      </c>
      <c r="L79" s="4">
        <f t="shared" si="12"/>
        <v>28351.587</v>
      </c>
      <c r="M79" s="7">
        <f>SUMIFS('Stock - ETA'!$R$3:R4963,'Stock - ETA'!$F$3:F4963,'Rango proyecciones'!C79,'Stock - ETA'!$AA$3:AA4963,'Rango proyecciones'!$AJ$5)</f>
        <v>130625.42416</v>
      </c>
      <c r="N79" s="7">
        <f>SUMIF('Stock - Puerto Chile'!$G$2:G973,'Rango proyecciones'!C79,'Stock - Puerto Chile'!$L$2:L973)</f>
        <v>145551.12</v>
      </c>
      <c r="O79" s="7">
        <f t="shared" si="16"/>
        <v>0</v>
      </c>
      <c r="P79" s="7">
        <f>9330.2 * (25 / 27)</f>
        <v>8639.0740740740748</v>
      </c>
      <c r="Q79" s="16">
        <f t="shared" si="20"/>
        <v>139264.49823407407</v>
      </c>
      <c r="R79" s="7">
        <f t="shared" si="13"/>
        <v>48602.720571428574</v>
      </c>
      <c r="S79" s="7">
        <f>SUMIFS('Stock - ETA'!$H$3:H4963,'Stock - ETA'!$F$3:F4963,'Rango proyecciones'!C79,'Stock - ETA'!$Q$3:Q4963,'Rango proyecciones'!$AJ$5)</f>
        <v>130625.42416</v>
      </c>
      <c r="T79" s="7">
        <f>SUMIF('Stock - Puerto Chile'!$G$2:G973,'Rango proyecciones'!C79,'Stock - Puerto Chile'!$N$2:N973)</f>
        <v>174661.34400000001</v>
      </c>
      <c r="U79" s="7">
        <f t="shared" si="17"/>
        <v>0</v>
      </c>
      <c r="V79" s="7">
        <f>9330.2 * (25 / 27)</f>
        <v>8639.0740740740748</v>
      </c>
      <c r="W79" s="17">
        <f t="shared" si="21"/>
        <v>139264.49823407407</v>
      </c>
      <c r="X79" s="4">
        <v>139708</v>
      </c>
      <c r="Y79" s="7">
        <v>139708</v>
      </c>
      <c r="Z79" s="18">
        <f>SUMIFS('Stock - ETA'!$S$3:S4963,'Stock - ETA'!$F$3:F4963,'Rango proyecciones'!C79,'Stock - ETA'!$AA$3:AA4963,'Rango proyecciones'!$AJ$5) + SUMIFS('Stock - ETA'!$R$3:R4963,'Stock - ETA'!$F$3:F4963,'Rango proyecciones'!C79,'Stock - ETA'!$AA$3:AA4963,'Rango proyecciones'!$AJ$7)</f>
        <v>130625.42416000001</v>
      </c>
      <c r="AA79" s="13">
        <f t="shared" si="22"/>
        <v>270333.42416</v>
      </c>
      <c r="AB79" s="7">
        <f>SUMIFS('Stock - ETA'!$I$3:I4963,'Stock - ETA'!$F$3:F4963,'Rango proyecciones'!C79,'Stock - ETA'!$Q$3:Q4963,'Rango proyecciones'!$AJ$5) + SUMIFS('Stock - ETA'!$H$3:H4963,'Stock - ETA'!$F$3:F4963,'Rango proyecciones'!C79,'Stock - ETA'!$Q$3:Q4963,'Rango proyecciones'!$AJ$7)</f>
        <v>130625.42416000001</v>
      </c>
      <c r="AC79" s="16">
        <f t="shared" si="23"/>
        <v>270333.42416</v>
      </c>
      <c r="AD79" s="4">
        <v>139708</v>
      </c>
      <c r="AE79" s="7">
        <f>SUMIFS('Stock - ETA'!$T$3:T4963,'Stock - ETA'!$F$3:F4963,'Rango proyecciones'!C79,'Stock - ETA'!$AA$3:AA4963,'Rango proyecciones'!$AJ$5) + SUMIFS('Stock - ETA'!$S$3:S4963,'Stock - ETA'!$F$3:F4963,'Rango proyecciones'!C79,'Stock - ETA'!$AA$3:AA4963,'Rango proyecciones'!$AJ$8)</f>
        <v>37321.549760000002</v>
      </c>
      <c r="AF79" s="16">
        <f t="shared" si="24"/>
        <v>121146.34976000001</v>
      </c>
      <c r="AG79" s="7">
        <f>SUMIFS('Stock - ETA'!$J$3:J4963,'Stock - ETA'!$F$3:F4963,'Rango proyecciones'!C79,'Stock - ETA'!$Q$3:Q4963,'Rango proyecciones'!$AJ$5) + SUMIFS('Stock - ETA'!$I$3:I4963,'Stock - ETA'!$F$3:F4963,'Rango proyecciones'!C79,'Stock - ETA'!$Q$3:Q4963,'Rango proyecciones'!$AJ$8)</f>
        <v>37321.549760000002</v>
      </c>
      <c r="AH79" s="16">
        <f t="shared" si="25"/>
        <v>121146.34976000001</v>
      </c>
      <c r="AI79" s="4"/>
    </row>
    <row r="80" spans="1:35" x14ac:dyDescent="0.2">
      <c r="A80" s="2" t="s">
        <v>56</v>
      </c>
      <c r="B80" s="2" t="s">
        <v>35</v>
      </c>
      <c r="C80" s="2" t="s">
        <v>219</v>
      </c>
      <c r="D80" s="2" t="s">
        <v>52</v>
      </c>
      <c r="E80" s="2">
        <v>1012400</v>
      </c>
      <c r="F80" s="2" t="s">
        <v>220</v>
      </c>
      <c r="G80" s="2" t="s">
        <v>67</v>
      </c>
      <c r="H80" s="4">
        <v>0</v>
      </c>
      <c r="I80" s="7">
        <v>0</v>
      </c>
      <c r="J80" s="7">
        <v>0</v>
      </c>
      <c r="K80" s="7">
        <v>0</v>
      </c>
      <c r="L80" s="4">
        <f t="shared" si="12"/>
        <v>0</v>
      </c>
      <c r="M80" s="7">
        <f>SUMIFS('Stock - ETA'!$R$3:R4963,'Stock - ETA'!$F$3:F4963,'Rango proyecciones'!C80,'Stock - ETA'!$AA$3:AA4963,'Rango proyecciones'!$AJ$5)</f>
        <v>0</v>
      </c>
      <c r="N80" s="7">
        <f>SUMIF('Stock - Puerto Chile'!$G$2:G973,'Rango proyecciones'!C80,'Stock - Puerto Chile'!$L$2:L973)</f>
        <v>0</v>
      </c>
      <c r="O80" s="7">
        <f>235.2 * (25 / 27)</f>
        <v>217.77777777777777</v>
      </c>
      <c r="P80" s="7">
        <f>0 * (25 / 27)</f>
        <v>0</v>
      </c>
      <c r="Q80" s="16">
        <f t="shared" si="20"/>
        <v>0</v>
      </c>
      <c r="R80" s="7">
        <f t="shared" si="13"/>
        <v>0</v>
      </c>
      <c r="S80" s="7">
        <f>SUMIFS('Stock - ETA'!$H$3:H4963,'Stock - ETA'!$F$3:F4963,'Rango proyecciones'!C80,'Stock - ETA'!$Q$3:Q4963,'Rango proyecciones'!$AJ$5)</f>
        <v>0</v>
      </c>
      <c r="T80" s="7">
        <f>SUMIF('Stock - Puerto Chile'!$G$2:G973,'Rango proyecciones'!C80,'Stock - Puerto Chile'!$N$2:N973)</f>
        <v>0</v>
      </c>
      <c r="U80" s="7">
        <f>235.2 * (25 / 27)</f>
        <v>217.77777777777777</v>
      </c>
      <c r="V80" s="7">
        <f>0 * (25 / 27)</f>
        <v>0</v>
      </c>
      <c r="W80" s="17">
        <f t="shared" si="21"/>
        <v>217.77777777777777</v>
      </c>
      <c r="X80" s="4"/>
      <c r="Y80" s="7"/>
      <c r="Z80" s="18">
        <f>SUMIFS('Stock - ETA'!$S$3:S4963,'Stock - ETA'!$F$3:F4963,'Rango proyecciones'!C80,'Stock - ETA'!$AA$3:AA4963,'Rango proyecciones'!$AJ$5) + SUMIFS('Stock - ETA'!$R$3:R4963,'Stock - ETA'!$F$3:F4963,'Rango proyecciones'!C80,'Stock - ETA'!$AA$3:AA4963,'Rango proyecciones'!$AJ$7)</f>
        <v>0</v>
      </c>
      <c r="AA80" s="13">
        <f t="shared" si="22"/>
        <v>0</v>
      </c>
      <c r="AB80" s="7">
        <f>SUMIFS('Stock - ETA'!$I$3:I4963,'Stock - ETA'!$F$3:F4963,'Rango proyecciones'!C80,'Stock - ETA'!$Q$3:Q4963,'Rango proyecciones'!$AJ$5) + SUMIFS('Stock - ETA'!$H$3:H4963,'Stock - ETA'!$F$3:F4963,'Rango proyecciones'!C80,'Stock - ETA'!$Q$3:Q4963,'Rango proyecciones'!$AJ$7)</f>
        <v>0</v>
      </c>
      <c r="AC80" s="16">
        <f t="shared" si="23"/>
        <v>0</v>
      </c>
      <c r="AD80" s="4"/>
      <c r="AE80" s="7">
        <f>SUMIFS('Stock - ETA'!$T$3:T4963,'Stock - ETA'!$F$3:F4963,'Rango proyecciones'!C80,'Stock - ETA'!$AA$3:AA4963,'Rango proyecciones'!$AJ$5) + SUMIFS('Stock - ETA'!$S$3:S4963,'Stock - ETA'!$F$3:F4963,'Rango proyecciones'!C80,'Stock - ETA'!$AA$3:AA4963,'Rango proyecciones'!$AJ$8)</f>
        <v>0</v>
      </c>
      <c r="AF80" s="16">
        <f t="shared" si="24"/>
        <v>0</v>
      </c>
      <c r="AG80" s="7">
        <f>SUMIFS('Stock - ETA'!$J$3:J4963,'Stock - ETA'!$F$3:F4963,'Rango proyecciones'!C80,'Stock - ETA'!$Q$3:Q4963,'Rango proyecciones'!$AJ$5) + SUMIFS('Stock - ETA'!$I$3:I4963,'Stock - ETA'!$F$3:F4963,'Rango proyecciones'!C80,'Stock - ETA'!$Q$3:Q4963,'Rango proyecciones'!$AJ$8)</f>
        <v>0</v>
      </c>
      <c r="AH80" s="16">
        <f t="shared" si="25"/>
        <v>0</v>
      </c>
      <c r="AI80" s="4"/>
    </row>
    <row r="81" spans="1:35" x14ac:dyDescent="0.2">
      <c r="A81" s="2" t="s">
        <v>56</v>
      </c>
      <c r="B81" s="2" t="s">
        <v>35</v>
      </c>
      <c r="C81" s="2" t="s">
        <v>221</v>
      </c>
      <c r="D81" s="2" t="s">
        <v>52</v>
      </c>
      <c r="E81" s="2">
        <v>1012519</v>
      </c>
      <c r="F81" s="2" t="s">
        <v>216</v>
      </c>
      <c r="G81" s="2" t="s">
        <v>59</v>
      </c>
      <c r="H81" s="4">
        <v>0</v>
      </c>
      <c r="I81" s="7">
        <v>0</v>
      </c>
      <c r="J81" s="7">
        <v>7400</v>
      </c>
      <c r="K81" s="7">
        <v>128.44999999999999</v>
      </c>
      <c r="L81" s="4">
        <f t="shared" si="12"/>
        <v>10907.325000000001</v>
      </c>
      <c r="M81" s="7">
        <f>SUMIFS('Stock - ETA'!$R$3:R4963,'Stock - ETA'!$F$3:F4963,'Rango proyecciones'!C81,'Stock - ETA'!$AA$3:AA4963,'Rango proyecciones'!$AJ$5)</f>
        <v>20393.496319999998</v>
      </c>
      <c r="N81" s="7">
        <f>SUMIF('Stock - Puerto Chile'!$G$2:G973,'Rango proyecciones'!C81,'Stock - Puerto Chile'!$L$2:L973)</f>
        <v>41912.639999999999</v>
      </c>
      <c r="O81" s="7">
        <f>0 * (25 / 27)</f>
        <v>0</v>
      </c>
      <c r="P81" s="7">
        <f>4681.152 * (25 / 27)</f>
        <v>4334.3999999999996</v>
      </c>
      <c r="Q81" s="16">
        <f t="shared" si="20"/>
        <v>24727.89632</v>
      </c>
      <c r="R81" s="7">
        <f t="shared" si="13"/>
        <v>18698.271428571432</v>
      </c>
      <c r="S81" s="7">
        <f>SUMIFS('Stock - ETA'!$H$3:H4963,'Stock - ETA'!$F$3:F4963,'Rango proyecciones'!C81,'Stock - ETA'!$Q$3:Q4963,'Rango proyecciones'!$AJ$5)</f>
        <v>20393.496319999998</v>
      </c>
      <c r="T81" s="7">
        <f>SUMIF('Stock - Puerto Chile'!$G$2:G973,'Rango proyecciones'!C81,'Stock - Puerto Chile'!$N$2:N973)</f>
        <v>50295.167999999998</v>
      </c>
      <c r="U81" s="7">
        <f>0 * (25 / 27)</f>
        <v>0</v>
      </c>
      <c r="V81" s="7">
        <f>4681.152 * (25 / 27)</f>
        <v>4334.3999999999996</v>
      </c>
      <c r="W81" s="17">
        <f t="shared" si="21"/>
        <v>24727.89632</v>
      </c>
      <c r="X81" s="4">
        <v>113853</v>
      </c>
      <c r="Y81" s="7">
        <v>113853</v>
      </c>
      <c r="Z81" s="18">
        <f>SUMIFS('Stock - ETA'!$S$3:S4963,'Stock - ETA'!$F$3:F4963,'Rango proyecciones'!C81,'Stock - ETA'!$AA$3:AA4963,'Rango proyecciones'!$AJ$5) + SUMIFS('Stock - ETA'!$R$3:R4963,'Stock - ETA'!$F$3:F4963,'Rango proyecciones'!C81,'Stock - ETA'!$AA$3:AA4963,'Rango proyecciones'!$AJ$7)</f>
        <v>0</v>
      </c>
      <c r="AA81" s="13">
        <f t="shared" si="22"/>
        <v>113853</v>
      </c>
      <c r="AB81" s="7">
        <f>SUMIFS('Stock - ETA'!$I$3:I4963,'Stock - ETA'!$F$3:F4963,'Rango proyecciones'!C81,'Stock - ETA'!$Q$3:Q4963,'Rango proyecciones'!$AJ$5) + SUMIFS('Stock - ETA'!$H$3:H4963,'Stock - ETA'!$F$3:F4963,'Rango proyecciones'!C81,'Stock - ETA'!$Q$3:Q4963,'Rango proyecciones'!$AJ$7)</f>
        <v>0</v>
      </c>
      <c r="AC81" s="16">
        <f t="shared" si="23"/>
        <v>113853</v>
      </c>
      <c r="AD81" s="4">
        <v>293477</v>
      </c>
      <c r="AE81" s="7">
        <f>SUMIFS('Stock - ETA'!$T$3:T4963,'Stock - ETA'!$F$3:F4963,'Rango proyecciones'!C81,'Stock - ETA'!$AA$3:AA4963,'Rango proyecciones'!$AJ$5) + SUMIFS('Stock - ETA'!$S$3:S4963,'Stock - ETA'!$F$3:F4963,'Rango proyecciones'!C81,'Stock - ETA'!$AA$3:AA4963,'Rango proyecciones'!$AJ$8)</f>
        <v>0</v>
      </c>
      <c r="AF81" s="16">
        <f t="shared" si="24"/>
        <v>176086.19999999998</v>
      </c>
      <c r="AG81" s="7">
        <f>SUMIFS('Stock - ETA'!$J$3:J4963,'Stock - ETA'!$F$3:F4963,'Rango proyecciones'!C81,'Stock - ETA'!$Q$3:Q4963,'Rango proyecciones'!$AJ$5) + SUMIFS('Stock - ETA'!$I$3:I4963,'Stock - ETA'!$F$3:F4963,'Rango proyecciones'!C81,'Stock - ETA'!$Q$3:Q4963,'Rango proyecciones'!$AJ$8)</f>
        <v>0</v>
      </c>
      <c r="AH81" s="16">
        <f t="shared" si="25"/>
        <v>176086.19999999998</v>
      </c>
      <c r="AI81" s="4"/>
    </row>
    <row r="82" spans="1:35" x14ac:dyDescent="0.2">
      <c r="A82" s="2" t="s">
        <v>56</v>
      </c>
      <c r="B82" s="2" t="s">
        <v>35</v>
      </c>
      <c r="C82" s="2" t="s">
        <v>222</v>
      </c>
      <c r="D82" s="2" t="s">
        <v>52</v>
      </c>
      <c r="E82" s="2">
        <v>1012806</v>
      </c>
      <c r="F82" s="2" t="s">
        <v>223</v>
      </c>
      <c r="G82" s="2" t="s">
        <v>224</v>
      </c>
      <c r="H82" s="4">
        <v>0</v>
      </c>
      <c r="I82" s="7">
        <v>0</v>
      </c>
      <c r="J82" s="7">
        <v>0</v>
      </c>
      <c r="K82" s="7">
        <v>0</v>
      </c>
      <c r="L82" s="4">
        <f t="shared" si="12"/>
        <v>0</v>
      </c>
      <c r="M82" s="7">
        <f>SUMIFS('Stock - ETA'!$R$3:R4963,'Stock - ETA'!$F$3:F4963,'Rango proyecciones'!C82,'Stock - ETA'!$AA$3:AA4963,'Rango proyecciones'!$AJ$5)</f>
        <v>0</v>
      </c>
      <c r="N82" s="7">
        <f>SUMIF('Stock - Puerto Chile'!$G$2:G973,'Rango proyecciones'!C82,'Stock - Puerto Chile'!$L$2:L973)</f>
        <v>0</v>
      </c>
      <c r="O82" s="7">
        <f>2267.5 * (25 / 27)</f>
        <v>2099.537037037037</v>
      </c>
      <c r="P82" s="7">
        <f>2285.64 * (25 / 27)</f>
        <v>2116.333333333333</v>
      </c>
      <c r="Q82" s="16">
        <f t="shared" si="20"/>
        <v>2116.333333333333</v>
      </c>
      <c r="R82" s="7">
        <f t="shared" si="13"/>
        <v>0</v>
      </c>
      <c r="S82" s="7">
        <f>SUMIFS('Stock - ETA'!$H$3:H4963,'Stock - ETA'!$F$3:F4963,'Rango proyecciones'!C82,'Stock - ETA'!$Q$3:Q4963,'Rango proyecciones'!$AJ$5)</f>
        <v>0</v>
      </c>
      <c r="T82" s="7">
        <f>SUMIF('Stock - Puerto Chile'!$G$2:G973,'Rango proyecciones'!C82,'Stock - Puerto Chile'!$N$2:N973)</f>
        <v>0</v>
      </c>
      <c r="U82" s="7">
        <f>2267.5 * (25 / 27)</f>
        <v>2099.537037037037</v>
      </c>
      <c r="V82" s="7">
        <f>2285.64 * (25 / 27)</f>
        <v>2116.333333333333</v>
      </c>
      <c r="W82" s="17">
        <f t="shared" si="21"/>
        <v>4215.8703703703704</v>
      </c>
      <c r="X82" s="4"/>
      <c r="Y82" s="7"/>
      <c r="Z82" s="18">
        <f>SUMIFS('Stock - ETA'!$S$3:S4963,'Stock - ETA'!$F$3:F4963,'Rango proyecciones'!C82,'Stock - ETA'!$AA$3:AA4963,'Rango proyecciones'!$AJ$5) + SUMIFS('Stock - ETA'!$R$3:R4963,'Stock - ETA'!$F$3:F4963,'Rango proyecciones'!C82,'Stock - ETA'!$AA$3:AA4963,'Rango proyecciones'!$AJ$7)</f>
        <v>0</v>
      </c>
      <c r="AA82" s="13">
        <f t="shared" si="22"/>
        <v>0</v>
      </c>
      <c r="AB82" s="7">
        <f>SUMIFS('Stock - ETA'!$I$3:I4963,'Stock - ETA'!$F$3:F4963,'Rango proyecciones'!C82,'Stock - ETA'!$Q$3:Q4963,'Rango proyecciones'!$AJ$5) + SUMIFS('Stock - ETA'!$H$3:H4963,'Stock - ETA'!$F$3:F4963,'Rango proyecciones'!C82,'Stock - ETA'!$Q$3:Q4963,'Rango proyecciones'!$AJ$7)</f>
        <v>0</v>
      </c>
      <c r="AC82" s="16">
        <f t="shared" si="23"/>
        <v>0</v>
      </c>
      <c r="AD82" s="4"/>
      <c r="AE82" s="7">
        <f>SUMIFS('Stock - ETA'!$T$3:T4963,'Stock - ETA'!$F$3:F4963,'Rango proyecciones'!C82,'Stock - ETA'!$AA$3:AA4963,'Rango proyecciones'!$AJ$5) + SUMIFS('Stock - ETA'!$S$3:S4963,'Stock - ETA'!$F$3:F4963,'Rango proyecciones'!C82,'Stock - ETA'!$AA$3:AA4963,'Rango proyecciones'!$AJ$8)</f>
        <v>0</v>
      </c>
      <c r="AF82" s="16">
        <f t="shared" si="24"/>
        <v>0</v>
      </c>
      <c r="AG82" s="7">
        <f>SUMIFS('Stock - ETA'!$J$3:J4963,'Stock - ETA'!$F$3:F4963,'Rango proyecciones'!C82,'Stock - ETA'!$Q$3:Q4963,'Rango proyecciones'!$AJ$5) + SUMIFS('Stock - ETA'!$I$3:I4963,'Stock - ETA'!$F$3:F4963,'Rango proyecciones'!C82,'Stock - ETA'!$Q$3:Q4963,'Rango proyecciones'!$AJ$8)</f>
        <v>0</v>
      </c>
      <c r="AH82" s="16">
        <f t="shared" si="25"/>
        <v>0</v>
      </c>
      <c r="AI82" s="4"/>
    </row>
    <row r="83" spans="1:35" x14ac:dyDescent="0.2">
      <c r="A83" s="2" t="s">
        <v>56</v>
      </c>
      <c r="B83" s="2" t="s">
        <v>35</v>
      </c>
      <c r="C83" s="2" t="s">
        <v>225</v>
      </c>
      <c r="D83" s="2" t="s">
        <v>226</v>
      </c>
      <c r="E83" s="2">
        <v>1011748</v>
      </c>
      <c r="F83" s="2" t="s">
        <v>227</v>
      </c>
      <c r="G83" s="2" t="s">
        <v>59</v>
      </c>
      <c r="H83" s="4">
        <v>0</v>
      </c>
      <c r="I83" s="7">
        <v>0</v>
      </c>
      <c r="J83" s="7">
        <v>0</v>
      </c>
      <c r="K83" s="7">
        <v>0</v>
      </c>
      <c r="L83" s="4">
        <f t="shared" si="12"/>
        <v>0</v>
      </c>
      <c r="M83" s="7">
        <f>SUMIFS('Stock - ETA'!$R$3:R4963,'Stock - ETA'!$F$3:F4963,'Rango proyecciones'!C83,'Stock - ETA'!$AA$3:AA4963,'Rango proyecciones'!$AJ$5)</f>
        <v>250800</v>
      </c>
      <c r="N83" s="7">
        <f>SUMIF('Stock - Puerto Chile'!$G$2:G973,'Rango proyecciones'!C83,'Stock - Puerto Chile'!$L$2:L973)</f>
        <v>203040</v>
      </c>
      <c r="O83" s="7">
        <f>45600 * (25 / 27)</f>
        <v>42222.222222222219</v>
      </c>
      <c r="P83" s="7">
        <f>0 * (25 / 27)</f>
        <v>0</v>
      </c>
      <c r="Q83" s="16">
        <f t="shared" si="20"/>
        <v>250800</v>
      </c>
      <c r="R83" s="7">
        <f t="shared" si="13"/>
        <v>0</v>
      </c>
      <c r="S83" s="7">
        <f>SUMIFS('Stock - ETA'!$H$3:H4963,'Stock - ETA'!$F$3:F4963,'Rango proyecciones'!C83,'Stock - ETA'!$Q$3:Q4963,'Rango proyecciones'!$AJ$5)</f>
        <v>250800</v>
      </c>
      <c r="T83" s="7">
        <f>SUMIF('Stock - Puerto Chile'!$G$2:G973,'Rango proyecciones'!C83,'Stock - Puerto Chile'!$N$2:N973)</f>
        <v>243648</v>
      </c>
      <c r="U83" s="7">
        <f>45600 * (25 / 27)</f>
        <v>42222.222222222219</v>
      </c>
      <c r="V83" s="7">
        <f>0 * (25 / 27)</f>
        <v>0</v>
      </c>
      <c r="W83" s="17">
        <f t="shared" si="21"/>
        <v>293022.22222222225</v>
      </c>
      <c r="X83" s="4">
        <v>136800</v>
      </c>
      <c r="Y83" s="7">
        <v>136800</v>
      </c>
      <c r="Z83" s="18">
        <f>SUMIFS('Stock - ETA'!$S$3:S4963,'Stock - ETA'!$F$3:F4963,'Rango proyecciones'!C83,'Stock - ETA'!$AA$3:AA4963,'Rango proyecciones'!$AJ$5) + SUMIFS('Stock - ETA'!$R$3:R4963,'Stock - ETA'!$F$3:F4963,'Rango proyecciones'!C83,'Stock - ETA'!$AA$3:AA4963,'Rango proyecciones'!$AJ$7)</f>
        <v>22800</v>
      </c>
      <c r="AA83" s="13">
        <f t="shared" si="22"/>
        <v>159600</v>
      </c>
      <c r="AB83" s="7">
        <f>SUMIFS('Stock - ETA'!$I$3:I4963,'Stock - ETA'!$F$3:F4963,'Rango proyecciones'!C83,'Stock - ETA'!$Q$3:Q4963,'Rango proyecciones'!$AJ$5) + SUMIFS('Stock - ETA'!$H$3:H4963,'Stock - ETA'!$F$3:F4963,'Rango proyecciones'!C83,'Stock - ETA'!$Q$3:Q4963,'Rango proyecciones'!$AJ$7)</f>
        <v>22800</v>
      </c>
      <c r="AC83" s="16">
        <f t="shared" si="23"/>
        <v>159600</v>
      </c>
      <c r="AD83" s="4">
        <v>250800</v>
      </c>
      <c r="AE83" s="7">
        <f>SUMIFS('Stock - ETA'!$T$3:T4963,'Stock - ETA'!$F$3:F4963,'Rango proyecciones'!C83,'Stock - ETA'!$AA$3:AA4963,'Rango proyecciones'!$AJ$5) + SUMIFS('Stock - ETA'!$S$3:S4963,'Stock - ETA'!$F$3:F4963,'Rango proyecciones'!C83,'Stock - ETA'!$AA$3:AA4963,'Rango proyecciones'!$AJ$8)</f>
        <v>0</v>
      </c>
      <c r="AF83" s="16">
        <f>0.7 * AD83 + AE83</f>
        <v>175560</v>
      </c>
      <c r="AG83" s="7">
        <f>SUMIFS('Stock - ETA'!$J$3:J4963,'Stock - ETA'!$F$3:F4963,'Rango proyecciones'!C83,'Stock - ETA'!$Q$3:Q4963,'Rango proyecciones'!$AJ$5) + SUMIFS('Stock - ETA'!$I$3:I4963,'Stock - ETA'!$F$3:F4963,'Rango proyecciones'!C83,'Stock - ETA'!$Q$3:Q4963,'Rango proyecciones'!$AJ$8)</f>
        <v>0</v>
      </c>
      <c r="AH83" s="16">
        <f>0.7 * AD83 + AG83</f>
        <v>175560</v>
      </c>
      <c r="AI83" s="4"/>
    </row>
    <row r="84" spans="1:35" x14ac:dyDescent="0.2">
      <c r="A84" s="2" t="s">
        <v>56</v>
      </c>
      <c r="B84" s="2" t="s">
        <v>35</v>
      </c>
      <c r="C84" s="2" t="s">
        <v>228</v>
      </c>
      <c r="D84" s="2" t="s">
        <v>150</v>
      </c>
      <c r="E84" s="2">
        <v>1011127</v>
      </c>
      <c r="F84" s="2" t="s">
        <v>229</v>
      </c>
      <c r="G84" s="2" t="s">
        <v>59</v>
      </c>
      <c r="H84" s="4">
        <v>0</v>
      </c>
      <c r="I84" s="7">
        <v>0</v>
      </c>
      <c r="J84" s="7">
        <v>116400</v>
      </c>
      <c r="K84" s="7">
        <v>11396.77</v>
      </c>
      <c r="L84" s="4">
        <f>MAX(J84 - K84, 0) * MAX((23 - 10)/(10), 0)</f>
        <v>136504.19899999999</v>
      </c>
      <c r="M84" s="7">
        <f>SUMIFS('Stock - ETA'!$R$3:R4963,'Stock - ETA'!$F$3:F4963,'Rango proyecciones'!C84,'Stock - ETA'!$AA$3:AA4963,'Rango proyecciones'!$AJ$5)</f>
        <v>1384800</v>
      </c>
      <c r="N84" s="7">
        <f>SUMIF('Stock - Puerto Chile'!$G$2:G973,'Rango proyecciones'!C84,'Stock - Puerto Chile'!$L$2:L973)</f>
        <v>2575480.8695652173</v>
      </c>
      <c r="O84" s="7">
        <f>43200 * (23 / 27)</f>
        <v>36800</v>
      </c>
      <c r="P84" s="7">
        <f>16500 * (23 / 27)</f>
        <v>14055.555555555557</v>
      </c>
      <c r="Q84" s="16">
        <f t="shared" si="20"/>
        <v>1398855.5555555555</v>
      </c>
      <c r="R84" s="7">
        <f>MAX(J84 - K84, 0) * MAX((23 - 7)/(7), 0)</f>
        <v>240007.38285714283</v>
      </c>
      <c r="S84" s="7">
        <f>SUMIFS('Stock - ETA'!$H$3:H4963,'Stock - ETA'!$F$3:F4963,'Rango proyecciones'!C84,'Stock - ETA'!$Q$3:Q4963,'Rango proyecciones'!$AJ$5)</f>
        <v>1384800</v>
      </c>
      <c r="T84" s="7">
        <f>SUMIF('Stock - Puerto Chile'!$G$2:G973,'Rango proyecciones'!C84,'Stock - Puerto Chile'!$N$2:N973)</f>
        <v>3169822.6086956519</v>
      </c>
      <c r="U84" s="7">
        <f>43200 * (23 / 27)</f>
        <v>36800</v>
      </c>
      <c r="V84" s="7">
        <f>16500 * (23 / 27)</f>
        <v>14055.555555555557</v>
      </c>
      <c r="W84" s="17">
        <f t="shared" si="21"/>
        <v>1435655.5555555555</v>
      </c>
      <c r="X84" s="4">
        <v>181513</v>
      </c>
      <c r="Y84" s="7">
        <v>181513</v>
      </c>
      <c r="Z84" s="18">
        <f>SUMIFS('Stock - ETA'!$S$3:S4963,'Stock - ETA'!$F$3:F4963,'Rango proyecciones'!C84,'Stock - ETA'!$AA$3:AA4963,'Rango proyecciones'!$AJ$5) + SUMIFS('Stock - ETA'!$R$3:R4963,'Stock - ETA'!$F$3:F4963,'Rango proyecciones'!C84,'Stock - ETA'!$AA$3:AA4963,'Rango proyecciones'!$AJ$7)</f>
        <v>147600</v>
      </c>
      <c r="AA84" s="13">
        <f t="shared" si="22"/>
        <v>329113</v>
      </c>
      <c r="AB84" s="7">
        <f>SUMIFS('Stock - ETA'!$I$3:I4963,'Stock - ETA'!$F$3:F4963,'Rango proyecciones'!C84,'Stock - ETA'!$Q$3:Q4963,'Rango proyecciones'!$AJ$5) + SUMIFS('Stock - ETA'!$H$3:H4963,'Stock - ETA'!$F$3:F4963,'Rango proyecciones'!C84,'Stock - ETA'!$Q$3:Q4963,'Rango proyecciones'!$AJ$7)</f>
        <v>147600</v>
      </c>
      <c r="AC84" s="16">
        <f t="shared" si="23"/>
        <v>329113</v>
      </c>
      <c r="AD84" s="4">
        <v>1032674</v>
      </c>
      <c r="AE84" s="7">
        <f>SUMIFS('Stock - ETA'!$T$3:T4963,'Stock - ETA'!$F$3:F4963,'Rango proyecciones'!C84,'Stock - ETA'!$AA$3:AA4963,'Rango proyecciones'!$AJ$5) + SUMIFS('Stock - ETA'!$S$3:S4963,'Stock - ETA'!$F$3:F4963,'Rango proyecciones'!C84,'Stock - ETA'!$AA$3:AA4963,'Rango proyecciones'!$AJ$8)</f>
        <v>0</v>
      </c>
      <c r="AF84" s="16">
        <f>0.8 * AD84 + AE84</f>
        <v>826139.20000000007</v>
      </c>
      <c r="AG84" s="7">
        <f>SUMIFS('Stock - ETA'!$J$3:J4963,'Stock - ETA'!$F$3:F4963,'Rango proyecciones'!C84,'Stock - ETA'!$Q$3:Q4963,'Rango proyecciones'!$AJ$5) + SUMIFS('Stock - ETA'!$I$3:I4963,'Stock - ETA'!$F$3:F4963,'Rango proyecciones'!C84,'Stock - ETA'!$Q$3:Q4963,'Rango proyecciones'!$AJ$8)</f>
        <v>0</v>
      </c>
      <c r="AH84" s="16">
        <f>0.8 * AD84 + AG84</f>
        <v>826139.20000000007</v>
      </c>
      <c r="AI84" s="4"/>
    </row>
    <row r="85" spans="1:35" x14ac:dyDescent="0.2">
      <c r="A85" s="2" t="s">
        <v>56</v>
      </c>
      <c r="B85" s="2" t="s">
        <v>35</v>
      </c>
      <c r="C85" s="2" t="s">
        <v>230</v>
      </c>
      <c r="D85" s="2" t="s">
        <v>150</v>
      </c>
      <c r="E85" s="2">
        <v>1012278</v>
      </c>
      <c r="F85" s="2" t="s">
        <v>231</v>
      </c>
      <c r="G85" s="2" t="s">
        <v>63</v>
      </c>
      <c r="H85" s="4">
        <v>0</v>
      </c>
      <c r="I85" s="7">
        <v>0</v>
      </c>
      <c r="J85" s="7">
        <v>0</v>
      </c>
      <c r="K85" s="7">
        <v>0</v>
      </c>
      <c r="L85" s="4">
        <f>MAX(J85 - K85, 0) * MAX((23 - 10)/(10), 0)</f>
        <v>0</v>
      </c>
      <c r="M85" s="7">
        <f>SUMIFS('Stock - ETA'!$R$3:R4963,'Stock - ETA'!$F$3:F4963,'Rango proyecciones'!C85,'Stock - ETA'!$AA$3:AA4963,'Rango proyecciones'!$AJ$5)</f>
        <v>80028</v>
      </c>
      <c r="N85" s="7">
        <f>SUMIF('Stock - Puerto Chile'!$G$2:G973,'Rango proyecciones'!C85,'Stock - Puerto Chile'!$L$2:L973)</f>
        <v>67208.869565217392</v>
      </c>
      <c r="O85" s="7">
        <f>0 * (23 / 27)</f>
        <v>0</v>
      </c>
      <c r="P85" s="7">
        <f>124983 * (23 / 27)</f>
        <v>106467</v>
      </c>
      <c r="Q85" s="16">
        <f t="shared" si="20"/>
        <v>186495</v>
      </c>
      <c r="R85" s="7">
        <f>MAX(J85 - K85, 0) * MAX((23 - 7)/(7), 0)</f>
        <v>0</v>
      </c>
      <c r="S85" s="7">
        <f>SUMIFS('Stock - ETA'!$H$3:H4963,'Stock - ETA'!$F$3:F4963,'Rango proyecciones'!C85,'Stock - ETA'!$Q$3:Q4963,'Rango proyecciones'!$AJ$5)</f>
        <v>80028</v>
      </c>
      <c r="T85" s="7">
        <f>SUMIF('Stock - Puerto Chile'!$G$2:G973,'Rango proyecciones'!C85,'Stock - Puerto Chile'!$N$2:N973)</f>
        <v>82718.608695652176</v>
      </c>
      <c r="U85" s="7">
        <f>0 * (23 / 27)</f>
        <v>0</v>
      </c>
      <c r="V85" s="7">
        <f>124983 * (23 / 27)</f>
        <v>106467</v>
      </c>
      <c r="W85" s="17">
        <f t="shared" si="21"/>
        <v>186495</v>
      </c>
      <c r="X85" s="4"/>
      <c r="Y85" s="7"/>
      <c r="Z85" s="18">
        <f>SUMIFS('Stock - ETA'!$S$3:S4963,'Stock - ETA'!$F$3:F4963,'Rango proyecciones'!C85,'Stock - ETA'!$AA$3:AA4963,'Rango proyecciones'!$AJ$5) + SUMIFS('Stock - ETA'!$R$3:R4963,'Stock - ETA'!$F$3:F4963,'Rango proyecciones'!C85,'Stock - ETA'!$AA$3:AA4963,'Rango proyecciones'!$AJ$7)</f>
        <v>0</v>
      </c>
      <c r="AA85" s="13">
        <f t="shared" si="22"/>
        <v>0</v>
      </c>
      <c r="AB85" s="7">
        <f>SUMIFS('Stock - ETA'!$I$3:I4963,'Stock - ETA'!$F$3:F4963,'Rango proyecciones'!C85,'Stock - ETA'!$Q$3:Q4963,'Rango proyecciones'!$AJ$5) + SUMIFS('Stock - ETA'!$H$3:H4963,'Stock - ETA'!$F$3:F4963,'Rango proyecciones'!C85,'Stock - ETA'!$Q$3:Q4963,'Rango proyecciones'!$AJ$7)</f>
        <v>0</v>
      </c>
      <c r="AC85" s="16">
        <f t="shared" si="23"/>
        <v>0</v>
      </c>
      <c r="AD85" s="4"/>
      <c r="AE85" s="7">
        <f>SUMIFS('Stock - ETA'!$T$3:T4963,'Stock - ETA'!$F$3:F4963,'Rango proyecciones'!C85,'Stock - ETA'!$AA$3:AA4963,'Rango proyecciones'!$AJ$5) + SUMIFS('Stock - ETA'!$S$3:S4963,'Stock - ETA'!$F$3:F4963,'Rango proyecciones'!C85,'Stock - ETA'!$AA$3:AA4963,'Rango proyecciones'!$AJ$8)</f>
        <v>0</v>
      </c>
      <c r="AF85" s="16">
        <f>0.8 * AD85 + AE85</f>
        <v>0</v>
      </c>
      <c r="AG85" s="7">
        <f>SUMIFS('Stock - ETA'!$J$3:J4963,'Stock - ETA'!$F$3:F4963,'Rango proyecciones'!C85,'Stock - ETA'!$Q$3:Q4963,'Rango proyecciones'!$AJ$5) + SUMIFS('Stock - ETA'!$I$3:I4963,'Stock - ETA'!$F$3:F4963,'Rango proyecciones'!C85,'Stock - ETA'!$Q$3:Q4963,'Rango proyecciones'!$AJ$8)</f>
        <v>0</v>
      </c>
      <c r="AH85" s="16">
        <f>0.8 * AD85 + AG85</f>
        <v>0</v>
      </c>
      <c r="AI85" s="4"/>
    </row>
    <row r="86" spans="1:35" x14ac:dyDescent="0.2">
      <c r="A86" s="2" t="s">
        <v>56</v>
      </c>
      <c r="B86" s="2" t="s">
        <v>35</v>
      </c>
      <c r="C86" s="2" t="s">
        <v>232</v>
      </c>
      <c r="D86" s="2" t="s">
        <v>150</v>
      </c>
      <c r="E86" s="2">
        <v>1012534</v>
      </c>
      <c r="F86" s="2" t="s">
        <v>233</v>
      </c>
      <c r="G86" s="2" t="s">
        <v>234</v>
      </c>
      <c r="H86" s="4">
        <v>0</v>
      </c>
      <c r="I86" s="7">
        <v>0</v>
      </c>
      <c r="J86" s="7">
        <v>0</v>
      </c>
      <c r="K86" s="7">
        <v>0</v>
      </c>
      <c r="L86" s="4">
        <f>MAX(J86 - K86, 0) * MAX((23 - 10)/(10), 0)</f>
        <v>0</v>
      </c>
      <c r="M86" s="7">
        <f>SUMIFS('Stock - ETA'!$R$3:R4963,'Stock - ETA'!$F$3:F4963,'Rango proyecciones'!C86,'Stock - ETA'!$AA$3:AA4963,'Rango proyecciones'!$AJ$5)</f>
        <v>59973.369999999995</v>
      </c>
      <c r="N86" s="7">
        <f>SUMIF('Stock - Puerto Chile'!$G$2:G973,'Rango proyecciones'!C86,'Stock - Puerto Chile'!$L$2:L973)</f>
        <v>90393.37817391305</v>
      </c>
      <c r="O86" s="7">
        <f>0 * (23 / 27)</f>
        <v>0</v>
      </c>
      <c r="P86" s="7">
        <f>19988.885 * (23 / 27)</f>
        <v>17027.568703703702</v>
      </c>
      <c r="Q86" s="16">
        <f t="shared" si="20"/>
        <v>77000.938703703694</v>
      </c>
      <c r="R86" s="7">
        <f>MAX(J86 - K86, 0) * MAX((23 - 7)/(7), 0)</f>
        <v>0</v>
      </c>
      <c r="S86" s="7">
        <f>SUMIFS('Stock - ETA'!$H$3:H4963,'Stock - ETA'!$F$3:F4963,'Rango proyecciones'!C86,'Stock - ETA'!$Q$3:Q4963,'Rango proyecciones'!$AJ$5)</f>
        <v>59973.369999999995</v>
      </c>
      <c r="T86" s="7">
        <f>SUMIF('Stock - Puerto Chile'!$G$2:G973,'Rango proyecciones'!C86,'Stock - Puerto Chile'!$N$2:N973)</f>
        <v>111253.38852173914</v>
      </c>
      <c r="U86" s="7">
        <f>0 * (23 / 27)</f>
        <v>0</v>
      </c>
      <c r="V86" s="7">
        <f>19988.885 * (23 / 27)</f>
        <v>17027.568703703702</v>
      </c>
      <c r="W86" s="17">
        <f t="shared" si="21"/>
        <v>77000.938703703694</v>
      </c>
      <c r="X86" s="4"/>
      <c r="Y86" s="7"/>
      <c r="Z86" s="18">
        <f>SUMIFS('Stock - ETA'!$S$3:S4963,'Stock - ETA'!$F$3:F4963,'Rango proyecciones'!C86,'Stock - ETA'!$AA$3:AA4963,'Rango proyecciones'!$AJ$5) + SUMIFS('Stock - ETA'!$R$3:R4963,'Stock - ETA'!$F$3:F4963,'Rango proyecciones'!C86,'Stock - ETA'!$AA$3:AA4963,'Rango proyecciones'!$AJ$7)</f>
        <v>0</v>
      </c>
      <c r="AA86" s="13">
        <f t="shared" si="22"/>
        <v>0</v>
      </c>
      <c r="AB86" s="7">
        <f>SUMIFS('Stock - ETA'!$I$3:I4963,'Stock - ETA'!$F$3:F4963,'Rango proyecciones'!C86,'Stock - ETA'!$Q$3:Q4963,'Rango proyecciones'!$AJ$5) + SUMIFS('Stock - ETA'!$H$3:H4963,'Stock - ETA'!$F$3:F4963,'Rango proyecciones'!C86,'Stock - ETA'!$Q$3:Q4963,'Rango proyecciones'!$AJ$7)</f>
        <v>0</v>
      </c>
      <c r="AC86" s="16">
        <f t="shared" si="23"/>
        <v>0</v>
      </c>
      <c r="AD86" s="4"/>
      <c r="AE86" s="7">
        <f>SUMIFS('Stock - ETA'!$T$3:T4963,'Stock - ETA'!$F$3:F4963,'Rango proyecciones'!C86,'Stock - ETA'!$AA$3:AA4963,'Rango proyecciones'!$AJ$5) + SUMIFS('Stock - ETA'!$S$3:S4963,'Stock - ETA'!$F$3:F4963,'Rango proyecciones'!C86,'Stock - ETA'!$AA$3:AA4963,'Rango proyecciones'!$AJ$8)</f>
        <v>0</v>
      </c>
      <c r="AF86" s="16">
        <f>0.8 * AD86 + AE86</f>
        <v>0</v>
      </c>
      <c r="AG86" s="7">
        <f>SUMIFS('Stock - ETA'!$J$3:J4963,'Stock - ETA'!$F$3:F4963,'Rango proyecciones'!C86,'Stock - ETA'!$Q$3:Q4963,'Rango proyecciones'!$AJ$5) + SUMIFS('Stock - ETA'!$I$3:I4963,'Stock - ETA'!$F$3:F4963,'Rango proyecciones'!C86,'Stock - ETA'!$Q$3:Q4963,'Rango proyecciones'!$AJ$8)</f>
        <v>0</v>
      </c>
      <c r="AH86" s="16">
        <f>0.8 * AD86 + AG86</f>
        <v>0</v>
      </c>
      <c r="AI86" s="4"/>
    </row>
    <row r="87" spans="1:35" x14ac:dyDescent="0.2">
      <c r="A87" s="2" t="s">
        <v>56</v>
      </c>
      <c r="B87" s="2" t="s">
        <v>35</v>
      </c>
      <c r="C87" s="2" t="s">
        <v>235</v>
      </c>
      <c r="D87" s="2" t="s">
        <v>46</v>
      </c>
      <c r="E87" s="2">
        <v>1012218</v>
      </c>
      <c r="F87" s="2" t="s">
        <v>236</v>
      </c>
      <c r="G87" s="2" t="s">
        <v>63</v>
      </c>
      <c r="H87" s="4">
        <v>0</v>
      </c>
      <c r="I87" s="7">
        <v>0</v>
      </c>
      <c r="J87" s="7">
        <v>15000</v>
      </c>
      <c r="K87" s="7"/>
      <c r="L87" s="4">
        <f t="shared" ref="L87:L100" si="26">MAX(J87 - K87, 0) * MAX((25 - 10)/(10), 0)</f>
        <v>22500</v>
      </c>
      <c r="M87" s="7">
        <f>SUMIFS('Stock - ETA'!$R$3:R4963,'Stock - ETA'!$F$3:F4963,'Rango proyecciones'!C87,'Stock - ETA'!$AA$3:AA4963,'Rango proyecciones'!$AJ$5)</f>
        <v>63000</v>
      </c>
      <c r="N87" s="7">
        <f>SUMIF('Stock - Puerto Chile'!$G$2:G973,'Rango proyecciones'!C87,'Stock - Puerto Chile'!$L$2:L973)</f>
        <v>0</v>
      </c>
      <c r="O87" s="7">
        <f>0 * (25 / 27)</f>
        <v>0</v>
      </c>
      <c r="P87" s="7">
        <f>9750 * (25 / 27)</f>
        <v>9027.7777777777774</v>
      </c>
      <c r="Q87" s="16">
        <f t="shared" si="20"/>
        <v>72027.777777777781</v>
      </c>
      <c r="R87" s="7">
        <f t="shared" ref="R87:R100" si="27">MAX(J87 - K87, 0) * MAX((25 - 7)/(7), 0)</f>
        <v>38571.428571428572</v>
      </c>
      <c r="S87" s="7">
        <f>SUMIFS('Stock - ETA'!$H$3:H4963,'Stock - ETA'!$F$3:F4963,'Rango proyecciones'!C87,'Stock - ETA'!$Q$3:Q4963,'Rango proyecciones'!$AJ$5)</f>
        <v>63000</v>
      </c>
      <c r="T87" s="7">
        <f>SUMIF('Stock - Puerto Chile'!$G$2:G973,'Rango proyecciones'!C87,'Stock - Puerto Chile'!$N$2:N973)</f>
        <v>0</v>
      </c>
      <c r="U87" s="7">
        <f>0 * (25 / 27)</f>
        <v>0</v>
      </c>
      <c r="V87" s="7">
        <f>9750 * (25 / 27)</f>
        <v>9027.7777777777774</v>
      </c>
      <c r="W87" s="17">
        <f t="shared" si="21"/>
        <v>72027.777777777781</v>
      </c>
      <c r="X87" s="4">
        <v>56083</v>
      </c>
      <c r="Y87" s="7">
        <v>56083</v>
      </c>
      <c r="Z87" s="18">
        <f>SUMIFS('Stock - ETA'!$S$3:S4963,'Stock - ETA'!$F$3:F4963,'Rango proyecciones'!C87,'Stock - ETA'!$AA$3:AA4963,'Rango proyecciones'!$AJ$5) + SUMIFS('Stock - ETA'!$R$3:R4963,'Stock - ETA'!$F$3:F4963,'Rango proyecciones'!C87,'Stock - ETA'!$AA$3:AA4963,'Rango proyecciones'!$AJ$7)</f>
        <v>38115</v>
      </c>
      <c r="AA87" s="13">
        <f t="shared" si="22"/>
        <v>94198</v>
      </c>
      <c r="AB87" s="7">
        <f>SUMIFS('Stock - ETA'!$I$3:I4963,'Stock - ETA'!$F$3:F4963,'Rango proyecciones'!C87,'Stock - ETA'!$Q$3:Q4963,'Rango proyecciones'!$AJ$5) + SUMIFS('Stock - ETA'!$H$3:H4963,'Stock - ETA'!$F$3:F4963,'Rango proyecciones'!C87,'Stock - ETA'!$Q$3:Q4963,'Rango proyecciones'!$AJ$7)</f>
        <v>38115</v>
      </c>
      <c r="AC87" s="16">
        <f t="shared" si="23"/>
        <v>94198</v>
      </c>
      <c r="AD87" s="4">
        <v>53588</v>
      </c>
      <c r="AE87" s="7">
        <f>SUMIFS('Stock - ETA'!$T$3:T4963,'Stock - ETA'!$F$3:F4963,'Rango proyecciones'!C87,'Stock - ETA'!$AA$3:AA4963,'Rango proyecciones'!$AJ$5) + SUMIFS('Stock - ETA'!$S$3:S4963,'Stock - ETA'!$F$3:F4963,'Rango proyecciones'!C87,'Stock - ETA'!$AA$3:AA4963,'Rango proyecciones'!$AJ$8)</f>
        <v>0</v>
      </c>
      <c r="AF87" s="16">
        <f t="shared" ref="AF87:AF94" si="28">0.6 * AD87 + AE87</f>
        <v>32152.799999999999</v>
      </c>
      <c r="AG87" s="7">
        <f>SUMIFS('Stock - ETA'!$J$3:J4963,'Stock - ETA'!$F$3:F4963,'Rango proyecciones'!C87,'Stock - ETA'!$Q$3:Q4963,'Rango proyecciones'!$AJ$5) + SUMIFS('Stock - ETA'!$I$3:I4963,'Stock - ETA'!$F$3:F4963,'Rango proyecciones'!C87,'Stock - ETA'!$Q$3:Q4963,'Rango proyecciones'!$AJ$8)</f>
        <v>0</v>
      </c>
      <c r="AH87" s="16">
        <f t="shared" ref="AH87:AH94" si="29">0.6 * AD87 + AG87</f>
        <v>32152.799999999999</v>
      </c>
      <c r="AI87" s="4"/>
    </row>
    <row r="88" spans="1:35" x14ac:dyDescent="0.2">
      <c r="A88" s="2" t="s">
        <v>56</v>
      </c>
      <c r="B88" s="2" t="s">
        <v>35</v>
      </c>
      <c r="C88" s="2" t="s">
        <v>237</v>
      </c>
      <c r="D88" s="2" t="s">
        <v>46</v>
      </c>
      <c r="E88" s="2">
        <v>1012275</v>
      </c>
      <c r="F88" s="2" t="s">
        <v>238</v>
      </c>
      <c r="G88" s="2" t="s">
        <v>63</v>
      </c>
      <c r="H88" s="4">
        <v>0</v>
      </c>
      <c r="I88" s="7">
        <v>0</v>
      </c>
      <c r="J88" s="7">
        <v>0</v>
      </c>
      <c r="K88" s="7">
        <v>0</v>
      </c>
      <c r="L88" s="4">
        <f t="shared" si="26"/>
        <v>0</v>
      </c>
      <c r="M88" s="7">
        <f>SUMIFS('Stock - ETA'!$R$3:R4963,'Stock - ETA'!$F$3:F4963,'Rango proyecciones'!C88,'Stock - ETA'!$AA$3:AA4963,'Rango proyecciones'!$AJ$5)</f>
        <v>0</v>
      </c>
      <c r="N88" s="7">
        <f>SUMIF('Stock - Puerto Chile'!$G$2:G973,'Rango proyecciones'!C88,'Stock - Puerto Chile'!$L$2:L973)</f>
        <v>0</v>
      </c>
      <c r="O88" s="7">
        <f>1728 * (25 / 27)</f>
        <v>1600</v>
      </c>
      <c r="P88" s="7">
        <f>0 * (25 / 27)</f>
        <v>0</v>
      </c>
      <c r="Q88" s="16">
        <f t="shared" si="20"/>
        <v>0</v>
      </c>
      <c r="R88" s="7">
        <f t="shared" si="27"/>
        <v>0</v>
      </c>
      <c r="S88" s="7">
        <f>SUMIFS('Stock - ETA'!$H$3:H4963,'Stock - ETA'!$F$3:F4963,'Rango proyecciones'!C88,'Stock - ETA'!$Q$3:Q4963,'Rango proyecciones'!$AJ$5)</f>
        <v>0</v>
      </c>
      <c r="T88" s="7">
        <f>SUMIF('Stock - Puerto Chile'!$G$2:G973,'Rango proyecciones'!C88,'Stock - Puerto Chile'!$N$2:N973)</f>
        <v>0</v>
      </c>
      <c r="U88" s="7">
        <f>1728 * (25 / 27)</f>
        <v>1600</v>
      </c>
      <c r="V88" s="7">
        <f>0 * (25 / 27)</f>
        <v>0</v>
      </c>
      <c r="W88" s="17">
        <f t="shared" si="21"/>
        <v>1600</v>
      </c>
      <c r="X88" s="4"/>
      <c r="Y88" s="7"/>
      <c r="Z88" s="18">
        <f>SUMIFS('Stock - ETA'!$S$3:S4963,'Stock - ETA'!$F$3:F4963,'Rango proyecciones'!C88,'Stock - ETA'!$AA$3:AA4963,'Rango proyecciones'!$AJ$5) + SUMIFS('Stock - ETA'!$R$3:R4963,'Stock - ETA'!$F$3:F4963,'Rango proyecciones'!C88,'Stock - ETA'!$AA$3:AA4963,'Rango proyecciones'!$AJ$7)</f>
        <v>0</v>
      </c>
      <c r="AA88" s="13">
        <f t="shared" si="22"/>
        <v>0</v>
      </c>
      <c r="AB88" s="7">
        <f>SUMIFS('Stock - ETA'!$I$3:I4963,'Stock - ETA'!$F$3:F4963,'Rango proyecciones'!C88,'Stock - ETA'!$Q$3:Q4963,'Rango proyecciones'!$AJ$5) + SUMIFS('Stock - ETA'!$H$3:H4963,'Stock - ETA'!$F$3:F4963,'Rango proyecciones'!C88,'Stock - ETA'!$Q$3:Q4963,'Rango proyecciones'!$AJ$7)</f>
        <v>0</v>
      </c>
      <c r="AC88" s="16">
        <f t="shared" si="23"/>
        <v>0</v>
      </c>
      <c r="AD88" s="4"/>
      <c r="AE88" s="7">
        <f>SUMIFS('Stock - ETA'!$T$3:T4963,'Stock - ETA'!$F$3:F4963,'Rango proyecciones'!C88,'Stock - ETA'!$AA$3:AA4963,'Rango proyecciones'!$AJ$5) + SUMIFS('Stock - ETA'!$S$3:S4963,'Stock - ETA'!$F$3:F4963,'Rango proyecciones'!C88,'Stock - ETA'!$AA$3:AA4963,'Rango proyecciones'!$AJ$8)</f>
        <v>0</v>
      </c>
      <c r="AF88" s="16">
        <f t="shared" si="28"/>
        <v>0</v>
      </c>
      <c r="AG88" s="7">
        <f>SUMIFS('Stock - ETA'!$J$3:J4963,'Stock - ETA'!$F$3:F4963,'Rango proyecciones'!C88,'Stock - ETA'!$Q$3:Q4963,'Rango proyecciones'!$AJ$5) + SUMIFS('Stock - ETA'!$I$3:I4963,'Stock - ETA'!$F$3:F4963,'Rango proyecciones'!C88,'Stock - ETA'!$Q$3:Q4963,'Rango proyecciones'!$AJ$8)</f>
        <v>0</v>
      </c>
      <c r="AH88" s="16">
        <f t="shared" si="29"/>
        <v>0</v>
      </c>
      <c r="AI88" s="4"/>
    </row>
    <row r="89" spans="1:35" x14ac:dyDescent="0.2">
      <c r="A89" s="2" t="s">
        <v>56</v>
      </c>
      <c r="B89" s="2" t="s">
        <v>35</v>
      </c>
      <c r="C89" s="2" t="s">
        <v>239</v>
      </c>
      <c r="D89" s="2" t="s">
        <v>46</v>
      </c>
      <c r="E89" s="2">
        <v>1012434</v>
      </c>
      <c r="F89" s="2" t="s">
        <v>240</v>
      </c>
      <c r="G89" s="2" t="s">
        <v>63</v>
      </c>
      <c r="H89" s="4">
        <v>0</v>
      </c>
      <c r="I89" s="7">
        <v>0</v>
      </c>
      <c r="J89" s="7">
        <v>10000</v>
      </c>
      <c r="K89" s="7">
        <v>740.88</v>
      </c>
      <c r="L89" s="4">
        <f t="shared" si="26"/>
        <v>13888.68</v>
      </c>
      <c r="M89" s="7">
        <f>SUMIFS('Stock - ETA'!$R$3:R4963,'Stock - ETA'!$F$3:F4963,'Rango proyecciones'!C89,'Stock - ETA'!$AA$3:AA4963,'Rango proyecciones'!$AJ$5)</f>
        <v>48000</v>
      </c>
      <c r="N89" s="7">
        <f>SUMIF('Stock - Puerto Chile'!$G$2:G973,'Rango proyecciones'!C89,'Stock - Puerto Chile'!$L$2:L973)</f>
        <v>0</v>
      </c>
      <c r="O89" s="7">
        <f>0 * (25 / 27)</f>
        <v>0</v>
      </c>
      <c r="P89" s="7">
        <f>24000 * (25 / 27)</f>
        <v>22222.222222222223</v>
      </c>
      <c r="Q89" s="16">
        <f t="shared" si="20"/>
        <v>70222.222222222219</v>
      </c>
      <c r="R89" s="7">
        <f t="shared" si="27"/>
        <v>23809.165714285718</v>
      </c>
      <c r="S89" s="7">
        <f>SUMIFS('Stock - ETA'!$H$3:H4963,'Stock - ETA'!$F$3:F4963,'Rango proyecciones'!C89,'Stock - ETA'!$Q$3:Q4963,'Rango proyecciones'!$AJ$5)</f>
        <v>48000</v>
      </c>
      <c r="T89" s="7">
        <f>SUMIF('Stock - Puerto Chile'!$G$2:G973,'Rango proyecciones'!C89,'Stock - Puerto Chile'!$N$2:N973)</f>
        <v>0</v>
      </c>
      <c r="U89" s="7">
        <f>0 * (25 / 27)</f>
        <v>0</v>
      </c>
      <c r="V89" s="7">
        <f>24000 * (25 / 27)</f>
        <v>22222.222222222223</v>
      </c>
      <c r="W89" s="17">
        <f t="shared" si="21"/>
        <v>70222.222222222219</v>
      </c>
      <c r="X89" s="4">
        <v>53052</v>
      </c>
      <c r="Y89" s="7">
        <v>53052</v>
      </c>
      <c r="Z89" s="18">
        <f>SUMIFS('Stock - ETA'!$S$3:S4963,'Stock - ETA'!$F$3:F4963,'Rango proyecciones'!C89,'Stock - ETA'!$AA$3:AA4963,'Rango proyecciones'!$AJ$5) + SUMIFS('Stock - ETA'!$R$3:R4963,'Stock - ETA'!$F$3:F4963,'Rango proyecciones'!C89,'Stock - ETA'!$AA$3:AA4963,'Rango proyecciones'!$AJ$7)</f>
        <v>48000</v>
      </c>
      <c r="AA89" s="13">
        <f t="shared" si="22"/>
        <v>101052</v>
      </c>
      <c r="AB89" s="7">
        <f>SUMIFS('Stock - ETA'!$I$3:I4963,'Stock - ETA'!$F$3:F4963,'Rango proyecciones'!C89,'Stock - ETA'!$Q$3:Q4963,'Rango proyecciones'!$AJ$5) + SUMIFS('Stock - ETA'!$H$3:H4963,'Stock - ETA'!$F$3:F4963,'Rango proyecciones'!C89,'Stock - ETA'!$Q$3:Q4963,'Rango proyecciones'!$AJ$7)</f>
        <v>48000</v>
      </c>
      <c r="AC89" s="16">
        <f t="shared" si="23"/>
        <v>101052</v>
      </c>
      <c r="AD89" s="4">
        <v>63731</v>
      </c>
      <c r="AE89" s="7">
        <f>SUMIFS('Stock - ETA'!$T$3:T4963,'Stock - ETA'!$F$3:F4963,'Rango proyecciones'!C89,'Stock - ETA'!$AA$3:AA4963,'Rango proyecciones'!$AJ$5) + SUMIFS('Stock - ETA'!$S$3:S4963,'Stock - ETA'!$F$3:F4963,'Rango proyecciones'!C89,'Stock - ETA'!$AA$3:AA4963,'Rango proyecciones'!$AJ$8)</f>
        <v>0</v>
      </c>
      <c r="AF89" s="16">
        <f t="shared" si="28"/>
        <v>38238.6</v>
      </c>
      <c r="AG89" s="7">
        <f>SUMIFS('Stock - ETA'!$J$3:J4963,'Stock - ETA'!$F$3:F4963,'Rango proyecciones'!C89,'Stock - ETA'!$Q$3:Q4963,'Rango proyecciones'!$AJ$5) + SUMIFS('Stock - ETA'!$I$3:I4963,'Stock - ETA'!$F$3:F4963,'Rango proyecciones'!C89,'Stock - ETA'!$Q$3:Q4963,'Rango proyecciones'!$AJ$8)</f>
        <v>0</v>
      </c>
      <c r="AH89" s="16">
        <f t="shared" si="29"/>
        <v>38238.6</v>
      </c>
      <c r="AI89" s="4"/>
    </row>
    <row r="90" spans="1:35" x14ac:dyDescent="0.2">
      <c r="A90" s="2" t="s">
        <v>56</v>
      </c>
      <c r="B90" s="2" t="s">
        <v>35</v>
      </c>
      <c r="C90" s="2" t="s">
        <v>241</v>
      </c>
      <c r="D90" s="2" t="s">
        <v>46</v>
      </c>
      <c r="E90" s="2">
        <v>1012453</v>
      </c>
      <c r="F90" s="2" t="s">
        <v>242</v>
      </c>
      <c r="G90" s="2" t="s">
        <v>63</v>
      </c>
      <c r="H90" s="4">
        <v>0</v>
      </c>
      <c r="I90" s="7">
        <v>0</v>
      </c>
      <c r="J90" s="7">
        <v>0</v>
      </c>
      <c r="K90" s="7">
        <v>0</v>
      </c>
      <c r="L90" s="4">
        <f t="shared" si="26"/>
        <v>0</v>
      </c>
      <c r="M90" s="7">
        <f>SUMIFS('Stock - ETA'!$R$3:R4963,'Stock - ETA'!$F$3:F4963,'Rango proyecciones'!C90,'Stock - ETA'!$AA$3:AA4963,'Rango proyecciones'!$AJ$5)</f>
        <v>19976</v>
      </c>
      <c r="N90" s="7">
        <f>SUMIF('Stock - Puerto Chile'!$G$2:G973,'Rango proyecciones'!C90,'Stock - Puerto Chile'!$L$2:L973)</f>
        <v>4194.96</v>
      </c>
      <c r="O90" s="7">
        <f>6900.8 * (25 / 27)</f>
        <v>6389.6296296296296</v>
      </c>
      <c r="P90" s="7">
        <f>0 * (25 / 27)</f>
        <v>0</v>
      </c>
      <c r="Q90" s="16">
        <f t="shared" si="20"/>
        <v>19976</v>
      </c>
      <c r="R90" s="7">
        <f t="shared" si="27"/>
        <v>0</v>
      </c>
      <c r="S90" s="7">
        <f>SUMIFS('Stock - ETA'!$H$3:H4963,'Stock - ETA'!$F$3:F4963,'Rango proyecciones'!C90,'Stock - ETA'!$Q$3:Q4963,'Rango proyecciones'!$AJ$5)</f>
        <v>19976</v>
      </c>
      <c r="T90" s="7">
        <f>SUMIF('Stock - Puerto Chile'!$G$2:G973,'Rango proyecciones'!C90,'Stock - Puerto Chile'!$N$2:N973)</f>
        <v>5033.9519999999993</v>
      </c>
      <c r="U90" s="7">
        <f>6900.8 * (25 / 27)</f>
        <v>6389.6296296296296</v>
      </c>
      <c r="V90" s="7">
        <f>0 * (25 / 27)</f>
        <v>0</v>
      </c>
      <c r="W90" s="17">
        <f t="shared" si="21"/>
        <v>26365.629629629628</v>
      </c>
      <c r="X90" s="4"/>
      <c r="Y90" s="7"/>
      <c r="Z90" s="18">
        <f>SUMIFS('Stock - ETA'!$S$3:S4963,'Stock - ETA'!$F$3:F4963,'Rango proyecciones'!C90,'Stock - ETA'!$AA$3:AA4963,'Rango proyecciones'!$AJ$5) + SUMIFS('Stock - ETA'!$R$3:R4963,'Stock - ETA'!$F$3:F4963,'Rango proyecciones'!C90,'Stock - ETA'!$AA$3:AA4963,'Rango proyecciones'!$AJ$7)</f>
        <v>998.8</v>
      </c>
      <c r="AA90" s="13">
        <f t="shared" si="22"/>
        <v>998.8</v>
      </c>
      <c r="AB90" s="7">
        <f>SUMIFS('Stock - ETA'!$I$3:I4963,'Stock - ETA'!$F$3:F4963,'Rango proyecciones'!C90,'Stock - ETA'!$Q$3:Q4963,'Rango proyecciones'!$AJ$5) + SUMIFS('Stock - ETA'!$H$3:H4963,'Stock - ETA'!$F$3:F4963,'Rango proyecciones'!C90,'Stock - ETA'!$Q$3:Q4963,'Rango proyecciones'!$AJ$7)</f>
        <v>998.8</v>
      </c>
      <c r="AC90" s="16">
        <f t="shared" si="23"/>
        <v>998.8</v>
      </c>
      <c r="AD90" s="4"/>
      <c r="AE90" s="7">
        <f>SUMIFS('Stock - ETA'!$T$3:T4963,'Stock - ETA'!$F$3:F4963,'Rango proyecciones'!C90,'Stock - ETA'!$AA$3:AA4963,'Rango proyecciones'!$AJ$5) + SUMIFS('Stock - ETA'!$S$3:S4963,'Stock - ETA'!$F$3:F4963,'Rango proyecciones'!C90,'Stock - ETA'!$AA$3:AA4963,'Rango proyecciones'!$AJ$8)</f>
        <v>0</v>
      </c>
      <c r="AF90" s="16">
        <f t="shared" si="28"/>
        <v>0</v>
      </c>
      <c r="AG90" s="7">
        <f>SUMIFS('Stock - ETA'!$J$3:J4963,'Stock - ETA'!$F$3:F4963,'Rango proyecciones'!C90,'Stock - ETA'!$Q$3:Q4963,'Rango proyecciones'!$AJ$5) + SUMIFS('Stock - ETA'!$I$3:I4963,'Stock - ETA'!$F$3:F4963,'Rango proyecciones'!C90,'Stock - ETA'!$Q$3:Q4963,'Rango proyecciones'!$AJ$8)</f>
        <v>0</v>
      </c>
      <c r="AH90" s="16">
        <f t="shared" si="29"/>
        <v>0</v>
      </c>
      <c r="AI90" s="4"/>
    </row>
    <row r="91" spans="1:35" x14ac:dyDescent="0.2">
      <c r="A91" s="2" t="s">
        <v>56</v>
      </c>
      <c r="B91" s="2" t="s">
        <v>35</v>
      </c>
      <c r="C91" s="2" t="s">
        <v>243</v>
      </c>
      <c r="D91" s="2" t="s">
        <v>46</v>
      </c>
      <c r="E91" s="2">
        <v>1012525</v>
      </c>
      <c r="F91" s="2" t="s">
        <v>244</v>
      </c>
      <c r="G91" s="2" t="s">
        <v>245</v>
      </c>
      <c r="H91" s="4">
        <v>0</v>
      </c>
      <c r="I91" s="7">
        <v>0</v>
      </c>
      <c r="J91" s="7">
        <v>1200</v>
      </c>
      <c r="K91" s="7">
        <v>322.45</v>
      </c>
      <c r="L91" s="4">
        <f t="shared" si="26"/>
        <v>1316.3249999999998</v>
      </c>
      <c r="M91" s="7">
        <f>SUMIFS('Stock - ETA'!$R$3:R4963,'Stock - ETA'!$F$3:F4963,'Rango proyecciones'!C91,'Stock - ETA'!$AA$3:AA4963,'Rango proyecciones'!$AJ$5)</f>
        <v>0</v>
      </c>
      <c r="N91" s="7">
        <f>SUMIF('Stock - Puerto Chile'!$G$2:G973,'Rango proyecciones'!C91,'Stock - Puerto Chile'!$L$2:L973)</f>
        <v>0</v>
      </c>
      <c r="O91" s="7">
        <f>0 * (25 / 27)</f>
        <v>0</v>
      </c>
      <c r="P91" s="7">
        <f>9680 * (25 / 27)</f>
        <v>8962.9629629629635</v>
      </c>
      <c r="Q91" s="16">
        <f t="shared" si="20"/>
        <v>8962.9629629629635</v>
      </c>
      <c r="R91" s="7">
        <f t="shared" si="27"/>
        <v>2256.5571428571429</v>
      </c>
      <c r="S91" s="7">
        <f>SUMIFS('Stock - ETA'!$H$3:H4963,'Stock - ETA'!$F$3:F4963,'Rango proyecciones'!C91,'Stock - ETA'!$Q$3:Q4963,'Rango proyecciones'!$AJ$5)</f>
        <v>0</v>
      </c>
      <c r="T91" s="7">
        <f>SUMIF('Stock - Puerto Chile'!$G$2:G973,'Rango proyecciones'!C91,'Stock - Puerto Chile'!$N$2:N973)</f>
        <v>0</v>
      </c>
      <c r="U91" s="7">
        <f>0 * (25 / 27)</f>
        <v>0</v>
      </c>
      <c r="V91" s="7">
        <f>9680 * (25 / 27)</f>
        <v>8962.9629629629635</v>
      </c>
      <c r="W91" s="17">
        <f t="shared" si="21"/>
        <v>8962.9629629629635</v>
      </c>
      <c r="X91" s="4">
        <v>10014</v>
      </c>
      <c r="Y91" s="7">
        <v>10014</v>
      </c>
      <c r="Z91" s="18">
        <f>SUMIFS('Stock - ETA'!$S$3:S4963,'Stock - ETA'!$F$3:F4963,'Rango proyecciones'!C91,'Stock - ETA'!$AA$3:AA4963,'Rango proyecciones'!$AJ$5) + SUMIFS('Stock - ETA'!$R$3:R4963,'Stock - ETA'!$F$3:F4963,'Rango proyecciones'!C91,'Stock - ETA'!$AA$3:AA4963,'Rango proyecciones'!$AJ$7)</f>
        <v>24000</v>
      </c>
      <c r="AA91" s="13">
        <f t="shared" si="22"/>
        <v>34014</v>
      </c>
      <c r="AB91" s="7">
        <f>SUMIFS('Stock - ETA'!$I$3:I4963,'Stock - ETA'!$F$3:F4963,'Rango proyecciones'!C91,'Stock - ETA'!$Q$3:Q4963,'Rango proyecciones'!$AJ$5) + SUMIFS('Stock - ETA'!$H$3:H4963,'Stock - ETA'!$F$3:F4963,'Rango proyecciones'!C91,'Stock - ETA'!$Q$3:Q4963,'Rango proyecciones'!$AJ$7)</f>
        <v>24000</v>
      </c>
      <c r="AC91" s="16">
        <f t="shared" si="23"/>
        <v>34014</v>
      </c>
      <c r="AD91" s="4">
        <v>11806</v>
      </c>
      <c r="AE91" s="7">
        <f>SUMIFS('Stock - ETA'!$T$3:T4963,'Stock - ETA'!$F$3:F4963,'Rango proyecciones'!C91,'Stock - ETA'!$AA$3:AA4963,'Rango proyecciones'!$AJ$5) + SUMIFS('Stock - ETA'!$S$3:S4963,'Stock - ETA'!$F$3:F4963,'Rango proyecciones'!C91,'Stock - ETA'!$AA$3:AA4963,'Rango proyecciones'!$AJ$8)</f>
        <v>0</v>
      </c>
      <c r="AF91" s="16">
        <f t="shared" si="28"/>
        <v>7083.5999999999995</v>
      </c>
      <c r="AG91" s="7">
        <f>SUMIFS('Stock - ETA'!$J$3:J4963,'Stock - ETA'!$F$3:F4963,'Rango proyecciones'!C91,'Stock - ETA'!$Q$3:Q4963,'Rango proyecciones'!$AJ$5) + SUMIFS('Stock - ETA'!$I$3:I4963,'Stock - ETA'!$F$3:F4963,'Rango proyecciones'!C91,'Stock - ETA'!$Q$3:Q4963,'Rango proyecciones'!$AJ$8)</f>
        <v>0</v>
      </c>
      <c r="AH91" s="16">
        <f t="shared" si="29"/>
        <v>7083.5999999999995</v>
      </c>
      <c r="AI91" s="4"/>
    </row>
    <row r="92" spans="1:35" x14ac:dyDescent="0.2">
      <c r="A92" s="2" t="s">
        <v>56</v>
      </c>
      <c r="B92" s="2" t="s">
        <v>35</v>
      </c>
      <c r="C92" s="2" t="s">
        <v>246</v>
      </c>
      <c r="D92" s="2" t="s">
        <v>46</v>
      </c>
      <c r="E92" s="2">
        <v>1012526</v>
      </c>
      <c r="F92" s="2" t="s">
        <v>247</v>
      </c>
      <c r="G92" s="2" t="s">
        <v>245</v>
      </c>
      <c r="H92" s="4">
        <v>0</v>
      </c>
      <c r="I92" s="7">
        <v>0</v>
      </c>
      <c r="J92" s="7">
        <v>1000</v>
      </c>
      <c r="K92" s="7">
        <v>161.16</v>
      </c>
      <c r="L92" s="4">
        <f t="shared" si="26"/>
        <v>1258.26</v>
      </c>
      <c r="M92" s="7">
        <f>SUMIFS('Stock - ETA'!$R$3:R4963,'Stock - ETA'!$F$3:F4963,'Rango proyecciones'!C92,'Stock - ETA'!$AA$3:AA4963,'Rango proyecciones'!$AJ$5)</f>
        <v>19200</v>
      </c>
      <c r="N92" s="7">
        <f>SUMIF('Stock - Puerto Chile'!$G$2:G973,'Rango proyecciones'!C92,'Stock - Puerto Chile'!$L$2:L973)</f>
        <v>39864</v>
      </c>
      <c r="O92" s="7">
        <f>0 * (25 / 27)</f>
        <v>0</v>
      </c>
      <c r="P92" s="7">
        <f>10300 * (25 / 27)</f>
        <v>9537.0370370370365</v>
      </c>
      <c r="Q92" s="16">
        <f t="shared" si="20"/>
        <v>28737.037037037036</v>
      </c>
      <c r="R92" s="7">
        <f t="shared" si="27"/>
        <v>2157.017142857143</v>
      </c>
      <c r="S92" s="7">
        <f>SUMIFS('Stock - ETA'!$H$3:H4963,'Stock - ETA'!$F$3:F4963,'Rango proyecciones'!C92,'Stock - ETA'!$Q$3:Q4963,'Rango proyecciones'!$AJ$5)</f>
        <v>19200</v>
      </c>
      <c r="T92" s="7">
        <f>SUMIF('Stock - Puerto Chile'!$G$2:G973,'Rango proyecciones'!C92,'Stock - Puerto Chile'!$N$2:N973)</f>
        <v>47836.800000000003</v>
      </c>
      <c r="U92" s="7">
        <f>0 * (25 / 27)</f>
        <v>0</v>
      </c>
      <c r="V92" s="7">
        <f>10300 * (25 / 27)</f>
        <v>9537.0370370370365</v>
      </c>
      <c r="W92" s="17">
        <f t="shared" si="21"/>
        <v>28737.037037037036</v>
      </c>
      <c r="X92" s="4">
        <v>9996</v>
      </c>
      <c r="Y92" s="7">
        <v>9996</v>
      </c>
      <c r="Z92" s="18">
        <f>SUMIFS('Stock - ETA'!$S$3:S4963,'Stock - ETA'!$F$3:F4963,'Rango proyecciones'!C92,'Stock - ETA'!$AA$3:AA4963,'Rango proyecciones'!$AJ$5) + SUMIFS('Stock - ETA'!$R$3:R4963,'Stock - ETA'!$F$3:F4963,'Rango proyecciones'!C92,'Stock - ETA'!$AA$3:AA4963,'Rango proyecciones'!$AJ$7)</f>
        <v>0</v>
      </c>
      <c r="AA92" s="13">
        <f t="shared" si="22"/>
        <v>9996</v>
      </c>
      <c r="AB92" s="7">
        <f>SUMIFS('Stock - ETA'!$I$3:I4963,'Stock - ETA'!$F$3:F4963,'Rango proyecciones'!C92,'Stock - ETA'!$Q$3:Q4963,'Rango proyecciones'!$AJ$5) + SUMIFS('Stock - ETA'!$H$3:H4963,'Stock - ETA'!$F$3:F4963,'Rango proyecciones'!C92,'Stock - ETA'!$Q$3:Q4963,'Rango proyecciones'!$AJ$7)</f>
        <v>0</v>
      </c>
      <c r="AC92" s="16">
        <f t="shared" si="23"/>
        <v>9996</v>
      </c>
      <c r="AD92" s="4">
        <v>11785</v>
      </c>
      <c r="AE92" s="7">
        <f>SUMIFS('Stock - ETA'!$T$3:T4963,'Stock - ETA'!$F$3:F4963,'Rango proyecciones'!C92,'Stock - ETA'!$AA$3:AA4963,'Rango proyecciones'!$AJ$5) + SUMIFS('Stock - ETA'!$S$3:S4963,'Stock - ETA'!$F$3:F4963,'Rango proyecciones'!C92,'Stock - ETA'!$AA$3:AA4963,'Rango proyecciones'!$AJ$8)</f>
        <v>0</v>
      </c>
      <c r="AF92" s="16">
        <f t="shared" si="28"/>
        <v>7071</v>
      </c>
      <c r="AG92" s="7">
        <f>SUMIFS('Stock - ETA'!$J$3:J4963,'Stock - ETA'!$F$3:F4963,'Rango proyecciones'!C92,'Stock - ETA'!$Q$3:Q4963,'Rango proyecciones'!$AJ$5) + SUMIFS('Stock - ETA'!$I$3:I4963,'Stock - ETA'!$F$3:F4963,'Rango proyecciones'!C92,'Stock - ETA'!$Q$3:Q4963,'Rango proyecciones'!$AJ$8)</f>
        <v>0</v>
      </c>
      <c r="AH92" s="16">
        <f t="shared" si="29"/>
        <v>7071</v>
      </c>
      <c r="AI92" s="4"/>
    </row>
    <row r="93" spans="1:35" x14ac:dyDescent="0.2">
      <c r="A93" s="2" t="s">
        <v>56</v>
      </c>
      <c r="B93" s="2" t="s">
        <v>35</v>
      </c>
      <c r="C93" s="2" t="s">
        <v>248</v>
      </c>
      <c r="D93" s="2" t="s">
        <v>46</v>
      </c>
      <c r="E93" s="2">
        <v>1012595</v>
      </c>
      <c r="F93" s="2" t="s">
        <v>249</v>
      </c>
      <c r="G93" s="2" t="s">
        <v>59</v>
      </c>
      <c r="H93" s="4">
        <v>0</v>
      </c>
      <c r="I93" s="7">
        <v>0</v>
      </c>
      <c r="J93" s="7">
        <v>0</v>
      </c>
      <c r="K93" s="7">
        <v>0</v>
      </c>
      <c r="L93" s="4">
        <f t="shared" si="26"/>
        <v>0</v>
      </c>
      <c r="M93" s="7">
        <f>SUMIFS('Stock - ETA'!$R$3:R4963,'Stock - ETA'!$F$3:F4963,'Rango proyecciones'!C93,'Stock - ETA'!$AA$3:AA4963,'Rango proyecciones'!$AJ$5)</f>
        <v>0</v>
      </c>
      <c r="N93" s="7">
        <f>SUMIF('Stock - Puerto Chile'!$G$2:G973,'Rango proyecciones'!C93,'Stock - Puerto Chile'!$L$2:L973)</f>
        <v>0</v>
      </c>
      <c r="O93" s="7">
        <f>5184 * (25 / 27)</f>
        <v>4800</v>
      </c>
      <c r="P93" s="7">
        <f>8800 * (25 / 27)</f>
        <v>8148.1481481481478</v>
      </c>
      <c r="Q93" s="16">
        <f t="shared" si="20"/>
        <v>8148.1481481481478</v>
      </c>
      <c r="R93" s="7">
        <f t="shared" si="27"/>
        <v>0</v>
      </c>
      <c r="S93" s="7">
        <f>SUMIFS('Stock - ETA'!$H$3:H4963,'Stock - ETA'!$F$3:F4963,'Rango proyecciones'!C93,'Stock - ETA'!$Q$3:Q4963,'Rango proyecciones'!$AJ$5)</f>
        <v>0</v>
      </c>
      <c r="T93" s="7">
        <f>SUMIF('Stock - Puerto Chile'!$G$2:G973,'Rango proyecciones'!C93,'Stock - Puerto Chile'!$N$2:N973)</f>
        <v>0</v>
      </c>
      <c r="U93" s="7">
        <f>5184 * (25 / 27)</f>
        <v>4800</v>
      </c>
      <c r="V93" s="7">
        <f>8800 * (25 / 27)</f>
        <v>8148.1481481481478</v>
      </c>
      <c r="W93" s="17">
        <f t="shared" si="21"/>
        <v>12948.148148148148</v>
      </c>
      <c r="X93" s="4">
        <v>12000</v>
      </c>
      <c r="Y93" s="7">
        <v>12000</v>
      </c>
      <c r="Z93" s="18">
        <f>SUMIFS('Stock - ETA'!$S$3:S4963,'Stock - ETA'!$F$3:F4963,'Rango proyecciones'!C93,'Stock - ETA'!$AA$3:AA4963,'Rango proyecciones'!$AJ$5) + SUMIFS('Stock - ETA'!$R$3:R4963,'Stock - ETA'!$F$3:F4963,'Rango proyecciones'!C93,'Stock - ETA'!$AA$3:AA4963,'Rango proyecciones'!$AJ$7)</f>
        <v>28640</v>
      </c>
      <c r="AA93" s="13">
        <f t="shared" si="22"/>
        <v>40640</v>
      </c>
      <c r="AB93" s="7">
        <f>SUMIFS('Stock - ETA'!$I$3:I4963,'Stock - ETA'!$F$3:F4963,'Rango proyecciones'!C93,'Stock - ETA'!$Q$3:Q4963,'Rango proyecciones'!$AJ$5) + SUMIFS('Stock - ETA'!$H$3:H4963,'Stock - ETA'!$F$3:F4963,'Rango proyecciones'!C93,'Stock - ETA'!$Q$3:Q4963,'Rango proyecciones'!$AJ$7)</f>
        <v>28640</v>
      </c>
      <c r="AC93" s="16">
        <f t="shared" si="23"/>
        <v>40640</v>
      </c>
      <c r="AD93" s="4">
        <v>24000</v>
      </c>
      <c r="AE93" s="7">
        <f>SUMIFS('Stock - ETA'!$T$3:T4963,'Stock - ETA'!$F$3:F4963,'Rango proyecciones'!C93,'Stock - ETA'!$AA$3:AA4963,'Rango proyecciones'!$AJ$5) + SUMIFS('Stock - ETA'!$S$3:S4963,'Stock - ETA'!$F$3:F4963,'Rango proyecciones'!C93,'Stock - ETA'!$AA$3:AA4963,'Rango proyecciones'!$AJ$8)</f>
        <v>0</v>
      </c>
      <c r="AF93" s="16">
        <f t="shared" si="28"/>
        <v>14400</v>
      </c>
      <c r="AG93" s="7">
        <f>SUMIFS('Stock - ETA'!$J$3:J4963,'Stock - ETA'!$F$3:F4963,'Rango proyecciones'!C93,'Stock - ETA'!$Q$3:Q4963,'Rango proyecciones'!$AJ$5) + SUMIFS('Stock - ETA'!$I$3:I4963,'Stock - ETA'!$F$3:F4963,'Rango proyecciones'!C93,'Stock - ETA'!$Q$3:Q4963,'Rango proyecciones'!$AJ$8)</f>
        <v>0</v>
      </c>
      <c r="AH93" s="16">
        <f t="shared" si="29"/>
        <v>14400</v>
      </c>
      <c r="AI93" s="4"/>
    </row>
    <row r="94" spans="1:35" x14ac:dyDescent="0.2">
      <c r="A94" s="2" t="s">
        <v>56</v>
      </c>
      <c r="B94" s="2" t="s">
        <v>35</v>
      </c>
      <c r="C94" s="2" t="s">
        <v>250</v>
      </c>
      <c r="D94" s="2" t="s">
        <v>46</v>
      </c>
      <c r="E94" s="2">
        <v>1012622</v>
      </c>
      <c r="F94" s="2" t="s">
        <v>251</v>
      </c>
      <c r="G94" s="2" t="s">
        <v>124</v>
      </c>
      <c r="H94" s="4">
        <v>0</v>
      </c>
      <c r="I94" s="7">
        <v>0</v>
      </c>
      <c r="J94" s="7">
        <v>0</v>
      </c>
      <c r="K94" s="7">
        <v>0</v>
      </c>
      <c r="L94" s="4">
        <f t="shared" si="26"/>
        <v>0</v>
      </c>
      <c r="M94" s="7">
        <f>SUMIFS('Stock - ETA'!$R$3:R4963,'Stock - ETA'!$F$3:F4963,'Rango proyecciones'!C94,'Stock - ETA'!$AA$3:AA4963,'Rango proyecciones'!$AJ$5)</f>
        <v>0</v>
      </c>
      <c r="N94" s="7">
        <f>SUMIF('Stock - Puerto Chile'!$G$2:G973,'Rango proyecciones'!C94,'Stock - Puerto Chile'!$L$2:L973)</f>
        <v>0</v>
      </c>
      <c r="O94" s="7">
        <f>80 * (25 / 27)</f>
        <v>74.074074074074076</v>
      </c>
      <c r="P94" s="7">
        <f>0 * (25 / 27)</f>
        <v>0</v>
      </c>
      <c r="Q94" s="16">
        <f t="shared" si="20"/>
        <v>0</v>
      </c>
      <c r="R94" s="7">
        <f t="shared" si="27"/>
        <v>0</v>
      </c>
      <c r="S94" s="7">
        <f>SUMIFS('Stock - ETA'!$H$3:H4963,'Stock - ETA'!$F$3:F4963,'Rango proyecciones'!C94,'Stock - ETA'!$Q$3:Q4963,'Rango proyecciones'!$AJ$5)</f>
        <v>0</v>
      </c>
      <c r="T94" s="7">
        <f>SUMIF('Stock - Puerto Chile'!$G$2:G973,'Rango proyecciones'!C94,'Stock - Puerto Chile'!$N$2:N973)</f>
        <v>0</v>
      </c>
      <c r="U94" s="7">
        <f>80 * (25 / 27)</f>
        <v>74.074074074074076</v>
      </c>
      <c r="V94" s="7">
        <f>0 * (25 / 27)</f>
        <v>0</v>
      </c>
      <c r="W94" s="17">
        <f t="shared" si="21"/>
        <v>74.074074074074076</v>
      </c>
      <c r="X94" s="4"/>
      <c r="Y94" s="7"/>
      <c r="Z94" s="18">
        <f>SUMIFS('Stock - ETA'!$S$3:S4963,'Stock - ETA'!$F$3:F4963,'Rango proyecciones'!C94,'Stock - ETA'!$AA$3:AA4963,'Rango proyecciones'!$AJ$5) + SUMIFS('Stock - ETA'!$R$3:R4963,'Stock - ETA'!$F$3:F4963,'Rango proyecciones'!C94,'Stock - ETA'!$AA$3:AA4963,'Rango proyecciones'!$AJ$7)</f>
        <v>0</v>
      </c>
      <c r="AA94" s="13">
        <f t="shared" si="22"/>
        <v>0</v>
      </c>
      <c r="AB94" s="7">
        <f>SUMIFS('Stock - ETA'!$I$3:I4963,'Stock - ETA'!$F$3:F4963,'Rango proyecciones'!C94,'Stock - ETA'!$Q$3:Q4963,'Rango proyecciones'!$AJ$5) + SUMIFS('Stock - ETA'!$H$3:H4963,'Stock - ETA'!$F$3:F4963,'Rango proyecciones'!C94,'Stock - ETA'!$Q$3:Q4963,'Rango proyecciones'!$AJ$7)</f>
        <v>0</v>
      </c>
      <c r="AC94" s="16">
        <f t="shared" si="23"/>
        <v>0</v>
      </c>
      <c r="AD94" s="4"/>
      <c r="AE94" s="7">
        <f>SUMIFS('Stock - ETA'!$T$3:T4963,'Stock - ETA'!$F$3:F4963,'Rango proyecciones'!C94,'Stock - ETA'!$AA$3:AA4963,'Rango proyecciones'!$AJ$5) + SUMIFS('Stock - ETA'!$S$3:S4963,'Stock - ETA'!$F$3:F4963,'Rango proyecciones'!C94,'Stock - ETA'!$AA$3:AA4963,'Rango proyecciones'!$AJ$8)</f>
        <v>0</v>
      </c>
      <c r="AF94" s="16">
        <f t="shared" si="28"/>
        <v>0</v>
      </c>
      <c r="AG94" s="7">
        <f>SUMIFS('Stock - ETA'!$J$3:J4963,'Stock - ETA'!$F$3:F4963,'Rango proyecciones'!C94,'Stock - ETA'!$Q$3:Q4963,'Rango proyecciones'!$AJ$5) + SUMIFS('Stock - ETA'!$I$3:I4963,'Stock - ETA'!$F$3:F4963,'Rango proyecciones'!C94,'Stock - ETA'!$Q$3:Q4963,'Rango proyecciones'!$AJ$8)</f>
        <v>0</v>
      </c>
      <c r="AH94" s="16">
        <f t="shared" si="29"/>
        <v>0</v>
      </c>
      <c r="AI94" s="4"/>
    </row>
    <row r="95" spans="1:35" x14ac:dyDescent="0.2">
      <c r="A95" s="2" t="s">
        <v>56</v>
      </c>
      <c r="B95" s="2" t="s">
        <v>35</v>
      </c>
      <c r="C95" s="2" t="s">
        <v>252</v>
      </c>
      <c r="D95" s="2" t="s">
        <v>37</v>
      </c>
      <c r="E95" s="2">
        <v>1012326</v>
      </c>
      <c r="F95" s="2" t="s">
        <v>253</v>
      </c>
      <c r="G95" s="2" t="s">
        <v>54</v>
      </c>
      <c r="H95" s="4">
        <v>0</v>
      </c>
      <c r="I95" s="7">
        <v>0</v>
      </c>
      <c r="J95" s="7">
        <v>0</v>
      </c>
      <c r="K95" s="7">
        <v>0</v>
      </c>
      <c r="L95" s="4">
        <f t="shared" si="26"/>
        <v>0</v>
      </c>
      <c r="M95" s="7">
        <f>SUMIFS('Stock - ETA'!$R$3:R4963,'Stock - ETA'!$F$3:F4963,'Rango proyecciones'!C95,'Stock - ETA'!$AA$3:AA4963,'Rango proyecciones'!$AJ$5)</f>
        <v>1392</v>
      </c>
      <c r="N95" s="7">
        <f>SUMIF('Stock - Puerto Chile'!$G$2:G973,'Rango proyecciones'!C95,'Stock - Puerto Chile'!$L$2:L973)</f>
        <v>0</v>
      </c>
      <c r="O95" s="7">
        <f>0 * (25 / 27)</f>
        <v>0</v>
      </c>
      <c r="P95" s="7">
        <f>5928 * (25 / 27)</f>
        <v>5488.8888888888887</v>
      </c>
      <c r="Q95" s="16">
        <f t="shared" si="20"/>
        <v>6880.8888888888887</v>
      </c>
      <c r="R95" s="7">
        <f t="shared" si="27"/>
        <v>0</v>
      </c>
      <c r="S95" s="7">
        <f>SUMIFS('Stock - ETA'!$H$3:H4963,'Stock - ETA'!$F$3:F4963,'Rango proyecciones'!C95,'Stock - ETA'!$Q$3:Q4963,'Rango proyecciones'!$AJ$5)</f>
        <v>1392</v>
      </c>
      <c r="T95" s="7">
        <f>SUMIF('Stock - Puerto Chile'!$G$2:G973,'Rango proyecciones'!C95,'Stock - Puerto Chile'!$N$2:N973)</f>
        <v>0</v>
      </c>
      <c r="U95" s="7">
        <f>0 * (25 / 27)</f>
        <v>0</v>
      </c>
      <c r="V95" s="7">
        <f>5928 * (25 / 27)</f>
        <v>5488.8888888888887</v>
      </c>
      <c r="W95" s="17">
        <f t="shared" si="21"/>
        <v>6880.8888888888887</v>
      </c>
      <c r="X95" s="4"/>
      <c r="Y95" s="7"/>
      <c r="Z95" s="18">
        <f>SUMIFS('Stock - ETA'!$S$3:S4963,'Stock - ETA'!$F$3:F4963,'Rango proyecciones'!C95,'Stock - ETA'!$AA$3:AA4963,'Rango proyecciones'!$AJ$5) + SUMIFS('Stock - ETA'!$R$3:R4963,'Stock - ETA'!$F$3:F4963,'Rango proyecciones'!C95,'Stock - ETA'!$AA$3:AA4963,'Rango proyecciones'!$AJ$7)</f>
        <v>0</v>
      </c>
      <c r="AA95" s="13">
        <f t="shared" si="22"/>
        <v>0</v>
      </c>
      <c r="AB95" s="7">
        <f>SUMIFS('Stock - ETA'!$I$3:I4963,'Stock - ETA'!$F$3:F4963,'Rango proyecciones'!C95,'Stock - ETA'!$Q$3:Q4963,'Rango proyecciones'!$AJ$5) + SUMIFS('Stock - ETA'!$H$3:H4963,'Stock - ETA'!$F$3:F4963,'Rango proyecciones'!C95,'Stock - ETA'!$Q$3:Q4963,'Rango proyecciones'!$AJ$7)</f>
        <v>0</v>
      </c>
      <c r="AC95" s="16">
        <f t="shared" si="23"/>
        <v>0</v>
      </c>
      <c r="AD95" s="4"/>
      <c r="AE95" s="7">
        <f>SUMIFS('Stock - ETA'!$T$3:T4963,'Stock - ETA'!$F$3:F4963,'Rango proyecciones'!C95,'Stock - ETA'!$AA$3:AA4963,'Rango proyecciones'!$AJ$5) + SUMIFS('Stock - ETA'!$S$3:S4963,'Stock - ETA'!$F$3:F4963,'Rango proyecciones'!C95,'Stock - ETA'!$AA$3:AA4963,'Rango proyecciones'!$AJ$8)</f>
        <v>0</v>
      </c>
      <c r="AF95" s="16">
        <f>0.7 * AD95 + AE95</f>
        <v>0</v>
      </c>
      <c r="AG95" s="7">
        <f>SUMIFS('Stock - ETA'!$J$3:J4963,'Stock - ETA'!$F$3:F4963,'Rango proyecciones'!C95,'Stock - ETA'!$Q$3:Q4963,'Rango proyecciones'!$AJ$5) + SUMIFS('Stock - ETA'!$I$3:I4963,'Stock - ETA'!$F$3:F4963,'Rango proyecciones'!C95,'Stock - ETA'!$Q$3:Q4963,'Rango proyecciones'!$AJ$8)</f>
        <v>0</v>
      </c>
      <c r="AH95" s="16">
        <f>0.7 * AD95 + AG95</f>
        <v>0</v>
      </c>
      <c r="AI95" s="4"/>
    </row>
    <row r="96" spans="1:35" x14ac:dyDescent="0.2">
      <c r="A96" s="2" t="s">
        <v>34</v>
      </c>
      <c r="B96" s="2" t="s">
        <v>35</v>
      </c>
      <c r="C96" s="2" t="s">
        <v>254</v>
      </c>
      <c r="D96" s="2" t="s">
        <v>52</v>
      </c>
      <c r="E96" s="2">
        <v>1020822</v>
      </c>
      <c r="F96" s="2" t="s">
        <v>255</v>
      </c>
      <c r="G96" s="2" t="s">
        <v>172</v>
      </c>
      <c r="H96" s="4">
        <v>0</v>
      </c>
      <c r="I96" s="7">
        <v>0</v>
      </c>
      <c r="J96" s="7">
        <v>0</v>
      </c>
      <c r="K96" s="7">
        <v>0</v>
      </c>
      <c r="L96" s="4">
        <f t="shared" si="26"/>
        <v>0</v>
      </c>
      <c r="M96" s="7">
        <f>SUMIFS('Stock - ETA'!$R$3:R4963,'Stock - ETA'!$F$3:F4963,'Rango proyecciones'!C96,'Stock - ETA'!$AA$3:AA4963,'Rango proyecciones'!$AJ$5)</f>
        <v>0</v>
      </c>
      <c r="N96" s="7">
        <f>SUMIF('Stock - Puerto Chile'!$G$2:G973,'Rango proyecciones'!C96,'Stock - Puerto Chile'!$L$2:L973)</f>
        <v>0</v>
      </c>
      <c r="O96" s="7">
        <f>0 * (25 / 27)</f>
        <v>0</v>
      </c>
      <c r="P96" s="7">
        <f>10272.08 * (25 / 27)</f>
        <v>9511.1851851851843</v>
      </c>
      <c r="Q96" s="16">
        <f t="shared" si="20"/>
        <v>9511.1851851851843</v>
      </c>
      <c r="R96" s="7">
        <f t="shared" si="27"/>
        <v>0</v>
      </c>
      <c r="S96" s="7">
        <f>SUMIFS('Stock - ETA'!$H$3:H4963,'Stock - ETA'!$F$3:F4963,'Rango proyecciones'!C96,'Stock - ETA'!$Q$3:Q4963,'Rango proyecciones'!$AJ$5)</f>
        <v>0</v>
      </c>
      <c r="T96" s="7">
        <f>SUMIF('Stock - Puerto Chile'!$G$2:G973,'Rango proyecciones'!C96,'Stock - Puerto Chile'!$N$2:N973)</f>
        <v>0</v>
      </c>
      <c r="U96" s="7">
        <f>0 * (25 / 27)</f>
        <v>0</v>
      </c>
      <c r="V96" s="7">
        <f>10272.08 * (25 / 27)</f>
        <v>9511.1851851851843</v>
      </c>
      <c r="W96" s="17">
        <f t="shared" si="21"/>
        <v>9511.1851851851843</v>
      </c>
      <c r="X96" s="4"/>
      <c r="Y96" s="7"/>
      <c r="Z96" s="18">
        <f>SUMIFS('Stock - ETA'!$S$3:S4963,'Stock - ETA'!$F$3:F4963,'Rango proyecciones'!C96,'Stock - ETA'!$AA$3:AA4963,'Rango proyecciones'!$AJ$5) + SUMIFS('Stock - ETA'!$R$3:R4963,'Stock - ETA'!$F$3:F4963,'Rango proyecciones'!C96,'Stock - ETA'!$AA$3:AA4963,'Rango proyecciones'!$AJ$7)</f>
        <v>0</v>
      </c>
      <c r="AA96" s="13">
        <f t="shared" si="22"/>
        <v>0</v>
      </c>
      <c r="AB96" s="7">
        <f>SUMIFS('Stock - ETA'!$I$3:I4963,'Stock - ETA'!$F$3:F4963,'Rango proyecciones'!C96,'Stock - ETA'!$Q$3:Q4963,'Rango proyecciones'!$AJ$5) + SUMIFS('Stock - ETA'!$H$3:H4963,'Stock - ETA'!$F$3:F4963,'Rango proyecciones'!C96,'Stock - ETA'!$Q$3:Q4963,'Rango proyecciones'!$AJ$7)</f>
        <v>0</v>
      </c>
      <c r="AC96" s="16">
        <f t="shared" si="23"/>
        <v>0</v>
      </c>
      <c r="AD96" s="4"/>
      <c r="AE96" s="7">
        <f>SUMIFS('Stock - ETA'!$T$3:T4963,'Stock - ETA'!$F$3:F4963,'Rango proyecciones'!C96,'Stock - ETA'!$AA$3:AA4963,'Rango proyecciones'!$AJ$5) + SUMIFS('Stock - ETA'!$S$3:S4963,'Stock - ETA'!$F$3:F4963,'Rango proyecciones'!C96,'Stock - ETA'!$AA$3:AA4963,'Rango proyecciones'!$AJ$8)</f>
        <v>0</v>
      </c>
      <c r="AF96" s="16">
        <f>0.6 * AD96 + AE96</f>
        <v>0</v>
      </c>
      <c r="AG96" s="7">
        <f>SUMIFS('Stock - ETA'!$J$3:J4963,'Stock - ETA'!$F$3:F4963,'Rango proyecciones'!C96,'Stock - ETA'!$Q$3:Q4963,'Rango proyecciones'!$AJ$5) + SUMIFS('Stock - ETA'!$I$3:I4963,'Stock - ETA'!$F$3:F4963,'Rango proyecciones'!C96,'Stock - ETA'!$Q$3:Q4963,'Rango proyecciones'!$AJ$8)</f>
        <v>0</v>
      </c>
      <c r="AH96" s="16">
        <f>0.6 * AD96 + AG96</f>
        <v>0</v>
      </c>
      <c r="AI96" s="4"/>
    </row>
    <row r="97" spans="1:35" x14ac:dyDescent="0.2">
      <c r="A97" s="2" t="s">
        <v>34</v>
      </c>
      <c r="B97" s="2" t="s">
        <v>35</v>
      </c>
      <c r="C97" s="2" t="s">
        <v>256</v>
      </c>
      <c r="D97" s="2" t="s">
        <v>52</v>
      </c>
      <c r="E97" s="2">
        <v>1021538</v>
      </c>
      <c r="F97" s="2" t="s">
        <v>177</v>
      </c>
      <c r="G97" s="2" t="s">
        <v>178</v>
      </c>
      <c r="H97" s="4">
        <v>0</v>
      </c>
      <c r="I97" s="7">
        <v>0</v>
      </c>
      <c r="J97" s="7">
        <v>18021.873</v>
      </c>
      <c r="K97" s="7">
        <v>4633.8100000000004</v>
      </c>
      <c r="L97" s="4">
        <f t="shared" si="26"/>
        <v>20082.094499999999</v>
      </c>
      <c r="M97" s="7">
        <f>SUMIFS('Stock - ETA'!$R$3:R4963,'Stock - ETA'!$F$3:F4963,'Rango proyecciones'!C97,'Stock - ETA'!$AA$3:AA4963,'Rango proyecciones'!$AJ$5)</f>
        <v>136999.571089</v>
      </c>
      <c r="N97" s="7">
        <f>SUMIF('Stock - Puerto Chile'!$G$2:G973,'Rango proyecciones'!C97,'Stock - Puerto Chile'!$L$2:L973)</f>
        <v>230477.21280000001</v>
      </c>
      <c r="O97" s="7">
        <f>24024.58 * (25 / 27)</f>
        <v>22244.981481481482</v>
      </c>
      <c r="P97" s="7">
        <f>5437.352 * (25 / 27)</f>
        <v>5034.5851851851849</v>
      </c>
      <c r="Q97" s="16">
        <f t="shared" si="20"/>
        <v>142034.1562741852</v>
      </c>
      <c r="R97" s="7">
        <f t="shared" si="27"/>
        <v>34426.447714285714</v>
      </c>
      <c r="S97" s="7">
        <f>SUMIFS('Stock - ETA'!$H$3:H4963,'Stock - ETA'!$F$3:F4963,'Rango proyecciones'!C97,'Stock - ETA'!$Q$3:Q4963,'Rango proyecciones'!$AJ$5)</f>
        <v>136999.571089</v>
      </c>
      <c r="T97" s="7">
        <f>SUMIF('Stock - Puerto Chile'!$G$2:G973,'Rango proyecciones'!C97,'Stock - Puerto Chile'!$N$2:N973)</f>
        <v>276572.65536000003</v>
      </c>
      <c r="U97" s="7">
        <f>24024.58 * (25 / 27)</f>
        <v>22244.981481481482</v>
      </c>
      <c r="V97" s="7">
        <f>5437.352 * (25 / 27)</f>
        <v>5034.5851851851849</v>
      </c>
      <c r="W97" s="17">
        <f t="shared" si="21"/>
        <v>164279.13775566668</v>
      </c>
      <c r="X97" s="4">
        <v>120162</v>
      </c>
      <c r="Y97" s="7">
        <v>120162</v>
      </c>
      <c r="Z97" s="18">
        <f>SUMIFS('Stock - ETA'!$S$3:S4963,'Stock - ETA'!$F$3:F4963,'Rango proyecciones'!C97,'Stock - ETA'!$AA$3:AA4963,'Rango proyecciones'!$AJ$5) + SUMIFS('Stock - ETA'!$R$3:R4963,'Stock - ETA'!$F$3:F4963,'Rango proyecciones'!C97,'Stock - ETA'!$AA$3:AA4963,'Rango proyecciones'!$AJ$7)</f>
        <v>189461.4639</v>
      </c>
      <c r="AA97" s="13">
        <f t="shared" si="22"/>
        <v>309623.46389999997</v>
      </c>
      <c r="AB97" s="7">
        <f>SUMIFS('Stock - ETA'!$I$3:I4963,'Stock - ETA'!$F$3:F4963,'Rango proyecciones'!C97,'Stock - ETA'!$Q$3:Q4963,'Rango proyecciones'!$AJ$5) + SUMIFS('Stock - ETA'!$H$3:H4963,'Stock - ETA'!$F$3:F4963,'Rango proyecciones'!C97,'Stock - ETA'!$Q$3:Q4963,'Rango proyecciones'!$AJ$7)</f>
        <v>189461.4639</v>
      </c>
      <c r="AC97" s="16">
        <f t="shared" si="23"/>
        <v>309623.46389999997</v>
      </c>
      <c r="AD97" s="4">
        <v>120162</v>
      </c>
      <c r="AE97" s="7">
        <f>SUMIFS('Stock - ETA'!$T$3:T4963,'Stock - ETA'!$F$3:F4963,'Rango proyecciones'!C97,'Stock - ETA'!$AA$3:AA4963,'Rango proyecciones'!$AJ$5) + SUMIFS('Stock - ETA'!$S$3:S4963,'Stock - ETA'!$F$3:F4963,'Rango proyecciones'!C97,'Stock - ETA'!$AA$3:AA4963,'Rango proyecciones'!$AJ$8)</f>
        <v>12012.1821</v>
      </c>
      <c r="AF97" s="16">
        <f>0.6 * AD97 + AE97</f>
        <v>84109.382100000003</v>
      </c>
      <c r="AG97" s="7">
        <f>SUMIFS('Stock - ETA'!$J$3:J4963,'Stock - ETA'!$F$3:F4963,'Rango proyecciones'!C97,'Stock - ETA'!$Q$3:Q4963,'Rango proyecciones'!$AJ$5) + SUMIFS('Stock - ETA'!$I$3:I4963,'Stock - ETA'!$F$3:F4963,'Rango proyecciones'!C97,'Stock - ETA'!$Q$3:Q4963,'Rango proyecciones'!$AJ$8)</f>
        <v>12012.1821</v>
      </c>
      <c r="AH97" s="16">
        <f>0.6 * AD97 + AG97</f>
        <v>84109.382100000003</v>
      </c>
      <c r="AI97" s="4"/>
    </row>
    <row r="98" spans="1:35" x14ac:dyDescent="0.2">
      <c r="A98" s="2" t="s">
        <v>34</v>
      </c>
      <c r="B98" s="2" t="s">
        <v>35</v>
      </c>
      <c r="C98" s="2" t="s">
        <v>257</v>
      </c>
      <c r="D98" s="2" t="s">
        <v>52</v>
      </c>
      <c r="E98" s="2">
        <v>1023190</v>
      </c>
      <c r="F98" s="2" t="s">
        <v>258</v>
      </c>
      <c r="G98" s="2" t="s">
        <v>259</v>
      </c>
      <c r="H98" s="4">
        <v>0</v>
      </c>
      <c r="I98" s="7">
        <v>0</v>
      </c>
      <c r="J98" s="7">
        <v>0</v>
      </c>
      <c r="K98" s="7">
        <v>0</v>
      </c>
      <c r="L98" s="4">
        <f t="shared" si="26"/>
        <v>0</v>
      </c>
      <c r="M98" s="7">
        <f>SUMIFS('Stock - ETA'!$R$3:R4963,'Stock - ETA'!$F$3:F4963,'Rango proyecciones'!C98,'Stock - ETA'!$AA$3:AA4963,'Rango proyecciones'!$AJ$5)</f>
        <v>47430.763729999999</v>
      </c>
      <c r="N98" s="7">
        <f>SUMIF('Stock - Puerto Chile'!$G$2:G973,'Rango proyecciones'!C98,'Stock - Puerto Chile'!$L$2:L973)</f>
        <v>0</v>
      </c>
      <c r="O98" s="7">
        <f>20.627 * (25 / 27)</f>
        <v>19.099074074074075</v>
      </c>
      <c r="P98" s="7">
        <f>0 * (25 / 27)</f>
        <v>0</v>
      </c>
      <c r="Q98" s="16">
        <f t="shared" si="20"/>
        <v>47430.763729999999</v>
      </c>
      <c r="R98" s="7">
        <f t="shared" si="27"/>
        <v>0</v>
      </c>
      <c r="S98" s="7">
        <f>SUMIFS('Stock - ETA'!$H$3:H4963,'Stock - ETA'!$F$3:F4963,'Rango proyecciones'!C98,'Stock - ETA'!$Q$3:Q4963,'Rango proyecciones'!$AJ$5)</f>
        <v>47430.763729999999</v>
      </c>
      <c r="T98" s="7">
        <f>SUMIF('Stock - Puerto Chile'!$G$2:G973,'Rango proyecciones'!C98,'Stock - Puerto Chile'!$N$2:N973)</f>
        <v>0</v>
      </c>
      <c r="U98" s="7">
        <f>20.627 * (25 / 27)</f>
        <v>19.099074074074075</v>
      </c>
      <c r="V98" s="7">
        <f>0 * (25 / 27)</f>
        <v>0</v>
      </c>
      <c r="W98" s="17">
        <f t="shared" si="21"/>
        <v>47449.862804074073</v>
      </c>
      <c r="X98" s="4"/>
      <c r="Y98" s="7"/>
      <c r="Z98" s="18">
        <f>SUMIFS('Stock - ETA'!$S$3:S4963,'Stock - ETA'!$F$3:F4963,'Rango proyecciones'!C98,'Stock - ETA'!$AA$3:AA4963,'Rango proyecciones'!$AJ$5) + SUMIFS('Stock - ETA'!$R$3:R4963,'Stock - ETA'!$F$3:F4963,'Rango proyecciones'!C98,'Stock - ETA'!$AA$3:AA4963,'Rango proyecciones'!$AJ$7)</f>
        <v>23732.831549999999</v>
      </c>
      <c r="AA98" s="13">
        <f t="shared" si="22"/>
        <v>23732.831549999999</v>
      </c>
      <c r="AB98" s="7">
        <f>SUMIFS('Stock - ETA'!$I$3:I4963,'Stock - ETA'!$F$3:F4963,'Rango proyecciones'!C98,'Stock - ETA'!$Q$3:Q4963,'Rango proyecciones'!$AJ$5) + SUMIFS('Stock - ETA'!$H$3:H4963,'Stock - ETA'!$F$3:F4963,'Rango proyecciones'!C98,'Stock - ETA'!$Q$3:Q4963,'Rango proyecciones'!$AJ$7)</f>
        <v>23732.831549999999</v>
      </c>
      <c r="AC98" s="16">
        <f t="shared" si="23"/>
        <v>23732.831549999999</v>
      </c>
      <c r="AD98" s="4"/>
      <c r="AE98" s="7">
        <f>SUMIFS('Stock - ETA'!$T$3:T4963,'Stock - ETA'!$F$3:F4963,'Rango proyecciones'!C98,'Stock - ETA'!$AA$3:AA4963,'Rango proyecciones'!$AJ$5) + SUMIFS('Stock - ETA'!$S$3:S4963,'Stock - ETA'!$F$3:F4963,'Rango proyecciones'!C98,'Stock - ETA'!$AA$3:AA4963,'Rango proyecciones'!$AJ$8)</f>
        <v>0</v>
      </c>
      <c r="AF98" s="16">
        <f>0.6 * AD98 + AE98</f>
        <v>0</v>
      </c>
      <c r="AG98" s="7">
        <f>SUMIFS('Stock - ETA'!$J$3:J4963,'Stock - ETA'!$F$3:F4963,'Rango proyecciones'!C98,'Stock - ETA'!$Q$3:Q4963,'Rango proyecciones'!$AJ$5) + SUMIFS('Stock - ETA'!$I$3:I4963,'Stock - ETA'!$F$3:F4963,'Rango proyecciones'!C98,'Stock - ETA'!$Q$3:Q4963,'Rango proyecciones'!$AJ$8)</f>
        <v>0</v>
      </c>
      <c r="AH98" s="16">
        <f>0.6 * AD98 + AG98</f>
        <v>0</v>
      </c>
      <c r="AI98" s="4"/>
    </row>
    <row r="99" spans="1:35" x14ac:dyDescent="0.2">
      <c r="A99" s="2" t="s">
        <v>34</v>
      </c>
      <c r="B99" s="2" t="s">
        <v>35</v>
      </c>
      <c r="C99" s="2" t="s">
        <v>260</v>
      </c>
      <c r="D99" s="2" t="s">
        <v>52</v>
      </c>
      <c r="E99" s="2">
        <v>1023273</v>
      </c>
      <c r="F99" s="2" t="s">
        <v>261</v>
      </c>
      <c r="G99" s="2" t="s">
        <v>96</v>
      </c>
      <c r="H99" s="4">
        <v>0</v>
      </c>
      <c r="I99" s="7">
        <v>0</v>
      </c>
      <c r="J99" s="7">
        <v>0</v>
      </c>
      <c r="K99" s="7">
        <v>0</v>
      </c>
      <c r="L99" s="4">
        <f t="shared" si="26"/>
        <v>0</v>
      </c>
      <c r="M99" s="7">
        <f>SUMIFS('Stock - ETA'!$R$3:R4963,'Stock - ETA'!$F$3:F4963,'Rango proyecciones'!C99,'Stock - ETA'!$AA$3:AA4963,'Rango proyecciones'!$AJ$5)</f>
        <v>23090.300343999999</v>
      </c>
      <c r="N99" s="7">
        <f>SUMIF('Stock - Puerto Chile'!$G$2:G973,'Rango proyecciones'!C99,'Stock - Puerto Chile'!$L$2:L973)</f>
        <v>0</v>
      </c>
      <c r="O99" s="7">
        <f>8616.29 * (25 / 27)</f>
        <v>7978.0462962962974</v>
      </c>
      <c r="P99" s="7">
        <f>18086.16 * (25 / 27)</f>
        <v>16746.444444444445</v>
      </c>
      <c r="Q99" s="16">
        <f t="shared" ref="Q99:Q130" si="30">H99 + P99 + M99</f>
        <v>39836.744788444441</v>
      </c>
      <c r="R99" s="7">
        <f t="shared" si="27"/>
        <v>0</v>
      </c>
      <c r="S99" s="7">
        <f>SUMIFS('Stock - ETA'!$H$3:H4963,'Stock - ETA'!$F$3:F4963,'Rango proyecciones'!C99,'Stock - ETA'!$Q$3:Q4963,'Rango proyecciones'!$AJ$5)</f>
        <v>23090.300343999999</v>
      </c>
      <c r="T99" s="7">
        <f>SUMIF('Stock - Puerto Chile'!$G$2:G973,'Rango proyecciones'!C99,'Stock - Puerto Chile'!$N$2:N973)</f>
        <v>0</v>
      </c>
      <c r="U99" s="7">
        <f>8616.29 * (25 / 27)</f>
        <v>7978.0462962962974</v>
      </c>
      <c r="V99" s="7">
        <f>18086.16 * (25 / 27)</f>
        <v>16746.444444444445</v>
      </c>
      <c r="W99" s="17">
        <f t="shared" ref="W99:W130" si="31">H99 + V99 + S99 + U99</f>
        <v>47814.79108474074</v>
      </c>
      <c r="X99" s="4"/>
      <c r="Y99" s="7"/>
      <c r="Z99" s="18">
        <f>SUMIFS('Stock - ETA'!$S$3:S4963,'Stock - ETA'!$F$3:F4963,'Rango proyecciones'!C99,'Stock - ETA'!$AA$3:AA4963,'Rango proyecciones'!$AJ$5) + SUMIFS('Stock - ETA'!$R$3:R4963,'Stock - ETA'!$F$3:F4963,'Rango proyecciones'!C99,'Stock - ETA'!$AA$3:AA4963,'Rango proyecciones'!$AJ$7)</f>
        <v>0</v>
      </c>
      <c r="AA99" s="13">
        <f t="shared" si="22"/>
        <v>0</v>
      </c>
      <c r="AB99" s="7">
        <f>SUMIFS('Stock - ETA'!$I$3:I4963,'Stock - ETA'!$F$3:F4963,'Rango proyecciones'!C99,'Stock - ETA'!$Q$3:Q4963,'Rango proyecciones'!$AJ$5) + SUMIFS('Stock - ETA'!$H$3:H4963,'Stock - ETA'!$F$3:F4963,'Rango proyecciones'!C99,'Stock - ETA'!$Q$3:Q4963,'Rango proyecciones'!$AJ$7)</f>
        <v>0</v>
      </c>
      <c r="AC99" s="16">
        <f t="shared" si="23"/>
        <v>0</v>
      </c>
      <c r="AD99" s="4"/>
      <c r="AE99" s="7">
        <f>SUMIFS('Stock - ETA'!$T$3:T4963,'Stock - ETA'!$F$3:F4963,'Rango proyecciones'!C99,'Stock - ETA'!$AA$3:AA4963,'Rango proyecciones'!$AJ$5) + SUMIFS('Stock - ETA'!$S$3:S4963,'Stock - ETA'!$F$3:F4963,'Rango proyecciones'!C99,'Stock - ETA'!$AA$3:AA4963,'Rango proyecciones'!$AJ$8)</f>
        <v>0</v>
      </c>
      <c r="AF99" s="16">
        <f>0.6 * AD99 + AE99</f>
        <v>0</v>
      </c>
      <c r="AG99" s="7">
        <f>SUMIFS('Stock - ETA'!$J$3:J4963,'Stock - ETA'!$F$3:F4963,'Rango proyecciones'!C99,'Stock - ETA'!$Q$3:Q4963,'Rango proyecciones'!$AJ$5) + SUMIFS('Stock - ETA'!$I$3:I4963,'Stock - ETA'!$F$3:F4963,'Rango proyecciones'!C99,'Stock - ETA'!$Q$3:Q4963,'Rango proyecciones'!$AJ$8)</f>
        <v>0</v>
      </c>
      <c r="AH99" s="16">
        <f>0.6 * AD99 + AG99</f>
        <v>0</v>
      </c>
      <c r="AI99" s="4"/>
    </row>
    <row r="100" spans="1:35" x14ac:dyDescent="0.2">
      <c r="A100" s="2" t="s">
        <v>34</v>
      </c>
      <c r="B100" s="2" t="s">
        <v>35</v>
      </c>
      <c r="C100" s="2" t="s">
        <v>262</v>
      </c>
      <c r="D100" s="2" t="s">
        <v>226</v>
      </c>
      <c r="E100" s="2">
        <v>1020853</v>
      </c>
      <c r="F100" s="2" t="s">
        <v>119</v>
      </c>
      <c r="G100" s="2" t="s">
        <v>67</v>
      </c>
      <c r="H100" s="4">
        <v>0</v>
      </c>
      <c r="I100" s="7">
        <v>0</v>
      </c>
      <c r="J100" s="7">
        <v>20374.797999999999</v>
      </c>
      <c r="K100" s="7">
        <v>1729.9</v>
      </c>
      <c r="L100" s="4">
        <f t="shared" si="26"/>
        <v>27967.346999999994</v>
      </c>
      <c r="M100" s="7">
        <f>SUMIFS('Stock - ETA'!$R$3:R4963,'Stock - ETA'!$F$3:F4963,'Rango proyecciones'!C100,'Stock - ETA'!$AA$3:AA4963,'Rango proyecciones'!$AJ$5)</f>
        <v>232065</v>
      </c>
      <c r="N100" s="7">
        <f>SUMIF('Stock - Puerto Chile'!$G$2:G973,'Rango proyecciones'!C100,'Stock - Puerto Chile'!$L$2:L973)</f>
        <v>528000</v>
      </c>
      <c r="O100" s="7">
        <f>0 * (25 / 27)</f>
        <v>0</v>
      </c>
      <c r="P100" s="7">
        <f>20000 * (25 / 27)</f>
        <v>18518.518518518518</v>
      </c>
      <c r="Q100" s="16">
        <f t="shared" si="30"/>
        <v>250583.51851851851</v>
      </c>
      <c r="R100" s="7">
        <f t="shared" si="27"/>
        <v>47944.023428571425</v>
      </c>
      <c r="S100" s="7">
        <f>SUMIFS('Stock - ETA'!$H$3:H4963,'Stock - ETA'!$F$3:F4963,'Rango proyecciones'!C100,'Stock - ETA'!$Q$3:Q4963,'Rango proyecciones'!$AJ$5)</f>
        <v>232065</v>
      </c>
      <c r="T100" s="7">
        <f>SUMIF('Stock - Puerto Chile'!$G$2:G973,'Rango proyecciones'!C100,'Stock - Puerto Chile'!$N$2:N973)</f>
        <v>633600</v>
      </c>
      <c r="U100" s="7">
        <f>0 * (25 / 27)</f>
        <v>0</v>
      </c>
      <c r="V100" s="7">
        <f>20000 * (25 / 27)</f>
        <v>18518.518518518518</v>
      </c>
      <c r="W100" s="17">
        <f t="shared" si="31"/>
        <v>250583.51851851851</v>
      </c>
      <c r="X100" s="4">
        <v>100000</v>
      </c>
      <c r="Y100" s="7">
        <v>100000</v>
      </c>
      <c r="Z100" s="18">
        <f>SUMIFS('Stock - ETA'!$S$3:S4963,'Stock - ETA'!$F$3:F4963,'Rango proyecciones'!C100,'Stock - ETA'!$AA$3:AA4963,'Rango proyecciones'!$AJ$5) + SUMIFS('Stock - ETA'!$R$3:R4963,'Stock - ETA'!$F$3:F4963,'Rango proyecciones'!C100,'Stock - ETA'!$AA$3:AA4963,'Rango proyecciones'!$AJ$7)</f>
        <v>98485</v>
      </c>
      <c r="AA100" s="13">
        <f t="shared" si="22"/>
        <v>198485</v>
      </c>
      <c r="AB100" s="7">
        <f>SUMIFS('Stock - ETA'!$I$3:I4963,'Stock - ETA'!$F$3:F4963,'Rango proyecciones'!C100,'Stock - ETA'!$Q$3:Q4963,'Rango proyecciones'!$AJ$5) + SUMIFS('Stock - ETA'!$H$3:H4963,'Stock - ETA'!$F$3:F4963,'Rango proyecciones'!C100,'Stock - ETA'!$Q$3:Q4963,'Rango proyecciones'!$AJ$7)</f>
        <v>98485</v>
      </c>
      <c r="AC100" s="16">
        <f t="shared" si="23"/>
        <v>198485</v>
      </c>
      <c r="AD100" s="4">
        <v>100000</v>
      </c>
      <c r="AE100" s="7">
        <f>SUMIFS('Stock - ETA'!$T$3:T4963,'Stock - ETA'!$F$3:F4963,'Rango proyecciones'!C100,'Stock - ETA'!$AA$3:AA4963,'Rango proyecciones'!$AJ$5) + SUMIFS('Stock - ETA'!$S$3:S4963,'Stock - ETA'!$F$3:F4963,'Rango proyecciones'!C100,'Stock - ETA'!$AA$3:AA4963,'Rango proyecciones'!$AJ$8)</f>
        <v>0</v>
      </c>
      <c r="AF100" s="16">
        <f>0.7 * AD100 + AE100</f>
        <v>70000</v>
      </c>
      <c r="AG100" s="7">
        <f>SUMIFS('Stock - ETA'!$J$3:J4963,'Stock - ETA'!$F$3:F4963,'Rango proyecciones'!C100,'Stock - ETA'!$Q$3:Q4963,'Rango proyecciones'!$AJ$5) + SUMIFS('Stock - ETA'!$I$3:I4963,'Stock - ETA'!$F$3:F4963,'Rango proyecciones'!C100,'Stock - ETA'!$Q$3:Q4963,'Rango proyecciones'!$AJ$8)</f>
        <v>0</v>
      </c>
      <c r="AH100" s="16">
        <f>0.7 * AD100 + AG100</f>
        <v>70000</v>
      </c>
      <c r="AI100" s="4"/>
    </row>
    <row r="101" spans="1:35" x14ac:dyDescent="0.2">
      <c r="A101" s="2" t="s">
        <v>34</v>
      </c>
      <c r="B101" s="2" t="s">
        <v>35</v>
      </c>
      <c r="C101" s="2" t="s">
        <v>263</v>
      </c>
      <c r="D101" s="2" t="s">
        <v>150</v>
      </c>
      <c r="E101" s="2">
        <v>1021272</v>
      </c>
      <c r="F101" s="2" t="s">
        <v>264</v>
      </c>
      <c r="G101" s="2" t="s">
        <v>175</v>
      </c>
      <c r="H101" s="4">
        <v>0</v>
      </c>
      <c r="I101" s="7">
        <v>0</v>
      </c>
      <c r="J101" s="7">
        <v>28400</v>
      </c>
      <c r="K101" s="7">
        <v>1718.57</v>
      </c>
      <c r="L101" s="4">
        <f t="shared" ref="L101:L106" si="32">MAX(J101 - K101, 0) * MAX((23 - 10)/(10), 0)</f>
        <v>34685.859000000004</v>
      </c>
      <c r="M101" s="7">
        <f>SUMIFS('Stock - ETA'!$R$3:R4963,'Stock - ETA'!$F$3:F4963,'Rango proyecciones'!C101,'Stock - ETA'!$AA$3:AA4963,'Rango proyecciones'!$AJ$5)</f>
        <v>258345.96000000002</v>
      </c>
      <c r="N101" s="7">
        <f>SUMIF('Stock - Puerto Chile'!$G$2:G973,'Rango proyecciones'!C101,'Stock - Puerto Chile'!$L$2:L973)</f>
        <v>583616.67791304342</v>
      </c>
      <c r="O101" s="7">
        <f>0 * (23 / 27)</f>
        <v>0</v>
      </c>
      <c r="P101" s="7">
        <f>24002.552 * (23 / 27)</f>
        <v>20446.618370370372</v>
      </c>
      <c r="Q101" s="16">
        <f t="shared" si="30"/>
        <v>278792.57837037038</v>
      </c>
      <c r="R101" s="7">
        <f t="shared" ref="R101:R106" si="33">MAX(J101 - K101, 0) * MAX((23 - 7)/(7), 0)</f>
        <v>60986.125714285714</v>
      </c>
      <c r="S101" s="7">
        <f>SUMIFS('Stock - ETA'!$H$3:H4963,'Stock - ETA'!$F$3:F4963,'Rango proyecciones'!C101,'Stock - ETA'!$Q$3:Q4963,'Rango proyecciones'!$AJ$5)</f>
        <v>258345.96000000002</v>
      </c>
      <c r="T101" s="7">
        <f>SUMIF('Stock - Puerto Chile'!$G$2:G973,'Rango proyecciones'!C101,'Stock - Puerto Chile'!$N$2:N973)</f>
        <v>718297.44973913045</v>
      </c>
      <c r="U101" s="7">
        <f>0 * (23 / 27)</f>
        <v>0</v>
      </c>
      <c r="V101" s="7">
        <f>24002.552 * (23 / 27)</f>
        <v>20446.618370370372</v>
      </c>
      <c r="W101" s="17">
        <f t="shared" si="31"/>
        <v>278792.57837037038</v>
      </c>
      <c r="X101" s="4">
        <v>291618</v>
      </c>
      <c r="Y101" s="7">
        <v>291618</v>
      </c>
      <c r="Z101" s="18">
        <f>SUMIFS('Stock - ETA'!$S$3:S4963,'Stock - ETA'!$F$3:F4963,'Rango proyecciones'!C101,'Stock - ETA'!$AA$3:AA4963,'Rango proyecciones'!$AJ$5) + SUMIFS('Stock - ETA'!$R$3:R4963,'Stock - ETA'!$F$3:F4963,'Rango proyecciones'!C101,'Stock - ETA'!$AA$3:AA4963,'Rango proyecciones'!$AJ$7)</f>
        <v>72025.42</v>
      </c>
      <c r="AA101" s="13">
        <f t="shared" si="22"/>
        <v>363643.42</v>
      </c>
      <c r="AB101" s="7">
        <f>SUMIFS('Stock - ETA'!$I$3:I4963,'Stock - ETA'!$F$3:F4963,'Rango proyecciones'!C101,'Stock - ETA'!$Q$3:Q4963,'Rango proyecciones'!$AJ$5) + SUMIFS('Stock - ETA'!$H$3:H4963,'Stock - ETA'!$F$3:F4963,'Rango proyecciones'!C101,'Stock - ETA'!$Q$3:Q4963,'Rango proyecciones'!$AJ$7)</f>
        <v>72025.42</v>
      </c>
      <c r="AC101" s="16">
        <f t="shared" si="23"/>
        <v>363643.42</v>
      </c>
      <c r="AD101" s="4">
        <v>342617</v>
      </c>
      <c r="AE101" s="7">
        <f>SUMIFS('Stock - ETA'!$T$3:T4963,'Stock - ETA'!$F$3:F4963,'Rango proyecciones'!C101,'Stock - ETA'!$AA$3:AA4963,'Rango proyecciones'!$AJ$5) + SUMIFS('Stock - ETA'!$S$3:S4963,'Stock - ETA'!$F$3:F4963,'Rango proyecciones'!C101,'Stock - ETA'!$AA$3:AA4963,'Rango proyecciones'!$AJ$8)</f>
        <v>0</v>
      </c>
      <c r="AF101" s="16">
        <f t="shared" ref="AF101:AF106" si="34">0.8 * AD101 + AE101</f>
        <v>274093.60000000003</v>
      </c>
      <c r="AG101" s="7">
        <f>SUMIFS('Stock - ETA'!$J$3:J4963,'Stock - ETA'!$F$3:F4963,'Rango proyecciones'!C101,'Stock - ETA'!$Q$3:Q4963,'Rango proyecciones'!$AJ$5) + SUMIFS('Stock - ETA'!$I$3:I4963,'Stock - ETA'!$F$3:F4963,'Rango proyecciones'!C101,'Stock - ETA'!$Q$3:Q4963,'Rango proyecciones'!$AJ$8)</f>
        <v>0</v>
      </c>
      <c r="AH101" s="16">
        <f t="shared" ref="AH101:AH106" si="35">0.8 * AD101 + AG101</f>
        <v>274093.60000000003</v>
      </c>
      <c r="AI101" s="4"/>
    </row>
    <row r="102" spans="1:35" x14ac:dyDescent="0.2">
      <c r="A102" s="2" t="s">
        <v>34</v>
      </c>
      <c r="B102" s="2" t="s">
        <v>35</v>
      </c>
      <c r="C102" s="2" t="s">
        <v>265</v>
      </c>
      <c r="D102" s="2" t="s">
        <v>150</v>
      </c>
      <c r="E102" s="2">
        <v>1023218</v>
      </c>
      <c r="F102" s="2" t="s">
        <v>266</v>
      </c>
      <c r="G102" s="2" t="s">
        <v>259</v>
      </c>
      <c r="H102" s="4">
        <v>0</v>
      </c>
      <c r="I102" s="7">
        <v>0</v>
      </c>
      <c r="J102" s="7">
        <v>0</v>
      </c>
      <c r="K102" s="7">
        <v>0</v>
      </c>
      <c r="L102" s="4">
        <f t="shared" si="32"/>
        <v>0</v>
      </c>
      <c r="M102" s="7">
        <f>SUMIFS('Stock - ETA'!$R$3:R4963,'Stock - ETA'!$F$3:F4963,'Rango proyecciones'!C102,'Stock - ETA'!$AA$3:AA4963,'Rango proyecciones'!$AJ$5)</f>
        <v>39920</v>
      </c>
      <c r="N102" s="7">
        <f>SUMIF('Stock - Puerto Chile'!$G$2:G973,'Rango proyecciones'!C102,'Stock - Puerto Chile'!$L$2:L973)</f>
        <v>148346.95652173911</v>
      </c>
      <c r="O102" s="7">
        <f>0 * (23 / 27)</f>
        <v>0</v>
      </c>
      <c r="P102" s="7">
        <f>48000 * (23 / 27)</f>
        <v>40888.888888888891</v>
      </c>
      <c r="Q102" s="16">
        <f t="shared" si="30"/>
        <v>80808.888888888891</v>
      </c>
      <c r="R102" s="7">
        <f t="shared" si="33"/>
        <v>0</v>
      </c>
      <c r="S102" s="7">
        <f>SUMIFS('Stock - ETA'!$H$3:H4963,'Stock - ETA'!$F$3:F4963,'Rango proyecciones'!C102,'Stock - ETA'!$Q$3:Q4963,'Rango proyecciones'!$AJ$5)</f>
        <v>39920</v>
      </c>
      <c r="T102" s="7">
        <f>SUMIF('Stock - Puerto Chile'!$G$2:G973,'Rango proyecciones'!C102,'Stock - Puerto Chile'!$N$2:N973)</f>
        <v>182580.86956521738</v>
      </c>
      <c r="U102" s="7">
        <f>0 * (23 / 27)</f>
        <v>0</v>
      </c>
      <c r="V102" s="7">
        <f>48000 * (23 / 27)</f>
        <v>40888.888888888891</v>
      </c>
      <c r="W102" s="17">
        <f t="shared" si="31"/>
        <v>80808.888888888891</v>
      </c>
      <c r="X102" s="4"/>
      <c r="Y102" s="7"/>
      <c r="Z102" s="18">
        <f>SUMIFS('Stock - ETA'!$S$3:S4963,'Stock - ETA'!$F$3:F4963,'Rango proyecciones'!C102,'Stock - ETA'!$AA$3:AA4963,'Rango proyecciones'!$AJ$5) + SUMIFS('Stock - ETA'!$R$3:R4963,'Stock - ETA'!$F$3:F4963,'Rango proyecciones'!C102,'Stock - ETA'!$AA$3:AA4963,'Rango proyecciones'!$AJ$7)</f>
        <v>0</v>
      </c>
      <c r="AA102" s="13">
        <f t="shared" si="22"/>
        <v>0</v>
      </c>
      <c r="AB102" s="7">
        <f>SUMIFS('Stock - ETA'!$I$3:I4963,'Stock - ETA'!$F$3:F4963,'Rango proyecciones'!C102,'Stock - ETA'!$Q$3:Q4963,'Rango proyecciones'!$AJ$5) + SUMIFS('Stock - ETA'!$H$3:H4963,'Stock - ETA'!$F$3:F4963,'Rango proyecciones'!C102,'Stock - ETA'!$Q$3:Q4963,'Rango proyecciones'!$AJ$7)</f>
        <v>0</v>
      </c>
      <c r="AC102" s="16">
        <f t="shared" si="23"/>
        <v>0</v>
      </c>
      <c r="AD102" s="4"/>
      <c r="AE102" s="7">
        <f>SUMIFS('Stock - ETA'!$T$3:T4963,'Stock - ETA'!$F$3:F4963,'Rango proyecciones'!C102,'Stock - ETA'!$AA$3:AA4963,'Rango proyecciones'!$AJ$5) + SUMIFS('Stock - ETA'!$S$3:S4963,'Stock - ETA'!$F$3:F4963,'Rango proyecciones'!C102,'Stock - ETA'!$AA$3:AA4963,'Rango proyecciones'!$AJ$8)</f>
        <v>0</v>
      </c>
      <c r="AF102" s="16">
        <f t="shared" si="34"/>
        <v>0</v>
      </c>
      <c r="AG102" s="7">
        <f>SUMIFS('Stock - ETA'!$J$3:J4963,'Stock - ETA'!$F$3:F4963,'Rango proyecciones'!C102,'Stock - ETA'!$Q$3:Q4963,'Rango proyecciones'!$AJ$5) + SUMIFS('Stock - ETA'!$I$3:I4963,'Stock - ETA'!$F$3:F4963,'Rango proyecciones'!C102,'Stock - ETA'!$Q$3:Q4963,'Rango proyecciones'!$AJ$8)</f>
        <v>0</v>
      </c>
      <c r="AH102" s="16">
        <f t="shared" si="35"/>
        <v>0</v>
      </c>
      <c r="AI102" s="4"/>
    </row>
    <row r="103" spans="1:35" x14ac:dyDescent="0.2">
      <c r="A103" s="2" t="s">
        <v>34</v>
      </c>
      <c r="B103" s="2" t="s">
        <v>35</v>
      </c>
      <c r="C103" s="2" t="s">
        <v>267</v>
      </c>
      <c r="D103" s="2" t="s">
        <v>150</v>
      </c>
      <c r="E103" s="2">
        <v>1023219</v>
      </c>
      <c r="F103" s="2" t="s">
        <v>166</v>
      </c>
      <c r="G103" s="2" t="s">
        <v>167</v>
      </c>
      <c r="H103" s="4">
        <v>0</v>
      </c>
      <c r="I103" s="7">
        <v>0</v>
      </c>
      <c r="J103" s="7">
        <v>0</v>
      </c>
      <c r="K103" s="7">
        <v>0</v>
      </c>
      <c r="L103" s="4">
        <f t="shared" si="32"/>
        <v>0</v>
      </c>
      <c r="M103" s="7">
        <f>SUMIFS('Stock - ETA'!$R$3:R4963,'Stock - ETA'!$F$3:F4963,'Rango proyecciones'!C103,'Stock - ETA'!$AA$3:AA4963,'Rango proyecciones'!$AJ$5)</f>
        <v>0</v>
      </c>
      <c r="N103" s="7">
        <f>SUMIF('Stock - Puerto Chile'!$G$2:G973,'Rango proyecciones'!C103,'Stock - Puerto Chile'!$L$2:L973)</f>
        <v>0</v>
      </c>
      <c r="O103" s="7">
        <f>0 * (23 / 27)</f>
        <v>0</v>
      </c>
      <c r="P103" s="7">
        <f>24002.993 * (23 / 27)</f>
        <v>20446.994037037035</v>
      </c>
      <c r="Q103" s="16">
        <f t="shared" si="30"/>
        <v>20446.994037037035</v>
      </c>
      <c r="R103" s="7">
        <f t="shared" si="33"/>
        <v>0</v>
      </c>
      <c r="S103" s="7">
        <f>SUMIFS('Stock - ETA'!$H$3:H4963,'Stock - ETA'!$F$3:F4963,'Rango proyecciones'!C103,'Stock - ETA'!$Q$3:Q4963,'Rango proyecciones'!$AJ$5)</f>
        <v>0</v>
      </c>
      <c r="T103" s="7">
        <f>SUMIF('Stock - Puerto Chile'!$G$2:G973,'Rango proyecciones'!C103,'Stock - Puerto Chile'!$N$2:N973)</f>
        <v>0</v>
      </c>
      <c r="U103" s="7">
        <f>0 * (23 / 27)</f>
        <v>0</v>
      </c>
      <c r="V103" s="7">
        <f>24002.993 * (23 / 27)</f>
        <v>20446.994037037035</v>
      </c>
      <c r="W103" s="17">
        <f t="shared" si="31"/>
        <v>20446.994037037035</v>
      </c>
      <c r="X103" s="4"/>
      <c r="Y103" s="7"/>
      <c r="Z103" s="18">
        <f>SUMIFS('Stock - ETA'!$S$3:S4963,'Stock - ETA'!$F$3:F4963,'Rango proyecciones'!C103,'Stock - ETA'!$AA$3:AA4963,'Rango proyecciones'!$AJ$5) + SUMIFS('Stock - ETA'!$R$3:R4963,'Stock - ETA'!$F$3:F4963,'Rango proyecciones'!C103,'Stock - ETA'!$AA$3:AA4963,'Rango proyecciones'!$AJ$7)</f>
        <v>0</v>
      </c>
      <c r="AA103" s="13">
        <f t="shared" si="22"/>
        <v>0</v>
      </c>
      <c r="AB103" s="7">
        <f>SUMIFS('Stock - ETA'!$I$3:I4963,'Stock - ETA'!$F$3:F4963,'Rango proyecciones'!C103,'Stock - ETA'!$Q$3:Q4963,'Rango proyecciones'!$AJ$5) + SUMIFS('Stock - ETA'!$H$3:H4963,'Stock - ETA'!$F$3:F4963,'Rango proyecciones'!C103,'Stock - ETA'!$Q$3:Q4963,'Rango proyecciones'!$AJ$7)</f>
        <v>0</v>
      </c>
      <c r="AC103" s="16">
        <f t="shared" si="23"/>
        <v>0</v>
      </c>
      <c r="AD103" s="4">
        <v>48000</v>
      </c>
      <c r="AE103" s="7">
        <f>SUMIFS('Stock - ETA'!$T$3:T4963,'Stock - ETA'!$F$3:F4963,'Rango proyecciones'!C103,'Stock - ETA'!$AA$3:AA4963,'Rango proyecciones'!$AJ$5) + SUMIFS('Stock - ETA'!$S$3:S4963,'Stock - ETA'!$F$3:F4963,'Rango proyecciones'!C103,'Stock - ETA'!$AA$3:AA4963,'Rango proyecciones'!$AJ$8)</f>
        <v>0</v>
      </c>
      <c r="AF103" s="16">
        <f t="shared" si="34"/>
        <v>38400</v>
      </c>
      <c r="AG103" s="7">
        <f>SUMIFS('Stock - ETA'!$J$3:J4963,'Stock - ETA'!$F$3:F4963,'Rango proyecciones'!C103,'Stock - ETA'!$Q$3:Q4963,'Rango proyecciones'!$AJ$5) + SUMIFS('Stock - ETA'!$I$3:I4963,'Stock - ETA'!$F$3:F4963,'Rango proyecciones'!C103,'Stock - ETA'!$Q$3:Q4963,'Rango proyecciones'!$AJ$8)</f>
        <v>0</v>
      </c>
      <c r="AH103" s="16">
        <f t="shared" si="35"/>
        <v>38400</v>
      </c>
      <c r="AI103" s="4"/>
    </row>
    <row r="104" spans="1:35" x14ac:dyDescent="0.2">
      <c r="A104" s="2" t="s">
        <v>34</v>
      </c>
      <c r="B104" s="2" t="s">
        <v>35</v>
      </c>
      <c r="C104" s="2" t="s">
        <v>268</v>
      </c>
      <c r="D104" s="2" t="s">
        <v>150</v>
      </c>
      <c r="E104" s="2">
        <v>1023302</v>
      </c>
      <c r="F104" s="2" t="s">
        <v>47</v>
      </c>
      <c r="G104" s="2" t="s">
        <v>48</v>
      </c>
      <c r="H104" s="4">
        <v>0</v>
      </c>
      <c r="I104" s="7">
        <v>0</v>
      </c>
      <c r="J104" s="7">
        <v>41277.599999999999</v>
      </c>
      <c r="K104" s="7">
        <v>5923.95</v>
      </c>
      <c r="L104" s="4">
        <f t="shared" si="32"/>
        <v>45959.745000000003</v>
      </c>
      <c r="M104" s="7">
        <f>SUMIFS('Stock - ETA'!$R$3:R4963,'Stock - ETA'!$F$3:F4963,'Rango proyecciones'!C104,'Stock - ETA'!$AA$3:AA4963,'Rango proyecciones'!$AJ$5)</f>
        <v>253600</v>
      </c>
      <c r="N104" s="7">
        <f>SUMIF('Stock - Puerto Chile'!$G$2:G973,'Rango proyecciones'!C104,'Stock - Puerto Chile'!$L$2:L973)</f>
        <v>802789.56521739135</v>
      </c>
      <c r="O104" s="7">
        <f>47960 * (23 / 27)</f>
        <v>40854.814814814818</v>
      </c>
      <c r="P104" s="7">
        <f>0 * (23 / 27)</f>
        <v>0</v>
      </c>
      <c r="Q104" s="16">
        <f t="shared" si="30"/>
        <v>253600</v>
      </c>
      <c r="R104" s="7">
        <f t="shared" si="33"/>
        <v>80808.342857142852</v>
      </c>
      <c r="S104" s="7">
        <f>SUMIFS('Stock - ETA'!$H$3:H4963,'Stock - ETA'!$F$3:F4963,'Rango proyecciones'!C104,'Stock - ETA'!$Q$3:Q4963,'Rango proyecciones'!$AJ$5)</f>
        <v>253600</v>
      </c>
      <c r="T104" s="7">
        <f>SUMIF('Stock - Puerto Chile'!$G$2:G973,'Rango proyecciones'!C104,'Stock - Puerto Chile'!$N$2:N973)</f>
        <v>988048.69565217395</v>
      </c>
      <c r="U104" s="7">
        <f>47960 * (23 / 27)</f>
        <v>40854.814814814818</v>
      </c>
      <c r="V104" s="7">
        <f>0 * (23 / 27)</f>
        <v>0</v>
      </c>
      <c r="W104" s="17">
        <f t="shared" si="31"/>
        <v>294454.81481481483</v>
      </c>
      <c r="X104" s="4">
        <v>145572</v>
      </c>
      <c r="Y104" s="7">
        <v>145572</v>
      </c>
      <c r="Z104" s="18">
        <f>SUMIFS('Stock - ETA'!$S$3:S4963,'Stock - ETA'!$F$3:F4963,'Rango proyecciones'!C104,'Stock - ETA'!$AA$3:AA4963,'Rango proyecciones'!$AJ$5) + SUMIFS('Stock - ETA'!$R$3:R4963,'Stock - ETA'!$F$3:F4963,'Rango proyecciones'!C104,'Stock - ETA'!$AA$3:AA4963,'Rango proyecciones'!$AJ$7)</f>
        <v>150440</v>
      </c>
      <c r="AA104" s="13">
        <f t="shared" si="22"/>
        <v>296012</v>
      </c>
      <c r="AB104" s="7">
        <f>SUMIFS('Stock - ETA'!$I$3:I4963,'Stock - ETA'!$F$3:F4963,'Rango proyecciones'!C104,'Stock - ETA'!$Q$3:Q4963,'Rango proyecciones'!$AJ$5) + SUMIFS('Stock - ETA'!$H$3:H4963,'Stock - ETA'!$F$3:F4963,'Rango proyecciones'!C104,'Stock - ETA'!$Q$3:Q4963,'Rango proyecciones'!$AJ$7)</f>
        <v>150440</v>
      </c>
      <c r="AC104" s="16">
        <f t="shared" si="23"/>
        <v>296012</v>
      </c>
      <c r="AD104" s="4">
        <v>154860</v>
      </c>
      <c r="AE104" s="7">
        <f>SUMIFS('Stock - ETA'!$T$3:T4963,'Stock - ETA'!$F$3:F4963,'Rango proyecciones'!C104,'Stock - ETA'!$AA$3:AA4963,'Rango proyecciones'!$AJ$5) + SUMIFS('Stock - ETA'!$S$3:S4963,'Stock - ETA'!$F$3:F4963,'Rango proyecciones'!C104,'Stock - ETA'!$AA$3:AA4963,'Rango proyecciones'!$AJ$8)</f>
        <v>0</v>
      </c>
      <c r="AF104" s="16">
        <f t="shared" si="34"/>
        <v>123888</v>
      </c>
      <c r="AG104" s="7">
        <f>SUMIFS('Stock - ETA'!$J$3:J4963,'Stock - ETA'!$F$3:F4963,'Rango proyecciones'!C104,'Stock - ETA'!$Q$3:Q4963,'Rango proyecciones'!$AJ$5) + SUMIFS('Stock - ETA'!$I$3:I4963,'Stock - ETA'!$F$3:F4963,'Rango proyecciones'!C104,'Stock - ETA'!$Q$3:Q4963,'Rango proyecciones'!$AJ$8)</f>
        <v>0</v>
      </c>
      <c r="AH104" s="16">
        <f t="shared" si="35"/>
        <v>123888</v>
      </c>
      <c r="AI104" s="4"/>
    </row>
    <row r="105" spans="1:35" x14ac:dyDescent="0.2">
      <c r="A105" s="2" t="s">
        <v>34</v>
      </c>
      <c r="B105" s="2" t="s">
        <v>35</v>
      </c>
      <c r="C105" s="2" t="s">
        <v>269</v>
      </c>
      <c r="D105" s="2" t="s">
        <v>150</v>
      </c>
      <c r="E105" s="2">
        <v>1023324</v>
      </c>
      <c r="F105" s="2" t="s">
        <v>270</v>
      </c>
      <c r="G105" s="2" t="s">
        <v>96</v>
      </c>
      <c r="H105" s="4">
        <v>0</v>
      </c>
      <c r="I105" s="7">
        <v>0</v>
      </c>
      <c r="J105" s="7">
        <v>445.39800000000002</v>
      </c>
      <c r="K105" s="7"/>
      <c r="L105" s="4">
        <f t="shared" si="32"/>
        <v>579.01740000000007</v>
      </c>
      <c r="M105" s="7">
        <f>SUMIFS('Stock - ETA'!$R$3:R4963,'Stock - ETA'!$F$3:F4963,'Rango proyecciones'!C105,'Stock - ETA'!$AA$3:AA4963,'Rango proyecciones'!$AJ$5)</f>
        <v>48062.35</v>
      </c>
      <c r="N105" s="7">
        <f>SUMIF('Stock - Puerto Chile'!$G$2:G973,'Rango proyecciones'!C105,'Stock - Puerto Chile'!$L$2:L973)</f>
        <v>149221.37382608693</v>
      </c>
      <c r="O105" s="7">
        <f>23995.24 * (23 / 27)</f>
        <v>20440.38962962963</v>
      </c>
      <c r="P105" s="7">
        <f>0 * (23 / 27)</f>
        <v>0</v>
      </c>
      <c r="Q105" s="16">
        <f t="shared" si="30"/>
        <v>48062.35</v>
      </c>
      <c r="R105" s="7">
        <f t="shared" si="33"/>
        <v>1018.0525714285715</v>
      </c>
      <c r="S105" s="7">
        <f>SUMIFS('Stock - ETA'!$H$3:H4963,'Stock - ETA'!$F$3:F4963,'Rango proyecciones'!C105,'Stock - ETA'!$Q$3:Q4963,'Rango proyecciones'!$AJ$5)</f>
        <v>48062.35</v>
      </c>
      <c r="T105" s="7">
        <f>SUMIF('Stock - Puerto Chile'!$G$2:G973,'Rango proyecciones'!C105,'Stock - Puerto Chile'!$N$2:N973)</f>
        <v>183657.07547826084</v>
      </c>
      <c r="U105" s="7">
        <f>23995.24 * (23 / 27)</f>
        <v>20440.38962962963</v>
      </c>
      <c r="V105" s="7">
        <f>0 * (23 / 27)</f>
        <v>0</v>
      </c>
      <c r="W105" s="17">
        <f t="shared" si="31"/>
        <v>68502.739629629621</v>
      </c>
      <c r="X105" s="4">
        <v>40877</v>
      </c>
      <c r="Y105" s="7">
        <v>40877</v>
      </c>
      <c r="Z105" s="18">
        <f>SUMIFS('Stock - ETA'!$S$3:S4963,'Stock - ETA'!$F$3:F4963,'Rango proyecciones'!C105,'Stock - ETA'!$AA$3:AA4963,'Rango proyecciones'!$AJ$5) + SUMIFS('Stock - ETA'!$R$3:R4963,'Stock - ETA'!$F$3:F4963,'Rango proyecciones'!C105,'Stock - ETA'!$AA$3:AA4963,'Rango proyecciones'!$AJ$7)</f>
        <v>0</v>
      </c>
      <c r="AA105" s="13">
        <f t="shared" si="22"/>
        <v>40877</v>
      </c>
      <c r="AB105" s="7">
        <f>SUMIFS('Stock - ETA'!$I$3:I4963,'Stock - ETA'!$F$3:F4963,'Rango proyecciones'!C105,'Stock - ETA'!$Q$3:Q4963,'Rango proyecciones'!$AJ$5) + SUMIFS('Stock - ETA'!$H$3:H4963,'Stock - ETA'!$F$3:F4963,'Rango proyecciones'!C105,'Stock - ETA'!$Q$3:Q4963,'Rango proyecciones'!$AJ$7)</f>
        <v>0</v>
      </c>
      <c r="AC105" s="16">
        <f t="shared" si="23"/>
        <v>40877</v>
      </c>
      <c r="AD105" s="4">
        <v>240000</v>
      </c>
      <c r="AE105" s="7">
        <f>SUMIFS('Stock - ETA'!$T$3:T4963,'Stock - ETA'!$F$3:F4963,'Rango proyecciones'!C105,'Stock - ETA'!$AA$3:AA4963,'Rango proyecciones'!$AJ$5) + SUMIFS('Stock - ETA'!$S$3:S4963,'Stock - ETA'!$F$3:F4963,'Rango proyecciones'!C105,'Stock - ETA'!$AA$3:AA4963,'Rango proyecciones'!$AJ$8)</f>
        <v>0</v>
      </c>
      <c r="AF105" s="16">
        <f t="shared" si="34"/>
        <v>192000</v>
      </c>
      <c r="AG105" s="7">
        <f>SUMIFS('Stock - ETA'!$J$3:J4963,'Stock - ETA'!$F$3:F4963,'Rango proyecciones'!C105,'Stock - ETA'!$Q$3:Q4963,'Rango proyecciones'!$AJ$5) + SUMIFS('Stock - ETA'!$I$3:I4963,'Stock - ETA'!$F$3:F4963,'Rango proyecciones'!C105,'Stock - ETA'!$Q$3:Q4963,'Rango proyecciones'!$AJ$8)</f>
        <v>0</v>
      </c>
      <c r="AH105" s="16">
        <f t="shared" si="35"/>
        <v>192000</v>
      </c>
      <c r="AI105" s="4"/>
    </row>
    <row r="106" spans="1:35" x14ac:dyDescent="0.2">
      <c r="A106" s="2" t="s">
        <v>34</v>
      </c>
      <c r="B106" s="2" t="s">
        <v>35</v>
      </c>
      <c r="C106" s="2" t="s">
        <v>271</v>
      </c>
      <c r="D106" s="2" t="s">
        <v>150</v>
      </c>
      <c r="E106" s="2">
        <v>1023421</v>
      </c>
      <c r="F106" s="2" t="s">
        <v>272</v>
      </c>
      <c r="G106" s="2" t="s">
        <v>191</v>
      </c>
      <c r="H106" s="4">
        <v>0</v>
      </c>
      <c r="I106" s="7">
        <v>0</v>
      </c>
      <c r="J106" s="7">
        <v>0</v>
      </c>
      <c r="K106" s="7">
        <v>0</v>
      </c>
      <c r="L106" s="4">
        <f t="shared" si="32"/>
        <v>0</v>
      </c>
      <c r="M106" s="7">
        <f>SUMIFS('Stock - ETA'!$R$3:R4963,'Stock - ETA'!$F$3:F4963,'Rango proyecciones'!C106,'Stock - ETA'!$AA$3:AA4963,'Rango proyecciones'!$AJ$5)</f>
        <v>0</v>
      </c>
      <c r="N106" s="7">
        <f>SUMIF('Stock - Puerto Chile'!$G$2:G973,'Rango proyecciones'!C106,'Stock - Puerto Chile'!$L$2:L973)</f>
        <v>0</v>
      </c>
      <c r="O106" s="7">
        <f>0 * (23 / 27)</f>
        <v>0</v>
      </c>
      <c r="P106" s="7">
        <f>41049.987 * (23 / 27)</f>
        <v>34968.507444444447</v>
      </c>
      <c r="Q106" s="16">
        <f t="shared" si="30"/>
        <v>34968.507444444447</v>
      </c>
      <c r="R106" s="7">
        <f t="shared" si="33"/>
        <v>0</v>
      </c>
      <c r="S106" s="7">
        <f>SUMIFS('Stock - ETA'!$H$3:H4963,'Stock - ETA'!$F$3:F4963,'Rango proyecciones'!C106,'Stock - ETA'!$Q$3:Q4963,'Rango proyecciones'!$AJ$5)</f>
        <v>0</v>
      </c>
      <c r="T106" s="7">
        <f>SUMIF('Stock - Puerto Chile'!$G$2:G973,'Rango proyecciones'!C106,'Stock - Puerto Chile'!$N$2:N973)</f>
        <v>0</v>
      </c>
      <c r="U106" s="7">
        <f>0 * (23 / 27)</f>
        <v>0</v>
      </c>
      <c r="V106" s="7">
        <f>41049.987 * (23 / 27)</f>
        <v>34968.507444444447</v>
      </c>
      <c r="W106" s="17">
        <f t="shared" si="31"/>
        <v>34968.507444444447</v>
      </c>
      <c r="X106" s="4"/>
      <c r="Y106" s="7"/>
      <c r="Z106" s="18">
        <f>SUMIFS('Stock - ETA'!$S$3:S4963,'Stock - ETA'!$F$3:F4963,'Rango proyecciones'!C106,'Stock - ETA'!$AA$3:AA4963,'Rango proyecciones'!$AJ$5) + SUMIFS('Stock - ETA'!$R$3:R4963,'Stock - ETA'!$F$3:F4963,'Rango proyecciones'!C106,'Stock - ETA'!$AA$3:AA4963,'Rango proyecciones'!$AJ$7)</f>
        <v>0</v>
      </c>
      <c r="AA106" s="13">
        <f t="shared" si="22"/>
        <v>0</v>
      </c>
      <c r="AB106" s="7">
        <f>SUMIFS('Stock - ETA'!$I$3:I4963,'Stock - ETA'!$F$3:F4963,'Rango proyecciones'!C106,'Stock - ETA'!$Q$3:Q4963,'Rango proyecciones'!$AJ$5) + SUMIFS('Stock - ETA'!$H$3:H4963,'Stock - ETA'!$F$3:F4963,'Rango proyecciones'!C106,'Stock - ETA'!$Q$3:Q4963,'Rango proyecciones'!$AJ$7)</f>
        <v>0</v>
      </c>
      <c r="AC106" s="16">
        <f t="shared" si="23"/>
        <v>0</v>
      </c>
      <c r="AD106" s="4"/>
      <c r="AE106" s="7">
        <f>SUMIFS('Stock - ETA'!$T$3:T4963,'Stock - ETA'!$F$3:F4963,'Rango proyecciones'!C106,'Stock - ETA'!$AA$3:AA4963,'Rango proyecciones'!$AJ$5) + SUMIFS('Stock - ETA'!$S$3:S4963,'Stock - ETA'!$F$3:F4963,'Rango proyecciones'!C106,'Stock - ETA'!$AA$3:AA4963,'Rango proyecciones'!$AJ$8)</f>
        <v>0</v>
      </c>
      <c r="AF106" s="16">
        <f t="shared" si="34"/>
        <v>0</v>
      </c>
      <c r="AG106" s="7">
        <f>SUMIFS('Stock - ETA'!$J$3:J4963,'Stock - ETA'!$F$3:F4963,'Rango proyecciones'!C106,'Stock - ETA'!$Q$3:Q4963,'Rango proyecciones'!$AJ$5) + SUMIFS('Stock - ETA'!$I$3:I4963,'Stock - ETA'!$F$3:F4963,'Rango proyecciones'!C106,'Stock - ETA'!$Q$3:Q4963,'Rango proyecciones'!$AJ$8)</f>
        <v>0</v>
      </c>
      <c r="AH106" s="16">
        <f t="shared" si="35"/>
        <v>0</v>
      </c>
      <c r="AI106" s="4"/>
    </row>
    <row r="107" spans="1:35" x14ac:dyDescent="0.2">
      <c r="A107" s="2" t="s">
        <v>34</v>
      </c>
      <c r="B107" s="2" t="s">
        <v>35</v>
      </c>
      <c r="C107" s="2" t="s">
        <v>273</v>
      </c>
      <c r="D107" s="2" t="s">
        <v>46</v>
      </c>
      <c r="E107" s="2">
        <v>1021731</v>
      </c>
      <c r="F107" s="2" t="s">
        <v>274</v>
      </c>
      <c r="G107" s="2" t="s">
        <v>167</v>
      </c>
      <c r="H107" s="4">
        <v>0</v>
      </c>
      <c r="I107" s="7">
        <v>0</v>
      </c>
      <c r="J107" s="7">
        <v>2964</v>
      </c>
      <c r="K107" s="7">
        <v>1119.54</v>
      </c>
      <c r="L107" s="4">
        <f t="shared" ref="L107:L138" si="36">MAX(J107 - K107, 0) * MAX((25 - 10)/(10), 0)</f>
        <v>2766.69</v>
      </c>
      <c r="M107" s="7">
        <f>SUMIFS('Stock - ETA'!$R$3:R4963,'Stock - ETA'!$F$3:F4963,'Rango proyecciones'!C107,'Stock - ETA'!$AA$3:AA4963,'Rango proyecciones'!$AJ$5)</f>
        <v>120080</v>
      </c>
      <c r="N107" s="7">
        <f>SUMIF('Stock - Puerto Chile'!$G$2:G973,'Rango proyecciones'!C107,'Stock - Puerto Chile'!$L$2:L973)</f>
        <v>216372</v>
      </c>
      <c r="O107" s="7">
        <f>23820 * (25 / 27)</f>
        <v>22055.555555555555</v>
      </c>
      <c r="P107" s="7">
        <f>48780 * (25 / 27)</f>
        <v>45166.666666666664</v>
      </c>
      <c r="Q107" s="16">
        <f t="shared" si="30"/>
        <v>165246.66666666666</v>
      </c>
      <c r="R107" s="7">
        <f t="shared" ref="R107:R138" si="37">MAX(J107 - K107, 0) * MAX((25 - 7)/(7), 0)</f>
        <v>4742.8971428571431</v>
      </c>
      <c r="S107" s="7">
        <f>SUMIFS('Stock - ETA'!$H$3:H4963,'Stock - ETA'!$F$3:F4963,'Rango proyecciones'!C107,'Stock - ETA'!$Q$3:Q4963,'Rango proyecciones'!$AJ$5)</f>
        <v>120080</v>
      </c>
      <c r="T107" s="7">
        <f>SUMIF('Stock - Puerto Chile'!$G$2:G973,'Rango proyecciones'!C107,'Stock - Puerto Chile'!$N$2:N973)</f>
        <v>259646.40000000002</v>
      </c>
      <c r="U107" s="7">
        <f>23820 * (25 / 27)</f>
        <v>22055.555555555555</v>
      </c>
      <c r="V107" s="7">
        <f>48780 * (25 / 27)</f>
        <v>45166.666666666664</v>
      </c>
      <c r="W107" s="17">
        <f t="shared" si="31"/>
        <v>187302.22222222222</v>
      </c>
      <c r="X107" s="4">
        <v>120000</v>
      </c>
      <c r="Y107" s="7">
        <v>120000</v>
      </c>
      <c r="Z107" s="18">
        <f>SUMIFS('Stock - ETA'!$S$3:S4963,'Stock - ETA'!$F$3:F4963,'Rango proyecciones'!C107,'Stock - ETA'!$AA$3:AA4963,'Rango proyecciones'!$AJ$5) + SUMIFS('Stock - ETA'!$R$3:R4963,'Stock - ETA'!$F$3:F4963,'Rango proyecciones'!C107,'Stock - ETA'!$AA$3:AA4963,'Rango proyecciones'!$AJ$7)</f>
        <v>177000</v>
      </c>
      <c r="AA107" s="13">
        <f t="shared" si="22"/>
        <v>297000</v>
      </c>
      <c r="AB107" s="7">
        <f>SUMIFS('Stock - ETA'!$I$3:I4963,'Stock - ETA'!$F$3:F4963,'Rango proyecciones'!C107,'Stock - ETA'!$Q$3:Q4963,'Rango proyecciones'!$AJ$5) + SUMIFS('Stock - ETA'!$H$3:H4963,'Stock - ETA'!$F$3:F4963,'Rango proyecciones'!C107,'Stock - ETA'!$Q$3:Q4963,'Rango proyecciones'!$AJ$7)</f>
        <v>177000</v>
      </c>
      <c r="AC107" s="16">
        <f t="shared" si="23"/>
        <v>297000</v>
      </c>
      <c r="AD107" s="4">
        <v>120000</v>
      </c>
      <c r="AE107" s="7">
        <f>SUMIFS('Stock - ETA'!$T$3:T4963,'Stock - ETA'!$F$3:F4963,'Rango proyecciones'!C107,'Stock - ETA'!$AA$3:AA4963,'Rango proyecciones'!$AJ$5) + SUMIFS('Stock - ETA'!$S$3:S4963,'Stock - ETA'!$F$3:F4963,'Rango proyecciones'!C107,'Stock - ETA'!$AA$3:AA4963,'Rango proyecciones'!$AJ$8)</f>
        <v>0</v>
      </c>
      <c r="AF107" s="16">
        <f t="shared" ref="AF107:AF138" si="38">0.6 * AD107 + AE107</f>
        <v>72000</v>
      </c>
      <c r="AG107" s="7">
        <f>SUMIFS('Stock - ETA'!$J$3:J4963,'Stock - ETA'!$F$3:F4963,'Rango proyecciones'!C107,'Stock - ETA'!$Q$3:Q4963,'Rango proyecciones'!$AJ$5) + SUMIFS('Stock - ETA'!$I$3:I4963,'Stock - ETA'!$F$3:F4963,'Rango proyecciones'!C107,'Stock - ETA'!$Q$3:Q4963,'Rango proyecciones'!$AJ$8)</f>
        <v>0</v>
      </c>
      <c r="AH107" s="16">
        <f t="shared" ref="AH107:AH138" si="39">0.6 * AD107 + AG107</f>
        <v>72000</v>
      </c>
      <c r="AI107" s="4"/>
    </row>
    <row r="108" spans="1:35" x14ac:dyDescent="0.2">
      <c r="A108" s="2" t="s">
        <v>34</v>
      </c>
      <c r="B108" s="2" t="s">
        <v>35</v>
      </c>
      <c r="C108" s="2" t="s">
        <v>275</v>
      </c>
      <c r="D108" s="2" t="s">
        <v>46</v>
      </c>
      <c r="E108" s="2">
        <v>1021732</v>
      </c>
      <c r="F108" s="2" t="s">
        <v>276</v>
      </c>
      <c r="G108" s="2" t="s">
        <v>172</v>
      </c>
      <c r="H108" s="4">
        <v>0</v>
      </c>
      <c r="I108" s="7">
        <v>0</v>
      </c>
      <c r="J108" s="7">
        <v>34207.764999999999</v>
      </c>
      <c r="K108" s="7">
        <v>3464.33</v>
      </c>
      <c r="L108" s="4">
        <f t="shared" si="36"/>
        <v>46115.152499999997</v>
      </c>
      <c r="M108" s="7">
        <f>SUMIFS('Stock - ETA'!$R$3:R4963,'Stock - ETA'!$F$3:F4963,'Rango proyecciones'!C108,'Stock - ETA'!$AA$3:AA4963,'Rango proyecciones'!$AJ$5)</f>
        <v>440500</v>
      </c>
      <c r="N108" s="7">
        <f>SUMIF('Stock - Puerto Chile'!$G$2:G973,'Rango proyecciones'!C108,'Stock - Puerto Chile'!$L$2:L973)</f>
        <v>562704</v>
      </c>
      <c r="O108" s="7">
        <f>96160 * (25 / 27)</f>
        <v>89037.037037037036</v>
      </c>
      <c r="P108" s="7">
        <f>97160 * (25 / 27)</f>
        <v>89962.962962962964</v>
      </c>
      <c r="Q108" s="16">
        <f t="shared" si="30"/>
        <v>530462.96296296292</v>
      </c>
      <c r="R108" s="7">
        <f t="shared" si="37"/>
        <v>79054.547142857147</v>
      </c>
      <c r="S108" s="7">
        <f>SUMIFS('Stock - ETA'!$H$3:H4963,'Stock - ETA'!$F$3:F4963,'Rango proyecciones'!C108,'Stock - ETA'!$Q$3:Q4963,'Rango proyecciones'!$AJ$5)</f>
        <v>440500</v>
      </c>
      <c r="T108" s="7">
        <f>SUMIF('Stock - Puerto Chile'!$G$2:G973,'Rango proyecciones'!C108,'Stock - Puerto Chile'!$N$2:N973)</f>
        <v>675244.8</v>
      </c>
      <c r="U108" s="7">
        <f>96160 * (25 / 27)</f>
        <v>89037.037037037036</v>
      </c>
      <c r="V108" s="7">
        <f>97160 * (25 / 27)</f>
        <v>89962.962962962964</v>
      </c>
      <c r="W108" s="17">
        <f t="shared" si="31"/>
        <v>619500</v>
      </c>
      <c r="X108" s="4">
        <v>302601</v>
      </c>
      <c r="Y108" s="7">
        <v>302601</v>
      </c>
      <c r="Z108" s="18">
        <f>SUMIFS('Stock - ETA'!$S$3:S4963,'Stock - ETA'!$F$3:F4963,'Rango proyecciones'!C108,'Stock - ETA'!$AA$3:AA4963,'Rango proyecciones'!$AJ$5) + SUMIFS('Stock - ETA'!$R$3:R4963,'Stock - ETA'!$F$3:F4963,'Rango proyecciones'!C108,'Stock - ETA'!$AA$3:AA4963,'Rango proyecciones'!$AJ$7)</f>
        <v>483500.45999999996</v>
      </c>
      <c r="AA108" s="13">
        <f t="shared" si="22"/>
        <v>786101.46</v>
      </c>
      <c r="AB108" s="7">
        <f>SUMIFS('Stock - ETA'!$I$3:I4963,'Stock - ETA'!$F$3:F4963,'Rango proyecciones'!C108,'Stock - ETA'!$Q$3:Q4963,'Rango proyecciones'!$AJ$5) + SUMIFS('Stock - ETA'!$H$3:H4963,'Stock - ETA'!$F$3:F4963,'Rango proyecciones'!C108,'Stock - ETA'!$Q$3:Q4963,'Rango proyecciones'!$AJ$7)</f>
        <v>483500.45999999996</v>
      </c>
      <c r="AC108" s="16">
        <f t="shared" si="23"/>
        <v>786101.46</v>
      </c>
      <c r="AD108" s="4">
        <v>366401</v>
      </c>
      <c r="AE108" s="7">
        <f>SUMIFS('Stock - ETA'!$T$3:T4963,'Stock - ETA'!$F$3:F4963,'Rango proyecciones'!C108,'Stock - ETA'!$AA$3:AA4963,'Rango proyecciones'!$AJ$5) + SUMIFS('Stock - ETA'!$S$3:S4963,'Stock - ETA'!$F$3:F4963,'Rango proyecciones'!C108,'Stock - ETA'!$AA$3:AA4963,'Rango proyecciones'!$AJ$8)</f>
        <v>74000</v>
      </c>
      <c r="AF108" s="16">
        <f t="shared" si="38"/>
        <v>293840.59999999998</v>
      </c>
      <c r="AG108" s="7">
        <f>SUMIFS('Stock - ETA'!$J$3:J4963,'Stock - ETA'!$F$3:F4963,'Rango proyecciones'!C108,'Stock - ETA'!$Q$3:Q4963,'Rango proyecciones'!$AJ$5) + SUMIFS('Stock - ETA'!$I$3:I4963,'Stock - ETA'!$F$3:F4963,'Rango proyecciones'!C108,'Stock - ETA'!$Q$3:Q4963,'Rango proyecciones'!$AJ$8)</f>
        <v>74000</v>
      </c>
      <c r="AH108" s="16">
        <f t="shared" si="39"/>
        <v>293840.59999999998</v>
      </c>
      <c r="AI108" s="4"/>
    </row>
    <row r="109" spans="1:35" x14ac:dyDescent="0.2">
      <c r="A109" s="2" t="s">
        <v>34</v>
      </c>
      <c r="B109" s="2" t="s">
        <v>35</v>
      </c>
      <c r="C109" s="2" t="s">
        <v>277</v>
      </c>
      <c r="D109" s="2" t="s">
        <v>46</v>
      </c>
      <c r="E109" s="2">
        <v>1021733</v>
      </c>
      <c r="F109" s="2" t="s">
        <v>270</v>
      </c>
      <c r="G109" s="2" t="s">
        <v>96</v>
      </c>
      <c r="H109" s="4">
        <v>0</v>
      </c>
      <c r="I109" s="7">
        <v>0</v>
      </c>
      <c r="J109" s="7">
        <v>0</v>
      </c>
      <c r="K109" s="7">
        <v>0</v>
      </c>
      <c r="L109" s="4">
        <f t="shared" si="36"/>
        <v>0</v>
      </c>
      <c r="M109" s="7">
        <f>SUMIFS('Stock - ETA'!$R$3:R4963,'Stock - ETA'!$F$3:F4963,'Rango proyecciones'!C109,'Stock - ETA'!$AA$3:AA4963,'Rango proyecciones'!$AJ$5)</f>
        <v>547252.76</v>
      </c>
      <c r="N109" s="7">
        <f>SUMIF('Stock - Puerto Chile'!$G$2:G973,'Rango proyecciones'!C109,'Stock - Puerto Chile'!$L$2:L973)</f>
        <v>323234.82719999994</v>
      </c>
      <c r="O109" s="7">
        <f>24379.45 * (25 / 27)</f>
        <v>22573.564814814814</v>
      </c>
      <c r="P109" s="7">
        <f>14535.026 * (25 / 27)</f>
        <v>13458.357407407408</v>
      </c>
      <c r="Q109" s="16">
        <f t="shared" si="30"/>
        <v>560711.11740740738</v>
      </c>
      <c r="R109" s="7">
        <f t="shared" si="37"/>
        <v>0</v>
      </c>
      <c r="S109" s="7">
        <f>SUMIFS('Stock - ETA'!$H$3:H4963,'Stock - ETA'!$F$3:F4963,'Rango proyecciones'!C109,'Stock - ETA'!$Q$3:Q4963,'Rango proyecciones'!$AJ$5)</f>
        <v>547252.76</v>
      </c>
      <c r="T109" s="7">
        <f>SUMIF('Stock - Puerto Chile'!$G$2:G973,'Rango proyecciones'!C109,'Stock - Puerto Chile'!$N$2:N973)</f>
        <v>387881.79263999994</v>
      </c>
      <c r="U109" s="7">
        <f>24379.45 * (25 / 27)</f>
        <v>22573.564814814814</v>
      </c>
      <c r="V109" s="7">
        <f>14535.026 * (25 / 27)</f>
        <v>13458.357407407408</v>
      </c>
      <c r="W109" s="17">
        <f t="shared" si="31"/>
        <v>583284.68222222221</v>
      </c>
      <c r="X109" s="4"/>
      <c r="Y109" s="7"/>
      <c r="Z109" s="18">
        <f>SUMIFS('Stock - ETA'!$S$3:S4963,'Stock - ETA'!$F$3:F4963,'Rango proyecciones'!C109,'Stock - ETA'!$AA$3:AA4963,'Rango proyecciones'!$AJ$5) + SUMIFS('Stock - ETA'!$R$3:R4963,'Stock - ETA'!$F$3:F4963,'Rango proyecciones'!C109,'Stock - ETA'!$AA$3:AA4963,'Rango proyecciones'!$AJ$7)</f>
        <v>132468.78999999998</v>
      </c>
      <c r="AA109" s="13">
        <f t="shared" si="22"/>
        <v>132468.78999999998</v>
      </c>
      <c r="AB109" s="7">
        <f>SUMIFS('Stock - ETA'!$I$3:I4963,'Stock - ETA'!$F$3:F4963,'Rango proyecciones'!C109,'Stock - ETA'!$Q$3:Q4963,'Rango proyecciones'!$AJ$5) + SUMIFS('Stock - ETA'!$H$3:H4963,'Stock - ETA'!$F$3:F4963,'Rango proyecciones'!C109,'Stock - ETA'!$Q$3:Q4963,'Rango proyecciones'!$AJ$7)</f>
        <v>132468.78999999998</v>
      </c>
      <c r="AC109" s="16">
        <f t="shared" si="23"/>
        <v>132468.78999999998</v>
      </c>
      <c r="AD109" s="4"/>
      <c r="AE109" s="7">
        <f>SUMIFS('Stock - ETA'!$T$3:T4963,'Stock - ETA'!$F$3:F4963,'Rango proyecciones'!C109,'Stock - ETA'!$AA$3:AA4963,'Rango proyecciones'!$AJ$5) + SUMIFS('Stock - ETA'!$S$3:S4963,'Stock - ETA'!$F$3:F4963,'Rango proyecciones'!C109,'Stock - ETA'!$AA$3:AA4963,'Rango proyecciones'!$AJ$8)</f>
        <v>24205.07</v>
      </c>
      <c r="AF109" s="16">
        <f t="shared" si="38"/>
        <v>24205.07</v>
      </c>
      <c r="AG109" s="7">
        <f>SUMIFS('Stock - ETA'!$J$3:J4963,'Stock - ETA'!$F$3:F4963,'Rango proyecciones'!C109,'Stock - ETA'!$Q$3:Q4963,'Rango proyecciones'!$AJ$5) + SUMIFS('Stock - ETA'!$I$3:I4963,'Stock - ETA'!$F$3:F4963,'Rango proyecciones'!C109,'Stock - ETA'!$Q$3:Q4963,'Rango proyecciones'!$AJ$8)</f>
        <v>24205.07</v>
      </c>
      <c r="AH109" s="16">
        <f t="shared" si="39"/>
        <v>24205.07</v>
      </c>
      <c r="AI109" s="4"/>
    </row>
    <row r="110" spans="1:35" x14ac:dyDescent="0.2">
      <c r="A110" s="2" t="s">
        <v>34</v>
      </c>
      <c r="B110" s="2" t="s">
        <v>35</v>
      </c>
      <c r="C110" s="2" t="s">
        <v>278</v>
      </c>
      <c r="D110" s="2" t="s">
        <v>46</v>
      </c>
      <c r="E110" s="2">
        <v>1021735</v>
      </c>
      <c r="F110" s="2" t="s">
        <v>279</v>
      </c>
      <c r="G110" s="2" t="s">
        <v>259</v>
      </c>
      <c r="H110" s="4">
        <v>0</v>
      </c>
      <c r="I110" s="7">
        <v>0</v>
      </c>
      <c r="J110" s="7">
        <v>16394</v>
      </c>
      <c r="K110" s="7">
        <v>1772.55</v>
      </c>
      <c r="L110" s="4">
        <f t="shared" si="36"/>
        <v>21932.175000000003</v>
      </c>
      <c r="M110" s="7">
        <f>SUMIFS('Stock - ETA'!$R$3:R4963,'Stock - ETA'!$F$3:F4963,'Rango proyecciones'!C110,'Stock - ETA'!$AA$3:AA4963,'Rango proyecciones'!$AJ$5)</f>
        <v>231880</v>
      </c>
      <c r="N110" s="7">
        <f>SUMIF('Stock - Puerto Chile'!$G$2:G973,'Rango proyecciones'!C110,'Stock - Puerto Chile'!$L$2:L973)</f>
        <v>334404</v>
      </c>
      <c r="O110" s="7">
        <f>0 * (25 / 27)</f>
        <v>0</v>
      </c>
      <c r="P110" s="7">
        <f>47580 * (25 / 27)</f>
        <v>44055.555555555555</v>
      </c>
      <c r="Q110" s="16">
        <f t="shared" si="30"/>
        <v>275935.55555555556</v>
      </c>
      <c r="R110" s="7">
        <f t="shared" si="37"/>
        <v>37598.014285714293</v>
      </c>
      <c r="S110" s="7">
        <f>SUMIFS('Stock - ETA'!$H$3:H4963,'Stock - ETA'!$F$3:F4963,'Rango proyecciones'!C110,'Stock - ETA'!$Q$3:Q4963,'Rango proyecciones'!$AJ$5)</f>
        <v>231880</v>
      </c>
      <c r="T110" s="7">
        <f>SUMIF('Stock - Puerto Chile'!$G$2:G973,'Rango proyecciones'!C110,'Stock - Puerto Chile'!$N$2:N973)</f>
        <v>401284.79999999993</v>
      </c>
      <c r="U110" s="7">
        <f>0 * (25 / 27)</f>
        <v>0</v>
      </c>
      <c r="V110" s="7">
        <f>47580 * (25 / 27)</f>
        <v>44055.555555555555</v>
      </c>
      <c r="W110" s="17">
        <f t="shared" si="31"/>
        <v>275935.55555555556</v>
      </c>
      <c r="X110" s="4">
        <v>120000</v>
      </c>
      <c r="Y110" s="7">
        <v>120000</v>
      </c>
      <c r="Z110" s="18">
        <f>SUMIFS('Stock - ETA'!$S$3:S4963,'Stock - ETA'!$F$3:F4963,'Rango proyecciones'!C110,'Stock - ETA'!$AA$3:AA4963,'Rango proyecciones'!$AJ$5) + SUMIFS('Stock - ETA'!$R$3:R4963,'Stock - ETA'!$F$3:F4963,'Rango proyecciones'!C110,'Stock - ETA'!$AA$3:AA4963,'Rango proyecciones'!$AJ$7)</f>
        <v>96660</v>
      </c>
      <c r="AA110" s="13">
        <f t="shared" si="22"/>
        <v>216660</v>
      </c>
      <c r="AB110" s="7">
        <f>SUMIFS('Stock - ETA'!$I$3:I4963,'Stock - ETA'!$F$3:F4963,'Rango proyecciones'!C110,'Stock - ETA'!$Q$3:Q4963,'Rango proyecciones'!$AJ$5) + SUMIFS('Stock - ETA'!$H$3:H4963,'Stock - ETA'!$F$3:F4963,'Rango proyecciones'!C110,'Stock - ETA'!$Q$3:Q4963,'Rango proyecciones'!$AJ$7)</f>
        <v>96660</v>
      </c>
      <c r="AC110" s="16">
        <f t="shared" si="23"/>
        <v>216660</v>
      </c>
      <c r="AD110" s="4">
        <v>120000</v>
      </c>
      <c r="AE110" s="7">
        <f>SUMIFS('Stock - ETA'!$T$3:T4963,'Stock - ETA'!$F$3:F4963,'Rango proyecciones'!C110,'Stock - ETA'!$AA$3:AA4963,'Rango proyecciones'!$AJ$5) + SUMIFS('Stock - ETA'!$S$3:S4963,'Stock - ETA'!$F$3:F4963,'Rango proyecciones'!C110,'Stock - ETA'!$AA$3:AA4963,'Rango proyecciones'!$AJ$8)</f>
        <v>0</v>
      </c>
      <c r="AF110" s="16">
        <f t="shared" si="38"/>
        <v>72000</v>
      </c>
      <c r="AG110" s="7">
        <f>SUMIFS('Stock - ETA'!$J$3:J4963,'Stock - ETA'!$F$3:F4963,'Rango proyecciones'!C110,'Stock - ETA'!$Q$3:Q4963,'Rango proyecciones'!$AJ$5) + SUMIFS('Stock - ETA'!$I$3:I4963,'Stock - ETA'!$F$3:F4963,'Rango proyecciones'!C110,'Stock - ETA'!$Q$3:Q4963,'Rango proyecciones'!$AJ$8)</f>
        <v>0</v>
      </c>
      <c r="AH110" s="16">
        <f t="shared" si="39"/>
        <v>72000</v>
      </c>
      <c r="AI110" s="4"/>
    </row>
    <row r="111" spans="1:35" x14ac:dyDescent="0.2">
      <c r="A111" s="2" t="s">
        <v>34</v>
      </c>
      <c r="B111" s="2" t="s">
        <v>35</v>
      </c>
      <c r="C111" s="2" t="s">
        <v>280</v>
      </c>
      <c r="D111" s="2" t="s">
        <v>46</v>
      </c>
      <c r="E111" s="2">
        <v>1021737</v>
      </c>
      <c r="F111" s="2" t="s">
        <v>281</v>
      </c>
      <c r="G111" s="2" t="s">
        <v>259</v>
      </c>
      <c r="H111" s="4">
        <v>0</v>
      </c>
      <c r="I111" s="7">
        <v>0</v>
      </c>
      <c r="J111" s="7">
        <v>1372.3</v>
      </c>
      <c r="K111" s="7">
        <v>181.4</v>
      </c>
      <c r="L111" s="4">
        <f t="shared" si="36"/>
        <v>1786.35</v>
      </c>
      <c r="M111" s="7">
        <f>SUMIFS('Stock - ETA'!$R$3:R4963,'Stock - ETA'!$F$3:F4963,'Rango proyecciones'!C111,'Stock - ETA'!$AA$3:AA4963,'Rango proyecciones'!$AJ$5)</f>
        <v>25000</v>
      </c>
      <c r="N111" s="7">
        <f>SUMIF('Stock - Puerto Chile'!$G$2:G973,'Rango proyecciones'!C111,'Stock - Puerto Chile'!$L$2:L973)</f>
        <v>0</v>
      </c>
      <c r="O111" s="7">
        <f>23962.57 * (25 / 27)</f>
        <v>22187.564814814814</v>
      </c>
      <c r="P111" s="7">
        <f>0 * (25 / 27)</f>
        <v>0</v>
      </c>
      <c r="Q111" s="16">
        <f t="shared" si="30"/>
        <v>25000</v>
      </c>
      <c r="R111" s="7">
        <f t="shared" si="37"/>
        <v>3062.3142857142857</v>
      </c>
      <c r="S111" s="7">
        <f>SUMIFS('Stock - ETA'!$H$3:H4963,'Stock - ETA'!$F$3:F4963,'Rango proyecciones'!C111,'Stock - ETA'!$Q$3:Q4963,'Rango proyecciones'!$AJ$5)</f>
        <v>25000</v>
      </c>
      <c r="T111" s="7">
        <f>SUMIF('Stock - Puerto Chile'!$G$2:G973,'Rango proyecciones'!C111,'Stock - Puerto Chile'!$N$2:N973)</f>
        <v>0</v>
      </c>
      <c r="U111" s="7">
        <f>23962.57 * (25 / 27)</f>
        <v>22187.564814814814</v>
      </c>
      <c r="V111" s="7">
        <f>0 * (25 / 27)</f>
        <v>0</v>
      </c>
      <c r="W111" s="17">
        <f t="shared" si="31"/>
        <v>47187.564814814818</v>
      </c>
      <c r="X111" s="4">
        <v>12850</v>
      </c>
      <c r="Y111" s="7">
        <v>12850</v>
      </c>
      <c r="Z111" s="18">
        <f>SUMIFS('Stock - ETA'!$S$3:S4963,'Stock - ETA'!$F$3:F4963,'Rango proyecciones'!C111,'Stock - ETA'!$AA$3:AA4963,'Rango proyecciones'!$AJ$5) + SUMIFS('Stock - ETA'!$R$3:R4963,'Stock - ETA'!$F$3:F4963,'Rango proyecciones'!C111,'Stock - ETA'!$AA$3:AA4963,'Rango proyecciones'!$AJ$7)</f>
        <v>24160</v>
      </c>
      <c r="AA111" s="13">
        <f t="shared" si="22"/>
        <v>37010</v>
      </c>
      <c r="AB111" s="7">
        <f>SUMIFS('Stock - ETA'!$I$3:I4963,'Stock - ETA'!$F$3:F4963,'Rango proyecciones'!C111,'Stock - ETA'!$Q$3:Q4963,'Rango proyecciones'!$AJ$5) + SUMIFS('Stock - ETA'!$H$3:H4963,'Stock - ETA'!$F$3:F4963,'Rango proyecciones'!C111,'Stock - ETA'!$Q$3:Q4963,'Rango proyecciones'!$AJ$7)</f>
        <v>24160</v>
      </c>
      <c r="AC111" s="16">
        <f t="shared" si="23"/>
        <v>37010</v>
      </c>
      <c r="AD111" s="4">
        <v>16006</v>
      </c>
      <c r="AE111" s="7">
        <f>SUMIFS('Stock - ETA'!$T$3:T4963,'Stock - ETA'!$F$3:F4963,'Rango proyecciones'!C111,'Stock - ETA'!$AA$3:AA4963,'Rango proyecciones'!$AJ$5) + SUMIFS('Stock - ETA'!$S$3:S4963,'Stock - ETA'!$F$3:F4963,'Rango proyecciones'!C111,'Stock - ETA'!$AA$3:AA4963,'Rango proyecciones'!$AJ$8)</f>
        <v>0</v>
      </c>
      <c r="AF111" s="16">
        <f t="shared" si="38"/>
        <v>9603.6</v>
      </c>
      <c r="AG111" s="7">
        <f>SUMIFS('Stock - ETA'!$J$3:J4963,'Stock - ETA'!$F$3:F4963,'Rango proyecciones'!C111,'Stock - ETA'!$Q$3:Q4963,'Rango proyecciones'!$AJ$5) + SUMIFS('Stock - ETA'!$I$3:I4963,'Stock - ETA'!$F$3:F4963,'Rango proyecciones'!C111,'Stock - ETA'!$Q$3:Q4963,'Rango proyecciones'!$AJ$8)</f>
        <v>0</v>
      </c>
      <c r="AH111" s="16">
        <f t="shared" si="39"/>
        <v>9603.6</v>
      </c>
      <c r="AI111" s="4"/>
    </row>
    <row r="112" spans="1:35" x14ac:dyDescent="0.2">
      <c r="A112" s="2" t="s">
        <v>34</v>
      </c>
      <c r="B112" s="2" t="s">
        <v>35</v>
      </c>
      <c r="C112" s="2" t="s">
        <v>282</v>
      </c>
      <c r="D112" s="2" t="s">
        <v>46</v>
      </c>
      <c r="E112" s="2">
        <v>1021738</v>
      </c>
      <c r="F112" s="2" t="s">
        <v>283</v>
      </c>
      <c r="G112" s="2" t="s">
        <v>259</v>
      </c>
      <c r="H112" s="4">
        <v>0</v>
      </c>
      <c r="I112" s="7">
        <v>0</v>
      </c>
      <c r="J112" s="7">
        <v>10708.44</v>
      </c>
      <c r="K112" s="7">
        <v>886.74</v>
      </c>
      <c r="L112" s="4">
        <f t="shared" si="36"/>
        <v>14732.550000000001</v>
      </c>
      <c r="M112" s="7">
        <f>SUMIFS('Stock - ETA'!$R$3:R4963,'Stock - ETA'!$F$3:F4963,'Rango proyecciones'!C112,'Stock - ETA'!$AA$3:AA4963,'Rango proyecciones'!$AJ$5)</f>
        <v>85140</v>
      </c>
      <c r="N112" s="7">
        <f>SUMIF('Stock - Puerto Chile'!$G$2:G973,'Rango proyecciones'!C112,'Stock - Puerto Chile'!$L$2:L973)</f>
        <v>29004</v>
      </c>
      <c r="O112" s="7">
        <f>0 * (25 / 27)</f>
        <v>0</v>
      </c>
      <c r="P112" s="7">
        <f>47620 * (25 / 27)</f>
        <v>44092.592592592591</v>
      </c>
      <c r="Q112" s="16">
        <f t="shared" si="30"/>
        <v>129232.59259259258</v>
      </c>
      <c r="R112" s="7">
        <f t="shared" si="37"/>
        <v>25255.800000000003</v>
      </c>
      <c r="S112" s="7">
        <f>SUMIFS('Stock - ETA'!$H$3:H4963,'Stock - ETA'!$F$3:F4963,'Rango proyecciones'!C112,'Stock - ETA'!$Q$3:Q4963,'Rango proyecciones'!$AJ$5)</f>
        <v>85140</v>
      </c>
      <c r="T112" s="7">
        <f>SUMIF('Stock - Puerto Chile'!$G$2:G973,'Rango proyecciones'!C112,'Stock - Puerto Chile'!$N$2:N973)</f>
        <v>34804.799999999996</v>
      </c>
      <c r="U112" s="7">
        <f>0 * (25 / 27)</f>
        <v>0</v>
      </c>
      <c r="V112" s="7">
        <f>47620 * (25 / 27)</f>
        <v>44092.592592592591</v>
      </c>
      <c r="W112" s="17">
        <f t="shared" si="31"/>
        <v>129232.59259259258</v>
      </c>
      <c r="X112" s="4">
        <v>81942</v>
      </c>
      <c r="Y112" s="7">
        <v>81942</v>
      </c>
      <c r="Z112" s="18">
        <f>SUMIFS('Stock - ETA'!$S$3:S4963,'Stock - ETA'!$F$3:F4963,'Rango proyecciones'!C112,'Stock - ETA'!$AA$3:AA4963,'Rango proyecciones'!$AJ$5) + SUMIFS('Stock - ETA'!$R$3:R4963,'Stock - ETA'!$F$3:F4963,'Rango proyecciones'!C112,'Stock - ETA'!$AA$3:AA4963,'Rango proyecciones'!$AJ$7)</f>
        <v>121920</v>
      </c>
      <c r="AA112" s="13">
        <f t="shared" si="22"/>
        <v>203862</v>
      </c>
      <c r="AB112" s="7">
        <f>SUMIFS('Stock - ETA'!$I$3:I4963,'Stock - ETA'!$F$3:F4963,'Rango proyecciones'!C112,'Stock - ETA'!$Q$3:Q4963,'Rango proyecciones'!$AJ$5) + SUMIFS('Stock - ETA'!$H$3:H4963,'Stock - ETA'!$F$3:F4963,'Rango proyecciones'!C112,'Stock - ETA'!$Q$3:Q4963,'Rango proyecciones'!$AJ$7)</f>
        <v>121920</v>
      </c>
      <c r="AC112" s="16">
        <f t="shared" si="23"/>
        <v>203862</v>
      </c>
      <c r="AD112" s="4">
        <v>105501</v>
      </c>
      <c r="AE112" s="7">
        <f>SUMIFS('Stock - ETA'!$T$3:T4963,'Stock - ETA'!$F$3:F4963,'Rango proyecciones'!C112,'Stock - ETA'!$AA$3:AA4963,'Rango proyecciones'!$AJ$5) + SUMIFS('Stock - ETA'!$S$3:S4963,'Stock - ETA'!$F$3:F4963,'Rango proyecciones'!C112,'Stock - ETA'!$AA$3:AA4963,'Rango proyecciones'!$AJ$8)</f>
        <v>0</v>
      </c>
      <c r="AF112" s="16">
        <f t="shared" si="38"/>
        <v>63300.6</v>
      </c>
      <c r="AG112" s="7">
        <f>SUMIFS('Stock - ETA'!$J$3:J4963,'Stock - ETA'!$F$3:F4963,'Rango proyecciones'!C112,'Stock - ETA'!$Q$3:Q4963,'Rango proyecciones'!$AJ$5) + SUMIFS('Stock - ETA'!$I$3:I4963,'Stock - ETA'!$F$3:F4963,'Rango proyecciones'!C112,'Stock - ETA'!$Q$3:Q4963,'Rango proyecciones'!$AJ$8)</f>
        <v>0</v>
      </c>
      <c r="AH112" s="16">
        <f t="shared" si="39"/>
        <v>63300.6</v>
      </c>
      <c r="AI112" s="4"/>
    </row>
    <row r="113" spans="1:35" x14ac:dyDescent="0.2">
      <c r="A113" s="2" t="s">
        <v>34</v>
      </c>
      <c r="B113" s="2" t="s">
        <v>35</v>
      </c>
      <c r="C113" s="2" t="s">
        <v>284</v>
      </c>
      <c r="D113" s="2" t="s">
        <v>46</v>
      </c>
      <c r="E113" s="2">
        <v>1021740</v>
      </c>
      <c r="F113" s="2" t="s">
        <v>285</v>
      </c>
      <c r="G113" s="2" t="s">
        <v>259</v>
      </c>
      <c r="H113" s="4">
        <v>0</v>
      </c>
      <c r="I113" s="7">
        <v>0</v>
      </c>
      <c r="J113" s="7">
        <v>0</v>
      </c>
      <c r="K113" s="7">
        <v>0</v>
      </c>
      <c r="L113" s="4">
        <f t="shared" si="36"/>
        <v>0</v>
      </c>
      <c r="M113" s="7">
        <f>SUMIFS('Stock - ETA'!$R$3:R4963,'Stock - ETA'!$F$3:F4963,'Rango proyecciones'!C113,'Stock - ETA'!$AA$3:AA4963,'Rango proyecciones'!$AJ$5)</f>
        <v>179590.91000000003</v>
      </c>
      <c r="N113" s="7">
        <f>SUMIF('Stock - Puerto Chile'!$G$2:G973,'Rango proyecciones'!C113,'Stock - Puerto Chile'!$L$2:L973)</f>
        <v>0</v>
      </c>
      <c r="O113" s="7">
        <f>48012.57 * (25 / 27)</f>
        <v>44456.083333333336</v>
      </c>
      <c r="P113" s="7">
        <f>0 * (25 / 27)</f>
        <v>0</v>
      </c>
      <c r="Q113" s="16">
        <f t="shared" si="30"/>
        <v>179590.91000000003</v>
      </c>
      <c r="R113" s="7">
        <f t="shared" si="37"/>
        <v>0</v>
      </c>
      <c r="S113" s="7">
        <f>SUMIFS('Stock - ETA'!$H$3:H4963,'Stock - ETA'!$F$3:F4963,'Rango proyecciones'!C113,'Stock - ETA'!$Q$3:Q4963,'Rango proyecciones'!$AJ$5)</f>
        <v>179590.91000000003</v>
      </c>
      <c r="T113" s="7">
        <f>SUMIF('Stock - Puerto Chile'!$G$2:G973,'Rango proyecciones'!C113,'Stock - Puerto Chile'!$N$2:N973)</f>
        <v>0</v>
      </c>
      <c r="U113" s="7">
        <f>48012.57 * (25 / 27)</f>
        <v>44456.083333333336</v>
      </c>
      <c r="V113" s="7">
        <f>0 * (25 / 27)</f>
        <v>0</v>
      </c>
      <c r="W113" s="17">
        <f t="shared" si="31"/>
        <v>224046.99333333338</v>
      </c>
      <c r="X113" s="4">
        <v>182388</v>
      </c>
      <c r="Y113" s="7">
        <v>182388</v>
      </c>
      <c r="Z113" s="18">
        <f>SUMIFS('Stock - ETA'!$S$3:S4963,'Stock - ETA'!$F$3:F4963,'Rango proyecciones'!C113,'Stock - ETA'!$AA$3:AA4963,'Rango proyecciones'!$AJ$5) + SUMIFS('Stock - ETA'!$R$3:R4963,'Stock - ETA'!$F$3:F4963,'Rango proyecciones'!C113,'Stock - ETA'!$AA$3:AA4963,'Rango proyecciones'!$AJ$7)</f>
        <v>0</v>
      </c>
      <c r="AA113" s="13">
        <f t="shared" si="22"/>
        <v>182388</v>
      </c>
      <c r="AB113" s="7">
        <f>SUMIFS('Stock - ETA'!$I$3:I4963,'Stock - ETA'!$F$3:F4963,'Rango proyecciones'!C113,'Stock - ETA'!$Q$3:Q4963,'Rango proyecciones'!$AJ$5) + SUMIFS('Stock - ETA'!$H$3:H4963,'Stock - ETA'!$F$3:F4963,'Rango proyecciones'!C113,'Stock - ETA'!$Q$3:Q4963,'Rango proyecciones'!$AJ$7)</f>
        <v>0</v>
      </c>
      <c r="AC113" s="16">
        <f t="shared" si="23"/>
        <v>182388</v>
      </c>
      <c r="AD113" s="4">
        <v>240000</v>
      </c>
      <c r="AE113" s="7">
        <f>SUMIFS('Stock - ETA'!$T$3:T4963,'Stock - ETA'!$F$3:F4963,'Rango proyecciones'!C113,'Stock - ETA'!$AA$3:AA4963,'Rango proyecciones'!$AJ$5) + SUMIFS('Stock - ETA'!$S$3:S4963,'Stock - ETA'!$F$3:F4963,'Rango proyecciones'!C113,'Stock - ETA'!$AA$3:AA4963,'Rango proyecciones'!$AJ$8)</f>
        <v>0</v>
      </c>
      <c r="AF113" s="16">
        <f t="shared" si="38"/>
        <v>144000</v>
      </c>
      <c r="AG113" s="7">
        <f>SUMIFS('Stock - ETA'!$J$3:J4963,'Stock - ETA'!$F$3:F4963,'Rango proyecciones'!C113,'Stock - ETA'!$Q$3:Q4963,'Rango proyecciones'!$AJ$5) + SUMIFS('Stock - ETA'!$I$3:I4963,'Stock - ETA'!$F$3:F4963,'Rango proyecciones'!C113,'Stock - ETA'!$Q$3:Q4963,'Rango proyecciones'!$AJ$8)</f>
        <v>0</v>
      </c>
      <c r="AH113" s="16">
        <f t="shared" si="39"/>
        <v>144000</v>
      </c>
      <c r="AI113" s="4"/>
    </row>
    <row r="114" spans="1:35" x14ac:dyDescent="0.2">
      <c r="A114" s="2" t="s">
        <v>34</v>
      </c>
      <c r="B114" s="2" t="s">
        <v>35</v>
      </c>
      <c r="C114" s="2" t="s">
        <v>286</v>
      </c>
      <c r="D114" s="2" t="s">
        <v>46</v>
      </c>
      <c r="E114" s="2">
        <v>1021766</v>
      </c>
      <c r="F114" s="2" t="s">
        <v>287</v>
      </c>
      <c r="G114" s="2" t="s">
        <v>172</v>
      </c>
      <c r="H114" s="4">
        <v>0</v>
      </c>
      <c r="I114" s="7">
        <v>0</v>
      </c>
      <c r="J114" s="7">
        <v>33684.300000000003</v>
      </c>
      <c r="K114" s="7">
        <v>3494.66</v>
      </c>
      <c r="L114" s="4">
        <f t="shared" si="36"/>
        <v>45284.460000000006</v>
      </c>
      <c r="M114" s="7">
        <f>SUMIFS('Stock - ETA'!$R$3:R4963,'Stock - ETA'!$F$3:F4963,'Rango proyecciones'!C114,'Stock - ETA'!$AA$3:AA4963,'Rango proyecciones'!$AJ$5)</f>
        <v>398286</v>
      </c>
      <c r="N114" s="7">
        <f>SUMIF('Stock - Puerto Chile'!$G$2:G973,'Rango proyecciones'!C114,'Stock - Puerto Chile'!$L$2:L973)</f>
        <v>661208.4</v>
      </c>
      <c r="O114" s="7">
        <f>72180 * (25 / 27)</f>
        <v>66833.333333333328</v>
      </c>
      <c r="P114" s="7">
        <f>0 * (25 / 27)</f>
        <v>0</v>
      </c>
      <c r="Q114" s="16">
        <f t="shared" si="30"/>
        <v>398286</v>
      </c>
      <c r="R114" s="7">
        <f t="shared" si="37"/>
        <v>77630.50285714287</v>
      </c>
      <c r="S114" s="7">
        <f>SUMIFS('Stock - ETA'!$H$3:H4963,'Stock - ETA'!$F$3:F4963,'Rango proyecciones'!C114,'Stock - ETA'!$Q$3:Q4963,'Rango proyecciones'!$AJ$5)</f>
        <v>398286</v>
      </c>
      <c r="T114" s="7">
        <f>SUMIF('Stock - Puerto Chile'!$G$2:G973,'Rango proyecciones'!C114,'Stock - Puerto Chile'!$N$2:N973)</f>
        <v>793450.08</v>
      </c>
      <c r="U114" s="7">
        <f>72180 * (25 / 27)</f>
        <v>66833.333333333328</v>
      </c>
      <c r="V114" s="7">
        <f>0 * (25 / 27)</f>
        <v>0</v>
      </c>
      <c r="W114" s="17">
        <f t="shared" si="31"/>
        <v>465119.33333333331</v>
      </c>
      <c r="X114" s="4">
        <v>384691</v>
      </c>
      <c r="Y114" s="7">
        <v>384691</v>
      </c>
      <c r="Z114" s="18">
        <f>SUMIFS('Stock - ETA'!$S$3:S4963,'Stock - ETA'!$F$3:F4963,'Rango proyecciones'!C114,'Stock - ETA'!$AA$3:AA4963,'Rango proyecciones'!$AJ$5) + SUMIFS('Stock - ETA'!$R$3:R4963,'Stock - ETA'!$F$3:F4963,'Rango proyecciones'!C114,'Stock - ETA'!$AA$3:AA4963,'Rango proyecciones'!$AJ$7)</f>
        <v>330408</v>
      </c>
      <c r="AA114" s="13">
        <f t="shared" si="22"/>
        <v>715099</v>
      </c>
      <c r="AB114" s="7">
        <f>SUMIFS('Stock - ETA'!$I$3:I4963,'Stock - ETA'!$F$3:F4963,'Rango proyecciones'!C114,'Stock - ETA'!$Q$3:Q4963,'Rango proyecciones'!$AJ$5) + SUMIFS('Stock - ETA'!$H$3:H4963,'Stock - ETA'!$F$3:F4963,'Rango proyecciones'!C114,'Stock - ETA'!$Q$3:Q4963,'Rango proyecciones'!$AJ$7)</f>
        <v>330408</v>
      </c>
      <c r="AC114" s="16">
        <f t="shared" si="23"/>
        <v>715099</v>
      </c>
      <c r="AD114" s="4">
        <v>463760</v>
      </c>
      <c r="AE114" s="7">
        <f>SUMIFS('Stock - ETA'!$T$3:T4963,'Stock - ETA'!$F$3:F4963,'Rango proyecciones'!C114,'Stock - ETA'!$AA$3:AA4963,'Rango proyecciones'!$AJ$5) + SUMIFS('Stock - ETA'!$S$3:S4963,'Stock - ETA'!$F$3:F4963,'Rango proyecciones'!C114,'Stock - ETA'!$AA$3:AA4963,'Rango proyecciones'!$AJ$8)</f>
        <v>72576</v>
      </c>
      <c r="AF114" s="16">
        <f t="shared" si="38"/>
        <v>350832</v>
      </c>
      <c r="AG114" s="7">
        <f>SUMIFS('Stock - ETA'!$J$3:J4963,'Stock - ETA'!$F$3:F4963,'Rango proyecciones'!C114,'Stock - ETA'!$Q$3:Q4963,'Rango proyecciones'!$AJ$5) + SUMIFS('Stock - ETA'!$I$3:I4963,'Stock - ETA'!$F$3:F4963,'Rango proyecciones'!C114,'Stock - ETA'!$Q$3:Q4963,'Rango proyecciones'!$AJ$8)</f>
        <v>72576</v>
      </c>
      <c r="AH114" s="16">
        <f t="shared" si="39"/>
        <v>350832</v>
      </c>
      <c r="AI114" s="4"/>
    </row>
    <row r="115" spans="1:35" x14ac:dyDescent="0.2">
      <c r="A115" s="2" t="s">
        <v>34</v>
      </c>
      <c r="B115" s="2" t="s">
        <v>35</v>
      </c>
      <c r="C115" s="2" t="s">
        <v>288</v>
      </c>
      <c r="D115" s="2" t="s">
        <v>46</v>
      </c>
      <c r="E115" s="2">
        <v>1021767</v>
      </c>
      <c r="F115" s="2" t="s">
        <v>289</v>
      </c>
      <c r="G115" s="2" t="s">
        <v>172</v>
      </c>
      <c r="H115" s="4">
        <v>0</v>
      </c>
      <c r="I115" s="7">
        <v>0</v>
      </c>
      <c r="J115" s="7"/>
      <c r="K115" s="7">
        <v>3287.04</v>
      </c>
      <c r="L115" s="4">
        <f t="shared" si="36"/>
        <v>0</v>
      </c>
      <c r="M115" s="7">
        <f>SUMIFS('Stock - ETA'!$R$3:R4963,'Stock - ETA'!$F$3:F4963,'Rango proyecciones'!C115,'Stock - ETA'!$AA$3:AA4963,'Rango proyecciones'!$AJ$5)</f>
        <v>502920</v>
      </c>
      <c r="N115" s="7">
        <f>SUMIF('Stock - Puerto Chile'!$G$2:G973,'Rango proyecciones'!C115,'Stock - Puerto Chile'!$L$2:L973)</f>
        <v>690228</v>
      </c>
      <c r="O115" s="7">
        <f>99018 * (25 / 27)</f>
        <v>91683.333333333328</v>
      </c>
      <c r="P115" s="7">
        <f>32418 * (25 / 27)</f>
        <v>30016.666666666668</v>
      </c>
      <c r="Q115" s="16">
        <f t="shared" si="30"/>
        <v>532936.66666666663</v>
      </c>
      <c r="R115" s="7">
        <f t="shared" si="37"/>
        <v>0</v>
      </c>
      <c r="S115" s="7">
        <f>SUMIFS('Stock - ETA'!$H$3:H4963,'Stock - ETA'!$F$3:F4963,'Rango proyecciones'!C115,'Stock - ETA'!$Q$3:Q4963,'Rango proyecciones'!$AJ$5)</f>
        <v>502920</v>
      </c>
      <c r="T115" s="7">
        <f>SUMIF('Stock - Puerto Chile'!$G$2:G973,'Rango proyecciones'!C115,'Stock - Puerto Chile'!$N$2:N973)</f>
        <v>828273.6</v>
      </c>
      <c r="U115" s="7">
        <f>99018 * (25 / 27)</f>
        <v>91683.333333333328</v>
      </c>
      <c r="V115" s="7">
        <f>32418 * (25 / 27)</f>
        <v>30016.666666666668</v>
      </c>
      <c r="W115" s="17">
        <f t="shared" si="31"/>
        <v>624620</v>
      </c>
      <c r="X115" s="4">
        <v>480000</v>
      </c>
      <c r="Y115" s="7">
        <v>480000</v>
      </c>
      <c r="Z115" s="18">
        <f>SUMIFS('Stock - ETA'!$S$3:S4963,'Stock - ETA'!$F$3:F4963,'Rango proyecciones'!C115,'Stock - ETA'!$AA$3:AA4963,'Rango proyecciones'!$AJ$5) + SUMIFS('Stock - ETA'!$R$3:R4963,'Stock - ETA'!$F$3:F4963,'Rango proyecciones'!C115,'Stock - ETA'!$AA$3:AA4963,'Rango proyecciones'!$AJ$7)</f>
        <v>391464</v>
      </c>
      <c r="AA115" s="13">
        <f t="shared" si="22"/>
        <v>871464</v>
      </c>
      <c r="AB115" s="7">
        <f>SUMIFS('Stock - ETA'!$I$3:I4963,'Stock - ETA'!$F$3:F4963,'Rango proyecciones'!C115,'Stock - ETA'!$Q$3:Q4963,'Rango proyecciones'!$AJ$5) + SUMIFS('Stock - ETA'!$H$3:H4963,'Stock - ETA'!$F$3:F4963,'Rango proyecciones'!C115,'Stock - ETA'!$Q$3:Q4963,'Rango proyecciones'!$AJ$7)</f>
        <v>391464</v>
      </c>
      <c r="AC115" s="16">
        <f t="shared" si="23"/>
        <v>871464</v>
      </c>
      <c r="AD115" s="4">
        <v>480000</v>
      </c>
      <c r="AE115" s="7">
        <f>SUMIFS('Stock - ETA'!$T$3:T4963,'Stock - ETA'!$F$3:F4963,'Rango proyecciones'!C115,'Stock - ETA'!$AA$3:AA4963,'Rango proyecciones'!$AJ$5) + SUMIFS('Stock - ETA'!$S$3:S4963,'Stock - ETA'!$F$3:F4963,'Rango proyecciones'!C115,'Stock - ETA'!$AA$3:AA4963,'Rango proyecciones'!$AJ$8)</f>
        <v>25002</v>
      </c>
      <c r="AF115" s="16">
        <f t="shared" si="38"/>
        <v>313002</v>
      </c>
      <c r="AG115" s="7">
        <f>SUMIFS('Stock - ETA'!$J$3:J4963,'Stock - ETA'!$F$3:F4963,'Rango proyecciones'!C115,'Stock - ETA'!$Q$3:Q4963,'Rango proyecciones'!$AJ$5) + SUMIFS('Stock - ETA'!$I$3:I4963,'Stock - ETA'!$F$3:F4963,'Rango proyecciones'!C115,'Stock - ETA'!$Q$3:Q4963,'Rango proyecciones'!$AJ$8)</f>
        <v>25002</v>
      </c>
      <c r="AH115" s="16">
        <f t="shared" si="39"/>
        <v>313002</v>
      </c>
      <c r="AI115" s="4"/>
    </row>
    <row r="116" spans="1:35" x14ac:dyDescent="0.2">
      <c r="A116" s="2" t="s">
        <v>34</v>
      </c>
      <c r="B116" s="2" t="s">
        <v>35</v>
      </c>
      <c r="C116" s="2" t="s">
        <v>290</v>
      </c>
      <c r="D116" s="2" t="s">
        <v>46</v>
      </c>
      <c r="E116" s="2">
        <v>1021992</v>
      </c>
      <c r="F116" s="2" t="s">
        <v>291</v>
      </c>
      <c r="G116" s="2" t="s">
        <v>48</v>
      </c>
      <c r="H116" s="4">
        <v>0</v>
      </c>
      <c r="I116" s="7">
        <v>0</v>
      </c>
      <c r="J116" s="7">
        <v>0</v>
      </c>
      <c r="K116" s="7">
        <v>0</v>
      </c>
      <c r="L116" s="4">
        <f t="shared" si="36"/>
        <v>0</v>
      </c>
      <c r="M116" s="7">
        <f>SUMIFS('Stock - ETA'!$R$3:R4963,'Stock - ETA'!$F$3:F4963,'Rango proyecciones'!C116,'Stock - ETA'!$AA$3:AA4963,'Rango proyecciones'!$AJ$5)</f>
        <v>104300</v>
      </c>
      <c r="N116" s="7">
        <f>SUMIF('Stock - Puerto Chile'!$G$2:G973,'Rango proyecciones'!C116,'Stock - Puerto Chile'!$L$2:L973)</f>
        <v>86376</v>
      </c>
      <c r="O116" s="7">
        <f>0 * (25 / 27)</f>
        <v>0</v>
      </c>
      <c r="P116" s="7">
        <f>24260 * (25 / 27)</f>
        <v>22462.962962962964</v>
      </c>
      <c r="Q116" s="16">
        <f t="shared" si="30"/>
        <v>126762.96296296296</v>
      </c>
      <c r="R116" s="7">
        <f t="shared" si="37"/>
        <v>0</v>
      </c>
      <c r="S116" s="7">
        <f>SUMIFS('Stock - ETA'!$H$3:H4963,'Stock - ETA'!$F$3:F4963,'Rango proyecciones'!C116,'Stock - ETA'!$Q$3:Q4963,'Rango proyecciones'!$AJ$5)</f>
        <v>104300</v>
      </c>
      <c r="T116" s="7">
        <f>SUMIF('Stock - Puerto Chile'!$G$2:G973,'Rango proyecciones'!C116,'Stock - Puerto Chile'!$N$2:N973)</f>
        <v>103651.2</v>
      </c>
      <c r="U116" s="7">
        <f>0 * (25 / 27)</f>
        <v>0</v>
      </c>
      <c r="V116" s="7">
        <f>24260 * (25 / 27)</f>
        <v>22462.962962962964</v>
      </c>
      <c r="W116" s="17">
        <f t="shared" si="31"/>
        <v>126762.96296296296</v>
      </c>
      <c r="X116" s="4">
        <v>37669</v>
      </c>
      <c r="Y116" s="7">
        <v>37669</v>
      </c>
      <c r="Z116" s="18">
        <f>SUMIFS('Stock - ETA'!$S$3:S4963,'Stock - ETA'!$F$3:F4963,'Rango proyecciones'!C116,'Stock - ETA'!$AA$3:AA4963,'Rango proyecciones'!$AJ$5) + SUMIFS('Stock - ETA'!$R$3:R4963,'Stock - ETA'!$F$3:F4963,'Rango proyecciones'!C116,'Stock - ETA'!$AA$3:AA4963,'Rango proyecciones'!$AJ$7)</f>
        <v>0</v>
      </c>
      <c r="AA116" s="13">
        <f t="shared" si="22"/>
        <v>37669</v>
      </c>
      <c r="AB116" s="7">
        <f>SUMIFS('Stock - ETA'!$I$3:I4963,'Stock - ETA'!$F$3:F4963,'Rango proyecciones'!C116,'Stock - ETA'!$Q$3:Q4963,'Rango proyecciones'!$AJ$5) + SUMIFS('Stock - ETA'!$H$3:H4963,'Stock - ETA'!$F$3:F4963,'Rango proyecciones'!C116,'Stock - ETA'!$Q$3:Q4963,'Rango proyecciones'!$AJ$7)</f>
        <v>0</v>
      </c>
      <c r="AC116" s="16">
        <f t="shared" si="23"/>
        <v>37669</v>
      </c>
      <c r="AD116" s="4">
        <v>57403</v>
      </c>
      <c r="AE116" s="7">
        <f>SUMIFS('Stock - ETA'!$T$3:T4963,'Stock - ETA'!$F$3:F4963,'Rango proyecciones'!C116,'Stock - ETA'!$AA$3:AA4963,'Rango proyecciones'!$AJ$5) + SUMIFS('Stock - ETA'!$S$3:S4963,'Stock - ETA'!$F$3:F4963,'Rango proyecciones'!C116,'Stock - ETA'!$AA$3:AA4963,'Rango proyecciones'!$AJ$8)</f>
        <v>0</v>
      </c>
      <c r="AF116" s="16">
        <f t="shared" si="38"/>
        <v>34441.799999999996</v>
      </c>
      <c r="AG116" s="7">
        <f>SUMIFS('Stock - ETA'!$J$3:J4963,'Stock - ETA'!$F$3:F4963,'Rango proyecciones'!C116,'Stock - ETA'!$Q$3:Q4963,'Rango proyecciones'!$AJ$5) + SUMIFS('Stock - ETA'!$I$3:I4963,'Stock - ETA'!$F$3:F4963,'Rango proyecciones'!C116,'Stock - ETA'!$Q$3:Q4963,'Rango proyecciones'!$AJ$8)</f>
        <v>0</v>
      </c>
      <c r="AH116" s="16">
        <f t="shared" si="39"/>
        <v>34441.799999999996</v>
      </c>
      <c r="AI116" s="4"/>
    </row>
    <row r="117" spans="1:35" x14ac:dyDescent="0.2">
      <c r="A117" s="2" t="s">
        <v>34</v>
      </c>
      <c r="B117" s="2" t="s">
        <v>35</v>
      </c>
      <c r="C117" s="2" t="s">
        <v>292</v>
      </c>
      <c r="D117" s="2" t="s">
        <v>46</v>
      </c>
      <c r="E117" s="2">
        <v>1022080</v>
      </c>
      <c r="F117" s="2" t="s">
        <v>293</v>
      </c>
      <c r="G117" s="2" t="s">
        <v>259</v>
      </c>
      <c r="H117" s="4">
        <v>0</v>
      </c>
      <c r="I117" s="7">
        <v>0</v>
      </c>
      <c r="J117" s="7">
        <v>8265</v>
      </c>
      <c r="K117" s="7">
        <v>697.56</v>
      </c>
      <c r="L117" s="4">
        <f t="shared" si="36"/>
        <v>11351.16</v>
      </c>
      <c r="M117" s="7">
        <f>SUMIFS('Stock - ETA'!$R$3:R4963,'Stock - ETA'!$F$3:F4963,'Rango proyecciones'!C117,'Stock - ETA'!$AA$3:AA4963,'Rango proyecciones'!$AJ$5)</f>
        <v>48370</v>
      </c>
      <c r="N117" s="7">
        <f>SUMIF('Stock - Puerto Chile'!$G$2:G973,'Rango proyecciones'!C117,'Stock - Puerto Chile'!$L$2:L973)</f>
        <v>260982</v>
      </c>
      <c r="O117" s="7">
        <f>24010 * (25 / 27)</f>
        <v>22231.481481481482</v>
      </c>
      <c r="P117" s="7">
        <f>0 * (25 / 27)</f>
        <v>0</v>
      </c>
      <c r="Q117" s="16">
        <f t="shared" si="30"/>
        <v>48370</v>
      </c>
      <c r="R117" s="7">
        <f t="shared" si="37"/>
        <v>19459.131428571432</v>
      </c>
      <c r="S117" s="7">
        <f>SUMIFS('Stock - ETA'!$H$3:H4963,'Stock - ETA'!$F$3:F4963,'Rango proyecciones'!C117,'Stock - ETA'!$Q$3:Q4963,'Rango proyecciones'!$AJ$5)</f>
        <v>48370</v>
      </c>
      <c r="T117" s="7">
        <f>SUMIF('Stock - Puerto Chile'!$G$2:G973,'Rango proyecciones'!C117,'Stock - Puerto Chile'!$N$2:N973)</f>
        <v>313178.40000000002</v>
      </c>
      <c r="U117" s="7">
        <f>24010 * (25 / 27)</f>
        <v>22231.481481481482</v>
      </c>
      <c r="V117" s="7">
        <f>0 * (25 / 27)</f>
        <v>0</v>
      </c>
      <c r="W117" s="17">
        <f t="shared" si="31"/>
        <v>70601.481481481489</v>
      </c>
      <c r="X117" s="4">
        <v>117287</v>
      </c>
      <c r="Y117" s="7">
        <v>117287</v>
      </c>
      <c r="Z117" s="18">
        <f>SUMIFS('Stock - ETA'!$S$3:S4963,'Stock - ETA'!$F$3:F4963,'Rango proyecciones'!C117,'Stock - ETA'!$AA$3:AA4963,'Rango proyecciones'!$AJ$5) + SUMIFS('Stock - ETA'!$R$3:R4963,'Stock - ETA'!$F$3:F4963,'Rango proyecciones'!C117,'Stock - ETA'!$AA$3:AA4963,'Rango proyecciones'!$AJ$7)</f>
        <v>71670</v>
      </c>
      <c r="AA117" s="13">
        <f t="shared" si="22"/>
        <v>188957</v>
      </c>
      <c r="AB117" s="7">
        <f>SUMIFS('Stock - ETA'!$I$3:I4963,'Stock - ETA'!$F$3:F4963,'Rango proyecciones'!C117,'Stock - ETA'!$Q$3:Q4963,'Rango proyecciones'!$AJ$5) + SUMIFS('Stock - ETA'!$H$3:H4963,'Stock - ETA'!$F$3:F4963,'Rango proyecciones'!C117,'Stock - ETA'!$Q$3:Q4963,'Rango proyecciones'!$AJ$7)</f>
        <v>71670</v>
      </c>
      <c r="AC117" s="16">
        <f t="shared" si="23"/>
        <v>188957</v>
      </c>
      <c r="AD117" s="4">
        <v>141880</v>
      </c>
      <c r="AE117" s="7">
        <f>SUMIFS('Stock - ETA'!$T$3:T4963,'Stock - ETA'!$F$3:F4963,'Rango proyecciones'!C117,'Stock - ETA'!$AA$3:AA4963,'Rango proyecciones'!$AJ$5) + SUMIFS('Stock - ETA'!$S$3:S4963,'Stock - ETA'!$F$3:F4963,'Rango proyecciones'!C117,'Stock - ETA'!$AA$3:AA4963,'Rango proyecciones'!$AJ$8)</f>
        <v>0</v>
      </c>
      <c r="AF117" s="16">
        <f t="shared" si="38"/>
        <v>85128</v>
      </c>
      <c r="AG117" s="7">
        <f>SUMIFS('Stock - ETA'!$J$3:J4963,'Stock - ETA'!$F$3:F4963,'Rango proyecciones'!C117,'Stock - ETA'!$Q$3:Q4963,'Rango proyecciones'!$AJ$5) + SUMIFS('Stock - ETA'!$I$3:I4963,'Stock - ETA'!$F$3:F4963,'Rango proyecciones'!C117,'Stock - ETA'!$Q$3:Q4963,'Rango proyecciones'!$AJ$8)</f>
        <v>0</v>
      </c>
      <c r="AH117" s="16">
        <f t="shared" si="39"/>
        <v>85128</v>
      </c>
      <c r="AI117" s="4"/>
    </row>
    <row r="118" spans="1:35" x14ac:dyDescent="0.2">
      <c r="A118" s="2" t="s">
        <v>34</v>
      </c>
      <c r="B118" s="2" t="s">
        <v>35</v>
      </c>
      <c r="C118" s="2" t="s">
        <v>294</v>
      </c>
      <c r="D118" s="2" t="s">
        <v>46</v>
      </c>
      <c r="E118" s="2">
        <v>1022099</v>
      </c>
      <c r="F118" s="2" t="s">
        <v>295</v>
      </c>
      <c r="G118" s="2" t="s">
        <v>172</v>
      </c>
      <c r="H118" s="4">
        <v>0</v>
      </c>
      <c r="I118" s="7">
        <v>0</v>
      </c>
      <c r="J118" s="7">
        <v>16516.32</v>
      </c>
      <c r="K118" s="7">
        <v>1657.13</v>
      </c>
      <c r="L118" s="4">
        <f t="shared" si="36"/>
        <v>22288.784999999996</v>
      </c>
      <c r="M118" s="7">
        <f>SUMIFS('Stock - ETA'!$R$3:R4963,'Stock - ETA'!$F$3:F4963,'Rango proyecciones'!C118,'Stock - ETA'!$AA$3:AA4963,'Rango proyecciones'!$AJ$5)</f>
        <v>260820</v>
      </c>
      <c r="N118" s="7">
        <f>SUMIF('Stock - Puerto Chile'!$G$2:G973,'Rango proyecciones'!C118,'Stock - Puerto Chile'!$L$2:L973)</f>
        <v>189961.2</v>
      </c>
      <c r="O118" s="7">
        <f>12150 * (25 / 27)</f>
        <v>11250</v>
      </c>
      <c r="P118" s="7">
        <f>0 * (25 / 27)</f>
        <v>0</v>
      </c>
      <c r="Q118" s="16">
        <f t="shared" si="30"/>
        <v>260820</v>
      </c>
      <c r="R118" s="7">
        <f t="shared" si="37"/>
        <v>38209.345714285715</v>
      </c>
      <c r="S118" s="7">
        <f>SUMIFS('Stock - ETA'!$H$3:H4963,'Stock - ETA'!$F$3:F4963,'Rango proyecciones'!C118,'Stock - ETA'!$Q$3:Q4963,'Rango proyecciones'!$AJ$5)</f>
        <v>260820</v>
      </c>
      <c r="T118" s="7">
        <f>SUMIF('Stock - Puerto Chile'!$G$2:G973,'Rango proyecciones'!C118,'Stock - Puerto Chile'!$N$2:N973)</f>
        <v>227953.44</v>
      </c>
      <c r="U118" s="7">
        <f>12150 * (25 / 27)</f>
        <v>11250</v>
      </c>
      <c r="V118" s="7">
        <f>0 * (25 / 27)</f>
        <v>0</v>
      </c>
      <c r="W118" s="17">
        <f t="shared" si="31"/>
        <v>272070</v>
      </c>
      <c r="X118" s="4">
        <v>195971</v>
      </c>
      <c r="Y118" s="7">
        <v>195971</v>
      </c>
      <c r="Z118" s="18">
        <f>SUMIFS('Stock - ETA'!$S$3:S4963,'Stock - ETA'!$F$3:F4963,'Rango proyecciones'!C118,'Stock - ETA'!$AA$3:AA4963,'Rango proyecciones'!$AJ$5) + SUMIFS('Stock - ETA'!$R$3:R4963,'Stock - ETA'!$F$3:F4963,'Rango proyecciones'!C118,'Stock - ETA'!$AA$3:AA4963,'Rango proyecciones'!$AJ$7)</f>
        <v>177982</v>
      </c>
      <c r="AA118" s="13">
        <f t="shared" si="22"/>
        <v>373953</v>
      </c>
      <c r="AB118" s="7">
        <f>SUMIFS('Stock - ETA'!$I$3:I4963,'Stock - ETA'!$F$3:F4963,'Rango proyecciones'!C118,'Stock - ETA'!$Q$3:Q4963,'Rango proyecciones'!$AJ$5) + SUMIFS('Stock - ETA'!$H$3:H4963,'Stock - ETA'!$F$3:F4963,'Rango proyecciones'!C118,'Stock - ETA'!$Q$3:Q4963,'Rango proyecciones'!$AJ$7)</f>
        <v>177982</v>
      </c>
      <c r="AC118" s="16">
        <f t="shared" si="23"/>
        <v>373953</v>
      </c>
      <c r="AD118" s="4">
        <v>232226</v>
      </c>
      <c r="AE118" s="7">
        <f>SUMIFS('Stock - ETA'!$T$3:T4963,'Stock - ETA'!$F$3:F4963,'Rango proyecciones'!C118,'Stock - ETA'!$AA$3:AA4963,'Rango proyecciones'!$AJ$5) + SUMIFS('Stock - ETA'!$S$3:S4963,'Stock - ETA'!$F$3:F4963,'Rango proyecciones'!C118,'Stock - ETA'!$AA$3:AA4963,'Rango proyecciones'!$AJ$8)</f>
        <v>0</v>
      </c>
      <c r="AF118" s="16">
        <f t="shared" si="38"/>
        <v>139335.6</v>
      </c>
      <c r="AG118" s="7">
        <f>SUMIFS('Stock - ETA'!$J$3:J4963,'Stock - ETA'!$F$3:F4963,'Rango proyecciones'!C118,'Stock - ETA'!$Q$3:Q4963,'Rango proyecciones'!$AJ$5) + SUMIFS('Stock - ETA'!$I$3:I4963,'Stock - ETA'!$F$3:F4963,'Rango proyecciones'!C118,'Stock - ETA'!$Q$3:Q4963,'Rango proyecciones'!$AJ$8)</f>
        <v>0</v>
      </c>
      <c r="AH118" s="16">
        <f t="shared" si="39"/>
        <v>139335.6</v>
      </c>
      <c r="AI118" s="4"/>
    </row>
    <row r="119" spans="1:35" x14ac:dyDescent="0.2">
      <c r="A119" s="2" t="s">
        <v>34</v>
      </c>
      <c r="B119" s="2" t="s">
        <v>35</v>
      </c>
      <c r="C119" s="2" t="s">
        <v>296</v>
      </c>
      <c r="D119" s="2" t="s">
        <v>46</v>
      </c>
      <c r="E119" s="2">
        <v>1022125</v>
      </c>
      <c r="F119" s="2" t="s">
        <v>297</v>
      </c>
      <c r="G119" s="2" t="s">
        <v>167</v>
      </c>
      <c r="H119" s="4">
        <v>0</v>
      </c>
      <c r="I119" s="7">
        <v>0</v>
      </c>
      <c r="J119" s="7">
        <v>51355.962</v>
      </c>
      <c r="K119" s="7">
        <v>4403.5600000000004</v>
      </c>
      <c r="L119" s="4">
        <f t="shared" si="36"/>
        <v>70428.603000000003</v>
      </c>
      <c r="M119" s="7">
        <f>SUMIFS('Stock - ETA'!$R$3:R4963,'Stock - ETA'!$F$3:F4963,'Rango proyecciones'!C119,'Stock - ETA'!$AA$3:AA4963,'Rango proyecciones'!$AJ$5)</f>
        <v>146393.02000000002</v>
      </c>
      <c r="N119" s="7">
        <f>SUMIF('Stock - Puerto Chile'!$G$2:G973,'Rango proyecciones'!C119,'Stock - Puerto Chile'!$L$2:L973)</f>
        <v>441716.88779999991</v>
      </c>
      <c r="O119" s="7">
        <f>0 * (25 / 27)</f>
        <v>0</v>
      </c>
      <c r="P119" s="7">
        <f>24206.43 * (25 / 27)</f>
        <v>22413.361111111113</v>
      </c>
      <c r="Q119" s="16">
        <f t="shared" si="30"/>
        <v>168806.38111111114</v>
      </c>
      <c r="R119" s="7">
        <f t="shared" si="37"/>
        <v>120734.74800000001</v>
      </c>
      <c r="S119" s="7">
        <f>SUMIFS('Stock - ETA'!$H$3:H4963,'Stock - ETA'!$F$3:F4963,'Rango proyecciones'!C119,'Stock - ETA'!$Q$3:Q4963,'Rango proyecciones'!$AJ$5)</f>
        <v>146393.02000000002</v>
      </c>
      <c r="T119" s="7">
        <f>SUMIF('Stock - Puerto Chile'!$G$2:G973,'Rango proyecciones'!C119,'Stock - Puerto Chile'!$N$2:N973)</f>
        <v>530060.26535999996</v>
      </c>
      <c r="U119" s="7">
        <f>0 * (25 / 27)</f>
        <v>0</v>
      </c>
      <c r="V119" s="7">
        <f>24206.43 * (25 / 27)</f>
        <v>22413.361111111113</v>
      </c>
      <c r="W119" s="17">
        <f t="shared" si="31"/>
        <v>168806.38111111114</v>
      </c>
      <c r="X119" s="4">
        <v>240000</v>
      </c>
      <c r="Y119" s="7">
        <v>240000</v>
      </c>
      <c r="Z119" s="18">
        <f>SUMIFS('Stock - ETA'!$S$3:S4963,'Stock - ETA'!$F$3:F4963,'Rango proyecciones'!C119,'Stock - ETA'!$AA$3:AA4963,'Rango proyecciones'!$AJ$5) + SUMIFS('Stock - ETA'!$R$3:R4963,'Stock - ETA'!$F$3:F4963,'Rango proyecciones'!C119,'Stock - ETA'!$AA$3:AA4963,'Rango proyecciones'!$AJ$7)</f>
        <v>332884.11000000004</v>
      </c>
      <c r="AA119" s="13">
        <f t="shared" si="22"/>
        <v>572884.1100000001</v>
      </c>
      <c r="AB119" s="7">
        <f>SUMIFS('Stock - ETA'!$I$3:I4963,'Stock - ETA'!$F$3:F4963,'Rango proyecciones'!C119,'Stock - ETA'!$Q$3:Q4963,'Rango proyecciones'!$AJ$5) + SUMIFS('Stock - ETA'!$H$3:H4963,'Stock - ETA'!$F$3:F4963,'Rango proyecciones'!C119,'Stock - ETA'!$Q$3:Q4963,'Rango proyecciones'!$AJ$7)</f>
        <v>332884.11000000004</v>
      </c>
      <c r="AC119" s="16">
        <f t="shared" si="23"/>
        <v>572884.1100000001</v>
      </c>
      <c r="AD119" s="4">
        <v>240000</v>
      </c>
      <c r="AE119" s="7">
        <f>SUMIFS('Stock - ETA'!$T$3:T4963,'Stock - ETA'!$F$3:F4963,'Rango proyecciones'!C119,'Stock - ETA'!$AA$3:AA4963,'Rango proyecciones'!$AJ$5) + SUMIFS('Stock - ETA'!$S$3:S4963,'Stock - ETA'!$F$3:F4963,'Rango proyecciones'!C119,'Stock - ETA'!$AA$3:AA4963,'Rango proyecciones'!$AJ$8)</f>
        <v>0</v>
      </c>
      <c r="AF119" s="16">
        <f t="shared" si="38"/>
        <v>144000</v>
      </c>
      <c r="AG119" s="7">
        <f>SUMIFS('Stock - ETA'!$J$3:J4963,'Stock - ETA'!$F$3:F4963,'Rango proyecciones'!C119,'Stock - ETA'!$Q$3:Q4963,'Rango proyecciones'!$AJ$5) + SUMIFS('Stock - ETA'!$I$3:I4963,'Stock - ETA'!$F$3:F4963,'Rango proyecciones'!C119,'Stock - ETA'!$Q$3:Q4963,'Rango proyecciones'!$AJ$8)</f>
        <v>0</v>
      </c>
      <c r="AH119" s="16">
        <f t="shared" si="39"/>
        <v>144000</v>
      </c>
      <c r="AI119" s="4"/>
    </row>
    <row r="120" spans="1:35" x14ac:dyDescent="0.2">
      <c r="A120" s="2" t="s">
        <v>34</v>
      </c>
      <c r="B120" s="2" t="s">
        <v>35</v>
      </c>
      <c r="C120" s="2" t="s">
        <v>298</v>
      </c>
      <c r="D120" s="2" t="s">
        <v>46</v>
      </c>
      <c r="E120" s="2">
        <v>1022169</v>
      </c>
      <c r="F120" s="2" t="s">
        <v>299</v>
      </c>
      <c r="G120" s="2" t="s">
        <v>181</v>
      </c>
      <c r="H120" s="4">
        <v>0</v>
      </c>
      <c r="I120" s="7">
        <v>0</v>
      </c>
      <c r="J120" s="7">
        <v>17920</v>
      </c>
      <c r="K120" s="7">
        <v>1947.24</v>
      </c>
      <c r="L120" s="4">
        <f t="shared" si="36"/>
        <v>23959.14</v>
      </c>
      <c r="M120" s="7">
        <f>SUMIFS('Stock - ETA'!$R$3:R4963,'Stock - ETA'!$F$3:F4963,'Rango proyecciones'!C120,'Stock - ETA'!$AA$3:AA4963,'Rango proyecciones'!$AJ$5)</f>
        <v>167520</v>
      </c>
      <c r="N120" s="7">
        <f>SUMIF('Stock - Puerto Chile'!$G$2:G973,'Rango proyecciones'!C120,'Stock - Puerto Chile'!$L$2:L973)</f>
        <v>460410</v>
      </c>
      <c r="O120" s="7">
        <f>0 * (25 / 27)</f>
        <v>0</v>
      </c>
      <c r="P120" s="7">
        <f>48810 * (25 / 27)</f>
        <v>45194.444444444445</v>
      </c>
      <c r="Q120" s="16">
        <f t="shared" si="30"/>
        <v>212714.44444444444</v>
      </c>
      <c r="R120" s="7">
        <f t="shared" si="37"/>
        <v>41072.811428571433</v>
      </c>
      <c r="S120" s="7">
        <f>SUMIFS('Stock - ETA'!$H$3:H4963,'Stock - ETA'!$F$3:F4963,'Rango proyecciones'!C120,'Stock - ETA'!$Q$3:Q4963,'Rango proyecciones'!$AJ$5)</f>
        <v>167520</v>
      </c>
      <c r="T120" s="7">
        <f>SUMIF('Stock - Puerto Chile'!$G$2:G973,'Rango proyecciones'!C120,'Stock - Puerto Chile'!$N$2:N973)</f>
        <v>552492</v>
      </c>
      <c r="U120" s="7">
        <f>0 * (25 / 27)</f>
        <v>0</v>
      </c>
      <c r="V120" s="7">
        <f>48810 * (25 / 27)</f>
        <v>45194.444444444445</v>
      </c>
      <c r="W120" s="17">
        <f t="shared" si="31"/>
        <v>212714.44444444444</v>
      </c>
      <c r="X120" s="4">
        <v>196988</v>
      </c>
      <c r="Y120" s="7">
        <v>196988</v>
      </c>
      <c r="Z120" s="18">
        <f>SUMIFS('Stock - ETA'!$S$3:S4963,'Stock - ETA'!$F$3:F4963,'Rango proyecciones'!C120,'Stock - ETA'!$AA$3:AA4963,'Rango proyecciones'!$AJ$5) + SUMIFS('Stock - ETA'!$R$3:R4963,'Stock - ETA'!$F$3:F4963,'Rango proyecciones'!C120,'Stock - ETA'!$AA$3:AA4963,'Rango proyecciones'!$AJ$7)</f>
        <v>158280</v>
      </c>
      <c r="AA120" s="13">
        <f t="shared" si="22"/>
        <v>355268</v>
      </c>
      <c r="AB120" s="7">
        <f>SUMIFS('Stock - ETA'!$I$3:I4963,'Stock - ETA'!$F$3:F4963,'Rango proyecciones'!C120,'Stock - ETA'!$Q$3:Q4963,'Rango proyecciones'!$AJ$5) + SUMIFS('Stock - ETA'!$H$3:H4963,'Stock - ETA'!$F$3:F4963,'Rango proyecciones'!C120,'Stock - ETA'!$Q$3:Q4963,'Rango proyecciones'!$AJ$7)</f>
        <v>158280</v>
      </c>
      <c r="AC120" s="16">
        <f t="shared" si="23"/>
        <v>355268</v>
      </c>
      <c r="AD120" s="4">
        <v>214964</v>
      </c>
      <c r="AE120" s="7">
        <f>SUMIFS('Stock - ETA'!$T$3:T4963,'Stock - ETA'!$F$3:F4963,'Rango proyecciones'!C120,'Stock - ETA'!$AA$3:AA4963,'Rango proyecciones'!$AJ$5) + SUMIFS('Stock - ETA'!$S$3:S4963,'Stock - ETA'!$F$3:F4963,'Rango proyecciones'!C120,'Stock - ETA'!$AA$3:AA4963,'Rango proyecciones'!$AJ$8)</f>
        <v>0</v>
      </c>
      <c r="AF120" s="16">
        <f t="shared" si="38"/>
        <v>128978.4</v>
      </c>
      <c r="AG120" s="7">
        <f>SUMIFS('Stock - ETA'!$J$3:J4963,'Stock - ETA'!$F$3:F4963,'Rango proyecciones'!C120,'Stock - ETA'!$Q$3:Q4963,'Rango proyecciones'!$AJ$5) + SUMIFS('Stock - ETA'!$I$3:I4963,'Stock - ETA'!$F$3:F4963,'Rango proyecciones'!C120,'Stock - ETA'!$Q$3:Q4963,'Rango proyecciones'!$AJ$8)</f>
        <v>0</v>
      </c>
      <c r="AH120" s="16">
        <f t="shared" si="39"/>
        <v>128978.4</v>
      </c>
      <c r="AI120" s="4"/>
    </row>
    <row r="121" spans="1:35" x14ac:dyDescent="0.2">
      <c r="A121" s="2" t="s">
        <v>34</v>
      </c>
      <c r="B121" s="2" t="s">
        <v>35</v>
      </c>
      <c r="C121" s="2" t="s">
        <v>300</v>
      </c>
      <c r="D121" s="2" t="s">
        <v>46</v>
      </c>
      <c r="E121" s="2">
        <v>1022212</v>
      </c>
      <c r="F121" s="2" t="s">
        <v>301</v>
      </c>
      <c r="G121" s="2" t="s">
        <v>196</v>
      </c>
      <c r="H121" s="4">
        <v>0</v>
      </c>
      <c r="I121" s="7">
        <v>0</v>
      </c>
      <c r="J121" s="7">
        <v>61942.75</v>
      </c>
      <c r="K121" s="7">
        <v>4353.41</v>
      </c>
      <c r="L121" s="4">
        <f t="shared" si="36"/>
        <v>86384.01</v>
      </c>
      <c r="M121" s="7">
        <f>SUMIFS('Stock - ETA'!$R$3:R4963,'Stock - ETA'!$F$3:F4963,'Rango proyecciones'!C121,'Stock - ETA'!$AA$3:AA4963,'Rango proyecciones'!$AJ$5)</f>
        <v>617854.57999999984</v>
      </c>
      <c r="N121" s="7">
        <f>SUMIF('Stock - Puerto Chile'!$G$2:G973,'Rango proyecciones'!C121,'Stock - Puerto Chile'!$L$2:L973)</f>
        <v>927737.01839999994</v>
      </c>
      <c r="O121" s="7">
        <f>168014.82 * (25 / 27)</f>
        <v>155569.27777777778</v>
      </c>
      <c r="P121" s="7">
        <f>48357.643 * (25 / 27)</f>
        <v>44775.595370370371</v>
      </c>
      <c r="Q121" s="16">
        <f t="shared" si="30"/>
        <v>662630.17537037027</v>
      </c>
      <c r="R121" s="7">
        <f t="shared" si="37"/>
        <v>148086.87428571429</v>
      </c>
      <c r="S121" s="7">
        <f>SUMIFS('Stock - ETA'!$H$3:H4963,'Stock - ETA'!$F$3:F4963,'Rango proyecciones'!C121,'Stock - ETA'!$Q$3:Q4963,'Rango proyecciones'!$AJ$5)</f>
        <v>617854.57999999984</v>
      </c>
      <c r="T121" s="7">
        <f>SUMIF('Stock - Puerto Chile'!$G$2:G973,'Rango proyecciones'!C121,'Stock - Puerto Chile'!$N$2:N973)</f>
        <v>1113284.4220799999</v>
      </c>
      <c r="U121" s="7">
        <f>168014.82 * (25 / 27)</f>
        <v>155569.27777777778</v>
      </c>
      <c r="V121" s="7">
        <f>48357.643 * (25 / 27)</f>
        <v>44775.595370370371</v>
      </c>
      <c r="W121" s="17">
        <f t="shared" si="31"/>
        <v>818199.45314814802</v>
      </c>
      <c r="X121" s="4">
        <v>663542</v>
      </c>
      <c r="Y121" s="7">
        <v>663542</v>
      </c>
      <c r="Z121" s="18">
        <f>SUMIFS('Stock - ETA'!$S$3:S4963,'Stock - ETA'!$F$3:F4963,'Rango proyecciones'!C121,'Stock - ETA'!$AA$3:AA4963,'Rango proyecciones'!$AJ$5) + SUMIFS('Stock - ETA'!$R$3:R4963,'Stock - ETA'!$F$3:F4963,'Rango proyecciones'!C121,'Stock - ETA'!$AA$3:AA4963,'Rango proyecciones'!$AJ$7)</f>
        <v>381351.48</v>
      </c>
      <c r="AA121" s="13">
        <f t="shared" si="22"/>
        <v>1044893.48</v>
      </c>
      <c r="AB121" s="7">
        <f>SUMIFS('Stock - ETA'!$I$3:I4963,'Stock - ETA'!$F$3:F4963,'Rango proyecciones'!C121,'Stock - ETA'!$Q$3:Q4963,'Rango proyecciones'!$AJ$5) + SUMIFS('Stock - ETA'!$H$3:H4963,'Stock - ETA'!$F$3:F4963,'Rango proyecciones'!C121,'Stock - ETA'!$Q$3:Q4963,'Rango proyecciones'!$AJ$7)</f>
        <v>381351.48</v>
      </c>
      <c r="AC121" s="16">
        <f t="shared" si="23"/>
        <v>1044893.48</v>
      </c>
      <c r="AD121" s="4">
        <v>778460</v>
      </c>
      <c r="AE121" s="7">
        <f>SUMIFS('Stock - ETA'!$T$3:T4963,'Stock - ETA'!$F$3:F4963,'Rango proyecciones'!C121,'Stock - ETA'!$AA$3:AA4963,'Rango proyecciones'!$AJ$5) + SUMIFS('Stock - ETA'!$S$3:S4963,'Stock - ETA'!$F$3:F4963,'Rango proyecciones'!C121,'Stock - ETA'!$AA$3:AA4963,'Rango proyecciones'!$AJ$8)</f>
        <v>48460.3</v>
      </c>
      <c r="AF121" s="16">
        <f t="shared" si="38"/>
        <v>515536.3</v>
      </c>
      <c r="AG121" s="7">
        <f>SUMIFS('Stock - ETA'!$J$3:J4963,'Stock - ETA'!$F$3:F4963,'Rango proyecciones'!C121,'Stock - ETA'!$Q$3:Q4963,'Rango proyecciones'!$AJ$5) + SUMIFS('Stock - ETA'!$I$3:I4963,'Stock - ETA'!$F$3:F4963,'Rango proyecciones'!C121,'Stock - ETA'!$Q$3:Q4963,'Rango proyecciones'!$AJ$8)</f>
        <v>48460.3</v>
      </c>
      <c r="AH121" s="16">
        <f t="shared" si="39"/>
        <v>515536.3</v>
      </c>
      <c r="AI121" s="4"/>
    </row>
    <row r="122" spans="1:35" x14ac:dyDescent="0.2">
      <c r="A122" s="2" t="s">
        <v>34</v>
      </c>
      <c r="B122" s="2" t="s">
        <v>35</v>
      </c>
      <c r="C122" s="2" t="s">
        <v>302</v>
      </c>
      <c r="D122" s="2" t="s">
        <v>46</v>
      </c>
      <c r="E122" s="2">
        <v>1022373</v>
      </c>
      <c r="F122" s="2" t="s">
        <v>303</v>
      </c>
      <c r="G122" s="2" t="s">
        <v>181</v>
      </c>
      <c r="H122" s="4">
        <v>0</v>
      </c>
      <c r="I122" s="7">
        <v>0</v>
      </c>
      <c r="J122" s="7">
        <v>0</v>
      </c>
      <c r="K122" s="7">
        <v>0</v>
      </c>
      <c r="L122" s="4">
        <f t="shared" si="36"/>
        <v>0</v>
      </c>
      <c r="M122" s="7">
        <f>SUMIFS('Stock - ETA'!$R$3:R4963,'Stock - ETA'!$F$3:F4963,'Rango proyecciones'!C122,'Stock - ETA'!$AA$3:AA4963,'Rango proyecciones'!$AJ$5)</f>
        <v>70749.37</v>
      </c>
      <c r="N122" s="7">
        <f>SUMIF('Stock - Puerto Chile'!$G$2:G973,'Rango proyecciones'!C122,'Stock - Puerto Chile'!$L$2:L973)</f>
        <v>0</v>
      </c>
      <c r="O122" s="7">
        <f>0 * (25 / 27)</f>
        <v>0</v>
      </c>
      <c r="P122" s="7">
        <f>23297.434 * (25 / 27)</f>
        <v>21571.698148148149</v>
      </c>
      <c r="Q122" s="16">
        <f t="shared" si="30"/>
        <v>92321.068148148144</v>
      </c>
      <c r="R122" s="7">
        <f t="shared" si="37"/>
        <v>0</v>
      </c>
      <c r="S122" s="7">
        <f>SUMIFS('Stock - ETA'!$H$3:H4963,'Stock - ETA'!$F$3:F4963,'Rango proyecciones'!C122,'Stock - ETA'!$Q$3:Q4963,'Rango proyecciones'!$AJ$5)</f>
        <v>70749.37</v>
      </c>
      <c r="T122" s="7">
        <f>SUMIF('Stock - Puerto Chile'!$G$2:G973,'Rango proyecciones'!C122,'Stock - Puerto Chile'!$N$2:N973)</f>
        <v>0</v>
      </c>
      <c r="U122" s="7">
        <f>0 * (25 / 27)</f>
        <v>0</v>
      </c>
      <c r="V122" s="7">
        <f>23297.434 * (25 / 27)</f>
        <v>21571.698148148149</v>
      </c>
      <c r="W122" s="17">
        <f t="shared" si="31"/>
        <v>92321.068148148144</v>
      </c>
      <c r="X122" s="4">
        <v>142412</v>
      </c>
      <c r="Y122" s="7">
        <v>142412</v>
      </c>
      <c r="Z122" s="18">
        <f>SUMIFS('Stock - ETA'!$S$3:S4963,'Stock - ETA'!$F$3:F4963,'Rango proyecciones'!C122,'Stock - ETA'!$AA$3:AA4963,'Rango proyecciones'!$AJ$5) + SUMIFS('Stock - ETA'!$R$3:R4963,'Stock - ETA'!$F$3:F4963,'Rango proyecciones'!C122,'Stock - ETA'!$AA$3:AA4963,'Rango proyecciones'!$AJ$7)</f>
        <v>44497.07</v>
      </c>
      <c r="AA122" s="13">
        <f t="shared" si="22"/>
        <v>186909.07</v>
      </c>
      <c r="AB122" s="7">
        <f>SUMIFS('Stock - ETA'!$I$3:I4963,'Stock - ETA'!$F$3:F4963,'Rango proyecciones'!C122,'Stock - ETA'!$Q$3:Q4963,'Rango proyecciones'!$AJ$5) + SUMIFS('Stock - ETA'!$H$3:H4963,'Stock - ETA'!$F$3:F4963,'Rango proyecciones'!C122,'Stock - ETA'!$Q$3:Q4963,'Rango proyecciones'!$AJ$7)</f>
        <v>44497.07</v>
      </c>
      <c r="AC122" s="16">
        <f t="shared" si="23"/>
        <v>186909.07</v>
      </c>
      <c r="AD122" s="4">
        <v>227220</v>
      </c>
      <c r="AE122" s="7">
        <f>SUMIFS('Stock - ETA'!$T$3:T4963,'Stock - ETA'!$F$3:F4963,'Rango proyecciones'!C122,'Stock - ETA'!$AA$3:AA4963,'Rango proyecciones'!$AJ$5) + SUMIFS('Stock - ETA'!$S$3:S4963,'Stock - ETA'!$F$3:F4963,'Rango proyecciones'!C122,'Stock - ETA'!$AA$3:AA4963,'Rango proyecciones'!$AJ$8)</f>
        <v>24016.07</v>
      </c>
      <c r="AF122" s="16">
        <f t="shared" si="38"/>
        <v>160348.07</v>
      </c>
      <c r="AG122" s="7">
        <f>SUMIFS('Stock - ETA'!$J$3:J4963,'Stock - ETA'!$F$3:F4963,'Rango proyecciones'!C122,'Stock - ETA'!$Q$3:Q4963,'Rango proyecciones'!$AJ$5) + SUMIFS('Stock - ETA'!$I$3:I4963,'Stock - ETA'!$F$3:F4963,'Rango proyecciones'!C122,'Stock - ETA'!$Q$3:Q4963,'Rango proyecciones'!$AJ$8)</f>
        <v>24016.07</v>
      </c>
      <c r="AH122" s="16">
        <f t="shared" si="39"/>
        <v>160348.07</v>
      </c>
      <c r="AI122" s="4"/>
    </row>
    <row r="123" spans="1:35" x14ac:dyDescent="0.2">
      <c r="A123" s="2" t="s">
        <v>34</v>
      </c>
      <c r="B123" s="2" t="s">
        <v>35</v>
      </c>
      <c r="C123" s="2" t="s">
        <v>304</v>
      </c>
      <c r="D123" s="2" t="s">
        <v>46</v>
      </c>
      <c r="E123" s="2">
        <v>1022378</v>
      </c>
      <c r="F123" s="2" t="s">
        <v>305</v>
      </c>
      <c r="G123" s="2" t="s">
        <v>172</v>
      </c>
      <c r="H123" s="4">
        <v>0</v>
      </c>
      <c r="I123" s="7">
        <v>0</v>
      </c>
      <c r="J123" s="7">
        <v>9200</v>
      </c>
      <c r="K123" s="7">
        <v>1456.87</v>
      </c>
      <c r="L123" s="4">
        <f t="shared" si="36"/>
        <v>11614.695</v>
      </c>
      <c r="M123" s="7">
        <f>SUMIFS('Stock - ETA'!$R$3:R4963,'Stock - ETA'!$F$3:F4963,'Rango proyecciones'!C123,'Stock - ETA'!$AA$3:AA4963,'Rango proyecciones'!$AJ$5)</f>
        <v>100300</v>
      </c>
      <c r="N123" s="7">
        <f>SUMIF('Stock - Puerto Chile'!$G$2:G973,'Rango proyecciones'!C123,'Stock - Puerto Chile'!$L$2:L973)</f>
        <v>158400</v>
      </c>
      <c r="O123" s="7">
        <f>0 * (25 / 27)</f>
        <v>0</v>
      </c>
      <c r="P123" s="7">
        <f>23980 * (25 / 27)</f>
        <v>22203.703703703704</v>
      </c>
      <c r="Q123" s="16">
        <f t="shared" si="30"/>
        <v>122503.70370370371</v>
      </c>
      <c r="R123" s="7">
        <f t="shared" si="37"/>
        <v>19910.905714285716</v>
      </c>
      <c r="S123" s="7">
        <f>SUMIFS('Stock - ETA'!$H$3:H4963,'Stock - ETA'!$F$3:F4963,'Rango proyecciones'!C123,'Stock - ETA'!$Q$3:Q4963,'Rango proyecciones'!$AJ$5)</f>
        <v>100300</v>
      </c>
      <c r="T123" s="7">
        <f>SUMIF('Stock - Puerto Chile'!$G$2:G973,'Rango proyecciones'!C123,'Stock - Puerto Chile'!$N$2:N973)</f>
        <v>190080</v>
      </c>
      <c r="U123" s="7">
        <f>0 * (25 / 27)</f>
        <v>0</v>
      </c>
      <c r="V123" s="7">
        <f>23980 * (25 / 27)</f>
        <v>22203.703703703704</v>
      </c>
      <c r="W123" s="17">
        <f t="shared" si="31"/>
        <v>122503.70370370371</v>
      </c>
      <c r="X123" s="4">
        <v>73659</v>
      </c>
      <c r="Y123" s="7">
        <v>73659</v>
      </c>
      <c r="Z123" s="18">
        <f>SUMIFS('Stock - ETA'!$S$3:S4963,'Stock - ETA'!$F$3:F4963,'Rango proyecciones'!C123,'Stock - ETA'!$AA$3:AA4963,'Rango proyecciones'!$AJ$5) + SUMIFS('Stock - ETA'!$R$3:R4963,'Stock - ETA'!$F$3:F4963,'Rango proyecciones'!C123,'Stock - ETA'!$AA$3:AA4963,'Rango proyecciones'!$AJ$7)</f>
        <v>98650</v>
      </c>
      <c r="AA123" s="13">
        <f t="shared" si="22"/>
        <v>172309</v>
      </c>
      <c r="AB123" s="7">
        <f>SUMIFS('Stock - ETA'!$I$3:I4963,'Stock - ETA'!$F$3:F4963,'Rango proyecciones'!C123,'Stock - ETA'!$Q$3:Q4963,'Rango proyecciones'!$AJ$5) + SUMIFS('Stock - ETA'!$H$3:H4963,'Stock - ETA'!$F$3:F4963,'Rango proyecciones'!C123,'Stock - ETA'!$Q$3:Q4963,'Rango proyecciones'!$AJ$7)</f>
        <v>98650</v>
      </c>
      <c r="AC123" s="16">
        <f t="shared" si="23"/>
        <v>172309</v>
      </c>
      <c r="AD123" s="4">
        <v>87286</v>
      </c>
      <c r="AE123" s="7">
        <f>SUMIFS('Stock - ETA'!$T$3:T4963,'Stock - ETA'!$F$3:F4963,'Rango proyecciones'!C123,'Stock - ETA'!$AA$3:AA4963,'Rango proyecciones'!$AJ$5) + SUMIFS('Stock - ETA'!$S$3:S4963,'Stock - ETA'!$F$3:F4963,'Rango proyecciones'!C123,'Stock - ETA'!$AA$3:AA4963,'Rango proyecciones'!$AJ$8)</f>
        <v>0</v>
      </c>
      <c r="AF123" s="16">
        <f t="shared" si="38"/>
        <v>52371.6</v>
      </c>
      <c r="AG123" s="7">
        <f>SUMIFS('Stock - ETA'!$J$3:J4963,'Stock - ETA'!$F$3:F4963,'Rango proyecciones'!C123,'Stock - ETA'!$Q$3:Q4963,'Rango proyecciones'!$AJ$5) + SUMIFS('Stock - ETA'!$I$3:I4963,'Stock - ETA'!$F$3:F4963,'Rango proyecciones'!C123,'Stock - ETA'!$Q$3:Q4963,'Rango proyecciones'!$AJ$8)</f>
        <v>0</v>
      </c>
      <c r="AH123" s="16">
        <f t="shared" si="39"/>
        <v>52371.6</v>
      </c>
      <c r="AI123" s="4"/>
    </row>
    <row r="124" spans="1:35" x14ac:dyDescent="0.2">
      <c r="A124" s="2" t="s">
        <v>34</v>
      </c>
      <c r="B124" s="2" t="s">
        <v>35</v>
      </c>
      <c r="C124" s="2" t="s">
        <v>306</v>
      </c>
      <c r="D124" s="2" t="s">
        <v>46</v>
      </c>
      <c r="E124" s="2">
        <v>1022379</v>
      </c>
      <c r="F124" s="2" t="s">
        <v>307</v>
      </c>
      <c r="G124" s="2" t="s">
        <v>39</v>
      </c>
      <c r="H124" s="4">
        <v>0</v>
      </c>
      <c r="I124" s="7">
        <v>0</v>
      </c>
      <c r="J124" s="7">
        <v>0</v>
      </c>
      <c r="K124" s="7">
        <v>0</v>
      </c>
      <c r="L124" s="4">
        <f t="shared" si="36"/>
        <v>0</v>
      </c>
      <c r="M124" s="7">
        <f>SUMIFS('Stock - ETA'!$R$3:R4963,'Stock - ETA'!$F$3:F4963,'Rango proyecciones'!C124,'Stock - ETA'!$AA$3:AA4963,'Rango proyecciones'!$AJ$5)</f>
        <v>85955.34</v>
      </c>
      <c r="N124" s="7">
        <f>SUMIF('Stock - Puerto Chile'!$G$2:G973,'Rango proyecciones'!C124,'Stock - Puerto Chile'!$L$2:L973)</f>
        <v>14574.477599999998</v>
      </c>
      <c r="O124" s="7">
        <f>24041.62 * (25 / 27)</f>
        <v>22260.759259259259</v>
      </c>
      <c r="P124" s="7">
        <f>7894.067 * (25 / 27)</f>
        <v>7309.3212962962962</v>
      </c>
      <c r="Q124" s="16">
        <f t="shared" si="30"/>
        <v>93264.661296296297</v>
      </c>
      <c r="R124" s="7">
        <f t="shared" si="37"/>
        <v>0</v>
      </c>
      <c r="S124" s="7">
        <f>SUMIFS('Stock - ETA'!$H$3:H4963,'Stock - ETA'!$F$3:F4963,'Rango proyecciones'!C124,'Stock - ETA'!$Q$3:Q4963,'Rango proyecciones'!$AJ$5)</f>
        <v>85955.34</v>
      </c>
      <c r="T124" s="7">
        <f>SUMIF('Stock - Puerto Chile'!$G$2:G973,'Rango proyecciones'!C124,'Stock - Puerto Chile'!$N$2:N973)</f>
        <v>17489.373119999997</v>
      </c>
      <c r="U124" s="7">
        <f>24041.62 * (25 / 27)</f>
        <v>22260.759259259259</v>
      </c>
      <c r="V124" s="7">
        <f>7894.067 * (25 / 27)</f>
        <v>7309.3212962962962</v>
      </c>
      <c r="W124" s="17">
        <f t="shared" si="31"/>
        <v>115525.42055555555</v>
      </c>
      <c r="X124" s="4"/>
      <c r="Y124" s="7"/>
      <c r="Z124" s="18">
        <f>SUMIFS('Stock - ETA'!$S$3:S4963,'Stock - ETA'!$F$3:F4963,'Rango proyecciones'!C124,'Stock - ETA'!$AA$3:AA4963,'Rango proyecciones'!$AJ$5) + SUMIFS('Stock - ETA'!$R$3:R4963,'Stock - ETA'!$F$3:F4963,'Rango proyecciones'!C124,'Stock - ETA'!$AA$3:AA4963,'Rango proyecciones'!$AJ$7)</f>
        <v>170148.99000000002</v>
      </c>
      <c r="AA124" s="13">
        <f t="shared" si="22"/>
        <v>170148.99000000002</v>
      </c>
      <c r="AB124" s="7">
        <f>SUMIFS('Stock - ETA'!$I$3:I4963,'Stock - ETA'!$F$3:F4963,'Rango proyecciones'!C124,'Stock - ETA'!$Q$3:Q4963,'Rango proyecciones'!$AJ$5) + SUMIFS('Stock - ETA'!$H$3:H4963,'Stock - ETA'!$F$3:F4963,'Rango proyecciones'!C124,'Stock - ETA'!$Q$3:Q4963,'Rango proyecciones'!$AJ$7)</f>
        <v>170148.99000000002</v>
      </c>
      <c r="AC124" s="16">
        <f t="shared" si="23"/>
        <v>170148.99000000002</v>
      </c>
      <c r="AD124" s="4"/>
      <c r="AE124" s="7">
        <f>SUMIFS('Stock - ETA'!$T$3:T4963,'Stock - ETA'!$F$3:F4963,'Rango proyecciones'!C124,'Stock - ETA'!$AA$3:AA4963,'Rango proyecciones'!$AJ$5) + SUMIFS('Stock - ETA'!$S$3:S4963,'Stock - ETA'!$F$3:F4963,'Rango proyecciones'!C124,'Stock - ETA'!$AA$3:AA4963,'Rango proyecciones'!$AJ$8)</f>
        <v>0</v>
      </c>
      <c r="AF124" s="16">
        <f t="shared" si="38"/>
        <v>0</v>
      </c>
      <c r="AG124" s="7">
        <f>SUMIFS('Stock - ETA'!$J$3:J4963,'Stock - ETA'!$F$3:F4963,'Rango proyecciones'!C124,'Stock - ETA'!$Q$3:Q4963,'Rango proyecciones'!$AJ$5) + SUMIFS('Stock - ETA'!$I$3:I4963,'Stock - ETA'!$F$3:F4963,'Rango proyecciones'!C124,'Stock - ETA'!$Q$3:Q4963,'Rango proyecciones'!$AJ$8)</f>
        <v>0</v>
      </c>
      <c r="AH124" s="16">
        <f t="shared" si="39"/>
        <v>0</v>
      </c>
      <c r="AI124" s="4"/>
    </row>
    <row r="125" spans="1:35" x14ac:dyDescent="0.2">
      <c r="A125" s="2" t="s">
        <v>34</v>
      </c>
      <c r="B125" s="2" t="s">
        <v>35</v>
      </c>
      <c r="C125" s="2" t="s">
        <v>308</v>
      </c>
      <c r="D125" s="2" t="s">
        <v>46</v>
      </c>
      <c r="E125" s="2">
        <v>1022414</v>
      </c>
      <c r="F125" s="2" t="s">
        <v>309</v>
      </c>
      <c r="G125" s="2" t="s">
        <v>76</v>
      </c>
      <c r="H125" s="4">
        <v>0</v>
      </c>
      <c r="I125" s="7">
        <v>0</v>
      </c>
      <c r="J125" s="7">
        <v>18617</v>
      </c>
      <c r="K125" s="7">
        <v>1718.17</v>
      </c>
      <c r="L125" s="4">
        <f t="shared" si="36"/>
        <v>25348.245000000003</v>
      </c>
      <c r="M125" s="7">
        <f>SUMIFS('Stock - ETA'!$R$3:R4963,'Stock - ETA'!$F$3:F4963,'Rango proyecciones'!C125,'Stock - ETA'!$AA$3:AA4963,'Rango proyecciones'!$AJ$5)</f>
        <v>145510</v>
      </c>
      <c r="N125" s="7">
        <f>SUMIF('Stock - Puerto Chile'!$G$2:G973,'Rango proyecciones'!C125,'Stock - Puerto Chile'!$L$2:L973)</f>
        <v>566544</v>
      </c>
      <c r="O125" s="7">
        <f>0 * (25 / 27)</f>
        <v>0</v>
      </c>
      <c r="P125" s="7">
        <f>24000 * (25 / 27)</f>
        <v>22222.222222222223</v>
      </c>
      <c r="Q125" s="16">
        <f t="shared" si="30"/>
        <v>167732.22222222222</v>
      </c>
      <c r="R125" s="7">
        <f t="shared" si="37"/>
        <v>43454.134285714295</v>
      </c>
      <c r="S125" s="7">
        <f>SUMIFS('Stock - ETA'!$H$3:H4963,'Stock - ETA'!$F$3:F4963,'Rango proyecciones'!C125,'Stock - ETA'!$Q$3:Q4963,'Rango proyecciones'!$AJ$5)</f>
        <v>145510</v>
      </c>
      <c r="T125" s="7">
        <f>SUMIF('Stock - Puerto Chile'!$G$2:G973,'Rango proyecciones'!C125,'Stock - Puerto Chile'!$N$2:N973)</f>
        <v>679852.79999999993</v>
      </c>
      <c r="U125" s="7">
        <f>0 * (25 / 27)</f>
        <v>0</v>
      </c>
      <c r="V125" s="7">
        <f>24000 * (25 / 27)</f>
        <v>22222.222222222223</v>
      </c>
      <c r="W125" s="17">
        <f t="shared" si="31"/>
        <v>167732.22222222222</v>
      </c>
      <c r="X125" s="4">
        <v>120000</v>
      </c>
      <c r="Y125" s="7">
        <v>120000</v>
      </c>
      <c r="Z125" s="18">
        <f>SUMIFS('Stock - ETA'!$S$3:S4963,'Stock - ETA'!$F$3:F4963,'Rango proyecciones'!C125,'Stock - ETA'!$AA$3:AA4963,'Rango proyecciones'!$AJ$5) + SUMIFS('Stock - ETA'!$R$3:R4963,'Stock - ETA'!$F$3:F4963,'Rango proyecciones'!C125,'Stock - ETA'!$AA$3:AA4963,'Rango proyecciones'!$AJ$7)</f>
        <v>177140</v>
      </c>
      <c r="AA125" s="13">
        <f t="shared" si="22"/>
        <v>297140</v>
      </c>
      <c r="AB125" s="7">
        <f>SUMIFS('Stock - ETA'!$I$3:I4963,'Stock - ETA'!$F$3:F4963,'Rango proyecciones'!C125,'Stock - ETA'!$Q$3:Q4963,'Rango proyecciones'!$AJ$5) + SUMIFS('Stock - ETA'!$H$3:H4963,'Stock - ETA'!$F$3:F4963,'Rango proyecciones'!C125,'Stock - ETA'!$Q$3:Q4963,'Rango proyecciones'!$AJ$7)</f>
        <v>177140</v>
      </c>
      <c r="AC125" s="16">
        <f t="shared" si="23"/>
        <v>297140</v>
      </c>
      <c r="AD125" s="4">
        <v>120000</v>
      </c>
      <c r="AE125" s="7">
        <f>SUMIFS('Stock - ETA'!$T$3:T4963,'Stock - ETA'!$F$3:F4963,'Rango proyecciones'!C125,'Stock - ETA'!$AA$3:AA4963,'Rango proyecciones'!$AJ$5) + SUMIFS('Stock - ETA'!$S$3:S4963,'Stock - ETA'!$F$3:F4963,'Rango proyecciones'!C125,'Stock - ETA'!$AA$3:AA4963,'Rango proyecciones'!$AJ$8)</f>
        <v>0</v>
      </c>
      <c r="AF125" s="16">
        <f t="shared" si="38"/>
        <v>72000</v>
      </c>
      <c r="AG125" s="7">
        <f>SUMIFS('Stock - ETA'!$J$3:J4963,'Stock - ETA'!$F$3:F4963,'Rango proyecciones'!C125,'Stock - ETA'!$Q$3:Q4963,'Rango proyecciones'!$AJ$5) + SUMIFS('Stock - ETA'!$I$3:I4963,'Stock - ETA'!$F$3:F4963,'Rango proyecciones'!C125,'Stock - ETA'!$Q$3:Q4963,'Rango proyecciones'!$AJ$8)</f>
        <v>0</v>
      </c>
      <c r="AH125" s="16">
        <f t="shared" si="39"/>
        <v>72000</v>
      </c>
      <c r="AI125" s="4"/>
    </row>
    <row r="126" spans="1:35" x14ac:dyDescent="0.2">
      <c r="A126" s="2" t="s">
        <v>34</v>
      </c>
      <c r="B126" s="2" t="s">
        <v>35</v>
      </c>
      <c r="C126" s="2" t="s">
        <v>310</v>
      </c>
      <c r="D126" s="2" t="s">
        <v>46</v>
      </c>
      <c r="E126" s="2">
        <v>1022568</v>
      </c>
      <c r="F126" s="2" t="s">
        <v>311</v>
      </c>
      <c r="G126" s="2" t="s">
        <v>178</v>
      </c>
      <c r="H126" s="4">
        <v>0</v>
      </c>
      <c r="I126" s="7">
        <v>0</v>
      </c>
      <c r="J126" s="7">
        <v>1327</v>
      </c>
      <c r="K126" s="7"/>
      <c r="L126" s="4">
        <f t="shared" si="36"/>
        <v>1990.5</v>
      </c>
      <c r="M126" s="7">
        <f>SUMIFS('Stock - ETA'!$R$3:R4963,'Stock - ETA'!$F$3:F4963,'Rango proyecciones'!C126,'Stock - ETA'!$AA$3:AA4963,'Rango proyecciones'!$AJ$5)</f>
        <v>0</v>
      </c>
      <c r="N126" s="7">
        <f>SUMIF('Stock - Puerto Chile'!$G$2:G973,'Rango proyecciones'!C126,'Stock - Puerto Chile'!$L$2:L973)</f>
        <v>0</v>
      </c>
      <c r="O126" s="7">
        <f>24014.67 * (25 / 27)</f>
        <v>22235.805555555555</v>
      </c>
      <c r="P126" s="7">
        <f>26683.359 * (25 / 27)</f>
        <v>24706.81388888889</v>
      </c>
      <c r="Q126" s="16">
        <f t="shared" si="30"/>
        <v>24706.81388888889</v>
      </c>
      <c r="R126" s="7">
        <f t="shared" si="37"/>
        <v>3412.2857142857147</v>
      </c>
      <c r="S126" s="7">
        <f>SUMIFS('Stock - ETA'!$H$3:H4963,'Stock - ETA'!$F$3:F4963,'Rango proyecciones'!C126,'Stock - ETA'!$Q$3:Q4963,'Rango proyecciones'!$AJ$5)</f>
        <v>0</v>
      </c>
      <c r="T126" s="7">
        <f>SUMIF('Stock - Puerto Chile'!$G$2:G973,'Rango proyecciones'!C126,'Stock - Puerto Chile'!$N$2:N973)</f>
        <v>0</v>
      </c>
      <c r="U126" s="7">
        <f>24014.67 * (25 / 27)</f>
        <v>22235.805555555555</v>
      </c>
      <c r="V126" s="7">
        <f>26683.359 * (25 / 27)</f>
        <v>24706.81388888889</v>
      </c>
      <c r="W126" s="17">
        <f t="shared" si="31"/>
        <v>46942.619444444441</v>
      </c>
      <c r="X126" s="4"/>
      <c r="Y126" s="7"/>
      <c r="Z126" s="18">
        <f>SUMIFS('Stock - ETA'!$S$3:S4963,'Stock - ETA'!$F$3:F4963,'Rango proyecciones'!C126,'Stock - ETA'!$AA$3:AA4963,'Rango proyecciones'!$AJ$5) + SUMIFS('Stock - ETA'!$R$3:R4963,'Stock - ETA'!$F$3:F4963,'Rango proyecciones'!C126,'Stock - ETA'!$AA$3:AA4963,'Rango proyecciones'!$AJ$7)</f>
        <v>24014.46</v>
      </c>
      <c r="AA126" s="13">
        <f t="shared" si="22"/>
        <v>24014.46</v>
      </c>
      <c r="AB126" s="7">
        <f>SUMIFS('Stock - ETA'!$I$3:I4963,'Stock - ETA'!$F$3:F4963,'Rango proyecciones'!C126,'Stock - ETA'!$Q$3:Q4963,'Rango proyecciones'!$AJ$5) + SUMIFS('Stock - ETA'!$H$3:H4963,'Stock - ETA'!$F$3:F4963,'Rango proyecciones'!C126,'Stock - ETA'!$Q$3:Q4963,'Rango proyecciones'!$AJ$7)</f>
        <v>24014.46</v>
      </c>
      <c r="AC126" s="16">
        <f t="shared" si="23"/>
        <v>24014.46</v>
      </c>
      <c r="AD126" s="4">
        <v>72000</v>
      </c>
      <c r="AE126" s="7">
        <f>SUMIFS('Stock - ETA'!$T$3:T4963,'Stock - ETA'!$F$3:F4963,'Rango proyecciones'!C126,'Stock - ETA'!$AA$3:AA4963,'Rango proyecciones'!$AJ$5) + SUMIFS('Stock - ETA'!$S$3:S4963,'Stock - ETA'!$F$3:F4963,'Rango proyecciones'!C126,'Stock - ETA'!$AA$3:AA4963,'Rango proyecciones'!$AJ$8)</f>
        <v>0</v>
      </c>
      <c r="AF126" s="16">
        <f t="shared" si="38"/>
        <v>43200</v>
      </c>
      <c r="AG126" s="7">
        <f>SUMIFS('Stock - ETA'!$J$3:J4963,'Stock - ETA'!$F$3:F4963,'Rango proyecciones'!C126,'Stock - ETA'!$Q$3:Q4963,'Rango proyecciones'!$AJ$5) + SUMIFS('Stock - ETA'!$I$3:I4963,'Stock - ETA'!$F$3:F4963,'Rango proyecciones'!C126,'Stock - ETA'!$Q$3:Q4963,'Rango proyecciones'!$AJ$8)</f>
        <v>0</v>
      </c>
      <c r="AH126" s="16">
        <f t="shared" si="39"/>
        <v>43200</v>
      </c>
      <c r="AI126" s="4"/>
    </row>
    <row r="127" spans="1:35" x14ac:dyDescent="0.2">
      <c r="A127" s="2" t="s">
        <v>34</v>
      </c>
      <c r="B127" s="2" t="s">
        <v>35</v>
      </c>
      <c r="C127" s="2" t="s">
        <v>312</v>
      </c>
      <c r="D127" s="2" t="s">
        <v>46</v>
      </c>
      <c r="E127" s="2">
        <v>1022636</v>
      </c>
      <c r="F127" s="2" t="s">
        <v>313</v>
      </c>
      <c r="G127" s="2" t="s">
        <v>172</v>
      </c>
      <c r="H127" s="4">
        <v>0</v>
      </c>
      <c r="I127" s="7">
        <v>0</v>
      </c>
      <c r="J127" s="7">
        <v>17162.04</v>
      </c>
      <c r="K127" s="7">
        <v>1612.52</v>
      </c>
      <c r="L127" s="4">
        <f t="shared" si="36"/>
        <v>23324.28</v>
      </c>
      <c r="M127" s="7">
        <f>SUMIFS('Stock - ETA'!$R$3:R4963,'Stock - ETA'!$F$3:F4963,'Rango proyecciones'!C127,'Stock - ETA'!$AA$3:AA4963,'Rango proyecciones'!$AJ$5)</f>
        <v>136065</v>
      </c>
      <c r="N127" s="7">
        <f>SUMIF('Stock - Puerto Chile'!$G$2:G973,'Rango proyecciones'!C127,'Stock - Puerto Chile'!$L$2:L973)</f>
        <v>181323</v>
      </c>
      <c r="O127" s="7">
        <f>23970 * (25 / 27)</f>
        <v>22194.444444444445</v>
      </c>
      <c r="P127" s="7">
        <f>0 * (25 / 27)</f>
        <v>0</v>
      </c>
      <c r="Q127" s="16">
        <f t="shared" si="30"/>
        <v>136065</v>
      </c>
      <c r="R127" s="7">
        <f t="shared" si="37"/>
        <v>39984.480000000003</v>
      </c>
      <c r="S127" s="7">
        <f>SUMIFS('Stock - ETA'!$H$3:H4963,'Stock - ETA'!$F$3:F4963,'Rango proyecciones'!C127,'Stock - ETA'!$Q$3:Q4963,'Rango proyecciones'!$AJ$5)</f>
        <v>136065</v>
      </c>
      <c r="T127" s="7">
        <f>SUMIF('Stock - Puerto Chile'!$G$2:G973,'Rango proyecciones'!C127,'Stock - Puerto Chile'!$N$2:N973)</f>
        <v>217587.59999999998</v>
      </c>
      <c r="U127" s="7">
        <f>23970 * (25 / 27)</f>
        <v>22194.444444444445</v>
      </c>
      <c r="V127" s="7">
        <f>0 * (25 / 27)</f>
        <v>0</v>
      </c>
      <c r="W127" s="17">
        <f t="shared" si="31"/>
        <v>158259.44444444444</v>
      </c>
      <c r="X127" s="4">
        <v>161886</v>
      </c>
      <c r="Y127" s="7">
        <v>161886</v>
      </c>
      <c r="Z127" s="18">
        <f>SUMIFS('Stock - ETA'!$S$3:S4963,'Stock - ETA'!$F$3:F4963,'Rango proyecciones'!C127,'Stock - ETA'!$AA$3:AA4963,'Rango proyecciones'!$AJ$5) + SUMIFS('Stock - ETA'!$R$3:R4963,'Stock - ETA'!$F$3:F4963,'Rango proyecciones'!C127,'Stock - ETA'!$AA$3:AA4963,'Rango proyecciones'!$AJ$7)</f>
        <v>270960</v>
      </c>
      <c r="AA127" s="13">
        <f t="shared" si="22"/>
        <v>432846</v>
      </c>
      <c r="AB127" s="7">
        <f>SUMIFS('Stock - ETA'!$I$3:I4963,'Stock - ETA'!$F$3:F4963,'Rango proyecciones'!C127,'Stock - ETA'!$Q$3:Q4963,'Rango proyecciones'!$AJ$5) + SUMIFS('Stock - ETA'!$H$3:H4963,'Stock - ETA'!$F$3:F4963,'Rango proyecciones'!C127,'Stock - ETA'!$Q$3:Q4963,'Rango proyecciones'!$AJ$7)</f>
        <v>270960</v>
      </c>
      <c r="AC127" s="16">
        <f t="shared" si="23"/>
        <v>432846</v>
      </c>
      <c r="AD127" s="4">
        <v>193924</v>
      </c>
      <c r="AE127" s="7">
        <f>SUMIFS('Stock - ETA'!$T$3:T4963,'Stock - ETA'!$F$3:F4963,'Rango proyecciones'!C127,'Stock - ETA'!$AA$3:AA4963,'Rango proyecciones'!$AJ$5) + SUMIFS('Stock - ETA'!$S$3:S4963,'Stock - ETA'!$F$3:F4963,'Rango proyecciones'!C127,'Stock - ETA'!$AA$3:AA4963,'Rango proyecciones'!$AJ$8)</f>
        <v>0</v>
      </c>
      <c r="AF127" s="16">
        <f t="shared" si="38"/>
        <v>116354.4</v>
      </c>
      <c r="AG127" s="7">
        <f>SUMIFS('Stock - ETA'!$J$3:J4963,'Stock - ETA'!$F$3:F4963,'Rango proyecciones'!C127,'Stock - ETA'!$Q$3:Q4963,'Rango proyecciones'!$AJ$5) + SUMIFS('Stock - ETA'!$I$3:I4963,'Stock - ETA'!$F$3:F4963,'Rango proyecciones'!C127,'Stock - ETA'!$Q$3:Q4963,'Rango proyecciones'!$AJ$8)</f>
        <v>0</v>
      </c>
      <c r="AH127" s="16">
        <f t="shared" si="39"/>
        <v>116354.4</v>
      </c>
      <c r="AI127" s="4"/>
    </row>
    <row r="128" spans="1:35" x14ac:dyDescent="0.2">
      <c r="A128" s="2" t="s">
        <v>34</v>
      </c>
      <c r="B128" s="2" t="s">
        <v>35</v>
      </c>
      <c r="C128" s="2" t="s">
        <v>314</v>
      </c>
      <c r="D128" s="2" t="s">
        <v>46</v>
      </c>
      <c r="E128" s="2">
        <v>1022637</v>
      </c>
      <c r="F128" s="2" t="s">
        <v>315</v>
      </c>
      <c r="G128" s="2" t="s">
        <v>172</v>
      </c>
      <c r="H128" s="4">
        <v>0</v>
      </c>
      <c r="I128" s="7">
        <v>0</v>
      </c>
      <c r="J128" s="7">
        <v>9009.36</v>
      </c>
      <c r="K128" s="7">
        <v>1081.6500000000001</v>
      </c>
      <c r="L128" s="4">
        <f t="shared" si="36"/>
        <v>11891.565000000002</v>
      </c>
      <c r="M128" s="7">
        <f>SUMIFS('Stock - ETA'!$R$3:R4963,'Stock - ETA'!$F$3:F4963,'Rango proyecciones'!C128,'Stock - ETA'!$AA$3:AA4963,'Rango proyecciones'!$AJ$5)</f>
        <v>137070</v>
      </c>
      <c r="N128" s="7">
        <f>SUMIF('Stock - Puerto Chile'!$G$2:G973,'Rango proyecciones'!C128,'Stock - Puerto Chile'!$L$2:L973)</f>
        <v>196425</v>
      </c>
      <c r="O128" s="7">
        <f>0 * (25 / 27)</f>
        <v>0</v>
      </c>
      <c r="P128" s="7">
        <f>9945 * (25 / 27)</f>
        <v>9208.3333333333339</v>
      </c>
      <c r="Q128" s="16">
        <f t="shared" si="30"/>
        <v>146278.33333333334</v>
      </c>
      <c r="R128" s="7">
        <f t="shared" si="37"/>
        <v>20385.540000000005</v>
      </c>
      <c r="S128" s="7">
        <f>SUMIFS('Stock - ETA'!$H$3:H4963,'Stock - ETA'!$F$3:F4963,'Rango proyecciones'!C128,'Stock - ETA'!$Q$3:Q4963,'Rango proyecciones'!$AJ$5)</f>
        <v>137070</v>
      </c>
      <c r="T128" s="7">
        <f>SUMIF('Stock - Puerto Chile'!$G$2:G973,'Rango proyecciones'!C128,'Stock - Puerto Chile'!$N$2:N973)</f>
        <v>235709.99999999997</v>
      </c>
      <c r="U128" s="7">
        <f>0 * (25 / 27)</f>
        <v>0</v>
      </c>
      <c r="V128" s="7">
        <f>9945 * (25 / 27)</f>
        <v>9208.3333333333339</v>
      </c>
      <c r="W128" s="17">
        <f t="shared" si="31"/>
        <v>146278.33333333334</v>
      </c>
      <c r="X128" s="4">
        <v>96784</v>
      </c>
      <c r="Y128" s="7">
        <v>96784</v>
      </c>
      <c r="Z128" s="18">
        <f>SUMIFS('Stock - ETA'!$S$3:S4963,'Stock - ETA'!$F$3:F4963,'Rango proyecciones'!C128,'Stock - ETA'!$AA$3:AA4963,'Rango proyecciones'!$AJ$5) + SUMIFS('Stock - ETA'!$R$3:R4963,'Stock - ETA'!$F$3:F4963,'Rango proyecciones'!C128,'Stock - ETA'!$AA$3:AA4963,'Rango proyecciones'!$AJ$7)</f>
        <v>116445</v>
      </c>
      <c r="AA128" s="13">
        <f t="shared" si="22"/>
        <v>213229</v>
      </c>
      <c r="AB128" s="7">
        <f>SUMIFS('Stock - ETA'!$I$3:I4963,'Stock - ETA'!$F$3:F4963,'Rango proyecciones'!C128,'Stock - ETA'!$Q$3:Q4963,'Rango proyecciones'!$AJ$5) + SUMIFS('Stock - ETA'!$H$3:H4963,'Stock - ETA'!$F$3:F4963,'Rango proyecciones'!C128,'Stock - ETA'!$Q$3:Q4963,'Rango proyecciones'!$AJ$7)</f>
        <v>116445</v>
      </c>
      <c r="AC128" s="16">
        <f t="shared" si="23"/>
        <v>213229</v>
      </c>
      <c r="AD128" s="4">
        <v>114689</v>
      </c>
      <c r="AE128" s="7">
        <f>SUMIFS('Stock - ETA'!$T$3:T4963,'Stock - ETA'!$F$3:F4963,'Rango proyecciones'!C128,'Stock - ETA'!$AA$3:AA4963,'Rango proyecciones'!$AJ$5) + SUMIFS('Stock - ETA'!$S$3:S4963,'Stock - ETA'!$F$3:F4963,'Rango proyecciones'!C128,'Stock - ETA'!$AA$3:AA4963,'Rango proyecciones'!$AJ$8)</f>
        <v>0</v>
      </c>
      <c r="AF128" s="16">
        <f t="shared" si="38"/>
        <v>68813.399999999994</v>
      </c>
      <c r="AG128" s="7">
        <f>SUMIFS('Stock - ETA'!$J$3:J4963,'Stock - ETA'!$F$3:F4963,'Rango proyecciones'!C128,'Stock - ETA'!$Q$3:Q4963,'Rango proyecciones'!$AJ$5) + SUMIFS('Stock - ETA'!$I$3:I4963,'Stock - ETA'!$F$3:F4963,'Rango proyecciones'!C128,'Stock - ETA'!$Q$3:Q4963,'Rango proyecciones'!$AJ$8)</f>
        <v>0</v>
      </c>
      <c r="AH128" s="16">
        <f t="shared" si="39"/>
        <v>68813.399999999994</v>
      </c>
      <c r="AI128" s="4"/>
    </row>
    <row r="129" spans="1:35" x14ac:dyDescent="0.2">
      <c r="A129" s="2" t="s">
        <v>34</v>
      </c>
      <c r="B129" s="2" t="s">
        <v>35</v>
      </c>
      <c r="C129" s="2" t="s">
        <v>316</v>
      </c>
      <c r="D129" s="2" t="s">
        <v>46</v>
      </c>
      <c r="E129" s="2">
        <v>1022639</v>
      </c>
      <c r="F129" s="2" t="s">
        <v>317</v>
      </c>
      <c r="G129" s="2" t="s">
        <v>196</v>
      </c>
      <c r="H129" s="4">
        <v>0</v>
      </c>
      <c r="I129" s="7">
        <v>0</v>
      </c>
      <c r="J129" s="7">
        <v>83193.894</v>
      </c>
      <c r="K129" s="7">
        <v>10790.92</v>
      </c>
      <c r="L129" s="4">
        <f t="shared" si="36"/>
        <v>108604.46100000001</v>
      </c>
      <c r="M129" s="7">
        <f>SUMIFS('Stock - ETA'!$R$3:R4963,'Stock - ETA'!$F$3:F4963,'Rango proyecciones'!C129,'Stock - ETA'!$AA$3:AA4963,'Rango proyecciones'!$AJ$5)</f>
        <v>823128</v>
      </c>
      <c r="N129" s="7">
        <f>SUMIF('Stock - Puerto Chile'!$G$2:G973,'Rango proyecciones'!C129,'Stock - Puerto Chile'!$L$2:L973)</f>
        <v>1317760.2923999999</v>
      </c>
      <c r="O129" s="7">
        <f>91336.34 * (25 / 27)</f>
        <v>84570.685185185182</v>
      </c>
      <c r="P129" s="7">
        <f>68709.0469999999 * (25 / 27)</f>
        <v>63619.487962962878</v>
      </c>
      <c r="Q129" s="16">
        <f t="shared" si="30"/>
        <v>886747.48796296283</v>
      </c>
      <c r="R129" s="7">
        <f t="shared" si="37"/>
        <v>186179.07600000003</v>
      </c>
      <c r="S129" s="7">
        <f>SUMIFS('Stock - ETA'!$H$3:H4963,'Stock - ETA'!$F$3:F4963,'Rango proyecciones'!C129,'Stock - ETA'!$Q$3:Q4963,'Rango proyecciones'!$AJ$5)</f>
        <v>823128</v>
      </c>
      <c r="T129" s="7">
        <f>SUMIF('Stock - Puerto Chile'!$G$2:G973,'Rango proyecciones'!C129,'Stock - Puerto Chile'!$N$2:N973)</f>
        <v>1581312.35088</v>
      </c>
      <c r="U129" s="7">
        <f>91336.34 * (25 / 27)</f>
        <v>84570.685185185182</v>
      </c>
      <c r="V129" s="7">
        <f>68709.0469999999 * (25 / 27)</f>
        <v>63619.487962962878</v>
      </c>
      <c r="W129" s="17">
        <f t="shared" si="31"/>
        <v>971318.17314814799</v>
      </c>
      <c r="X129" s="4">
        <v>816298</v>
      </c>
      <c r="Y129" s="7">
        <v>816298</v>
      </c>
      <c r="Z129" s="18">
        <f>SUMIFS('Stock - ETA'!$S$3:S4963,'Stock - ETA'!$F$3:F4963,'Rango proyecciones'!C129,'Stock - ETA'!$AA$3:AA4963,'Rango proyecciones'!$AJ$5) + SUMIFS('Stock - ETA'!$R$3:R4963,'Stock - ETA'!$F$3:F4963,'Rango proyecciones'!C129,'Stock - ETA'!$AA$3:AA4963,'Rango proyecciones'!$AJ$7)</f>
        <v>720637.37</v>
      </c>
      <c r="AA129" s="13">
        <f t="shared" si="22"/>
        <v>1536935.37</v>
      </c>
      <c r="AB129" s="7">
        <f>SUMIFS('Stock - ETA'!$I$3:I4963,'Stock - ETA'!$F$3:F4963,'Rango proyecciones'!C129,'Stock - ETA'!$Q$3:Q4963,'Rango proyecciones'!$AJ$5) + SUMIFS('Stock - ETA'!$H$3:H4963,'Stock - ETA'!$F$3:F4963,'Rango proyecciones'!C129,'Stock - ETA'!$Q$3:Q4963,'Rango proyecciones'!$AJ$7)</f>
        <v>720637.37</v>
      </c>
      <c r="AC129" s="16">
        <f t="shared" si="23"/>
        <v>1536935.37</v>
      </c>
      <c r="AD129" s="4">
        <v>840000</v>
      </c>
      <c r="AE129" s="7">
        <f>SUMIFS('Stock - ETA'!$T$3:T4963,'Stock - ETA'!$F$3:F4963,'Rango proyecciones'!C129,'Stock - ETA'!$AA$3:AA4963,'Rango proyecciones'!$AJ$5) + SUMIFS('Stock - ETA'!$S$3:S4963,'Stock - ETA'!$F$3:F4963,'Rango proyecciones'!C129,'Stock - ETA'!$AA$3:AA4963,'Rango proyecciones'!$AJ$8)</f>
        <v>156703.85</v>
      </c>
      <c r="AF129" s="16">
        <f t="shared" si="38"/>
        <v>660703.85</v>
      </c>
      <c r="AG129" s="7">
        <f>SUMIFS('Stock - ETA'!$J$3:J4963,'Stock - ETA'!$F$3:F4963,'Rango proyecciones'!C129,'Stock - ETA'!$Q$3:Q4963,'Rango proyecciones'!$AJ$5) + SUMIFS('Stock - ETA'!$I$3:I4963,'Stock - ETA'!$F$3:F4963,'Rango proyecciones'!C129,'Stock - ETA'!$Q$3:Q4963,'Rango proyecciones'!$AJ$8)</f>
        <v>156703.85</v>
      </c>
      <c r="AH129" s="16">
        <f t="shared" si="39"/>
        <v>660703.85</v>
      </c>
      <c r="AI129" s="4"/>
    </row>
    <row r="130" spans="1:35" x14ac:dyDescent="0.2">
      <c r="A130" s="2" t="s">
        <v>34</v>
      </c>
      <c r="B130" s="2" t="s">
        <v>35</v>
      </c>
      <c r="C130" s="2" t="s">
        <v>318</v>
      </c>
      <c r="D130" s="2" t="s">
        <v>46</v>
      </c>
      <c r="E130" s="2">
        <v>1022640</v>
      </c>
      <c r="F130" s="2" t="s">
        <v>319</v>
      </c>
      <c r="G130" s="2" t="s">
        <v>196</v>
      </c>
      <c r="H130" s="4">
        <v>0</v>
      </c>
      <c r="I130" s="7">
        <v>0</v>
      </c>
      <c r="J130" s="7">
        <v>12497.53</v>
      </c>
      <c r="K130" s="7">
        <v>210.55</v>
      </c>
      <c r="L130" s="4">
        <f t="shared" si="36"/>
        <v>18430.47</v>
      </c>
      <c r="M130" s="7">
        <f>SUMIFS('Stock - ETA'!$R$3:R4963,'Stock - ETA'!$F$3:F4963,'Rango proyecciones'!C130,'Stock - ETA'!$AA$3:AA4963,'Rango proyecciones'!$AJ$5)</f>
        <v>45082.28</v>
      </c>
      <c r="N130" s="7">
        <f>SUMIF('Stock - Puerto Chile'!$G$2:G973,'Rango proyecciones'!C130,'Stock - Puerto Chile'!$L$2:L973)</f>
        <v>63992.960399999996</v>
      </c>
      <c r="O130" s="7">
        <f>22699.15 * (25 / 27)</f>
        <v>21017.731481481482</v>
      </c>
      <c r="P130" s="7">
        <f>0 * (25 / 27)</f>
        <v>0</v>
      </c>
      <c r="Q130" s="16">
        <f t="shared" si="30"/>
        <v>45082.28</v>
      </c>
      <c r="R130" s="7">
        <f t="shared" si="37"/>
        <v>31595.091428571435</v>
      </c>
      <c r="S130" s="7">
        <f>SUMIFS('Stock - ETA'!$H$3:H4963,'Stock - ETA'!$F$3:F4963,'Rango proyecciones'!C130,'Stock - ETA'!$Q$3:Q4963,'Rango proyecciones'!$AJ$5)</f>
        <v>45082.28</v>
      </c>
      <c r="T130" s="7">
        <f>SUMIF('Stock - Puerto Chile'!$G$2:G973,'Rango proyecciones'!C130,'Stock - Puerto Chile'!$N$2:N973)</f>
        <v>76791.552479999998</v>
      </c>
      <c r="U130" s="7">
        <f>22699.15 * (25 / 27)</f>
        <v>21017.731481481482</v>
      </c>
      <c r="V130" s="7">
        <f>0 * (25 / 27)</f>
        <v>0</v>
      </c>
      <c r="W130" s="17">
        <f t="shared" si="31"/>
        <v>66100.011481481488</v>
      </c>
      <c r="X130" s="4">
        <v>130871</v>
      </c>
      <c r="Y130" s="7">
        <v>130871</v>
      </c>
      <c r="Z130" s="18">
        <f>SUMIFS('Stock - ETA'!$S$3:S4963,'Stock - ETA'!$F$3:F4963,'Rango proyecciones'!C130,'Stock - ETA'!$AA$3:AA4963,'Rango proyecciones'!$AJ$5) + SUMIFS('Stock - ETA'!$R$3:R4963,'Stock - ETA'!$F$3:F4963,'Rango proyecciones'!C130,'Stock - ETA'!$AA$3:AA4963,'Rango proyecciones'!$AJ$7)</f>
        <v>46109.86</v>
      </c>
      <c r="AA130" s="13">
        <f t="shared" si="22"/>
        <v>176980.86</v>
      </c>
      <c r="AB130" s="7">
        <f>SUMIFS('Stock - ETA'!$I$3:I4963,'Stock - ETA'!$F$3:F4963,'Rango proyecciones'!C130,'Stock - ETA'!$Q$3:Q4963,'Rango proyecciones'!$AJ$5) + SUMIFS('Stock - ETA'!$H$3:H4963,'Stock - ETA'!$F$3:F4963,'Rango proyecciones'!C130,'Stock - ETA'!$Q$3:Q4963,'Rango proyecciones'!$AJ$7)</f>
        <v>46109.86</v>
      </c>
      <c r="AC130" s="16">
        <f t="shared" si="23"/>
        <v>176980.86</v>
      </c>
      <c r="AD130" s="4">
        <v>240000</v>
      </c>
      <c r="AE130" s="7">
        <f>SUMIFS('Stock - ETA'!$T$3:T4963,'Stock - ETA'!$F$3:F4963,'Rango proyecciones'!C130,'Stock - ETA'!$AA$3:AA4963,'Rango proyecciones'!$AJ$5) + SUMIFS('Stock - ETA'!$S$3:S4963,'Stock - ETA'!$F$3:F4963,'Rango proyecciones'!C130,'Stock - ETA'!$AA$3:AA4963,'Rango proyecciones'!$AJ$8)</f>
        <v>0</v>
      </c>
      <c r="AF130" s="16">
        <f t="shared" si="38"/>
        <v>144000</v>
      </c>
      <c r="AG130" s="7">
        <f>SUMIFS('Stock - ETA'!$J$3:J4963,'Stock - ETA'!$F$3:F4963,'Rango proyecciones'!C130,'Stock - ETA'!$Q$3:Q4963,'Rango proyecciones'!$AJ$5) + SUMIFS('Stock - ETA'!$I$3:I4963,'Stock - ETA'!$F$3:F4963,'Rango proyecciones'!C130,'Stock - ETA'!$Q$3:Q4963,'Rango proyecciones'!$AJ$8)</f>
        <v>0</v>
      </c>
      <c r="AH130" s="16">
        <f t="shared" si="39"/>
        <v>144000</v>
      </c>
      <c r="AI130" s="4"/>
    </row>
    <row r="131" spans="1:35" x14ac:dyDescent="0.2">
      <c r="A131" s="2" t="s">
        <v>34</v>
      </c>
      <c r="B131" s="2" t="s">
        <v>35</v>
      </c>
      <c r="C131" s="2" t="s">
        <v>320</v>
      </c>
      <c r="D131" s="2" t="s">
        <v>46</v>
      </c>
      <c r="E131" s="2">
        <v>1022753</v>
      </c>
      <c r="F131" s="2" t="s">
        <v>321</v>
      </c>
      <c r="G131" s="2" t="s">
        <v>167</v>
      </c>
      <c r="H131" s="4">
        <v>0</v>
      </c>
      <c r="I131" s="7">
        <v>0</v>
      </c>
      <c r="J131" s="7">
        <v>13765.84</v>
      </c>
      <c r="K131" s="7">
        <v>833.39</v>
      </c>
      <c r="L131" s="4">
        <f t="shared" si="36"/>
        <v>19398.675000000003</v>
      </c>
      <c r="M131" s="7">
        <f>SUMIFS('Stock - ETA'!$R$3:R4963,'Stock - ETA'!$F$3:F4963,'Rango proyecciones'!C131,'Stock - ETA'!$AA$3:AA4963,'Rango proyecciones'!$AJ$5)</f>
        <v>231800</v>
      </c>
      <c r="N131" s="7">
        <f>SUMIF('Stock - Puerto Chile'!$G$2:G973,'Rango proyecciones'!C131,'Stock - Puerto Chile'!$L$2:L973)</f>
        <v>250452</v>
      </c>
      <c r="O131" s="7">
        <f>23820 * (25 / 27)</f>
        <v>22055.555555555555</v>
      </c>
      <c r="P131" s="7">
        <f>24020 * (25 / 27)</f>
        <v>22240.740740740741</v>
      </c>
      <c r="Q131" s="16">
        <f t="shared" ref="Q131:Q162" si="40">H131 + P131 + M131</f>
        <v>254040.74074074073</v>
      </c>
      <c r="R131" s="7">
        <f t="shared" si="37"/>
        <v>33254.87142857143</v>
      </c>
      <c r="S131" s="7">
        <f>SUMIFS('Stock - ETA'!$H$3:H4963,'Stock - ETA'!$F$3:F4963,'Rango proyecciones'!C131,'Stock - ETA'!$Q$3:Q4963,'Rango proyecciones'!$AJ$5)</f>
        <v>231800</v>
      </c>
      <c r="T131" s="7">
        <f>SUMIF('Stock - Puerto Chile'!$G$2:G973,'Rango proyecciones'!C131,'Stock - Puerto Chile'!$N$2:N973)</f>
        <v>300542.39999999997</v>
      </c>
      <c r="U131" s="7">
        <f>23820 * (25 / 27)</f>
        <v>22055.555555555555</v>
      </c>
      <c r="V131" s="7">
        <f>24020 * (25 / 27)</f>
        <v>22240.740740740741</v>
      </c>
      <c r="W131" s="17">
        <f t="shared" ref="W131:W162" si="41">H131 + V131 + S131 + U131</f>
        <v>276096.29629629629</v>
      </c>
      <c r="X131" s="4">
        <v>208147</v>
      </c>
      <c r="Y131" s="7">
        <v>208147</v>
      </c>
      <c r="Z131" s="18">
        <f>SUMIFS('Stock - ETA'!$S$3:S4963,'Stock - ETA'!$F$3:F4963,'Rango proyecciones'!C131,'Stock - ETA'!$AA$3:AA4963,'Rango proyecciones'!$AJ$5) + SUMIFS('Stock - ETA'!$R$3:R4963,'Stock - ETA'!$F$3:F4963,'Rango proyecciones'!C131,'Stock - ETA'!$AA$3:AA4963,'Rango proyecciones'!$AJ$7)</f>
        <v>266520</v>
      </c>
      <c r="AA131" s="13">
        <f t="shared" ref="AA131:AA194" si="42">Z131 + X131</f>
        <v>474667</v>
      </c>
      <c r="AB131" s="7">
        <f>SUMIFS('Stock - ETA'!$I$3:I4963,'Stock - ETA'!$F$3:F4963,'Rango proyecciones'!C131,'Stock - ETA'!$Q$3:Q4963,'Rango proyecciones'!$AJ$5) + SUMIFS('Stock - ETA'!$H$3:H4963,'Stock - ETA'!$F$3:F4963,'Rango proyecciones'!C131,'Stock - ETA'!$Q$3:Q4963,'Rango proyecciones'!$AJ$7)</f>
        <v>266520</v>
      </c>
      <c r="AC131" s="16">
        <f t="shared" ref="AC131:AC194" si="43">AB131 + X131</f>
        <v>474667</v>
      </c>
      <c r="AD131" s="4">
        <v>246655</v>
      </c>
      <c r="AE131" s="7">
        <f>SUMIFS('Stock - ETA'!$T$3:T4963,'Stock - ETA'!$F$3:F4963,'Rango proyecciones'!C131,'Stock - ETA'!$AA$3:AA4963,'Rango proyecciones'!$AJ$5) + SUMIFS('Stock - ETA'!$S$3:S4963,'Stock - ETA'!$F$3:F4963,'Rango proyecciones'!C131,'Stock - ETA'!$AA$3:AA4963,'Rango proyecciones'!$AJ$8)</f>
        <v>25000</v>
      </c>
      <c r="AF131" s="16">
        <f t="shared" si="38"/>
        <v>172993</v>
      </c>
      <c r="AG131" s="7">
        <f>SUMIFS('Stock - ETA'!$J$3:J4963,'Stock - ETA'!$F$3:F4963,'Rango proyecciones'!C131,'Stock - ETA'!$Q$3:Q4963,'Rango proyecciones'!$AJ$5) + SUMIFS('Stock - ETA'!$I$3:I4963,'Stock - ETA'!$F$3:F4963,'Rango proyecciones'!C131,'Stock - ETA'!$Q$3:Q4963,'Rango proyecciones'!$AJ$8)</f>
        <v>25000</v>
      </c>
      <c r="AH131" s="16">
        <f t="shared" si="39"/>
        <v>172993</v>
      </c>
      <c r="AI131" s="4"/>
    </row>
    <row r="132" spans="1:35" x14ac:dyDescent="0.2">
      <c r="A132" s="2" t="s">
        <v>34</v>
      </c>
      <c r="B132" s="2" t="s">
        <v>35</v>
      </c>
      <c r="C132" s="2" t="s">
        <v>322</v>
      </c>
      <c r="D132" s="2" t="s">
        <v>46</v>
      </c>
      <c r="E132" s="2">
        <v>1022851</v>
      </c>
      <c r="F132" s="2" t="s">
        <v>323</v>
      </c>
      <c r="G132" s="2" t="s">
        <v>39</v>
      </c>
      <c r="H132" s="4">
        <v>0</v>
      </c>
      <c r="I132" s="7">
        <v>0</v>
      </c>
      <c r="J132" s="7">
        <v>0</v>
      </c>
      <c r="K132" s="7">
        <v>0</v>
      </c>
      <c r="L132" s="4">
        <f t="shared" si="36"/>
        <v>0</v>
      </c>
      <c r="M132" s="7">
        <f>SUMIFS('Stock - ETA'!$R$3:R4963,'Stock - ETA'!$F$3:F4963,'Rango proyecciones'!C132,'Stock - ETA'!$AA$3:AA4963,'Rango proyecciones'!$AJ$5)</f>
        <v>157339.18</v>
      </c>
      <c r="N132" s="7">
        <f>SUMIF('Stock - Puerto Chile'!$G$2:G973,'Rango proyecciones'!C132,'Stock - Puerto Chile'!$L$2:L973)</f>
        <v>0</v>
      </c>
      <c r="O132" s="7">
        <f>47366.67 * (25 / 27)</f>
        <v>43858.027777777774</v>
      </c>
      <c r="P132" s="7">
        <f>23858.604 * (25 / 27)</f>
        <v>22091.3</v>
      </c>
      <c r="Q132" s="16">
        <f t="shared" si="40"/>
        <v>179430.47999999998</v>
      </c>
      <c r="R132" s="7">
        <f t="shared" si="37"/>
        <v>0</v>
      </c>
      <c r="S132" s="7">
        <f>SUMIFS('Stock - ETA'!$H$3:H4963,'Stock - ETA'!$F$3:F4963,'Rango proyecciones'!C132,'Stock - ETA'!$Q$3:Q4963,'Rango proyecciones'!$AJ$5)</f>
        <v>157339.18</v>
      </c>
      <c r="T132" s="7">
        <f>SUMIF('Stock - Puerto Chile'!$G$2:G973,'Rango proyecciones'!C132,'Stock - Puerto Chile'!$N$2:N973)</f>
        <v>0</v>
      </c>
      <c r="U132" s="7">
        <f>47366.67 * (25 / 27)</f>
        <v>43858.027777777774</v>
      </c>
      <c r="V132" s="7">
        <f>23858.604 * (25 / 27)</f>
        <v>22091.3</v>
      </c>
      <c r="W132" s="17">
        <f t="shared" si="41"/>
        <v>223288.50777777776</v>
      </c>
      <c r="X132" s="4"/>
      <c r="Y132" s="7"/>
      <c r="Z132" s="18">
        <f>SUMIFS('Stock - ETA'!$S$3:S4963,'Stock - ETA'!$F$3:F4963,'Rango proyecciones'!C132,'Stock - ETA'!$AA$3:AA4963,'Rango proyecciones'!$AJ$5) + SUMIFS('Stock - ETA'!$R$3:R4963,'Stock - ETA'!$F$3:F4963,'Rango proyecciones'!C132,'Stock - ETA'!$AA$3:AA4963,'Rango proyecciones'!$AJ$7)</f>
        <v>24165.3</v>
      </c>
      <c r="AA132" s="13">
        <f t="shared" si="42"/>
        <v>24165.3</v>
      </c>
      <c r="AB132" s="7">
        <f>SUMIFS('Stock - ETA'!$I$3:I4963,'Stock - ETA'!$F$3:F4963,'Rango proyecciones'!C132,'Stock - ETA'!$Q$3:Q4963,'Rango proyecciones'!$AJ$5) + SUMIFS('Stock - ETA'!$H$3:H4963,'Stock - ETA'!$F$3:F4963,'Rango proyecciones'!C132,'Stock - ETA'!$Q$3:Q4963,'Rango proyecciones'!$AJ$7)</f>
        <v>24165.3</v>
      </c>
      <c r="AC132" s="16">
        <f t="shared" si="43"/>
        <v>24165.3</v>
      </c>
      <c r="AD132" s="4"/>
      <c r="AE132" s="7">
        <f>SUMIFS('Stock - ETA'!$T$3:T4963,'Stock - ETA'!$F$3:F4963,'Rango proyecciones'!C132,'Stock - ETA'!$AA$3:AA4963,'Rango proyecciones'!$AJ$5) + SUMIFS('Stock - ETA'!$S$3:S4963,'Stock - ETA'!$F$3:F4963,'Rango proyecciones'!C132,'Stock - ETA'!$AA$3:AA4963,'Rango proyecciones'!$AJ$8)</f>
        <v>22099.68</v>
      </c>
      <c r="AF132" s="16">
        <f t="shared" si="38"/>
        <v>22099.68</v>
      </c>
      <c r="AG132" s="7">
        <f>SUMIFS('Stock - ETA'!$J$3:J4963,'Stock - ETA'!$F$3:F4963,'Rango proyecciones'!C132,'Stock - ETA'!$Q$3:Q4963,'Rango proyecciones'!$AJ$5) + SUMIFS('Stock - ETA'!$I$3:I4963,'Stock - ETA'!$F$3:F4963,'Rango proyecciones'!C132,'Stock - ETA'!$Q$3:Q4963,'Rango proyecciones'!$AJ$8)</f>
        <v>22099.68</v>
      </c>
      <c r="AH132" s="16">
        <f t="shared" si="39"/>
        <v>22099.68</v>
      </c>
      <c r="AI132" s="4"/>
    </row>
    <row r="133" spans="1:35" x14ac:dyDescent="0.2">
      <c r="A133" s="2" t="s">
        <v>34</v>
      </c>
      <c r="B133" s="2" t="s">
        <v>35</v>
      </c>
      <c r="C133" s="2" t="s">
        <v>324</v>
      </c>
      <c r="D133" s="2" t="s">
        <v>46</v>
      </c>
      <c r="E133" s="2">
        <v>1022943</v>
      </c>
      <c r="F133" s="2" t="s">
        <v>325</v>
      </c>
      <c r="G133" s="2" t="s">
        <v>43</v>
      </c>
      <c r="H133" s="4">
        <v>0</v>
      </c>
      <c r="I133" s="7">
        <v>0</v>
      </c>
      <c r="J133" s="7">
        <v>0</v>
      </c>
      <c r="K133" s="7">
        <v>0</v>
      </c>
      <c r="L133" s="4">
        <f t="shared" si="36"/>
        <v>0</v>
      </c>
      <c r="M133" s="7">
        <f>SUMIFS('Stock - ETA'!$R$3:R4963,'Stock - ETA'!$F$3:F4963,'Rango proyecciones'!C133,'Stock - ETA'!$AA$3:AA4963,'Rango proyecciones'!$AJ$5)</f>
        <v>104199.82999999999</v>
      </c>
      <c r="N133" s="7">
        <f>SUMIF('Stock - Puerto Chile'!$G$2:G973,'Rango proyecciones'!C133,'Stock - Puerto Chile'!$L$2:L973)</f>
        <v>28685.006399999998</v>
      </c>
      <c r="O133" s="7">
        <f>0 * (25 / 27)</f>
        <v>0</v>
      </c>
      <c r="P133" s="7">
        <f>24014.751 * (25 / 27)</f>
        <v>22235.880555555555</v>
      </c>
      <c r="Q133" s="16">
        <f t="shared" si="40"/>
        <v>126435.71055555555</v>
      </c>
      <c r="R133" s="7">
        <f t="shared" si="37"/>
        <v>0</v>
      </c>
      <c r="S133" s="7">
        <f>SUMIFS('Stock - ETA'!$H$3:H4963,'Stock - ETA'!$F$3:F4963,'Rango proyecciones'!C133,'Stock - ETA'!$Q$3:Q4963,'Rango proyecciones'!$AJ$5)</f>
        <v>104199.82999999999</v>
      </c>
      <c r="T133" s="7">
        <f>SUMIF('Stock - Puerto Chile'!$G$2:G973,'Rango proyecciones'!C133,'Stock - Puerto Chile'!$N$2:N973)</f>
        <v>34422.007679999995</v>
      </c>
      <c r="U133" s="7">
        <f>0 * (25 / 27)</f>
        <v>0</v>
      </c>
      <c r="V133" s="7">
        <f>24014.751 * (25 / 27)</f>
        <v>22235.880555555555</v>
      </c>
      <c r="W133" s="17">
        <f t="shared" si="41"/>
        <v>126435.71055555555</v>
      </c>
      <c r="X133" s="4">
        <v>96000</v>
      </c>
      <c r="Y133" s="7">
        <v>96000</v>
      </c>
      <c r="Z133" s="18">
        <f>SUMIFS('Stock - ETA'!$S$3:S4963,'Stock - ETA'!$F$3:F4963,'Rango proyecciones'!C133,'Stock - ETA'!$AA$3:AA4963,'Rango proyecciones'!$AJ$5) + SUMIFS('Stock - ETA'!$R$3:R4963,'Stock - ETA'!$F$3:F4963,'Rango proyecciones'!C133,'Stock - ETA'!$AA$3:AA4963,'Rango proyecciones'!$AJ$7)</f>
        <v>0</v>
      </c>
      <c r="AA133" s="13">
        <f t="shared" si="42"/>
        <v>96000</v>
      </c>
      <c r="AB133" s="7">
        <f>SUMIFS('Stock - ETA'!$I$3:I4963,'Stock - ETA'!$F$3:F4963,'Rango proyecciones'!C133,'Stock - ETA'!$Q$3:Q4963,'Rango proyecciones'!$AJ$5) + SUMIFS('Stock - ETA'!$H$3:H4963,'Stock - ETA'!$F$3:F4963,'Rango proyecciones'!C133,'Stock - ETA'!$Q$3:Q4963,'Rango proyecciones'!$AJ$7)</f>
        <v>0</v>
      </c>
      <c r="AC133" s="16">
        <f t="shared" si="43"/>
        <v>96000</v>
      </c>
      <c r="AD133" s="4">
        <v>96000</v>
      </c>
      <c r="AE133" s="7">
        <f>SUMIFS('Stock - ETA'!$T$3:T4963,'Stock - ETA'!$F$3:F4963,'Rango proyecciones'!C133,'Stock - ETA'!$AA$3:AA4963,'Rango proyecciones'!$AJ$5) + SUMIFS('Stock - ETA'!$S$3:S4963,'Stock - ETA'!$F$3:F4963,'Rango proyecciones'!C133,'Stock - ETA'!$AA$3:AA4963,'Rango proyecciones'!$AJ$8)</f>
        <v>25003.55</v>
      </c>
      <c r="AF133" s="16">
        <f t="shared" si="38"/>
        <v>82603.55</v>
      </c>
      <c r="AG133" s="7">
        <f>SUMIFS('Stock - ETA'!$J$3:J4963,'Stock - ETA'!$F$3:F4963,'Rango proyecciones'!C133,'Stock - ETA'!$Q$3:Q4963,'Rango proyecciones'!$AJ$5) + SUMIFS('Stock - ETA'!$I$3:I4963,'Stock - ETA'!$F$3:F4963,'Rango proyecciones'!C133,'Stock - ETA'!$Q$3:Q4963,'Rango proyecciones'!$AJ$8)</f>
        <v>25003.55</v>
      </c>
      <c r="AH133" s="16">
        <f t="shared" si="39"/>
        <v>82603.55</v>
      </c>
      <c r="AI133" s="4"/>
    </row>
    <row r="134" spans="1:35" x14ac:dyDescent="0.2">
      <c r="A134" s="2" t="s">
        <v>34</v>
      </c>
      <c r="B134" s="2" t="s">
        <v>35</v>
      </c>
      <c r="C134" s="2" t="s">
        <v>326</v>
      </c>
      <c r="D134" s="2" t="s">
        <v>46</v>
      </c>
      <c r="E134" s="2">
        <v>1023035</v>
      </c>
      <c r="F134" s="2" t="s">
        <v>327</v>
      </c>
      <c r="G134" s="2" t="s">
        <v>181</v>
      </c>
      <c r="H134" s="4">
        <v>0</v>
      </c>
      <c r="I134" s="7">
        <v>0</v>
      </c>
      <c r="J134" s="7">
        <v>0</v>
      </c>
      <c r="K134" s="7">
        <v>0</v>
      </c>
      <c r="L134" s="4">
        <f t="shared" si="36"/>
        <v>0</v>
      </c>
      <c r="M134" s="7">
        <f>SUMIFS('Stock - ETA'!$R$3:R4963,'Stock - ETA'!$F$3:F4963,'Rango proyecciones'!C134,'Stock - ETA'!$AA$3:AA4963,'Rango proyecciones'!$AJ$5)</f>
        <v>0</v>
      </c>
      <c r="N134" s="7">
        <f>SUMIF('Stock - Puerto Chile'!$G$2:G973,'Rango proyecciones'!C134,'Stock - Puerto Chile'!$L$2:L973)</f>
        <v>0</v>
      </c>
      <c r="O134" s="7">
        <f>0 * (25 / 27)</f>
        <v>0</v>
      </c>
      <c r="P134" s="7">
        <f>2883.75 * (25 / 27)</f>
        <v>2670.1388888888887</v>
      </c>
      <c r="Q134" s="16">
        <f t="shared" si="40"/>
        <v>2670.1388888888887</v>
      </c>
      <c r="R134" s="7">
        <f t="shared" si="37"/>
        <v>0</v>
      </c>
      <c r="S134" s="7">
        <f>SUMIFS('Stock - ETA'!$H$3:H4963,'Stock - ETA'!$F$3:F4963,'Rango proyecciones'!C134,'Stock - ETA'!$Q$3:Q4963,'Rango proyecciones'!$AJ$5)</f>
        <v>0</v>
      </c>
      <c r="T134" s="7">
        <f>SUMIF('Stock - Puerto Chile'!$G$2:G973,'Rango proyecciones'!C134,'Stock - Puerto Chile'!$N$2:N973)</f>
        <v>0</v>
      </c>
      <c r="U134" s="7">
        <f>0 * (25 / 27)</f>
        <v>0</v>
      </c>
      <c r="V134" s="7">
        <f>2883.75 * (25 / 27)</f>
        <v>2670.1388888888887</v>
      </c>
      <c r="W134" s="17">
        <f t="shared" si="41"/>
        <v>2670.1388888888887</v>
      </c>
      <c r="X134" s="4"/>
      <c r="Y134" s="7"/>
      <c r="Z134" s="18">
        <f>SUMIFS('Stock - ETA'!$S$3:S4963,'Stock - ETA'!$F$3:F4963,'Rango proyecciones'!C134,'Stock - ETA'!$AA$3:AA4963,'Rango proyecciones'!$AJ$5) + SUMIFS('Stock - ETA'!$R$3:R4963,'Stock - ETA'!$F$3:F4963,'Rango proyecciones'!C134,'Stock - ETA'!$AA$3:AA4963,'Rango proyecciones'!$AJ$7)</f>
        <v>0</v>
      </c>
      <c r="AA134" s="13">
        <f t="shared" si="42"/>
        <v>0</v>
      </c>
      <c r="AB134" s="7">
        <f>SUMIFS('Stock - ETA'!$I$3:I4963,'Stock - ETA'!$F$3:F4963,'Rango proyecciones'!C134,'Stock - ETA'!$Q$3:Q4963,'Rango proyecciones'!$AJ$5) + SUMIFS('Stock - ETA'!$H$3:H4963,'Stock - ETA'!$F$3:F4963,'Rango proyecciones'!C134,'Stock - ETA'!$Q$3:Q4963,'Rango proyecciones'!$AJ$7)</f>
        <v>0</v>
      </c>
      <c r="AC134" s="16">
        <f t="shared" si="43"/>
        <v>0</v>
      </c>
      <c r="AD134" s="4"/>
      <c r="AE134" s="7">
        <f>SUMIFS('Stock - ETA'!$T$3:T4963,'Stock - ETA'!$F$3:F4963,'Rango proyecciones'!C134,'Stock - ETA'!$AA$3:AA4963,'Rango proyecciones'!$AJ$5) + SUMIFS('Stock - ETA'!$S$3:S4963,'Stock - ETA'!$F$3:F4963,'Rango proyecciones'!C134,'Stock - ETA'!$AA$3:AA4963,'Rango proyecciones'!$AJ$8)</f>
        <v>0</v>
      </c>
      <c r="AF134" s="16">
        <f t="shared" si="38"/>
        <v>0</v>
      </c>
      <c r="AG134" s="7">
        <f>SUMIFS('Stock - ETA'!$J$3:J4963,'Stock - ETA'!$F$3:F4963,'Rango proyecciones'!C134,'Stock - ETA'!$Q$3:Q4963,'Rango proyecciones'!$AJ$5) + SUMIFS('Stock - ETA'!$I$3:I4963,'Stock - ETA'!$F$3:F4963,'Rango proyecciones'!C134,'Stock - ETA'!$Q$3:Q4963,'Rango proyecciones'!$AJ$8)</f>
        <v>0</v>
      </c>
      <c r="AH134" s="16">
        <f t="shared" si="39"/>
        <v>0</v>
      </c>
      <c r="AI134" s="4"/>
    </row>
    <row r="135" spans="1:35" x14ac:dyDescent="0.2">
      <c r="A135" s="2" t="s">
        <v>34</v>
      </c>
      <c r="B135" s="2" t="s">
        <v>35</v>
      </c>
      <c r="C135" s="2" t="s">
        <v>328</v>
      </c>
      <c r="D135" s="2" t="s">
        <v>46</v>
      </c>
      <c r="E135" s="2">
        <v>1023111</v>
      </c>
      <c r="F135" s="2" t="s">
        <v>329</v>
      </c>
      <c r="G135" s="2" t="s">
        <v>48</v>
      </c>
      <c r="H135" s="4">
        <v>0</v>
      </c>
      <c r="I135" s="7">
        <v>0</v>
      </c>
      <c r="J135" s="7">
        <v>0</v>
      </c>
      <c r="K135" s="7">
        <v>0</v>
      </c>
      <c r="L135" s="4">
        <f t="shared" si="36"/>
        <v>0</v>
      </c>
      <c r="M135" s="7">
        <f>SUMIFS('Stock - ETA'!$R$3:R4963,'Stock - ETA'!$F$3:F4963,'Rango proyecciones'!C135,'Stock - ETA'!$AA$3:AA4963,'Rango proyecciones'!$AJ$5)</f>
        <v>0</v>
      </c>
      <c r="N135" s="7">
        <f>SUMIF('Stock - Puerto Chile'!$G$2:G973,'Rango proyecciones'!C135,'Stock - Puerto Chile'!$L$2:L973)</f>
        <v>0</v>
      </c>
      <c r="O135" s="7">
        <f>0 * (25 / 27)</f>
        <v>0</v>
      </c>
      <c r="P135" s="7">
        <f>7072.479 * (25 / 27)</f>
        <v>6548.5916666666672</v>
      </c>
      <c r="Q135" s="16">
        <f t="shared" si="40"/>
        <v>6548.5916666666672</v>
      </c>
      <c r="R135" s="7">
        <f t="shared" si="37"/>
        <v>0</v>
      </c>
      <c r="S135" s="7">
        <f>SUMIFS('Stock - ETA'!$H$3:H4963,'Stock - ETA'!$F$3:F4963,'Rango proyecciones'!C135,'Stock - ETA'!$Q$3:Q4963,'Rango proyecciones'!$AJ$5)</f>
        <v>0</v>
      </c>
      <c r="T135" s="7">
        <f>SUMIF('Stock - Puerto Chile'!$G$2:G973,'Rango proyecciones'!C135,'Stock - Puerto Chile'!$N$2:N973)</f>
        <v>0</v>
      </c>
      <c r="U135" s="7">
        <f>0 * (25 / 27)</f>
        <v>0</v>
      </c>
      <c r="V135" s="7">
        <f>7072.479 * (25 / 27)</f>
        <v>6548.5916666666672</v>
      </c>
      <c r="W135" s="17">
        <f t="shared" si="41"/>
        <v>6548.5916666666672</v>
      </c>
      <c r="X135" s="4"/>
      <c r="Y135" s="7"/>
      <c r="Z135" s="18">
        <f>SUMIFS('Stock - ETA'!$S$3:S4963,'Stock - ETA'!$F$3:F4963,'Rango proyecciones'!C135,'Stock - ETA'!$AA$3:AA4963,'Rango proyecciones'!$AJ$5) + SUMIFS('Stock - ETA'!$R$3:R4963,'Stock - ETA'!$F$3:F4963,'Rango proyecciones'!C135,'Stock - ETA'!$AA$3:AA4963,'Rango proyecciones'!$AJ$7)</f>
        <v>0</v>
      </c>
      <c r="AA135" s="13">
        <f t="shared" si="42"/>
        <v>0</v>
      </c>
      <c r="AB135" s="7">
        <f>SUMIFS('Stock - ETA'!$I$3:I4963,'Stock - ETA'!$F$3:F4963,'Rango proyecciones'!C135,'Stock - ETA'!$Q$3:Q4963,'Rango proyecciones'!$AJ$5) + SUMIFS('Stock - ETA'!$H$3:H4963,'Stock - ETA'!$F$3:F4963,'Rango proyecciones'!C135,'Stock - ETA'!$Q$3:Q4963,'Rango proyecciones'!$AJ$7)</f>
        <v>0</v>
      </c>
      <c r="AC135" s="16">
        <f t="shared" si="43"/>
        <v>0</v>
      </c>
      <c r="AD135" s="4"/>
      <c r="AE135" s="7">
        <f>SUMIFS('Stock - ETA'!$T$3:T4963,'Stock - ETA'!$F$3:F4963,'Rango proyecciones'!C135,'Stock - ETA'!$AA$3:AA4963,'Rango proyecciones'!$AJ$5) + SUMIFS('Stock - ETA'!$S$3:S4963,'Stock - ETA'!$F$3:F4963,'Rango proyecciones'!C135,'Stock - ETA'!$AA$3:AA4963,'Rango proyecciones'!$AJ$8)</f>
        <v>0</v>
      </c>
      <c r="AF135" s="16">
        <f t="shared" si="38"/>
        <v>0</v>
      </c>
      <c r="AG135" s="7">
        <f>SUMIFS('Stock - ETA'!$J$3:J4963,'Stock - ETA'!$F$3:F4963,'Rango proyecciones'!C135,'Stock - ETA'!$Q$3:Q4963,'Rango proyecciones'!$AJ$5) + SUMIFS('Stock - ETA'!$I$3:I4963,'Stock - ETA'!$F$3:F4963,'Rango proyecciones'!C135,'Stock - ETA'!$Q$3:Q4963,'Rango proyecciones'!$AJ$8)</f>
        <v>0</v>
      </c>
      <c r="AH135" s="16">
        <f t="shared" si="39"/>
        <v>0</v>
      </c>
      <c r="AI135" s="4"/>
    </row>
    <row r="136" spans="1:35" x14ac:dyDescent="0.2">
      <c r="A136" s="2" t="s">
        <v>34</v>
      </c>
      <c r="B136" s="2" t="s">
        <v>35</v>
      </c>
      <c r="C136" s="2" t="s">
        <v>330</v>
      </c>
      <c r="D136" s="2" t="s">
        <v>46</v>
      </c>
      <c r="E136" s="2">
        <v>1023306</v>
      </c>
      <c r="F136" s="2" t="s">
        <v>174</v>
      </c>
      <c r="G136" s="2" t="s">
        <v>175</v>
      </c>
      <c r="H136" s="4">
        <v>0</v>
      </c>
      <c r="I136" s="7">
        <v>0</v>
      </c>
      <c r="J136" s="7">
        <v>30481.083999999999</v>
      </c>
      <c r="K136" s="7">
        <v>3820.65</v>
      </c>
      <c r="L136" s="4">
        <f t="shared" si="36"/>
        <v>39990.650999999998</v>
      </c>
      <c r="M136" s="7">
        <f>SUMIFS('Stock - ETA'!$R$3:R4963,'Stock - ETA'!$F$3:F4963,'Rango proyecciones'!C136,'Stock - ETA'!$AA$3:AA4963,'Rango proyecciones'!$AJ$5)</f>
        <v>210440</v>
      </c>
      <c r="N136" s="7">
        <f>SUMIF('Stock - Puerto Chile'!$G$2:G973,'Rango proyecciones'!C136,'Stock - Puerto Chile'!$L$2:L973)</f>
        <v>376308</v>
      </c>
      <c r="O136" s="7">
        <f>0 * (25 / 27)</f>
        <v>0</v>
      </c>
      <c r="P136" s="7">
        <f>48040 * (25 / 27)</f>
        <v>44481.481481481482</v>
      </c>
      <c r="Q136" s="16">
        <f t="shared" si="40"/>
        <v>254921.48148148149</v>
      </c>
      <c r="R136" s="7">
        <f t="shared" si="37"/>
        <v>68555.401714285719</v>
      </c>
      <c r="S136" s="7">
        <f>SUMIFS('Stock - ETA'!$H$3:H4963,'Stock - ETA'!$F$3:F4963,'Rango proyecciones'!C136,'Stock - ETA'!$Q$3:Q4963,'Rango proyecciones'!$AJ$5)</f>
        <v>210440</v>
      </c>
      <c r="T136" s="7">
        <f>SUMIF('Stock - Puerto Chile'!$G$2:G973,'Rango proyecciones'!C136,'Stock - Puerto Chile'!$N$2:N973)</f>
        <v>451569.6</v>
      </c>
      <c r="U136" s="7">
        <f>0 * (25 / 27)</f>
        <v>0</v>
      </c>
      <c r="V136" s="7">
        <f>48040 * (25 / 27)</f>
        <v>44481.481481481482</v>
      </c>
      <c r="W136" s="17">
        <f t="shared" si="41"/>
        <v>254921.48148148149</v>
      </c>
      <c r="X136" s="4">
        <v>289235</v>
      </c>
      <c r="Y136" s="7">
        <v>289235</v>
      </c>
      <c r="Z136" s="18">
        <f>SUMIFS('Stock - ETA'!$S$3:S4963,'Stock - ETA'!$F$3:F4963,'Rango proyecciones'!C136,'Stock - ETA'!$AA$3:AA4963,'Rango proyecciones'!$AJ$5) + SUMIFS('Stock - ETA'!$R$3:R4963,'Stock - ETA'!$F$3:F4963,'Rango proyecciones'!C136,'Stock - ETA'!$AA$3:AA4963,'Rango proyecciones'!$AJ$7)</f>
        <v>240800</v>
      </c>
      <c r="AA136" s="13">
        <f t="shared" si="42"/>
        <v>530035</v>
      </c>
      <c r="AB136" s="7">
        <f>SUMIFS('Stock - ETA'!$I$3:I4963,'Stock - ETA'!$F$3:F4963,'Rango proyecciones'!C136,'Stock - ETA'!$Q$3:Q4963,'Rango proyecciones'!$AJ$5) + SUMIFS('Stock - ETA'!$H$3:H4963,'Stock - ETA'!$F$3:F4963,'Rango proyecciones'!C136,'Stock - ETA'!$Q$3:Q4963,'Rango proyecciones'!$AJ$7)</f>
        <v>240800</v>
      </c>
      <c r="AC136" s="16">
        <f t="shared" si="43"/>
        <v>530035</v>
      </c>
      <c r="AD136" s="4">
        <v>342744</v>
      </c>
      <c r="AE136" s="7">
        <f>SUMIFS('Stock - ETA'!$T$3:T4963,'Stock - ETA'!$F$3:F4963,'Rango proyecciones'!C136,'Stock - ETA'!$AA$3:AA4963,'Rango proyecciones'!$AJ$5) + SUMIFS('Stock - ETA'!$S$3:S4963,'Stock - ETA'!$F$3:F4963,'Rango proyecciones'!C136,'Stock - ETA'!$AA$3:AA4963,'Rango proyecciones'!$AJ$8)</f>
        <v>0</v>
      </c>
      <c r="AF136" s="16">
        <f t="shared" si="38"/>
        <v>205646.4</v>
      </c>
      <c r="AG136" s="7">
        <f>SUMIFS('Stock - ETA'!$J$3:J4963,'Stock - ETA'!$F$3:F4963,'Rango proyecciones'!C136,'Stock - ETA'!$Q$3:Q4963,'Rango proyecciones'!$AJ$5) + SUMIFS('Stock - ETA'!$I$3:I4963,'Stock - ETA'!$F$3:F4963,'Rango proyecciones'!C136,'Stock - ETA'!$Q$3:Q4963,'Rango proyecciones'!$AJ$8)</f>
        <v>0</v>
      </c>
      <c r="AH136" s="16">
        <f t="shared" si="39"/>
        <v>205646.4</v>
      </c>
      <c r="AI136" s="4"/>
    </row>
    <row r="137" spans="1:35" x14ac:dyDescent="0.2">
      <c r="A137" s="2" t="s">
        <v>34</v>
      </c>
      <c r="B137" s="2" t="s">
        <v>35</v>
      </c>
      <c r="C137" s="2" t="s">
        <v>331</v>
      </c>
      <c r="D137" s="2" t="s">
        <v>46</v>
      </c>
      <c r="E137" s="2">
        <v>1023411</v>
      </c>
      <c r="F137" s="2" t="s">
        <v>332</v>
      </c>
      <c r="G137" s="2" t="s">
        <v>96</v>
      </c>
      <c r="H137" s="4">
        <v>0</v>
      </c>
      <c r="I137" s="7">
        <v>0</v>
      </c>
      <c r="J137" s="7">
        <v>0</v>
      </c>
      <c r="K137" s="7">
        <v>0</v>
      </c>
      <c r="L137" s="4">
        <f t="shared" si="36"/>
        <v>0</v>
      </c>
      <c r="M137" s="7">
        <f>SUMIFS('Stock - ETA'!$R$3:R4963,'Stock - ETA'!$F$3:F4963,'Rango proyecciones'!C137,'Stock - ETA'!$AA$3:AA4963,'Rango proyecciones'!$AJ$5)</f>
        <v>72665.06</v>
      </c>
      <c r="N137" s="7">
        <f>SUMIF('Stock - Puerto Chile'!$G$2:G973,'Rango proyecciones'!C137,'Stock - Puerto Chile'!$L$2:L973)</f>
        <v>155210.80379999999</v>
      </c>
      <c r="O137" s="7">
        <f>72473.77 * (25 / 27)</f>
        <v>67105.342592592599</v>
      </c>
      <c r="P137" s="7">
        <f>6883.919 * (25 / 27)</f>
        <v>6373.9990740740741</v>
      </c>
      <c r="Q137" s="16">
        <f t="shared" si="40"/>
        <v>79039.059074074074</v>
      </c>
      <c r="R137" s="7">
        <f t="shared" si="37"/>
        <v>0</v>
      </c>
      <c r="S137" s="7">
        <f>SUMIFS('Stock - ETA'!$H$3:H4963,'Stock - ETA'!$F$3:F4963,'Rango proyecciones'!C137,'Stock - ETA'!$Q$3:Q4963,'Rango proyecciones'!$AJ$5)</f>
        <v>72665.06</v>
      </c>
      <c r="T137" s="7">
        <f>SUMIF('Stock - Puerto Chile'!$G$2:G973,'Rango proyecciones'!C137,'Stock - Puerto Chile'!$N$2:N973)</f>
        <v>186252.96455999999</v>
      </c>
      <c r="U137" s="7">
        <f>72473.77 * (25 / 27)</f>
        <v>67105.342592592599</v>
      </c>
      <c r="V137" s="7">
        <f>6883.919 * (25 / 27)</f>
        <v>6373.9990740740741</v>
      </c>
      <c r="W137" s="17">
        <f t="shared" si="41"/>
        <v>146144.40166666667</v>
      </c>
      <c r="X137" s="4">
        <v>120000</v>
      </c>
      <c r="Y137" s="7">
        <v>120000</v>
      </c>
      <c r="Z137" s="18">
        <f>SUMIFS('Stock - ETA'!$S$3:S4963,'Stock - ETA'!$F$3:F4963,'Rango proyecciones'!C137,'Stock - ETA'!$AA$3:AA4963,'Rango proyecciones'!$AJ$5) + SUMIFS('Stock - ETA'!$R$3:R4963,'Stock - ETA'!$F$3:F4963,'Rango proyecciones'!C137,'Stock - ETA'!$AA$3:AA4963,'Rango proyecciones'!$AJ$7)</f>
        <v>101302.23</v>
      </c>
      <c r="AA137" s="13">
        <f t="shared" si="42"/>
        <v>221302.22999999998</v>
      </c>
      <c r="AB137" s="7">
        <f>SUMIFS('Stock - ETA'!$I$3:I4963,'Stock - ETA'!$F$3:F4963,'Rango proyecciones'!C137,'Stock - ETA'!$Q$3:Q4963,'Rango proyecciones'!$AJ$5) + SUMIFS('Stock - ETA'!$H$3:H4963,'Stock - ETA'!$F$3:F4963,'Rango proyecciones'!C137,'Stock - ETA'!$Q$3:Q4963,'Rango proyecciones'!$AJ$7)</f>
        <v>101302.23</v>
      </c>
      <c r="AC137" s="16">
        <f t="shared" si="43"/>
        <v>221302.22999999998</v>
      </c>
      <c r="AD137" s="4">
        <v>120000</v>
      </c>
      <c r="AE137" s="7">
        <f>SUMIFS('Stock - ETA'!$T$3:T4963,'Stock - ETA'!$F$3:F4963,'Rango proyecciones'!C137,'Stock - ETA'!$AA$3:AA4963,'Rango proyecciones'!$AJ$5) + SUMIFS('Stock - ETA'!$S$3:S4963,'Stock - ETA'!$F$3:F4963,'Rango proyecciones'!C137,'Stock - ETA'!$AA$3:AA4963,'Rango proyecciones'!$AJ$8)</f>
        <v>0</v>
      </c>
      <c r="AF137" s="16">
        <f t="shared" si="38"/>
        <v>72000</v>
      </c>
      <c r="AG137" s="7">
        <f>SUMIFS('Stock - ETA'!$J$3:J4963,'Stock - ETA'!$F$3:F4963,'Rango proyecciones'!C137,'Stock - ETA'!$Q$3:Q4963,'Rango proyecciones'!$AJ$5) + SUMIFS('Stock - ETA'!$I$3:I4963,'Stock - ETA'!$F$3:F4963,'Rango proyecciones'!C137,'Stock - ETA'!$Q$3:Q4963,'Rango proyecciones'!$AJ$8)</f>
        <v>0</v>
      </c>
      <c r="AH137" s="16">
        <f t="shared" si="39"/>
        <v>72000</v>
      </c>
      <c r="AI137" s="4"/>
    </row>
    <row r="138" spans="1:35" x14ac:dyDescent="0.2">
      <c r="A138" s="2" t="s">
        <v>34</v>
      </c>
      <c r="B138" s="2" t="s">
        <v>35</v>
      </c>
      <c r="C138" s="2" t="s">
        <v>333</v>
      </c>
      <c r="D138" s="2" t="s">
        <v>46</v>
      </c>
      <c r="E138" s="2">
        <v>1023412</v>
      </c>
      <c r="F138" s="2" t="s">
        <v>334</v>
      </c>
      <c r="G138" s="2" t="s">
        <v>96</v>
      </c>
      <c r="H138" s="4">
        <v>0</v>
      </c>
      <c r="I138" s="7">
        <v>0</v>
      </c>
      <c r="J138" s="7">
        <v>0</v>
      </c>
      <c r="K138" s="7">
        <v>0</v>
      </c>
      <c r="L138" s="4">
        <f t="shared" si="36"/>
        <v>0</v>
      </c>
      <c r="M138" s="7">
        <f>SUMIFS('Stock - ETA'!$R$3:R4963,'Stock - ETA'!$F$3:F4963,'Rango proyecciones'!C138,'Stock - ETA'!$AA$3:AA4963,'Rango proyecciones'!$AJ$5)</f>
        <v>24285.08</v>
      </c>
      <c r="N138" s="7">
        <f>SUMIF('Stock - Puerto Chile'!$G$2:G973,'Rango proyecciones'!C138,'Stock - Puerto Chile'!$L$2:L973)</f>
        <v>57503.88</v>
      </c>
      <c r="O138" s="7">
        <f>23922.77 * (25 / 27)</f>
        <v>22150.712962962964</v>
      </c>
      <c r="P138" s="7">
        <f>0 * (25 / 27)</f>
        <v>0</v>
      </c>
      <c r="Q138" s="16">
        <f t="shared" si="40"/>
        <v>24285.08</v>
      </c>
      <c r="R138" s="7">
        <f t="shared" si="37"/>
        <v>0</v>
      </c>
      <c r="S138" s="7">
        <f>SUMIFS('Stock - ETA'!$H$3:H4963,'Stock - ETA'!$F$3:F4963,'Rango proyecciones'!C138,'Stock - ETA'!$Q$3:Q4963,'Rango proyecciones'!$AJ$5)</f>
        <v>24285.08</v>
      </c>
      <c r="T138" s="7">
        <f>SUMIF('Stock - Puerto Chile'!$G$2:G973,'Rango proyecciones'!C138,'Stock - Puerto Chile'!$N$2:N973)</f>
        <v>69004.656000000003</v>
      </c>
      <c r="U138" s="7">
        <f>23922.77 * (25 / 27)</f>
        <v>22150.712962962964</v>
      </c>
      <c r="V138" s="7">
        <f>0 * (25 / 27)</f>
        <v>0</v>
      </c>
      <c r="W138" s="17">
        <f t="shared" si="41"/>
        <v>46435.792962962965</v>
      </c>
      <c r="X138" s="4">
        <v>120000</v>
      </c>
      <c r="Y138" s="7">
        <v>120000</v>
      </c>
      <c r="Z138" s="18">
        <f>SUMIFS('Stock - ETA'!$S$3:S4963,'Stock - ETA'!$F$3:F4963,'Rango proyecciones'!C138,'Stock - ETA'!$AA$3:AA4963,'Rango proyecciones'!$AJ$5) + SUMIFS('Stock - ETA'!$R$3:R4963,'Stock - ETA'!$F$3:F4963,'Rango proyecciones'!C138,'Stock - ETA'!$AA$3:AA4963,'Rango proyecciones'!$AJ$7)</f>
        <v>96312.299999999988</v>
      </c>
      <c r="AA138" s="13">
        <f t="shared" si="42"/>
        <v>216312.3</v>
      </c>
      <c r="AB138" s="7">
        <f>SUMIFS('Stock - ETA'!$I$3:I4963,'Stock - ETA'!$F$3:F4963,'Rango proyecciones'!C138,'Stock - ETA'!$Q$3:Q4963,'Rango proyecciones'!$AJ$5) + SUMIFS('Stock - ETA'!$H$3:H4963,'Stock - ETA'!$F$3:F4963,'Rango proyecciones'!C138,'Stock - ETA'!$Q$3:Q4963,'Rango proyecciones'!$AJ$7)</f>
        <v>96312.299999999988</v>
      </c>
      <c r="AC138" s="16">
        <f t="shared" si="43"/>
        <v>216312.3</v>
      </c>
      <c r="AD138" s="4">
        <v>120000</v>
      </c>
      <c r="AE138" s="7">
        <f>SUMIFS('Stock - ETA'!$T$3:T4963,'Stock - ETA'!$F$3:F4963,'Rango proyecciones'!C138,'Stock - ETA'!$AA$3:AA4963,'Rango proyecciones'!$AJ$5) + SUMIFS('Stock - ETA'!$S$3:S4963,'Stock - ETA'!$F$3:F4963,'Rango proyecciones'!C138,'Stock - ETA'!$AA$3:AA4963,'Rango proyecciones'!$AJ$8)</f>
        <v>0</v>
      </c>
      <c r="AF138" s="16">
        <f t="shared" si="38"/>
        <v>72000</v>
      </c>
      <c r="AG138" s="7">
        <f>SUMIFS('Stock - ETA'!$J$3:J4963,'Stock - ETA'!$F$3:F4963,'Rango proyecciones'!C138,'Stock - ETA'!$Q$3:Q4963,'Rango proyecciones'!$AJ$5) + SUMIFS('Stock - ETA'!$I$3:I4963,'Stock - ETA'!$F$3:F4963,'Rango proyecciones'!C138,'Stock - ETA'!$Q$3:Q4963,'Rango proyecciones'!$AJ$8)</f>
        <v>0</v>
      </c>
      <c r="AH138" s="16">
        <f t="shared" si="39"/>
        <v>72000</v>
      </c>
      <c r="AI138" s="4"/>
    </row>
    <row r="139" spans="1:35" x14ac:dyDescent="0.2">
      <c r="A139" s="2" t="s">
        <v>34</v>
      </c>
      <c r="B139" s="2" t="s">
        <v>35</v>
      </c>
      <c r="C139" s="2" t="s">
        <v>335</v>
      </c>
      <c r="D139" s="2" t="s">
        <v>37</v>
      </c>
      <c r="E139" s="2">
        <v>1021929</v>
      </c>
      <c r="F139" s="2" t="s">
        <v>336</v>
      </c>
      <c r="G139" s="2" t="s">
        <v>178</v>
      </c>
      <c r="H139" s="4">
        <v>0</v>
      </c>
      <c r="I139" s="7">
        <v>0</v>
      </c>
      <c r="J139" s="7">
        <v>0</v>
      </c>
      <c r="K139" s="7">
        <v>0</v>
      </c>
      <c r="L139" s="4">
        <f t="shared" ref="L139:L170" si="44">MAX(J139 - K139, 0) * MAX((25 - 10)/(10), 0)</f>
        <v>0</v>
      </c>
      <c r="M139" s="7">
        <f>SUMIFS('Stock - ETA'!$R$3:R4963,'Stock - ETA'!$F$3:F4963,'Rango proyecciones'!C139,'Stock - ETA'!$AA$3:AA4963,'Rango proyecciones'!$AJ$5)</f>
        <v>2000</v>
      </c>
      <c r="N139" s="7">
        <f>SUMIF('Stock - Puerto Chile'!$G$2:G973,'Rango proyecciones'!C139,'Stock - Puerto Chile'!$L$2:L973)</f>
        <v>4200</v>
      </c>
      <c r="O139" s="7">
        <f t="shared" ref="O139:O145" si="45">0 * (25 / 27)</f>
        <v>0</v>
      </c>
      <c r="P139" s="7">
        <f>50 * (25 / 27)</f>
        <v>46.296296296296298</v>
      </c>
      <c r="Q139" s="16">
        <f t="shared" si="40"/>
        <v>2046.2962962962963</v>
      </c>
      <c r="R139" s="7">
        <f t="shared" ref="R139:R155" si="46">MAX(J139 - K139, 0) * MAX((25 - 7)/(7), 0)</f>
        <v>0</v>
      </c>
      <c r="S139" s="7">
        <f>SUMIFS('Stock - ETA'!$H$3:H4963,'Stock - ETA'!$F$3:F4963,'Rango proyecciones'!C139,'Stock - ETA'!$Q$3:Q4963,'Rango proyecciones'!$AJ$5)</f>
        <v>2000</v>
      </c>
      <c r="T139" s="7">
        <f>SUMIF('Stock - Puerto Chile'!$G$2:G973,'Rango proyecciones'!C139,'Stock - Puerto Chile'!$N$2:N973)</f>
        <v>5040</v>
      </c>
      <c r="U139" s="7">
        <f t="shared" ref="U139:U145" si="47">0 * (25 / 27)</f>
        <v>0</v>
      </c>
      <c r="V139" s="7">
        <f>50 * (25 / 27)</f>
        <v>46.296296296296298</v>
      </c>
      <c r="W139" s="17">
        <f t="shared" si="41"/>
        <v>2046.2962962962963</v>
      </c>
      <c r="X139" s="4">
        <v>2000</v>
      </c>
      <c r="Y139" s="7">
        <v>2000</v>
      </c>
      <c r="Z139" s="18">
        <f>SUMIFS('Stock - ETA'!$S$3:S4963,'Stock - ETA'!$F$3:F4963,'Rango proyecciones'!C139,'Stock - ETA'!$AA$3:AA4963,'Rango proyecciones'!$AJ$5) + SUMIFS('Stock - ETA'!$R$3:R4963,'Stock - ETA'!$F$3:F4963,'Rango proyecciones'!C139,'Stock - ETA'!$AA$3:AA4963,'Rango proyecciones'!$AJ$7)</f>
        <v>970</v>
      </c>
      <c r="AA139" s="13">
        <f t="shared" si="42"/>
        <v>2970</v>
      </c>
      <c r="AB139" s="7">
        <f>SUMIFS('Stock - ETA'!$I$3:I4963,'Stock - ETA'!$F$3:F4963,'Rango proyecciones'!C139,'Stock - ETA'!$Q$3:Q4963,'Rango proyecciones'!$AJ$5) + SUMIFS('Stock - ETA'!$H$3:H4963,'Stock - ETA'!$F$3:F4963,'Rango proyecciones'!C139,'Stock - ETA'!$Q$3:Q4963,'Rango proyecciones'!$AJ$7)</f>
        <v>970</v>
      </c>
      <c r="AC139" s="16">
        <f t="shared" si="43"/>
        <v>2970</v>
      </c>
      <c r="AD139" s="4">
        <v>2000</v>
      </c>
      <c r="AE139" s="7">
        <f>SUMIFS('Stock - ETA'!$T$3:T4963,'Stock - ETA'!$F$3:F4963,'Rango proyecciones'!C139,'Stock - ETA'!$AA$3:AA4963,'Rango proyecciones'!$AJ$5) + SUMIFS('Stock - ETA'!$S$3:S4963,'Stock - ETA'!$F$3:F4963,'Rango proyecciones'!C139,'Stock - ETA'!$AA$3:AA4963,'Rango proyecciones'!$AJ$8)</f>
        <v>0</v>
      </c>
      <c r="AF139" s="16">
        <f t="shared" ref="AF139:AF145" si="48">0.7 * AD139 + AE139</f>
        <v>1400</v>
      </c>
      <c r="AG139" s="7">
        <f>SUMIFS('Stock - ETA'!$J$3:J4963,'Stock - ETA'!$F$3:F4963,'Rango proyecciones'!C139,'Stock - ETA'!$Q$3:Q4963,'Rango proyecciones'!$AJ$5) + SUMIFS('Stock - ETA'!$I$3:I4963,'Stock - ETA'!$F$3:F4963,'Rango proyecciones'!C139,'Stock - ETA'!$Q$3:Q4963,'Rango proyecciones'!$AJ$8)</f>
        <v>0</v>
      </c>
      <c r="AH139" s="16">
        <f t="shared" ref="AH139:AH145" si="49">0.7 * AD139 + AG139</f>
        <v>1400</v>
      </c>
      <c r="AI139" s="4"/>
    </row>
    <row r="140" spans="1:35" x14ac:dyDescent="0.2">
      <c r="A140" s="2" t="s">
        <v>34</v>
      </c>
      <c r="B140" s="2" t="s">
        <v>35</v>
      </c>
      <c r="C140" s="2" t="s">
        <v>337</v>
      </c>
      <c r="D140" s="2" t="s">
        <v>37</v>
      </c>
      <c r="E140" s="2">
        <v>1022101</v>
      </c>
      <c r="F140" s="2" t="s">
        <v>338</v>
      </c>
      <c r="G140" s="2" t="s">
        <v>43</v>
      </c>
      <c r="H140" s="4">
        <v>0</v>
      </c>
      <c r="I140" s="7">
        <v>0</v>
      </c>
      <c r="J140" s="7">
        <v>0</v>
      </c>
      <c r="K140" s="7">
        <v>0</v>
      </c>
      <c r="L140" s="4">
        <f t="shared" si="44"/>
        <v>0</v>
      </c>
      <c r="M140" s="7">
        <f>SUMIFS('Stock - ETA'!$R$3:R4963,'Stock - ETA'!$F$3:F4963,'Rango proyecciones'!C140,'Stock - ETA'!$AA$3:AA4963,'Rango proyecciones'!$AJ$5)</f>
        <v>1290.46</v>
      </c>
      <c r="N140" s="7">
        <f>SUMIF('Stock - Puerto Chile'!$G$2:G973,'Rango proyecciones'!C140,'Stock - Puerto Chile'!$L$2:L973)</f>
        <v>1985.8319999999999</v>
      </c>
      <c r="O140" s="7">
        <f t="shared" si="45"/>
        <v>0</v>
      </c>
      <c r="P140" s="7">
        <f>852.99 * (25 / 27)</f>
        <v>789.80555555555554</v>
      </c>
      <c r="Q140" s="16">
        <f t="shared" si="40"/>
        <v>2080.2655555555557</v>
      </c>
      <c r="R140" s="7">
        <f t="shared" si="46"/>
        <v>0</v>
      </c>
      <c r="S140" s="7">
        <f>SUMIFS('Stock - ETA'!$H$3:H4963,'Stock - ETA'!$F$3:F4963,'Rango proyecciones'!C140,'Stock - ETA'!$Q$3:Q4963,'Rango proyecciones'!$AJ$5)</f>
        <v>1290.46</v>
      </c>
      <c r="T140" s="7">
        <f>SUMIF('Stock - Puerto Chile'!$G$2:G973,'Rango proyecciones'!C140,'Stock - Puerto Chile'!$N$2:N973)</f>
        <v>2382.9983999999999</v>
      </c>
      <c r="U140" s="7">
        <f t="shared" si="47"/>
        <v>0</v>
      </c>
      <c r="V140" s="7">
        <f>852.99 * (25 / 27)</f>
        <v>789.80555555555554</v>
      </c>
      <c r="W140" s="17">
        <f t="shared" si="41"/>
        <v>2080.2655555555557</v>
      </c>
      <c r="X140" s="4">
        <v>6000</v>
      </c>
      <c r="Y140" s="7">
        <v>6000</v>
      </c>
      <c r="Z140" s="18">
        <f>SUMIFS('Stock - ETA'!$S$3:S4963,'Stock - ETA'!$F$3:F4963,'Rango proyecciones'!C140,'Stock - ETA'!$AA$3:AA4963,'Rango proyecciones'!$AJ$5) + SUMIFS('Stock - ETA'!$R$3:R4963,'Stock - ETA'!$F$3:F4963,'Rango proyecciones'!C140,'Stock - ETA'!$AA$3:AA4963,'Rango proyecciones'!$AJ$7)</f>
        <v>827.44</v>
      </c>
      <c r="AA140" s="13">
        <f t="shared" si="42"/>
        <v>6827.4400000000005</v>
      </c>
      <c r="AB140" s="7">
        <f>SUMIFS('Stock - ETA'!$I$3:I4963,'Stock - ETA'!$F$3:F4963,'Rango proyecciones'!C140,'Stock - ETA'!$Q$3:Q4963,'Rango proyecciones'!$AJ$5) + SUMIFS('Stock - ETA'!$H$3:H4963,'Stock - ETA'!$F$3:F4963,'Rango proyecciones'!C140,'Stock - ETA'!$Q$3:Q4963,'Rango proyecciones'!$AJ$7)</f>
        <v>827.44</v>
      </c>
      <c r="AC140" s="16">
        <f t="shared" si="43"/>
        <v>6827.4400000000005</v>
      </c>
      <c r="AD140" s="4">
        <v>6000</v>
      </c>
      <c r="AE140" s="7">
        <f>SUMIFS('Stock - ETA'!$T$3:T4963,'Stock - ETA'!$F$3:F4963,'Rango proyecciones'!C140,'Stock - ETA'!$AA$3:AA4963,'Rango proyecciones'!$AJ$5) + SUMIFS('Stock - ETA'!$S$3:S4963,'Stock - ETA'!$F$3:F4963,'Rango proyecciones'!C140,'Stock - ETA'!$AA$3:AA4963,'Rango proyecciones'!$AJ$8)</f>
        <v>0</v>
      </c>
      <c r="AF140" s="16">
        <f t="shared" si="48"/>
        <v>4200</v>
      </c>
      <c r="AG140" s="7">
        <f>SUMIFS('Stock - ETA'!$J$3:J4963,'Stock - ETA'!$F$3:F4963,'Rango proyecciones'!C140,'Stock - ETA'!$Q$3:Q4963,'Rango proyecciones'!$AJ$5) + SUMIFS('Stock - ETA'!$I$3:I4963,'Stock - ETA'!$F$3:F4963,'Rango proyecciones'!C140,'Stock - ETA'!$Q$3:Q4963,'Rango proyecciones'!$AJ$8)</f>
        <v>0</v>
      </c>
      <c r="AH140" s="16">
        <f t="shared" si="49"/>
        <v>4200</v>
      </c>
      <c r="AI140" s="4"/>
    </row>
    <row r="141" spans="1:35" x14ac:dyDescent="0.2">
      <c r="A141" s="2" t="s">
        <v>34</v>
      </c>
      <c r="B141" s="2" t="s">
        <v>35</v>
      </c>
      <c r="C141" s="2" t="s">
        <v>339</v>
      </c>
      <c r="D141" s="2" t="s">
        <v>37</v>
      </c>
      <c r="E141" s="2">
        <v>1022293</v>
      </c>
      <c r="F141" s="2" t="s">
        <v>340</v>
      </c>
      <c r="G141" s="2" t="s">
        <v>160</v>
      </c>
      <c r="H141" s="4">
        <v>0</v>
      </c>
      <c r="I141" s="7">
        <v>0</v>
      </c>
      <c r="J141" s="7">
        <v>0</v>
      </c>
      <c r="K141" s="7">
        <v>0</v>
      </c>
      <c r="L141" s="4">
        <f t="shared" si="44"/>
        <v>0</v>
      </c>
      <c r="M141" s="7">
        <f>SUMIFS('Stock - ETA'!$R$3:R4963,'Stock - ETA'!$F$3:F4963,'Rango proyecciones'!C141,'Stock - ETA'!$AA$3:AA4963,'Rango proyecciones'!$AJ$5)</f>
        <v>1000</v>
      </c>
      <c r="N141" s="7">
        <f>SUMIF('Stock - Puerto Chile'!$G$2:G973,'Rango proyecciones'!C141,'Stock - Puerto Chile'!$L$2:L973)</f>
        <v>2376</v>
      </c>
      <c r="O141" s="7">
        <f t="shared" si="45"/>
        <v>0</v>
      </c>
      <c r="P141" s="7">
        <f>730 * (25 / 27)</f>
        <v>675.92592592592598</v>
      </c>
      <c r="Q141" s="16">
        <f t="shared" si="40"/>
        <v>1675.9259259259261</v>
      </c>
      <c r="R141" s="7">
        <f t="shared" si="46"/>
        <v>0</v>
      </c>
      <c r="S141" s="7">
        <f>SUMIFS('Stock - ETA'!$H$3:H4963,'Stock - ETA'!$F$3:F4963,'Rango proyecciones'!C141,'Stock - ETA'!$Q$3:Q4963,'Rango proyecciones'!$AJ$5)</f>
        <v>1000</v>
      </c>
      <c r="T141" s="7">
        <f>SUMIF('Stock - Puerto Chile'!$G$2:G973,'Rango proyecciones'!C141,'Stock - Puerto Chile'!$N$2:N973)</f>
        <v>2851.2</v>
      </c>
      <c r="U141" s="7">
        <f t="shared" si="47"/>
        <v>0</v>
      </c>
      <c r="V141" s="7">
        <f>730 * (25 / 27)</f>
        <v>675.92592592592598</v>
      </c>
      <c r="W141" s="17">
        <f t="shared" si="41"/>
        <v>1675.9259259259261</v>
      </c>
      <c r="X141" s="4">
        <v>824</v>
      </c>
      <c r="Y141" s="7">
        <v>824</v>
      </c>
      <c r="Z141" s="18">
        <f>SUMIFS('Stock - ETA'!$S$3:S4963,'Stock - ETA'!$F$3:F4963,'Rango proyecciones'!C141,'Stock - ETA'!$AA$3:AA4963,'Rango proyecciones'!$AJ$5) + SUMIFS('Stock - ETA'!$R$3:R4963,'Stock - ETA'!$F$3:F4963,'Rango proyecciones'!C141,'Stock - ETA'!$AA$3:AA4963,'Rango proyecciones'!$AJ$7)</f>
        <v>10540</v>
      </c>
      <c r="AA141" s="13">
        <f t="shared" si="42"/>
        <v>11364</v>
      </c>
      <c r="AB141" s="7">
        <f>SUMIFS('Stock - ETA'!$I$3:I4963,'Stock - ETA'!$F$3:F4963,'Rango proyecciones'!C141,'Stock - ETA'!$Q$3:Q4963,'Rango proyecciones'!$AJ$5) + SUMIFS('Stock - ETA'!$H$3:H4963,'Stock - ETA'!$F$3:F4963,'Rango proyecciones'!C141,'Stock - ETA'!$Q$3:Q4963,'Rango proyecciones'!$AJ$7)</f>
        <v>10540</v>
      </c>
      <c r="AC141" s="16">
        <f t="shared" si="43"/>
        <v>11364</v>
      </c>
      <c r="AD141" s="4">
        <v>3012</v>
      </c>
      <c r="AE141" s="7">
        <f>SUMIFS('Stock - ETA'!$T$3:T4963,'Stock - ETA'!$F$3:F4963,'Rango proyecciones'!C141,'Stock - ETA'!$AA$3:AA4963,'Rango proyecciones'!$AJ$5) + SUMIFS('Stock - ETA'!$S$3:S4963,'Stock - ETA'!$F$3:F4963,'Rango proyecciones'!C141,'Stock - ETA'!$AA$3:AA4963,'Rango proyecciones'!$AJ$8)</f>
        <v>0</v>
      </c>
      <c r="AF141" s="16">
        <f t="shared" si="48"/>
        <v>2108.4</v>
      </c>
      <c r="AG141" s="7">
        <f>SUMIFS('Stock - ETA'!$J$3:J4963,'Stock - ETA'!$F$3:F4963,'Rango proyecciones'!C141,'Stock - ETA'!$Q$3:Q4963,'Rango proyecciones'!$AJ$5) + SUMIFS('Stock - ETA'!$I$3:I4963,'Stock - ETA'!$F$3:F4963,'Rango proyecciones'!C141,'Stock - ETA'!$Q$3:Q4963,'Rango proyecciones'!$AJ$8)</f>
        <v>0</v>
      </c>
      <c r="AH141" s="16">
        <f t="shared" si="49"/>
        <v>2108.4</v>
      </c>
      <c r="AI141" s="4"/>
    </row>
    <row r="142" spans="1:35" x14ac:dyDescent="0.2">
      <c r="A142" s="2" t="s">
        <v>34</v>
      </c>
      <c r="B142" s="2" t="s">
        <v>35</v>
      </c>
      <c r="C142" s="2" t="s">
        <v>341</v>
      </c>
      <c r="D142" s="2" t="s">
        <v>37</v>
      </c>
      <c r="E142" s="2">
        <v>1022561</v>
      </c>
      <c r="F142" s="2" t="s">
        <v>342</v>
      </c>
      <c r="G142" s="2" t="s">
        <v>43</v>
      </c>
      <c r="H142" s="4">
        <v>0</v>
      </c>
      <c r="I142" s="7">
        <v>0</v>
      </c>
      <c r="J142" s="7">
        <v>0</v>
      </c>
      <c r="K142" s="7">
        <v>0</v>
      </c>
      <c r="L142" s="4">
        <f t="shared" si="44"/>
        <v>0</v>
      </c>
      <c r="M142" s="7">
        <f>SUMIFS('Stock - ETA'!$R$3:R4963,'Stock - ETA'!$F$3:F4963,'Rango proyecciones'!C142,'Stock - ETA'!$AA$3:AA4963,'Rango proyecciones'!$AJ$5)</f>
        <v>0</v>
      </c>
      <c r="N142" s="7">
        <f>SUMIF('Stock - Puerto Chile'!$G$2:G973,'Rango proyecciones'!C142,'Stock - Puerto Chile'!$L$2:L973)</f>
        <v>0</v>
      </c>
      <c r="O142" s="7">
        <f t="shared" si="45"/>
        <v>0</v>
      </c>
      <c r="P142" s="7">
        <f>2007.799 * (25 / 27)</f>
        <v>1859.0731481481482</v>
      </c>
      <c r="Q142" s="16">
        <f t="shared" si="40"/>
        <v>1859.0731481481482</v>
      </c>
      <c r="R142" s="7">
        <f t="shared" si="46"/>
        <v>0</v>
      </c>
      <c r="S142" s="7">
        <f>SUMIFS('Stock - ETA'!$H$3:H4963,'Stock - ETA'!$F$3:F4963,'Rango proyecciones'!C142,'Stock - ETA'!$Q$3:Q4963,'Rango proyecciones'!$AJ$5)</f>
        <v>0</v>
      </c>
      <c r="T142" s="7">
        <f>SUMIF('Stock - Puerto Chile'!$G$2:G973,'Rango proyecciones'!C142,'Stock - Puerto Chile'!$N$2:N973)</f>
        <v>0</v>
      </c>
      <c r="U142" s="7">
        <f t="shared" si="47"/>
        <v>0</v>
      </c>
      <c r="V142" s="7">
        <f>2007.799 * (25 / 27)</f>
        <v>1859.0731481481482</v>
      </c>
      <c r="W142" s="17">
        <f t="shared" si="41"/>
        <v>1859.0731481481482</v>
      </c>
      <c r="X142" s="4"/>
      <c r="Y142" s="7"/>
      <c r="Z142" s="18">
        <f>SUMIFS('Stock - ETA'!$S$3:S4963,'Stock - ETA'!$F$3:F4963,'Rango proyecciones'!C142,'Stock - ETA'!$AA$3:AA4963,'Rango proyecciones'!$AJ$5) + SUMIFS('Stock - ETA'!$R$3:R4963,'Stock - ETA'!$F$3:F4963,'Rango proyecciones'!C142,'Stock - ETA'!$AA$3:AA4963,'Rango proyecciones'!$AJ$7)</f>
        <v>0</v>
      </c>
      <c r="AA142" s="13">
        <f t="shared" si="42"/>
        <v>0</v>
      </c>
      <c r="AB142" s="7">
        <f>SUMIFS('Stock - ETA'!$I$3:I4963,'Stock - ETA'!$F$3:F4963,'Rango proyecciones'!C142,'Stock - ETA'!$Q$3:Q4963,'Rango proyecciones'!$AJ$5) + SUMIFS('Stock - ETA'!$H$3:H4963,'Stock - ETA'!$F$3:F4963,'Rango proyecciones'!C142,'Stock - ETA'!$Q$3:Q4963,'Rango proyecciones'!$AJ$7)</f>
        <v>0</v>
      </c>
      <c r="AC142" s="16">
        <f t="shared" si="43"/>
        <v>0</v>
      </c>
      <c r="AD142" s="4"/>
      <c r="AE142" s="7">
        <f>SUMIFS('Stock - ETA'!$T$3:T4963,'Stock - ETA'!$F$3:F4963,'Rango proyecciones'!C142,'Stock - ETA'!$AA$3:AA4963,'Rango proyecciones'!$AJ$5) + SUMIFS('Stock - ETA'!$S$3:S4963,'Stock - ETA'!$F$3:F4963,'Rango proyecciones'!C142,'Stock - ETA'!$AA$3:AA4963,'Rango proyecciones'!$AJ$8)</f>
        <v>0</v>
      </c>
      <c r="AF142" s="16">
        <f t="shared" si="48"/>
        <v>0</v>
      </c>
      <c r="AG142" s="7">
        <f>SUMIFS('Stock - ETA'!$J$3:J4963,'Stock - ETA'!$F$3:F4963,'Rango proyecciones'!C142,'Stock - ETA'!$Q$3:Q4963,'Rango proyecciones'!$AJ$5) + SUMIFS('Stock - ETA'!$I$3:I4963,'Stock - ETA'!$F$3:F4963,'Rango proyecciones'!C142,'Stock - ETA'!$Q$3:Q4963,'Rango proyecciones'!$AJ$8)</f>
        <v>0</v>
      </c>
      <c r="AH142" s="16">
        <f t="shared" si="49"/>
        <v>0</v>
      </c>
      <c r="AI142" s="4"/>
    </row>
    <row r="143" spans="1:35" x14ac:dyDescent="0.2">
      <c r="A143" s="2" t="s">
        <v>34</v>
      </c>
      <c r="B143" s="2" t="s">
        <v>35</v>
      </c>
      <c r="C143" s="2" t="s">
        <v>343</v>
      </c>
      <c r="D143" s="2" t="s">
        <v>37</v>
      </c>
      <c r="E143" s="2">
        <v>1022865</v>
      </c>
      <c r="F143" s="2" t="s">
        <v>344</v>
      </c>
      <c r="G143" s="2" t="s">
        <v>178</v>
      </c>
      <c r="H143" s="4">
        <v>0</v>
      </c>
      <c r="I143" s="7">
        <v>0</v>
      </c>
      <c r="J143" s="7">
        <v>5152.7219999999998</v>
      </c>
      <c r="K143" s="7">
        <v>67.39</v>
      </c>
      <c r="L143" s="4">
        <f t="shared" si="44"/>
        <v>7627.9979999999996</v>
      </c>
      <c r="M143" s="7">
        <f>SUMIFS('Stock - ETA'!$R$3:R4963,'Stock - ETA'!$F$3:F4963,'Rango proyecciones'!C143,'Stock - ETA'!$AA$3:AA4963,'Rango proyecciones'!$AJ$5)</f>
        <v>40974.79</v>
      </c>
      <c r="N143" s="7">
        <f>SUMIF('Stock - Puerto Chile'!$G$2:G973,'Rango proyecciones'!C143,'Stock - Puerto Chile'!$L$2:L973)</f>
        <v>46005.981599999999</v>
      </c>
      <c r="O143" s="7">
        <f t="shared" si="45"/>
        <v>0</v>
      </c>
      <c r="P143" s="7">
        <f>5944.185 * (25 / 27)</f>
        <v>5503.875</v>
      </c>
      <c r="Q143" s="16">
        <f t="shared" si="40"/>
        <v>46478.665000000001</v>
      </c>
      <c r="R143" s="7">
        <f t="shared" si="46"/>
        <v>13076.567999999999</v>
      </c>
      <c r="S143" s="7">
        <f>SUMIFS('Stock - ETA'!$H$3:H4963,'Stock - ETA'!$F$3:F4963,'Rango proyecciones'!C143,'Stock - ETA'!$Q$3:Q4963,'Rango proyecciones'!$AJ$5)</f>
        <v>40974.79</v>
      </c>
      <c r="T143" s="7">
        <f>SUMIF('Stock - Puerto Chile'!$G$2:G973,'Rango proyecciones'!C143,'Stock - Puerto Chile'!$N$2:N973)</f>
        <v>55207.177919999995</v>
      </c>
      <c r="U143" s="7">
        <f t="shared" si="47"/>
        <v>0</v>
      </c>
      <c r="V143" s="7">
        <f>5944.185 * (25 / 27)</f>
        <v>5503.875</v>
      </c>
      <c r="W143" s="17">
        <f t="shared" si="41"/>
        <v>46478.665000000001</v>
      </c>
      <c r="X143" s="4">
        <v>60000</v>
      </c>
      <c r="Y143" s="7">
        <v>60000</v>
      </c>
      <c r="Z143" s="18">
        <f>SUMIFS('Stock - ETA'!$S$3:S4963,'Stock - ETA'!$F$3:F4963,'Rango proyecciones'!C143,'Stock - ETA'!$AA$3:AA4963,'Rango proyecciones'!$AJ$5) + SUMIFS('Stock - ETA'!$R$3:R4963,'Stock - ETA'!$F$3:F4963,'Rango proyecciones'!C143,'Stock - ETA'!$AA$3:AA4963,'Rango proyecciones'!$AJ$7)</f>
        <v>65077.79</v>
      </c>
      <c r="AA143" s="13">
        <f t="shared" si="42"/>
        <v>125077.79000000001</v>
      </c>
      <c r="AB143" s="7">
        <f>SUMIFS('Stock - ETA'!$I$3:I4963,'Stock - ETA'!$F$3:F4963,'Rango proyecciones'!C143,'Stock - ETA'!$Q$3:Q4963,'Rango proyecciones'!$AJ$5) + SUMIFS('Stock - ETA'!$H$3:H4963,'Stock - ETA'!$F$3:F4963,'Rango proyecciones'!C143,'Stock - ETA'!$Q$3:Q4963,'Rango proyecciones'!$AJ$7)</f>
        <v>65077.79</v>
      </c>
      <c r="AC143" s="16">
        <f t="shared" si="43"/>
        <v>125077.79000000001</v>
      </c>
      <c r="AD143" s="4">
        <v>60000</v>
      </c>
      <c r="AE143" s="7">
        <f>SUMIFS('Stock - ETA'!$T$3:T4963,'Stock - ETA'!$F$3:F4963,'Rango proyecciones'!C143,'Stock - ETA'!$AA$3:AA4963,'Rango proyecciones'!$AJ$5) + SUMIFS('Stock - ETA'!$S$3:S4963,'Stock - ETA'!$F$3:F4963,'Rango proyecciones'!C143,'Stock - ETA'!$AA$3:AA4963,'Rango proyecciones'!$AJ$8)</f>
        <v>0</v>
      </c>
      <c r="AF143" s="16">
        <f t="shared" si="48"/>
        <v>42000</v>
      </c>
      <c r="AG143" s="7">
        <f>SUMIFS('Stock - ETA'!$J$3:J4963,'Stock - ETA'!$F$3:F4963,'Rango proyecciones'!C143,'Stock - ETA'!$Q$3:Q4963,'Rango proyecciones'!$AJ$5) + SUMIFS('Stock - ETA'!$I$3:I4963,'Stock - ETA'!$F$3:F4963,'Rango proyecciones'!C143,'Stock - ETA'!$Q$3:Q4963,'Rango proyecciones'!$AJ$8)</f>
        <v>0</v>
      </c>
      <c r="AH143" s="16">
        <f t="shared" si="49"/>
        <v>42000</v>
      </c>
      <c r="AI143" s="4"/>
    </row>
    <row r="144" spans="1:35" x14ac:dyDescent="0.2">
      <c r="A144" s="2" t="s">
        <v>34</v>
      </c>
      <c r="B144" s="2" t="s">
        <v>35</v>
      </c>
      <c r="C144" s="2" t="s">
        <v>345</v>
      </c>
      <c r="D144" s="2" t="s">
        <v>37</v>
      </c>
      <c r="E144" s="2">
        <v>1023123</v>
      </c>
      <c r="F144" s="2" t="s">
        <v>346</v>
      </c>
      <c r="G144" s="2" t="s">
        <v>43</v>
      </c>
      <c r="H144" s="4">
        <v>0</v>
      </c>
      <c r="I144" s="7">
        <v>0</v>
      </c>
      <c r="J144" s="7">
        <v>0</v>
      </c>
      <c r="K144" s="7">
        <v>0</v>
      </c>
      <c r="L144" s="4">
        <f t="shared" si="44"/>
        <v>0</v>
      </c>
      <c r="M144" s="7">
        <f>SUMIFS('Stock - ETA'!$R$3:R4963,'Stock - ETA'!$F$3:F4963,'Rango proyecciones'!C144,'Stock - ETA'!$AA$3:AA4963,'Rango proyecciones'!$AJ$5)</f>
        <v>3033.74</v>
      </c>
      <c r="N144" s="7">
        <f>SUMIF('Stock - Puerto Chile'!$G$2:G973,'Rango proyecciones'!C144,'Stock - Puerto Chile'!$L$2:L973)</f>
        <v>4931.9112000000005</v>
      </c>
      <c r="O144" s="7">
        <f t="shared" si="45"/>
        <v>0</v>
      </c>
      <c r="P144" s="7">
        <f>3748.988 * (25 / 27)</f>
        <v>3471.2851851851851</v>
      </c>
      <c r="Q144" s="16">
        <f t="shared" si="40"/>
        <v>6505.0251851851845</v>
      </c>
      <c r="R144" s="7">
        <f t="shared" si="46"/>
        <v>0</v>
      </c>
      <c r="S144" s="7">
        <f>SUMIFS('Stock - ETA'!$H$3:H4963,'Stock - ETA'!$F$3:F4963,'Rango proyecciones'!C144,'Stock - ETA'!$Q$3:Q4963,'Rango proyecciones'!$AJ$5)</f>
        <v>3033.74</v>
      </c>
      <c r="T144" s="7">
        <f>SUMIF('Stock - Puerto Chile'!$G$2:G973,'Rango proyecciones'!C144,'Stock - Puerto Chile'!$N$2:N973)</f>
        <v>5918.2934400000004</v>
      </c>
      <c r="U144" s="7">
        <f t="shared" si="47"/>
        <v>0</v>
      </c>
      <c r="V144" s="7">
        <f>3748.988 * (25 / 27)</f>
        <v>3471.2851851851851</v>
      </c>
      <c r="W144" s="17">
        <f t="shared" si="41"/>
        <v>6505.0251851851845</v>
      </c>
      <c r="X144" s="4">
        <v>3000</v>
      </c>
      <c r="Y144" s="7">
        <v>3000</v>
      </c>
      <c r="Z144" s="18">
        <f>SUMIFS('Stock - ETA'!$S$3:S4963,'Stock - ETA'!$F$3:F4963,'Rango proyecciones'!C144,'Stock - ETA'!$AA$3:AA4963,'Rango proyecciones'!$AJ$5) + SUMIFS('Stock - ETA'!$R$3:R4963,'Stock - ETA'!$F$3:F4963,'Rango proyecciones'!C144,'Stock - ETA'!$AA$3:AA4963,'Rango proyecciones'!$AJ$7)</f>
        <v>6002.21</v>
      </c>
      <c r="AA144" s="13">
        <f t="shared" si="42"/>
        <v>9002.2099999999991</v>
      </c>
      <c r="AB144" s="7">
        <f>SUMIFS('Stock - ETA'!$I$3:I4963,'Stock - ETA'!$F$3:F4963,'Rango proyecciones'!C144,'Stock - ETA'!$Q$3:Q4963,'Rango proyecciones'!$AJ$5) + SUMIFS('Stock - ETA'!$H$3:H4963,'Stock - ETA'!$F$3:F4963,'Rango proyecciones'!C144,'Stock - ETA'!$Q$3:Q4963,'Rango proyecciones'!$AJ$7)</f>
        <v>6002.21</v>
      </c>
      <c r="AC144" s="16">
        <f t="shared" si="43"/>
        <v>9002.2099999999991</v>
      </c>
      <c r="AD144" s="4">
        <v>3000</v>
      </c>
      <c r="AE144" s="7">
        <f>SUMIFS('Stock - ETA'!$T$3:T4963,'Stock - ETA'!$F$3:F4963,'Rango proyecciones'!C144,'Stock - ETA'!$AA$3:AA4963,'Rango proyecciones'!$AJ$5) + SUMIFS('Stock - ETA'!$S$3:S4963,'Stock - ETA'!$F$3:F4963,'Rango proyecciones'!C144,'Stock - ETA'!$AA$3:AA4963,'Rango proyecciones'!$AJ$8)</f>
        <v>0</v>
      </c>
      <c r="AF144" s="16">
        <f t="shared" si="48"/>
        <v>2100</v>
      </c>
      <c r="AG144" s="7">
        <f>SUMIFS('Stock - ETA'!$J$3:J4963,'Stock - ETA'!$F$3:F4963,'Rango proyecciones'!C144,'Stock - ETA'!$Q$3:Q4963,'Rango proyecciones'!$AJ$5) + SUMIFS('Stock - ETA'!$I$3:I4963,'Stock - ETA'!$F$3:F4963,'Rango proyecciones'!C144,'Stock - ETA'!$Q$3:Q4963,'Rango proyecciones'!$AJ$8)</f>
        <v>0</v>
      </c>
      <c r="AH144" s="16">
        <f t="shared" si="49"/>
        <v>2100</v>
      </c>
      <c r="AI144" s="4"/>
    </row>
    <row r="145" spans="1:35" x14ac:dyDescent="0.2">
      <c r="A145" s="2" t="s">
        <v>34</v>
      </c>
      <c r="B145" s="2" t="s">
        <v>35</v>
      </c>
      <c r="C145" s="2" t="s">
        <v>347</v>
      </c>
      <c r="D145" s="2" t="s">
        <v>37</v>
      </c>
      <c r="E145" s="2">
        <v>1023265</v>
      </c>
      <c r="F145" s="2" t="s">
        <v>348</v>
      </c>
      <c r="G145" s="2" t="s">
        <v>191</v>
      </c>
      <c r="H145" s="4">
        <v>0</v>
      </c>
      <c r="I145" s="7">
        <v>0</v>
      </c>
      <c r="J145" s="7">
        <v>1800</v>
      </c>
      <c r="K145" s="7">
        <v>338.24</v>
      </c>
      <c r="L145" s="4">
        <f t="shared" si="44"/>
        <v>2192.64</v>
      </c>
      <c r="M145" s="7">
        <f>SUMIFS('Stock - ETA'!$R$3:R4963,'Stock - ETA'!$F$3:F4963,'Rango proyecciones'!C145,'Stock - ETA'!$AA$3:AA4963,'Rango proyecciones'!$AJ$5)</f>
        <v>10077.040000000001</v>
      </c>
      <c r="N145" s="7">
        <f>SUMIF('Stock - Puerto Chile'!$G$2:G973,'Rango proyecciones'!C145,'Stock - Puerto Chile'!$L$2:L973)</f>
        <v>13251.052199999998</v>
      </c>
      <c r="O145" s="7">
        <f t="shared" si="45"/>
        <v>0</v>
      </c>
      <c r="P145" s="7">
        <f>2002.959 * (25 / 27)</f>
        <v>1854.5916666666667</v>
      </c>
      <c r="Q145" s="16">
        <f t="shared" si="40"/>
        <v>11931.631666666668</v>
      </c>
      <c r="R145" s="7">
        <f t="shared" si="46"/>
        <v>3758.8114285714287</v>
      </c>
      <c r="S145" s="7">
        <f>SUMIFS('Stock - ETA'!$H$3:H4963,'Stock - ETA'!$F$3:F4963,'Rango proyecciones'!C145,'Stock - ETA'!$Q$3:Q4963,'Rango proyecciones'!$AJ$5)</f>
        <v>10077.040000000001</v>
      </c>
      <c r="T145" s="7">
        <f>SUMIF('Stock - Puerto Chile'!$G$2:G973,'Rango proyecciones'!C145,'Stock - Puerto Chile'!$N$2:N973)</f>
        <v>15901.262639999999</v>
      </c>
      <c r="U145" s="7">
        <f t="shared" si="47"/>
        <v>0</v>
      </c>
      <c r="V145" s="7">
        <f>2002.959 * (25 / 27)</f>
        <v>1854.5916666666667</v>
      </c>
      <c r="W145" s="17">
        <f t="shared" si="41"/>
        <v>11931.631666666668</v>
      </c>
      <c r="X145" s="4">
        <v>20000</v>
      </c>
      <c r="Y145" s="7">
        <v>20000</v>
      </c>
      <c r="Z145" s="18">
        <f>SUMIFS('Stock - ETA'!$S$3:S4963,'Stock - ETA'!$F$3:F4963,'Rango proyecciones'!C145,'Stock - ETA'!$AA$3:AA4963,'Rango proyecciones'!$AJ$5) + SUMIFS('Stock - ETA'!$R$3:R4963,'Stock - ETA'!$F$3:F4963,'Rango proyecciones'!C145,'Stock - ETA'!$AA$3:AA4963,'Rango proyecciones'!$AJ$7)</f>
        <v>11898.599999999999</v>
      </c>
      <c r="AA145" s="13">
        <f t="shared" si="42"/>
        <v>31898.6</v>
      </c>
      <c r="AB145" s="7">
        <f>SUMIFS('Stock - ETA'!$I$3:I4963,'Stock - ETA'!$F$3:F4963,'Rango proyecciones'!C145,'Stock - ETA'!$Q$3:Q4963,'Rango proyecciones'!$AJ$5) + SUMIFS('Stock - ETA'!$H$3:H4963,'Stock - ETA'!$F$3:F4963,'Rango proyecciones'!C145,'Stock - ETA'!$Q$3:Q4963,'Rango proyecciones'!$AJ$7)</f>
        <v>11898.599999999999</v>
      </c>
      <c r="AC145" s="16">
        <f t="shared" si="43"/>
        <v>31898.6</v>
      </c>
      <c r="AD145" s="4">
        <v>20000</v>
      </c>
      <c r="AE145" s="7">
        <f>SUMIFS('Stock - ETA'!$T$3:T4963,'Stock - ETA'!$F$3:F4963,'Rango proyecciones'!C145,'Stock - ETA'!$AA$3:AA4963,'Rango proyecciones'!$AJ$5) + SUMIFS('Stock - ETA'!$S$3:S4963,'Stock - ETA'!$F$3:F4963,'Rango proyecciones'!C145,'Stock - ETA'!$AA$3:AA4963,'Rango proyecciones'!$AJ$8)</f>
        <v>0</v>
      </c>
      <c r="AF145" s="16">
        <f t="shared" si="48"/>
        <v>14000</v>
      </c>
      <c r="AG145" s="7">
        <f>SUMIFS('Stock - ETA'!$J$3:J4963,'Stock - ETA'!$F$3:F4963,'Rango proyecciones'!C145,'Stock - ETA'!$Q$3:Q4963,'Rango proyecciones'!$AJ$5) + SUMIFS('Stock - ETA'!$I$3:I4963,'Stock - ETA'!$F$3:F4963,'Rango proyecciones'!C145,'Stock - ETA'!$Q$3:Q4963,'Rango proyecciones'!$AJ$8)</f>
        <v>0</v>
      </c>
      <c r="AH145" s="16">
        <f t="shared" si="49"/>
        <v>14000</v>
      </c>
      <c r="AI145" s="4"/>
    </row>
    <row r="146" spans="1:35" x14ac:dyDescent="0.2">
      <c r="A146" s="2" t="s">
        <v>50</v>
      </c>
      <c r="B146" s="2" t="s">
        <v>35</v>
      </c>
      <c r="C146" s="2" t="s">
        <v>349</v>
      </c>
      <c r="D146" s="2" t="s">
        <v>52</v>
      </c>
      <c r="E146" s="2">
        <v>1030321</v>
      </c>
      <c r="F146" s="2" t="s">
        <v>350</v>
      </c>
      <c r="G146" s="2" t="s">
        <v>132</v>
      </c>
      <c r="H146" s="4">
        <v>0</v>
      </c>
      <c r="I146" s="7">
        <v>0</v>
      </c>
      <c r="J146" s="7">
        <v>0</v>
      </c>
      <c r="K146" s="7">
        <v>0</v>
      </c>
      <c r="L146" s="4">
        <f t="shared" si="44"/>
        <v>0</v>
      </c>
      <c r="M146" s="7">
        <f>SUMIFS('Stock - ETA'!$R$3:R4963,'Stock - ETA'!$F$3:F4963,'Rango proyecciones'!C146,'Stock - ETA'!$AA$3:AA4963,'Rango proyecciones'!$AJ$5)</f>
        <v>0</v>
      </c>
      <c r="N146" s="7">
        <f>SUMIF('Stock - Puerto Chile'!$G$2:G973,'Rango proyecciones'!C146,'Stock - Puerto Chile'!$L$2:L973)</f>
        <v>34230.604800000001</v>
      </c>
      <c r="O146" s="7">
        <f>3892.18 * (25 / 27)</f>
        <v>3603.8703703703704</v>
      </c>
      <c r="P146" s="7">
        <f>3648.73 * (25 / 27)</f>
        <v>3378.4537037037039</v>
      </c>
      <c r="Q146" s="16">
        <f t="shared" si="40"/>
        <v>3378.4537037037039</v>
      </c>
      <c r="R146" s="7">
        <f t="shared" si="46"/>
        <v>0</v>
      </c>
      <c r="S146" s="7">
        <f>SUMIFS('Stock - ETA'!$H$3:H4963,'Stock - ETA'!$F$3:F4963,'Rango proyecciones'!C146,'Stock - ETA'!$Q$3:Q4963,'Rango proyecciones'!$AJ$5)</f>
        <v>0</v>
      </c>
      <c r="T146" s="7">
        <f>SUMIF('Stock - Puerto Chile'!$G$2:G973,'Rango proyecciones'!C146,'Stock - Puerto Chile'!$N$2:N973)</f>
        <v>41076.725760000001</v>
      </c>
      <c r="U146" s="7">
        <f>3892.18 * (25 / 27)</f>
        <v>3603.8703703703704</v>
      </c>
      <c r="V146" s="7">
        <f>3648.73 * (25 / 27)</f>
        <v>3378.4537037037039</v>
      </c>
      <c r="W146" s="17">
        <f t="shared" si="41"/>
        <v>6982.3240740740748</v>
      </c>
      <c r="X146" s="4">
        <v>4320</v>
      </c>
      <c r="Y146" s="7">
        <v>4320</v>
      </c>
      <c r="Z146" s="18">
        <f>SUMIFS('Stock - ETA'!$S$3:S4963,'Stock - ETA'!$F$3:F4963,'Rango proyecciones'!C146,'Stock - ETA'!$AA$3:AA4963,'Rango proyecciones'!$AJ$5) + SUMIFS('Stock - ETA'!$R$3:R4963,'Stock - ETA'!$F$3:F4963,'Rango proyecciones'!C146,'Stock - ETA'!$AA$3:AA4963,'Rango proyecciones'!$AJ$7)</f>
        <v>8149.056971</v>
      </c>
      <c r="AA146" s="13">
        <f t="shared" si="42"/>
        <v>12469.056971</v>
      </c>
      <c r="AB146" s="7">
        <f>SUMIFS('Stock - ETA'!$I$3:I4963,'Stock - ETA'!$F$3:F4963,'Rango proyecciones'!C146,'Stock - ETA'!$Q$3:Q4963,'Rango proyecciones'!$AJ$5) + SUMIFS('Stock - ETA'!$H$3:H4963,'Stock - ETA'!$F$3:F4963,'Rango proyecciones'!C146,'Stock - ETA'!$Q$3:Q4963,'Rango proyecciones'!$AJ$7)</f>
        <v>8149.056971</v>
      </c>
      <c r="AC146" s="16">
        <f t="shared" si="43"/>
        <v>12469.056971</v>
      </c>
      <c r="AD146" s="4">
        <v>4320</v>
      </c>
      <c r="AE146" s="7">
        <f>SUMIFS('Stock - ETA'!$T$3:T4963,'Stock - ETA'!$F$3:F4963,'Rango proyecciones'!C146,'Stock - ETA'!$AA$3:AA4963,'Rango proyecciones'!$AJ$5) + SUMIFS('Stock - ETA'!$S$3:S4963,'Stock - ETA'!$F$3:F4963,'Rango proyecciones'!C146,'Stock - ETA'!$AA$3:AA4963,'Rango proyecciones'!$AJ$8)</f>
        <v>0</v>
      </c>
      <c r="AF146" s="16">
        <f t="shared" ref="AF146:AF154" si="50">0.6 * AD146 + AE146</f>
        <v>2592</v>
      </c>
      <c r="AG146" s="7">
        <f>SUMIFS('Stock - ETA'!$J$3:J4963,'Stock - ETA'!$F$3:F4963,'Rango proyecciones'!C146,'Stock - ETA'!$Q$3:Q4963,'Rango proyecciones'!$AJ$5) + SUMIFS('Stock - ETA'!$I$3:I4963,'Stock - ETA'!$F$3:F4963,'Rango proyecciones'!C146,'Stock - ETA'!$Q$3:Q4963,'Rango proyecciones'!$AJ$8)</f>
        <v>0</v>
      </c>
      <c r="AH146" s="16">
        <f t="shared" ref="AH146:AH154" si="51">0.6 * AD146 + AG146</f>
        <v>2592</v>
      </c>
      <c r="AI146" s="4"/>
    </row>
    <row r="147" spans="1:35" x14ac:dyDescent="0.2">
      <c r="A147" s="2" t="s">
        <v>50</v>
      </c>
      <c r="B147" s="2" t="s">
        <v>35</v>
      </c>
      <c r="C147" s="2" t="s">
        <v>351</v>
      </c>
      <c r="D147" s="2" t="s">
        <v>52</v>
      </c>
      <c r="E147" s="2">
        <v>1030360</v>
      </c>
      <c r="F147" s="2" t="s">
        <v>352</v>
      </c>
      <c r="G147" s="2" t="s">
        <v>132</v>
      </c>
      <c r="H147" s="4">
        <v>0</v>
      </c>
      <c r="I147" s="7">
        <v>0</v>
      </c>
      <c r="J147" s="7">
        <v>1148</v>
      </c>
      <c r="K147" s="7"/>
      <c r="L147" s="4">
        <f t="shared" si="44"/>
        <v>1722</v>
      </c>
      <c r="M147" s="7">
        <f>SUMIFS('Stock - ETA'!$R$3:R4963,'Stock - ETA'!$F$3:F4963,'Rango proyecciones'!C147,'Stock - ETA'!$AA$3:AA4963,'Rango proyecciones'!$AJ$5)</f>
        <v>0</v>
      </c>
      <c r="N147" s="7">
        <f>SUMIF('Stock - Puerto Chile'!$G$2:G973,'Rango proyecciones'!C147,'Stock - Puerto Chile'!$L$2:L973)</f>
        <v>12943.337399999999</v>
      </c>
      <c r="O147" s="7">
        <f>3935.6 * (25 / 27)</f>
        <v>3644.0740740740739</v>
      </c>
      <c r="P147" s="7">
        <f>4709.3 * (25 / 27)</f>
        <v>4360.4629629629635</v>
      </c>
      <c r="Q147" s="16">
        <f t="shared" si="40"/>
        <v>4360.4629629629635</v>
      </c>
      <c r="R147" s="7">
        <f t="shared" si="46"/>
        <v>2952</v>
      </c>
      <c r="S147" s="7">
        <f>SUMIFS('Stock - ETA'!$H$3:H4963,'Stock - ETA'!$F$3:F4963,'Rango proyecciones'!C147,'Stock - ETA'!$Q$3:Q4963,'Rango proyecciones'!$AJ$5)</f>
        <v>0</v>
      </c>
      <c r="T147" s="7">
        <f>SUMIF('Stock - Puerto Chile'!$G$2:G973,'Rango proyecciones'!C147,'Stock - Puerto Chile'!$N$2:N973)</f>
        <v>15532.004879999999</v>
      </c>
      <c r="U147" s="7">
        <f>3935.6 * (25 / 27)</f>
        <v>3644.0740740740739</v>
      </c>
      <c r="V147" s="7">
        <f>4709.3 * (25 / 27)</f>
        <v>4360.4629629629635</v>
      </c>
      <c r="W147" s="17">
        <f t="shared" si="41"/>
        <v>8004.5370370370374</v>
      </c>
      <c r="X147" s="4">
        <v>4920</v>
      </c>
      <c r="Y147" s="7">
        <v>4920</v>
      </c>
      <c r="Z147" s="18">
        <f>SUMIFS('Stock - ETA'!$S$3:S4963,'Stock - ETA'!$F$3:F4963,'Rango proyecciones'!C147,'Stock - ETA'!$AA$3:AA4963,'Rango proyecciones'!$AJ$5) + SUMIFS('Stock - ETA'!$R$3:R4963,'Stock - ETA'!$F$3:F4963,'Rango proyecciones'!C147,'Stock - ETA'!$AA$3:AA4963,'Rango proyecciones'!$AJ$7)</f>
        <v>3082.1803199999999</v>
      </c>
      <c r="AA147" s="13">
        <f t="shared" si="42"/>
        <v>8002.1803199999995</v>
      </c>
      <c r="AB147" s="7">
        <f>SUMIFS('Stock - ETA'!$I$3:I4963,'Stock - ETA'!$F$3:F4963,'Rango proyecciones'!C147,'Stock - ETA'!$Q$3:Q4963,'Rango proyecciones'!$AJ$5) + SUMIFS('Stock - ETA'!$H$3:H4963,'Stock - ETA'!$F$3:F4963,'Rango proyecciones'!C147,'Stock - ETA'!$Q$3:Q4963,'Rango proyecciones'!$AJ$7)</f>
        <v>3082.1803199999999</v>
      </c>
      <c r="AC147" s="16">
        <f t="shared" si="43"/>
        <v>8002.1803199999995</v>
      </c>
      <c r="AD147" s="4">
        <v>4920</v>
      </c>
      <c r="AE147" s="7">
        <f>SUMIFS('Stock - ETA'!$T$3:T4963,'Stock - ETA'!$F$3:F4963,'Rango proyecciones'!C147,'Stock - ETA'!$AA$3:AA4963,'Rango proyecciones'!$AJ$5) + SUMIFS('Stock - ETA'!$S$3:S4963,'Stock - ETA'!$F$3:F4963,'Rango proyecciones'!C147,'Stock - ETA'!$AA$3:AA4963,'Rango proyecciones'!$AJ$8)</f>
        <v>0</v>
      </c>
      <c r="AF147" s="16">
        <f t="shared" si="50"/>
        <v>2952</v>
      </c>
      <c r="AG147" s="7">
        <f>SUMIFS('Stock - ETA'!$J$3:J4963,'Stock - ETA'!$F$3:F4963,'Rango proyecciones'!C147,'Stock - ETA'!$Q$3:Q4963,'Rango proyecciones'!$AJ$5) + SUMIFS('Stock - ETA'!$I$3:I4963,'Stock - ETA'!$F$3:F4963,'Rango proyecciones'!C147,'Stock - ETA'!$Q$3:Q4963,'Rango proyecciones'!$AJ$8)</f>
        <v>0</v>
      </c>
      <c r="AH147" s="16">
        <f t="shared" si="51"/>
        <v>2952</v>
      </c>
      <c r="AI147" s="4"/>
    </row>
    <row r="148" spans="1:35" x14ac:dyDescent="0.2">
      <c r="A148" s="2" t="s">
        <v>50</v>
      </c>
      <c r="B148" s="2" t="s">
        <v>35</v>
      </c>
      <c r="C148" s="2" t="s">
        <v>353</v>
      </c>
      <c r="D148" s="2" t="s">
        <v>52</v>
      </c>
      <c r="E148" s="2">
        <v>1030366</v>
      </c>
      <c r="F148" s="2" t="s">
        <v>354</v>
      </c>
      <c r="G148" s="2" t="s">
        <v>132</v>
      </c>
      <c r="H148" s="4">
        <v>0</v>
      </c>
      <c r="I148" s="7">
        <v>0</v>
      </c>
      <c r="J148" s="7">
        <v>0</v>
      </c>
      <c r="K148" s="7">
        <v>0</v>
      </c>
      <c r="L148" s="4">
        <f t="shared" si="44"/>
        <v>0</v>
      </c>
      <c r="M148" s="7">
        <f>SUMIFS('Stock - ETA'!$R$3:R4963,'Stock - ETA'!$F$3:F4963,'Rango proyecciones'!C148,'Stock - ETA'!$AA$3:AA4963,'Rango proyecciones'!$AJ$5)</f>
        <v>0</v>
      </c>
      <c r="N148" s="7">
        <f>SUMIF('Stock - Puerto Chile'!$G$2:G973,'Rango proyecciones'!C148,'Stock - Puerto Chile'!$L$2:L973)</f>
        <v>0</v>
      </c>
      <c r="O148" s="7">
        <f>871.23 * (25 / 27)</f>
        <v>806.69444444444446</v>
      </c>
      <c r="P148" s="7">
        <f>871.32 * (25 / 27)</f>
        <v>806.77777777777783</v>
      </c>
      <c r="Q148" s="16">
        <f t="shared" si="40"/>
        <v>806.77777777777783</v>
      </c>
      <c r="R148" s="7">
        <f t="shared" si="46"/>
        <v>0</v>
      </c>
      <c r="S148" s="7">
        <f>SUMIFS('Stock - ETA'!$H$3:H4963,'Stock - ETA'!$F$3:F4963,'Rango proyecciones'!C148,'Stock - ETA'!$Q$3:Q4963,'Rango proyecciones'!$AJ$5)</f>
        <v>0</v>
      </c>
      <c r="T148" s="7">
        <f>SUMIF('Stock - Puerto Chile'!$G$2:G973,'Rango proyecciones'!C148,'Stock - Puerto Chile'!$N$2:N973)</f>
        <v>0</v>
      </c>
      <c r="U148" s="7">
        <f>871.23 * (25 / 27)</f>
        <v>806.69444444444446</v>
      </c>
      <c r="V148" s="7">
        <f>871.32 * (25 / 27)</f>
        <v>806.77777777777783</v>
      </c>
      <c r="W148" s="17">
        <f t="shared" si="41"/>
        <v>1613.4722222222222</v>
      </c>
      <c r="X148" s="4">
        <v>840</v>
      </c>
      <c r="Y148" s="7">
        <v>840</v>
      </c>
      <c r="Z148" s="18">
        <f>SUMIFS('Stock - ETA'!$S$3:S4963,'Stock - ETA'!$F$3:F4963,'Rango proyecciones'!C148,'Stock - ETA'!$AA$3:AA4963,'Rango proyecciones'!$AJ$5) + SUMIFS('Stock - ETA'!$R$3:R4963,'Stock - ETA'!$F$3:F4963,'Rango proyecciones'!C148,'Stock - ETA'!$AA$3:AA4963,'Rango proyecciones'!$AJ$7)</f>
        <v>8251.2331049999993</v>
      </c>
      <c r="AA148" s="13">
        <f t="shared" si="42"/>
        <v>9091.2331049999993</v>
      </c>
      <c r="AB148" s="7">
        <f>SUMIFS('Stock - ETA'!$I$3:I4963,'Stock - ETA'!$F$3:F4963,'Rango proyecciones'!C148,'Stock - ETA'!$Q$3:Q4963,'Rango proyecciones'!$AJ$5) + SUMIFS('Stock - ETA'!$H$3:H4963,'Stock - ETA'!$F$3:F4963,'Rango proyecciones'!C148,'Stock - ETA'!$Q$3:Q4963,'Rango proyecciones'!$AJ$7)</f>
        <v>8251.2331049999993</v>
      </c>
      <c r="AC148" s="16">
        <f t="shared" si="43"/>
        <v>9091.2331049999993</v>
      </c>
      <c r="AD148" s="4">
        <v>840</v>
      </c>
      <c r="AE148" s="7">
        <f>SUMIFS('Stock - ETA'!$T$3:T4963,'Stock - ETA'!$F$3:F4963,'Rango proyecciones'!C148,'Stock - ETA'!$AA$3:AA4963,'Rango proyecciones'!$AJ$5) + SUMIFS('Stock - ETA'!$S$3:S4963,'Stock - ETA'!$F$3:F4963,'Rango proyecciones'!C148,'Stock - ETA'!$AA$3:AA4963,'Rango proyecciones'!$AJ$8)</f>
        <v>0</v>
      </c>
      <c r="AF148" s="16">
        <f t="shared" si="50"/>
        <v>504</v>
      </c>
      <c r="AG148" s="7">
        <f>SUMIFS('Stock - ETA'!$J$3:J4963,'Stock - ETA'!$F$3:F4963,'Rango proyecciones'!C148,'Stock - ETA'!$Q$3:Q4963,'Rango proyecciones'!$AJ$5) + SUMIFS('Stock - ETA'!$I$3:I4963,'Stock - ETA'!$F$3:F4963,'Rango proyecciones'!C148,'Stock - ETA'!$Q$3:Q4963,'Rango proyecciones'!$AJ$8)</f>
        <v>0</v>
      </c>
      <c r="AH148" s="16">
        <f t="shared" si="51"/>
        <v>504</v>
      </c>
      <c r="AI148" s="4"/>
    </row>
    <row r="149" spans="1:35" x14ac:dyDescent="0.2">
      <c r="A149" s="2" t="s">
        <v>50</v>
      </c>
      <c r="B149" s="2" t="s">
        <v>35</v>
      </c>
      <c r="C149" s="2" t="s">
        <v>355</v>
      </c>
      <c r="D149" s="2" t="s">
        <v>52</v>
      </c>
      <c r="E149" s="2">
        <v>1030370</v>
      </c>
      <c r="F149" s="2" t="s">
        <v>356</v>
      </c>
      <c r="G149" s="2" t="s">
        <v>181</v>
      </c>
      <c r="H149" s="4">
        <v>0</v>
      </c>
      <c r="I149" s="7">
        <v>0</v>
      </c>
      <c r="J149" s="7">
        <v>2200</v>
      </c>
      <c r="K149" s="7"/>
      <c r="L149" s="4">
        <f t="shared" si="44"/>
        <v>3300</v>
      </c>
      <c r="M149" s="7">
        <f>SUMIFS('Stock - ETA'!$R$3:R4963,'Stock - ETA'!$F$3:F4963,'Rango proyecciones'!C149,'Stock - ETA'!$AA$3:AA4963,'Rango proyecciones'!$AJ$5)</f>
        <v>11992.97248</v>
      </c>
      <c r="N149" s="7">
        <f>SUMIF('Stock - Puerto Chile'!$G$2:G973,'Rango proyecciones'!C149,'Stock - Puerto Chile'!$L$2:L973)</f>
        <v>0</v>
      </c>
      <c r="O149" s="7">
        <f>7872.76 * (25 / 27)</f>
        <v>7289.5925925925931</v>
      </c>
      <c r="P149" s="7">
        <f>2.436 * (25 / 27)</f>
        <v>2.2555555555555555</v>
      </c>
      <c r="Q149" s="16">
        <f t="shared" si="40"/>
        <v>11995.228035555556</v>
      </c>
      <c r="R149" s="7">
        <f t="shared" si="46"/>
        <v>5657.1428571428578</v>
      </c>
      <c r="S149" s="7">
        <f>SUMIFS('Stock - ETA'!$H$3:H4963,'Stock - ETA'!$F$3:F4963,'Rango proyecciones'!C149,'Stock - ETA'!$Q$3:Q4963,'Rango proyecciones'!$AJ$5)</f>
        <v>11992.97248</v>
      </c>
      <c r="T149" s="7">
        <f>SUMIF('Stock - Puerto Chile'!$G$2:G973,'Rango proyecciones'!C149,'Stock - Puerto Chile'!$N$2:N973)</f>
        <v>0</v>
      </c>
      <c r="U149" s="7">
        <f>7872.76 * (25 / 27)</f>
        <v>7289.5925925925931</v>
      </c>
      <c r="V149" s="7">
        <f>2.436 * (25 / 27)</f>
        <v>2.2555555555555555</v>
      </c>
      <c r="W149" s="17">
        <f t="shared" si="41"/>
        <v>19284.820628148147</v>
      </c>
      <c r="X149" s="4">
        <v>20000</v>
      </c>
      <c r="Y149" s="7">
        <v>20000</v>
      </c>
      <c r="Z149" s="18">
        <f>SUMIFS('Stock - ETA'!$S$3:S4963,'Stock - ETA'!$F$3:F4963,'Rango proyecciones'!C149,'Stock - ETA'!$AA$3:AA4963,'Rango proyecciones'!$AJ$5) + SUMIFS('Stock - ETA'!$R$3:R4963,'Stock - ETA'!$F$3:F4963,'Rango proyecciones'!C149,'Stock - ETA'!$AA$3:AA4963,'Rango proyecciones'!$AJ$7)</f>
        <v>18143.68</v>
      </c>
      <c r="AA149" s="13">
        <f t="shared" si="42"/>
        <v>38143.68</v>
      </c>
      <c r="AB149" s="7">
        <f>SUMIFS('Stock - ETA'!$I$3:I4963,'Stock - ETA'!$F$3:F4963,'Rango proyecciones'!C149,'Stock - ETA'!$Q$3:Q4963,'Rango proyecciones'!$AJ$5) + SUMIFS('Stock - ETA'!$H$3:H4963,'Stock - ETA'!$F$3:F4963,'Rango proyecciones'!C149,'Stock - ETA'!$Q$3:Q4963,'Rango proyecciones'!$AJ$7)</f>
        <v>18143.68</v>
      </c>
      <c r="AC149" s="16">
        <f t="shared" si="43"/>
        <v>38143.68</v>
      </c>
      <c r="AD149" s="4">
        <v>20000</v>
      </c>
      <c r="AE149" s="7">
        <f>SUMIFS('Stock - ETA'!$T$3:T4963,'Stock - ETA'!$F$3:F4963,'Rango proyecciones'!C149,'Stock - ETA'!$AA$3:AA4963,'Rango proyecciones'!$AJ$5) + SUMIFS('Stock - ETA'!$S$3:S4963,'Stock - ETA'!$F$3:F4963,'Rango proyecciones'!C149,'Stock - ETA'!$AA$3:AA4963,'Rango proyecciones'!$AJ$8)</f>
        <v>0</v>
      </c>
      <c r="AF149" s="16">
        <f t="shared" si="50"/>
        <v>12000</v>
      </c>
      <c r="AG149" s="7">
        <f>SUMIFS('Stock - ETA'!$J$3:J4963,'Stock - ETA'!$F$3:F4963,'Rango proyecciones'!C149,'Stock - ETA'!$Q$3:Q4963,'Rango proyecciones'!$AJ$5) + SUMIFS('Stock - ETA'!$I$3:I4963,'Stock - ETA'!$F$3:F4963,'Rango proyecciones'!C149,'Stock - ETA'!$Q$3:Q4963,'Rango proyecciones'!$AJ$8)</f>
        <v>0</v>
      </c>
      <c r="AH149" s="16">
        <f t="shared" si="51"/>
        <v>12000</v>
      </c>
      <c r="AI149" s="4"/>
    </row>
    <row r="150" spans="1:35" x14ac:dyDescent="0.2">
      <c r="A150" s="2" t="s">
        <v>50</v>
      </c>
      <c r="B150" s="2" t="s">
        <v>35</v>
      </c>
      <c r="C150" s="2" t="s">
        <v>357</v>
      </c>
      <c r="D150" s="2" t="s">
        <v>52</v>
      </c>
      <c r="E150" s="2">
        <v>1030376</v>
      </c>
      <c r="F150" s="2" t="s">
        <v>358</v>
      </c>
      <c r="G150" s="2" t="s">
        <v>132</v>
      </c>
      <c r="H150" s="4">
        <v>0</v>
      </c>
      <c r="I150" s="7">
        <v>0</v>
      </c>
      <c r="J150" s="7">
        <v>0</v>
      </c>
      <c r="K150" s="7">
        <v>0</v>
      </c>
      <c r="L150" s="4">
        <f t="shared" si="44"/>
        <v>0</v>
      </c>
      <c r="M150" s="7">
        <f>SUMIFS('Stock - ETA'!$R$3:R4963,'Stock - ETA'!$F$3:F4963,'Rango proyecciones'!C150,'Stock - ETA'!$AA$3:AA4963,'Rango proyecciones'!$AJ$5)</f>
        <v>0</v>
      </c>
      <c r="N150" s="7">
        <f>SUMIF('Stock - Puerto Chile'!$G$2:G973,'Rango proyecciones'!C150,'Stock - Puerto Chile'!$L$2:L973)</f>
        <v>0</v>
      </c>
      <c r="O150" s="7">
        <f>5639.755 * (25 / 27)</f>
        <v>5221.9953703703704</v>
      </c>
      <c r="P150" s="7">
        <f>4004.7 * (25 / 27)</f>
        <v>3708.0555555555552</v>
      </c>
      <c r="Q150" s="16">
        <f t="shared" si="40"/>
        <v>3708.0555555555552</v>
      </c>
      <c r="R150" s="7">
        <f t="shared" si="46"/>
        <v>0</v>
      </c>
      <c r="S150" s="7">
        <f>SUMIFS('Stock - ETA'!$H$3:H4963,'Stock - ETA'!$F$3:F4963,'Rango proyecciones'!C150,'Stock - ETA'!$Q$3:Q4963,'Rango proyecciones'!$AJ$5)</f>
        <v>0</v>
      </c>
      <c r="T150" s="7">
        <f>SUMIF('Stock - Puerto Chile'!$G$2:G973,'Rango proyecciones'!C150,'Stock - Puerto Chile'!$N$2:N973)</f>
        <v>0</v>
      </c>
      <c r="U150" s="7">
        <f>5639.755 * (25 / 27)</f>
        <v>5221.9953703703704</v>
      </c>
      <c r="V150" s="7">
        <f>4004.7 * (25 / 27)</f>
        <v>3708.0555555555552</v>
      </c>
      <c r="W150" s="17">
        <f t="shared" si="41"/>
        <v>8930.0509259259252</v>
      </c>
      <c r="X150" s="4">
        <v>5520</v>
      </c>
      <c r="Y150" s="7">
        <v>5520</v>
      </c>
      <c r="Z150" s="18">
        <f>SUMIFS('Stock - ETA'!$S$3:S4963,'Stock - ETA'!$F$3:F4963,'Rango proyecciones'!C150,'Stock - ETA'!$AA$3:AA4963,'Rango proyecciones'!$AJ$5) + SUMIFS('Stock - ETA'!$R$3:R4963,'Stock - ETA'!$F$3:F4963,'Rango proyecciones'!C150,'Stock - ETA'!$AA$3:AA4963,'Rango proyecciones'!$AJ$7)</f>
        <v>0</v>
      </c>
      <c r="AA150" s="13">
        <f t="shared" si="42"/>
        <v>5520</v>
      </c>
      <c r="AB150" s="7">
        <f>SUMIFS('Stock - ETA'!$I$3:I4963,'Stock - ETA'!$F$3:F4963,'Rango proyecciones'!C150,'Stock - ETA'!$Q$3:Q4963,'Rango proyecciones'!$AJ$5) + SUMIFS('Stock - ETA'!$H$3:H4963,'Stock - ETA'!$F$3:F4963,'Rango proyecciones'!C150,'Stock - ETA'!$Q$3:Q4963,'Rango proyecciones'!$AJ$7)</f>
        <v>0</v>
      </c>
      <c r="AC150" s="16">
        <f t="shared" si="43"/>
        <v>5520</v>
      </c>
      <c r="AD150" s="4">
        <v>5520</v>
      </c>
      <c r="AE150" s="7">
        <f>SUMIFS('Stock - ETA'!$T$3:T4963,'Stock - ETA'!$F$3:F4963,'Rango proyecciones'!C150,'Stock - ETA'!$AA$3:AA4963,'Rango proyecciones'!$AJ$5) + SUMIFS('Stock - ETA'!$S$3:S4963,'Stock - ETA'!$F$3:F4963,'Rango proyecciones'!C150,'Stock - ETA'!$AA$3:AA4963,'Rango proyecciones'!$AJ$8)</f>
        <v>0</v>
      </c>
      <c r="AF150" s="16">
        <f t="shared" si="50"/>
        <v>3312</v>
      </c>
      <c r="AG150" s="7">
        <f>SUMIFS('Stock - ETA'!$J$3:J4963,'Stock - ETA'!$F$3:F4963,'Rango proyecciones'!C150,'Stock - ETA'!$Q$3:Q4963,'Rango proyecciones'!$AJ$5) + SUMIFS('Stock - ETA'!$I$3:I4963,'Stock - ETA'!$F$3:F4963,'Rango proyecciones'!C150,'Stock - ETA'!$Q$3:Q4963,'Rango proyecciones'!$AJ$8)</f>
        <v>0</v>
      </c>
      <c r="AH150" s="16">
        <f t="shared" si="51"/>
        <v>3312</v>
      </c>
      <c r="AI150" s="4"/>
    </row>
    <row r="151" spans="1:35" x14ac:dyDescent="0.2">
      <c r="A151" s="2" t="s">
        <v>50</v>
      </c>
      <c r="B151" s="2" t="s">
        <v>35</v>
      </c>
      <c r="C151" s="2" t="s">
        <v>359</v>
      </c>
      <c r="D151" s="2" t="s">
        <v>52</v>
      </c>
      <c r="E151" s="2">
        <v>1030424</v>
      </c>
      <c r="F151" s="2" t="s">
        <v>360</v>
      </c>
      <c r="G151" s="2" t="s">
        <v>79</v>
      </c>
      <c r="H151" s="4">
        <v>0</v>
      </c>
      <c r="I151" s="7">
        <v>0</v>
      </c>
      <c r="J151" s="7">
        <v>11000</v>
      </c>
      <c r="K151" s="7">
        <v>3095.3420000000001</v>
      </c>
      <c r="L151" s="4">
        <f t="shared" si="44"/>
        <v>11856.986999999999</v>
      </c>
      <c r="M151" s="7">
        <f>SUMIFS('Stock - ETA'!$R$3:R4963,'Stock - ETA'!$F$3:F4963,'Rango proyecciones'!C151,'Stock - ETA'!$AA$3:AA4963,'Rango proyecciones'!$AJ$5)</f>
        <v>45015.84446</v>
      </c>
      <c r="N151" s="7">
        <f>SUMIF('Stock - Puerto Chile'!$G$2:G973,'Rango proyecciones'!C151,'Stock - Puerto Chile'!$L$2:L973)</f>
        <v>54201.648000000001</v>
      </c>
      <c r="O151" s="7">
        <f>0 * (25 / 27)</f>
        <v>0</v>
      </c>
      <c r="P151" s="7">
        <f>23409.214 * (25 / 27)</f>
        <v>21675.198148148149</v>
      </c>
      <c r="Q151" s="16">
        <f t="shared" si="40"/>
        <v>66691.042608148156</v>
      </c>
      <c r="R151" s="7">
        <f t="shared" si="46"/>
        <v>20326.26342857143</v>
      </c>
      <c r="S151" s="7">
        <f>SUMIFS('Stock - ETA'!$H$3:H4963,'Stock - ETA'!$F$3:F4963,'Rango proyecciones'!C151,'Stock - ETA'!$Q$3:Q4963,'Rango proyecciones'!$AJ$5)</f>
        <v>45015.84446</v>
      </c>
      <c r="T151" s="7">
        <f>SUMIF('Stock - Puerto Chile'!$G$2:G973,'Rango proyecciones'!C151,'Stock - Puerto Chile'!$N$2:N973)</f>
        <v>65041.977599999998</v>
      </c>
      <c r="U151" s="7">
        <f>0 * (25 / 27)</f>
        <v>0</v>
      </c>
      <c r="V151" s="7">
        <f>23409.214 * (25 / 27)</f>
        <v>21675.198148148149</v>
      </c>
      <c r="W151" s="17">
        <f t="shared" si="41"/>
        <v>66691.042608148156</v>
      </c>
      <c r="X151" s="4">
        <v>59988</v>
      </c>
      <c r="Y151" s="7">
        <v>59988</v>
      </c>
      <c r="Z151" s="18">
        <f>SUMIFS('Stock - ETA'!$S$3:S4963,'Stock - ETA'!$F$3:F4963,'Rango proyecciones'!C151,'Stock - ETA'!$AA$3:AA4963,'Rango proyecciones'!$AJ$5) + SUMIFS('Stock - ETA'!$R$3:R4963,'Stock - ETA'!$F$3:F4963,'Rango proyecciones'!C151,'Stock - ETA'!$AA$3:AA4963,'Rango proyecciones'!$AJ$7)</f>
        <v>67515.645139999993</v>
      </c>
      <c r="AA151" s="13">
        <f t="shared" si="42"/>
        <v>127503.64513999999</v>
      </c>
      <c r="AB151" s="7">
        <f>SUMIFS('Stock - ETA'!$I$3:I4963,'Stock - ETA'!$F$3:F4963,'Rango proyecciones'!C151,'Stock - ETA'!$Q$3:Q4963,'Rango proyecciones'!$AJ$5) + SUMIFS('Stock - ETA'!$H$3:H4963,'Stock - ETA'!$F$3:F4963,'Rango proyecciones'!C151,'Stock - ETA'!$Q$3:Q4963,'Rango proyecciones'!$AJ$7)</f>
        <v>67515.645139999993</v>
      </c>
      <c r="AC151" s="16">
        <f t="shared" si="43"/>
        <v>127503.64513999999</v>
      </c>
      <c r="AD151" s="4">
        <v>59988</v>
      </c>
      <c r="AE151" s="7">
        <f>SUMIFS('Stock - ETA'!$T$3:T4963,'Stock - ETA'!$F$3:F4963,'Rango proyecciones'!C151,'Stock - ETA'!$AA$3:AA4963,'Rango proyecciones'!$AJ$5) + SUMIFS('Stock - ETA'!$S$3:S4963,'Stock - ETA'!$F$3:F4963,'Rango proyecciones'!C151,'Stock - ETA'!$AA$3:AA4963,'Rango proyecciones'!$AJ$8)</f>
        <v>0</v>
      </c>
      <c r="AF151" s="16">
        <f t="shared" si="50"/>
        <v>35992.799999999996</v>
      </c>
      <c r="AG151" s="7">
        <f>SUMIFS('Stock - ETA'!$J$3:J4963,'Stock - ETA'!$F$3:F4963,'Rango proyecciones'!C151,'Stock - ETA'!$Q$3:Q4963,'Rango proyecciones'!$AJ$5) + SUMIFS('Stock - ETA'!$I$3:I4963,'Stock - ETA'!$F$3:F4963,'Rango proyecciones'!C151,'Stock - ETA'!$Q$3:Q4963,'Rango proyecciones'!$AJ$8)</f>
        <v>0</v>
      </c>
      <c r="AH151" s="16">
        <f t="shared" si="51"/>
        <v>35992.799999999996</v>
      </c>
      <c r="AI151" s="4"/>
    </row>
    <row r="152" spans="1:35" x14ac:dyDescent="0.2">
      <c r="A152" s="2" t="s">
        <v>50</v>
      </c>
      <c r="B152" s="2" t="s">
        <v>35</v>
      </c>
      <c r="C152" s="2" t="s">
        <v>361</v>
      </c>
      <c r="D152" s="2" t="s">
        <v>52</v>
      </c>
      <c r="E152" s="2">
        <v>1030735</v>
      </c>
      <c r="F152" s="2" t="s">
        <v>362</v>
      </c>
      <c r="G152" s="2" t="s">
        <v>54</v>
      </c>
      <c r="H152" s="4">
        <v>0</v>
      </c>
      <c r="I152" s="7">
        <v>0</v>
      </c>
      <c r="J152" s="7">
        <v>0</v>
      </c>
      <c r="K152" s="7">
        <v>0</v>
      </c>
      <c r="L152" s="4">
        <f t="shared" si="44"/>
        <v>0</v>
      </c>
      <c r="M152" s="7">
        <f>SUMIFS('Stock - ETA'!$R$3:R4963,'Stock - ETA'!$F$3:F4963,'Rango proyecciones'!C152,'Stock - ETA'!$AA$3:AA4963,'Rango proyecciones'!$AJ$5)</f>
        <v>0</v>
      </c>
      <c r="N152" s="7">
        <f>SUMIF('Stock - Puerto Chile'!$G$2:G973,'Rango proyecciones'!C152,'Stock - Puerto Chile'!$L$2:L973)</f>
        <v>0</v>
      </c>
      <c r="O152" s="7">
        <f>19051.2 * (25 / 27)</f>
        <v>17640</v>
      </c>
      <c r="P152" s="7">
        <f>0 * (25 / 27)</f>
        <v>0</v>
      </c>
      <c r="Q152" s="16">
        <f t="shared" si="40"/>
        <v>0</v>
      </c>
      <c r="R152" s="7">
        <f t="shared" si="46"/>
        <v>0</v>
      </c>
      <c r="S152" s="7">
        <f>SUMIFS('Stock - ETA'!$H$3:H4963,'Stock - ETA'!$F$3:F4963,'Rango proyecciones'!C152,'Stock - ETA'!$Q$3:Q4963,'Rango proyecciones'!$AJ$5)</f>
        <v>0</v>
      </c>
      <c r="T152" s="7">
        <f>SUMIF('Stock - Puerto Chile'!$G$2:G973,'Rango proyecciones'!C152,'Stock - Puerto Chile'!$N$2:N973)</f>
        <v>0</v>
      </c>
      <c r="U152" s="7">
        <f>19051.2 * (25 / 27)</f>
        <v>17640</v>
      </c>
      <c r="V152" s="7">
        <f>0 * (25 / 27)</f>
        <v>0</v>
      </c>
      <c r="W152" s="17">
        <f t="shared" si="41"/>
        <v>17640</v>
      </c>
      <c r="X152" s="4"/>
      <c r="Y152" s="7"/>
      <c r="Z152" s="18">
        <f>SUMIFS('Stock - ETA'!$S$3:S4963,'Stock - ETA'!$F$3:F4963,'Rango proyecciones'!C152,'Stock - ETA'!$AA$3:AA4963,'Rango proyecciones'!$AJ$5) + SUMIFS('Stock - ETA'!$R$3:R4963,'Stock - ETA'!$F$3:F4963,'Rango proyecciones'!C152,'Stock - ETA'!$AA$3:AA4963,'Rango proyecciones'!$AJ$7)</f>
        <v>0</v>
      </c>
      <c r="AA152" s="13">
        <f t="shared" si="42"/>
        <v>0</v>
      </c>
      <c r="AB152" s="7">
        <f>SUMIFS('Stock - ETA'!$I$3:I4963,'Stock - ETA'!$F$3:F4963,'Rango proyecciones'!C152,'Stock - ETA'!$Q$3:Q4963,'Rango proyecciones'!$AJ$5) + SUMIFS('Stock - ETA'!$H$3:H4963,'Stock - ETA'!$F$3:F4963,'Rango proyecciones'!C152,'Stock - ETA'!$Q$3:Q4963,'Rango proyecciones'!$AJ$7)</f>
        <v>0</v>
      </c>
      <c r="AC152" s="16">
        <f t="shared" si="43"/>
        <v>0</v>
      </c>
      <c r="AD152" s="4">
        <v>24041</v>
      </c>
      <c r="AE152" s="7">
        <f>SUMIFS('Stock - ETA'!$T$3:T4963,'Stock - ETA'!$F$3:F4963,'Rango proyecciones'!C152,'Stock - ETA'!$AA$3:AA4963,'Rango proyecciones'!$AJ$5) + SUMIFS('Stock - ETA'!$S$3:S4963,'Stock - ETA'!$F$3:F4963,'Rango proyecciones'!C152,'Stock - ETA'!$AA$3:AA4963,'Rango proyecciones'!$AJ$8)</f>
        <v>0</v>
      </c>
      <c r="AF152" s="16">
        <f t="shared" si="50"/>
        <v>14424.6</v>
      </c>
      <c r="AG152" s="7">
        <f>SUMIFS('Stock - ETA'!$J$3:J4963,'Stock - ETA'!$F$3:F4963,'Rango proyecciones'!C152,'Stock - ETA'!$Q$3:Q4963,'Rango proyecciones'!$AJ$5) + SUMIFS('Stock - ETA'!$I$3:I4963,'Stock - ETA'!$F$3:F4963,'Rango proyecciones'!C152,'Stock - ETA'!$Q$3:Q4963,'Rango proyecciones'!$AJ$8)</f>
        <v>0</v>
      </c>
      <c r="AH152" s="16">
        <f t="shared" si="51"/>
        <v>14424.6</v>
      </c>
      <c r="AI152" s="4"/>
    </row>
    <row r="153" spans="1:35" x14ac:dyDescent="0.2">
      <c r="A153" s="2" t="s">
        <v>50</v>
      </c>
      <c r="B153" s="2" t="s">
        <v>35</v>
      </c>
      <c r="C153" s="2" t="s">
        <v>363</v>
      </c>
      <c r="D153" s="2" t="s">
        <v>52</v>
      </c>
      <c r="E153" s="2">
        <v>1030784</v>
      </c>
      <c r="F153" s="2" t="s">
        <v>364</v>
      </c>
      <c r="G153" s="2" t="s">
        <v>132</v>
      </c>
      <c r="H153" s="4">
        <v>0</v>
      </c>
      <c r="I153" s="7">
        <v>0</v>
      </c>
      <c r="J153" s="7">
        <v>1372</v>
      </c>
      <c r="K153" s="7"/>
      <c r="L153" s="4">
        <f t="shared" si="44"/>
        <v>2058</v>
      </c>
      <c r="M153" s="7">
        <f>SUMIFS('Stock - ETA'!$R$3:R4963,'Stock - ETA'!$F$3:F4963,'Rango proyecciones'!C153,'Stock - ETA'!$AA$3:AA4963,'Rango proyecciones'!$AJ$5)</f>
        <v>0</v>
      </c>
      <c r="N153" s="7">
        <f>SUMIF('Stock - Puerto Chile'!$G$2:G973,'Rango proyecciones'!C153,'Stock - Puerto Chile'!$L$2:L973)</f>
        <v>0</v>
      </c>
      <c r="O153" s="7">
        <f>3403.27 * (25 / 27)</f>
        <v>3151.1759259259261</v>
      </c>
      <c r="P153" s="7">
        <f>0 * (25 / 27)</f>
        <v>0</v>
      </c>
      <c r="Q153" s="16">
        <f t="shared" si="40"/>
        <v>0</v>
      </c>
      <c r="R153" s="7">
        <f t="shared" si="46"/>
        <v>3528.0000000000005</v>
      </c>
      <c r="S153" s="7">
        <f>SUMIFS('Stock - ETA'!$H$3:H4963,'Stock - ETA'!$F$3:F4963,'Rango proyecciones'!C153,'Stock - ETA'!$Q$3:Q4963,'Rango proyecciones'!$AJ$5)</f>
        <v>0</v>
      </c>
      <c r="T153" s="7">
        <f>SUMIF('Stock - Puerto Chile'!$G$2:G973,'Rango proyecciones'!C153,'Stock - Puerto Chile'!$N$2:N973)</f>
        <v>0</v>
      </c>
      <c r="U153" s="7">
        <f>3403.27 * (25 / 27)</f>
        <v>3151.1759259259261</v>
      </c>
      <c r="V153" s="7">
        <f>0 * (25 / 27)</f>
        <v>0</v>
      </c>
      <c r="W153" s="17">
        <f t="shared" si="41"/>
        <v>3151.1759259259261</v>
      </c>
      <c r="X153" s="4">
        <v>5880</v>
      </c>
      <c r="Y153" s="7">
        <v>5880</v>
      </c>
      <c r="Z153" s="18">
        <f>SUMIFS('Stock - ETA'!$S$3:S4963,'Stock - ETA'!$F$3:F4963,'Rango proyecciones'!C153,'Stock - ETA'!$AA$3:AA4963,'Rango proyecciones'!$AJ$5) + SUMIFS('Stock - ETA'!$R$3:R4963,'Stock - ETA'!$F$3:F4963,'Rango proyecciones'!C153,'Stock - ETA'!$AA$3:AA4963,'Rango proyecciones'!$AJ$7)</f>
        <v>0</v>
      </c>
      <c r="AA153" s="13">
        <f t="shared" si="42"/>
        <v>5880</v>
      </c>
      <c r="AB153" s="7">
        <f>SUMIFS('Stock - ETA'!$I$3:I4963,'Stock - ETA'!$F$3:F4963,'Rango proyecciones'!C153,'Stock - ETA'!$Q$3:Q4963,'Rango proyecciones'!$AJ$5) + SUMIFS('Stock - ETA'!$H$3:H4963,'Stock - ETA'!$F$3:F4963,'Rango proyecciones'!C153,'Stock - ETA'!$Q$3:Q4963,'Rango proyecciones'!$AJ$7)</f>
        <v>0</v>
      </c>
      <c r="AC153" s="16">
        <f t="shared" si="43"/>
        <v>5880</v>
      </c>
      <c r="AD153" s="4">
        <v>5880</v>
      </c>
      <c r="AE153" s="7">
        <f>SUMIFS('Stock - ETA'!$T$3:T4963,'Stock - ETA'!$F$3:F4963,'Rango proyecciones'!C153,'Stock - ETA'!$AA$3:AA4963,'Rango proyecciones'!$AJ$5) + SUMIFS('Stock - ETA'!$S$3:S4963,'Stock - ETA'!$F$3:F4963,'Rango proyecciones'!C153,'Stock - ETA'!$AA$3:AA4963,'Rango proyecciones'!$AJ$8)</f>
        <v>0</v>
      </c>
      <c r="AF153" s="16">
        <f t="shared" si="50"/>
        <v>3528</v>
      </c>
      <c r="AG153" s="7">
        <f>SUMIFS('Stock - ETA'!$J$3:J4963,'Stock - ETA'!$F$3:F4963,'Rango proyecciones'!C153,'Stock - ETA'!$Q$3:Q4963,'Rango proyecciones'!$AJ$5) + SUMIFS('Stock - ETA'!$I$3:I4963,'Stock - ETA'!$F$3:F4963,'Rango proyecciones'!C153,'Stock - ETA'!$Q$3:Q4963,'Rango proyecciones'!$AJ$8)</f>
        <v>0</v>
      </c>
      <c r="AH153" s="16">
        <f t="shared" si="51"/>
        <v>3528</v>
      </c>
      <c r="AI153" s="4"/>
    </row>
    <row r="154" spans="1:35" x14ac:dyDescent="0.2">
      <c r="A154" s="2" t="s">
        <v>50</v>
      </c>
      <c r="B154" s="2" t="s">
        <v>35</v>
      </c>
      <c r="C154" s="2" t="s">
        <v>365</v>
      </c>
      <c r="D154" s="2" t="s">
        <v>52</v>
      </c>
      <c r="E154" s="2">
        <v>1030785</v>
      </c>
      <c r="F154" s="2" t="s">
        <v>366</v>
      </c>
      <c r="G154" s="2" t="s">
        <v>132</v>
      </c>
      <c r="H154" s="4">
        <v>0</v>
      </c>
      <c r="I154" s="7">
        <v>0</v>
      </c>
      <c r="J154" s="7">
        <v>252</v>
      </c>
      <c r="K154" s="7"/>
      <c r="L154" s="4">
        <f t="shared" si="44"/>
        <v>378</v>
      </c>
      <c r="M154" s="7">
        <f>SUMIFS('Stock - ETA'!$R$3:R4963,'Stock - ETA'!$F$3:F4963,'Rango proyecciones'!C154,'Stock - ETA'!$AA$3:AA4963,'Rango proyecciones'!$AJ$5)</f>
        <v>0</v>
      </c>
      <c r="N154" s="7">
        <f>SUMIF('Stock - Puerto Chile'!$G$2:G973,'Rango proyecciones'!C154,'Stock - Puerto Chile'!$L$2:L973)</f>
        <v>0</v>
      </c>
      <c r="O154" s="7">
        <f>133.2 * (25 / 27)</f>
        <v>123.33333333333333</v>
      </c>
      <c r="P154" s="7">
        <f>0 * (25 / 27)</f>
        <v>0</v>
      </c>
      <c r="Q154" s="16">
        <f t="shared" si="40"/>
        <v>0</v>
      </c>
      <c r="R154" s="7">
        <f t="shared" si="46"/>
        <v>648</v>
      </c>
      <c r="S154" s="7">
        <f>SUMIFS('Stock - ETA'!$H$3:H4963,'Stock - ETA'!$F$3:F4963,'Rango proyecciones'!C154,'Stock - ETA'!$Q$3:Q4963,'Rango proyecciones'!$AJ$5)</f>
        <v>0</v>
      </c>
      <c r="T154" s="7">
        <f>SUMIF('Stock - Puerto Chile'!$G$2:G973,'Rango proyecciones'!C154,'Stock - Puerto Chile'!$N$2:N973)</f>
        <v>0</v>
      </c>
      <c r="U154" s="7">
        <f>133.2 * (25 / 27)</f>
        <v>123.33333333333333</v>
      </c>
      <c r="V154" s="7">
        <f>0 * (25 / 27)</f>
        <v>0</v>
      </c>
      <c r="W154" s="17">
        <f t="shared" si="41"/>
        <v>123.33333333333333</v>
      </c>
      <c r="X154" s="4">
        <v>1080</v>
      </c>
      <c r="Y154" s="7">
        <v>1080</v>
      </c>
      <c r="Z154" s="18">
        <f>SUMIFS('Stock - ETA'!$S$3:S4963,'Stock - ETA'!$F$3:F4963,'Rango proyecciones'!C154,'Stock - ETA'!$AA$3:AA4963,'Rango proyecciones'!$AJ$5) + SUMIFS('Stock - ETA'!$R$3:R4963,'Stock - ETA'!$F$3:F4963,'Rango proyecciones'!C154,'Stock - ETA'!$AA$3:AA4963,'Rango proyecciones'!$AJ$7)</f>
        <v>178.6109218</v>
      </c>
      <c r="AA154" s="13">
        <f t="shared" si="42"/>
        <v>1258.6109217999999</v>
      </c>
      <c r="AB154" s="7">
        <f>SUMIFS('Stock - ETA'!$I$3:I4963,'Stock - ETA'!$F$3:F4963,'Rango proyecciones'!C154,'Stock - ETA'!$Q$3:Q4963,'Rango proyecciones'!$AJ$5) + SUMIFS('Stock - ETA'!$H$3:H4963,'Stock - ETA'!$F$3:F4963,'Rango proyecciones'!C154,'Stock - ETA'!$Q$3:Q4963,'Rango proyecciones'!$AJ$7)</f>
        <v>178.6109218</v>
      </c>
      <c r="AC154" s="16">
        <f t="shared" si="43"/>
        <v>1258.6109217999999</v>
      </c>
      <c r="AD154" s="4">
        <v>1080</v>
      </c>
      <c r="AE154" s="7">
        <f>SUMIFS('Stock - ETA'!$T$3:T4963,'Stock - ETA'!$F$3:F4963,'Rango proyecciones'!C154,'Stock - ETA'!$AA$3:AA4963,'Rango proyecciones'!$AJ$5) + SUMIFS('Stock - ETA'!$S$3:S4963,'Stock - ETA'!$F$3:F4963,'Rango proyecciones'!C154,'Stock - ETA'!$AA$3:AA4963,'Rango proyecciones'!$AJ$8)</f>
        <v>0</v>
      </c>
      <c r="AF154" s="16">
        <f t="shared" si="50"/>
        <v>648</v>
      </c>
      <c r="AG154" s="7">
        <f>SUMIFS('Stock - ETA'!$J$3:J4963,'Stock - ETA'!$F$3:F4963,'Rango proyecciones'!C154,'Stock - ETA'!$Q$3:Q4963,'Rango proyecciones'!$AJ$5) + SUMIFS('Stock - ETA'!$I$3:I4963,'Stock - ETA'!$F$3:F4963,'Rango proyecciones'!C154,'Stock - ETA'!$Q$3:Q4963,'Rango proyecciones'!$AJ$8)</f>
        <v>0</v>
      </c>
      <c r="AH154" s="16">
        <f t="shared" si="51"/>
        <v>648</v>
      </c>
      <c r="AI154" s="4"/>
    </row>
    <row r="155" spans="1:35" x14ac:dyDescent="0.2">
      <c r="A155" s="2" t="s">
        <v>50</v>
      </c>
      <c r="B155" s="2" t="s">
        <v>35</v>
      </c>
      <c r="C155" s="2" t="s">
        <v>367</v>
      </c>
      <c r="D155" s="2" t="s">
        <v>226</v>
      </c>
      <c r="E155" s="2">
        <v>1030265</v>
      </c>
      <c r="F155" s="2" t="s">
        <v>368</v>
      </c>
      <c r="G155" s="2" t="s">
        <v>79</v>
      </c>
      <c r="H155" s="4">
        <v>0</v>
      </c>
      <c r="I155" s="7">
        <v>0</v>
      </c>
      <c r="J155" s="7">
        <v>8600</v>
      </c>
      <c r="K155" s="7">
        <v>10811</v>
      </c>
      <c r="L155" s="4">
        <f t="shared" si="44"/>
        <v>0</v>
      </c>
      <c r="M155" s="7">
        <f>SUMIFS('Stock - ETA'!$R$3:R4963,'Stock - ETA'!$F$3:F4963,'Rango proyecciones'!C155,'Stock - ETA'!$AA$3:AA4963,'Rango proyecciones'!$AJ$5)</f>
        <v>64800</v>
      </c>
      <c r="N155" s="7">
        <f>SUMIF('Stock - Puerto Chile'!$G$2:G973,'Rango proyecciones'!C155,'Stock - Puerto Chile'!$L$2:L973)</f>
        <v>51840</v>
      </c>
      <c r="O155" s="7">
        <f>0 * (25 / 27)</f>
        <v>0</v>
      </c>
      <c r="P155" s="7">
        <f>21600 * (25 / 27)</f>
        <v>20000</v>
      </c>
      <c r="Q155" s="16">
        <f t="shared" si="40"/>
        <v>84800</v>
      </c>
      <c r="R155" s="7">
        <f t="shared" si="46"/>
        <v>0</v>
      </c>
      <c r="S155" s="7">
        <f>SUMIFS('Stock - ETA'!$H$3:H4963,'Stock - ETA'!$F$3:F4963,'Rango proyecciones'!C155,'Stock - ETA'!$Q$3:Q4963,'Rango proyecciones'!$AJ$5)</f>
        <v>64800</v>
      </c>
      <c r="T155" s="7">
        <f>SUMIF('Stock - Puerto Chile'!$G$2:G973,'Rango proyecciones'!C155,'Stock - Puerto Chile'!$N$2:N973)</f>
        <v>62208</v>
      </c>
      <c r="U155" s="7">
        <f>0 * (25 / 27)</f>
        <v>0</v>
      </c>
      <c r="V155" s="7">
        <f>21600 * (25 / 27)</f>
        <v>20000</v>
      </c>
      <c r="W155" s="17">
        <f t="shared" si="41"/>
        <v>84800</v>
      </c>
      <c r="X155" s="4">
        <v>182357</v>
      </c>
      <c r="Y155" s="7">
        <v>182357</v>
      </c>
      <c r="Z155" s="18">
        <f>SUMIFS('Stock - ETA'!$S$3:S4963,'Stock - ETA'!$F$3:F4963,'Rango proyecciones'!C155,'Stock - ETA'!$AA$3:AA4963,'Rango proyecciones'!$AJ$5) + SUMIFS('Stock - ETA'!$R$3:R4963,'Stock - ETA'!$F$3:F4963,'Rango proyecciones'!C155,'Stock - ETA'!$AA$3:AA4963,'Rango proyecciones'!$AJ$7)</f>
        <v>0</v>
      </c>
      <c r="AA155" s="13">
        <f t="shared" si="42"/>
        <v>182357</v>
      </c>
      <c r="AB155" s="7">
        <f>SUMIFS('Stock - ETA'!$I$3:I4963,'Stock - ETA'!$F$3:F4963,'Rango proyecciones'!C155,'Stock - ETA'!$Q$3:Q4963,'Rango proyecciones'!$AJ$5) + SUMIFS('Stock - ETA'!$H$3:H4963,'Stock - ETA'!$F$3:F4963,'Rango proyecciones'!C155,'Stock - ETA'!$Q$3:Q4963,'Rango proyecciones'!$AJ$7)</f>
        <v>0</v>
      </c>
      <c r="AC155" s="16">
        <f t="shared" si="43"/>
        <v>182357</v>
      </c>
      <c r="AD155" s="4">
        <v>320000</v>
      </c>
      <c r="AE155" s="7">
        <f>SUMIFS('Stock - ETA'!$T$3:T4963,'Stock - ETA'!$F$3:F4963,'Rango proyecciones'!C155,'Stock - ETA'!$AA$3:AA4963,'Rango proyecciones'!$AJ$5) + SUMIFS('Stock - ETA'!$S$3:S4963,'Stock - ETA'!$F$3:F4963,'Rango proyecciones'!C155,'Stock - ETA'!$AA$3:AA4963,'Rango proyecciones'!$AJ$8)</f>
        <v>0</v>
      </c>
      <c r="AF155" s="16">
        <f>0.7 * AD155 + AE155</f>
        <v>224000</v>
      </c>
      <c r="AG155" s="7">
        <f>SUMIFS('Stock - ETA'!$J$3:J4963,'Stock - ETA'!$F$3:F4963,'Rango proyecciones'!C155,'Stock - ETA'!$Q$3:Q4963,'Rango proyecciones'!$AJ$5) + SUMIFS('Stock - ETA'!$I$3:I4963,'Stock - ETA'!$F$3:F4963,'Rango proyecciones'!C155,'Stock - ETA'!$Q$3:Q4963,'Rango proyecciones'!$AJ$8)</f>
        <v>0</v>
      </c>
      <c r="AH155" s="16">
        <f>0.7 * AD155 + AG155</f>
        <v>224000</v>
      </c>
      <c r="AI155" s="4"/>
    </row>
    <row r="156" spans="1:35" x14ac:dyDescent="0.2">
      <c r="A156" s="2" t="s">
        <v>50</v>
      </c>
      <c r="B156" s="2" t="s">
        <v>35</v>
      </c>
      <c r="C156" s="2" t="s">
        <v>369</v>
      </c>
      <c r="D156" s="2" t="s">
        <v>150</v>
      </c>
      <c r="E156" s="2">
        <v>1030337</v>
      </c>
      <c r="F156" s="2" t="s">
        <v>370</v>
      </c>
      <c r="G156" s="2" t="s">
        <v>79</v>
      </c>
      <c r="H156" s="4">
        <v>0</v>
      </c>
      <c r="I156" s="7">
        <v>0</v>
      </c>
      <c r="J156" s="7">
        <v>0</v>
      </c>
      <c r="K156" s="7">
        <v>0</v>
      </c>
      <c r="L156" s="4">
        <f>MAX(J156 - K156, 0) * MAX((23 - 10)/(10), 0)</f>
        <v>0</v>
      </c>
      <c r="M156" s="7">
        <f>SUMIFS('Stock - ETA'!$R$3:R4963,'Stock - ETA'!$F$3:F4963,'Rango proyecciones'!C156,'Stock - ETA'!$AA$3:AA4963,'Rango proyecciones'!$AJ$5)</f>
        <v>24000</v>
      </c>
      <c r="N156" s="7">
        <f>SUMIF('Stock - Puerto Chile'!$G$2:G973,'Rango proyecciones'!C156,'Stock - Puerto Chile'!$L$2:L973)</f>
        <v>390847.82608695648</v>
      </c>
      <c r="O156" s="7">
        <f>24000 * (23 / 27)</f>
        <v>20444.444444444445</v>
      </c>
      <c r="P156" s="7">
        <f>168000 * (23 / 27)</f>
        <v>143111.11111111112</v>
      </c>
      <c r="Q156" s="16">
        <f t="shared" si="40"/>
        <v>167111.11111111112</v>
      </c>
      <c r="R156" s="7">
        <f>MAX(J156 - K156, 0) * MAX((23 - 7)/(7), 0)</f>
        <v>0</v>
      </c>
      <c r="S156" s="7">
        <f>SUMIFS('Stock - ETA'!$H$3:H4963,'Stock - ETA'!$F$3:F4963,'Rango proyecciones'!C156,'Stock - ETA'!$Q$3:Q4963,'Rango proyecciones'!$AJ$5)</f>
        <v>24000</v>
      </c>
      <c r="T156" s="7">
        <f>SUMIF('Stock - Puerto Chile'!$G$2:G973,'Rango proyecciones'!C156,'Stock - Puerto Chile'!$N$2:N973)</f>
        <v>481043.47826086957</v>
      </c>
      <c r="U156" s="7">
        <f>24000 * (23 / 27)</f>
        <v>20444.444444444445</v>
      </c>
      <c r="V156" s="7">
        <f>168000 * (23 / 27)</f>
        <v>143111.11111111112</v>
      </c>
      <c r="W156" s="17">
        <f t="shared" si="41"/>
        <v>187555.55555555556</v>
      </c>
      <c r="X156" s="4">
        <v>96000</v>
      </c>
      <c r="Y156" s="7">
        <v>96000</v>
      </c>
      <c r="Z156" s="18">
        <f>SUMIFS('Stock - ETA'!$S$3:S4963,'Stock - ETA'!$F$3:F4963,'Rango proyecciones'!C156,'Stock - ETA'!$AA$3:AA4963,'Rango proyecciones'!$AJ$5) + SUMIFS('Stock - ETA'!$R$3:R4963,'Stock - ETA'!$F$3:F4963,'Rango proyecciones'!C156,'Stock - ETA'!$AA$3:AA4963,'Rango proyecciones'!$AJ$7)</f>
        <v>0</v>
      </c>
      <c r="AA156" s="13">
        <f t="shared" si="42"/>
        <v>96000</v>
      </c>
      <c r="AB156" s="7">
        <f>SUMIFS('Stock - ETA'!$I$3:I4963,'Stock - ETA'!$F$3:F4963,'Rango proyecciones'!C156,'Stock - ETA'!$Q$3:Q4963,'Rango proyecciones'!$AJ$5) + SUMIFS('Stock - ETA'!$H$3:H4963,'Stock - ETA'!$F$3:F4963,'Rango proyecciones'!C156,'Stock - ETA'!$Q$3:Q4963,'Rango proyecciones'!$AJ$7)</f>
        <v>0</v>
      </c>
      <c r="AC156" s="16">
        <f t="shared" si="43"/>
        <v>96000</v>
      </c>
      <c r="AD156" s="4">
        <v>96000</v>
      </c>
      <c r="AE156" s="7">
        <f>SUMIFS('Stock - ETA'!$T$3:T4963,'Stock - ETA'!$F$3:F4963,'Rango proyecciones'!C156,'Stock - ETA'!$AA$3:AA4963,'Rango proyecciones'!$AJ$5) + SUMIFS('Stock - ETA'!$S$3:S4963,'Stock - ETA'!$F$3:F4963,'Rango proyecciones'!C156,'Stock - ETA'!$AA$3:AA4963,'Rango proyecciones'!$AJ$8)</f>
        <v>0</v>
      </c>
      <c r="AF156" s="16">
        <f>0.8 * AD156 + AE156</f>
        <v>76800</v>
      </c>
      <c r="AG156" s="7">
        <f>SUMIFS('Stock - ETA'!$J$3:J4963,'Stock - ETA'!$F$3:F4963,'Rango proyecciones'!C156,'Stock - ETA'!$Q$3:Q4963,'Rango proyecciones'!$AJ$5) + SUMIFS('Stock - ETA'!$I$3:I4963,'Stock - ETA'!$F$3:F4963,'Rango proyecciones'!C156,'Stock - ETA'!$Q$3:Q4963,'Rango proyecciones'!$AJ$8)</f>
        <v>0</v>
      </c>
      <c r="AH156" s="16">
        <f>0.8 * AD156 + AG156</f>
        <v>76800</v>
      </c>
      <c r="AI156" s="4"/>
    </row>
    <row r="157" spans="1:35" x14ac:dyDescent="0.2">
      <c r="A157" s="2" t="s">
        <v>50</v>
      </c>
      <c r="B157" s="2" t="s">
        <v>35</v>
      </c>
      <c r="C157" s="2" t="s">
        <v>371</v>
      </c>
      <c r="D157" s="2" t="s">
        <v>150</v>
      </c>
      <c r="E157" s="2">
        <v>1030658</v>
      </c>
      <c r="F157" s="2" t="s">
        <v>372</v>
      </c>
      <c r="G157" s="2" t="s">
        <v>207</v>
      </c>
      <c r="H157" s="4">
        <v>0</v>
      </c>
      <c r="I157" s="7">
        <v>0</v>
      </c>
      <c r="J157" s="7">
        <v>24177</v>
      </c>
      <c r="K157" s="7"/>
      <c r="L157" s="4">
        <f>MAX(J157 - K157, 0) * MAX((23 - 10)/(10), 0)</f>
        <v>31430.100000000002</v>
      </c>
      <c r="M157" s="7">
        <f>SUMIFS('Stock - ETA'!$R$3:R4963,'Stock - ETA'!$F$3:F4963,'Rango proyecciones'!C157,'Stock - ETA'!$AA$3:AA4963,'Rango proyecciones'!$AJ$5)</f>
        <v>408240.6999999999</v>
      </c>
      <c r="N157" s="7">
        <f>SUMIF('Stock - Puerto Chile'!$G$2:G973,'Rango proyecciones'!C157,'Stock - Puerto Chile'!$L$2:L973)</f>
        <v>515851.12347826082</v>
      </c>
      <c r="O157" s="7">
        <f>48034.72 * (23 / 27)</f>
        <v>40918.465185185189</v>
      </c>
      <c r="P157" s="7">
        <f>144104.16 * (23 / 27)</f>
        <v>122755.39555555556</v>
      </c>
      <c r="Q157" s="16">
        <f t="shared" si="40"/>
        <v>530996.09555555542</v>
      </c>
      <c r="R157" s="7">
        <f>MAX(J157 - K157, 0) * MAX((23 - 7)/(7), 0)</f>
        <v>55261.714285714283</v>
      </c>
      <c r="S157" s="7">
        <f>SUMIFS('Stock - ETA'!$H$3:H4963,'Stock - ETA'!$F$3:F4963,'Rango proyecciones'!C157,'Stock - ETA'!$Q$3:Q4963,'Rango proyecciones'!$AJ$5)</f>
        <v>408240.6999999999</v>
      </c>
      <c r="T157" s="7">
        <f>SUMIF('Stock - Puerto Chile'!$G$2:G973,'Rango proyecciones'!C157,'Stock - Puerto Chile'!$N$2:N973)</f>
        <v>634893.69043478265</v>
      </c>
      <c r="U157" s="7">
        <f>48034.72 * (23 / 27)</f>
        <v>40918.465185185189</v>
      </c>
      <c r="V157" s="7">
        <f>144104.16 * (23 / 27)</f>
        <v>122755.39555555556</v>
      </c>
      <c r="W157" s="17">
        <f t="shared" si="41"/>
        <v>571914.56074074062</v>
      </c>
      <c r="X157" s="4">
        <v>120000</v>
      </c>
      <c r="Y157" s="7">
        <v>120000</v>
      </c>
      <c r="Z157" s="18">
        <f>SUMIFS('Stock - ETA'!$S$3:S4963,'Stock - ETA'!$F$3:F4963,'Rango proyecciones'!C157,'Stock - ETA'!$AA$3:AA4963,'Rango proyecciones'!$AJ$5) + SUMIFS('Stock - ETA'!$R$3:R4963,'Stock - ETA'!$F$3:F4963,'Rango proyecciones'!C157,'Stock - ETA'!$AA$3:AA4963,'Rango proyecciones'!$AJ$7)</f>
        <v>0</v>
      </c>
      <c r="AA157" s="13">
        <f t="shared" si="42"/>
        <v>120000</v>
      </c>
      <c r="AB157" s="7">
        <f>SUMIFS('Stock - ETA'!$I$3:I4963,'Stock - ETA'!$F$3:F4963,'Rango proyecciones'!C157,'Stock - ETA'!$Q$3:Q4963,'Rango proyecciones'!$AJ$5) + SUMIFS('Stock - ETA'!$H$3:H4963,'Stock - ETA'!$F$3:F4963,'Rango proyecciones'!C157,'Stock - ETA'!$Q$3:Q4963,'Rango proyecciones'!$AJ$7)</f>
        <v>0</v>
      </c>
      <c r="AC157" s="16">
        <f t="shared" si="43"/>
        <v>120000</v>
      </c>
      <c r="AD157" s="4">
        <v>120000</v>
      </c>
      <c r="AE157" s="7">
        <f>SUMIFS('Stock - ETA'!$T$3:T4963,'Stock - ETA'!$F$3:F4963,'Rango proyecciones'!C157,'Stock - ETA'!$AA$3:AA4963,'Rango proyecciones'!$AJ$5) + SUMIFS('Stock - ETA'!$S$3:S4963,'Stock - ETA'!$F$3:F4963,'Rango proyecciones'!C157,'Stock - ETA'!$AA$3:AA4963,'Rango proyecciones'!$AJ$8)</f>
        <v>0</v>
      </c>
      <c r="AF157" s="16">
        <f>0.8 * AD157 + AE157</f>
        <v>96000</v>
      </c>
      <c r="AG157" s="7">
        <f>SUMIFS('Stock - ETA'!$J$3:J4963,'Stock - ETA'!$F$3:F4963,'Rango proyecciones'!C157,'Stock - ETA'!$Q$3:Q4963,'Rango proyecciones'!$AJ$5) + SUMIFS('Stock - ETA'!$I$3:I4963,'Stock - ETA'!$F$3:F4963,'Rango proyecciones'!C157,'Stock - ETA'!$Q$3:Q4963,'Rango proyecciones'!$AJ$8)</f>
        <v>0</v>
      </c>
      <c r="AH157" s="16">
        <f>0.8 * AD157 + AG157</f>
        <v>96000</v>
      </c>
      <c r="AI157" s="4"/>
    </row>
    <row r="158" spans="1:35" x14ac:dyDescent="0.2">
      <c r="A158" s="2" t="s">
        <v>50</v>
      </c>
      <c r="B158" s="2" t="s">
        <v>35</v>
      </c>
      <c r="C158" s="2" t="s">
        <v>373</v>
      </c>
      <c r="D158" s="2" t="s">
        <v>150</v>
      </c>
      <c r="E158" s="2">
        <v>1030792</v>
      </c>
      <c r="F158" s="2" t="s">
        <v>374</v>
      </c>
      <c r="G158" s="2" t="s">
        <v>79</v>
      </c>
      <c r="H158" s="4">
        <v>0</v>
      </c>
      <c r="I158" s="7">
        <v>0</v>
      </c>
      <c r="J158" s="7">
        <v>0</v>
      </c>
      <c r="K158" s="7">
        <v>0</v>
      </c>
      <c r="L158" s="4">
        <f>MAX(J158 - K158, 0) * MAX((23 - 10)/(10), 0)</f>
        <v>0</v>
      </c>
      <c r="M158" s="7">
        <f>SUMIFS('Stock - ETA'!$R$3:R4963,'Stock - ETA'!$F$3:F4963,'Rango proyecciones'!C158,'Stock - ETA'!$AA$3:AA4963,'Rango proyecciones'!$AJ$5)</f>
        <v>0</v>
      </c>
      <c r="N158" s="7">
        <f>SUMIF('Stock - Puerto Chile'!$G$2:G973,'Rango proyecciones'!C158,'Stock - Puerto Chile'!$L$2:L973)</f>
        <v>0</v>
      </c>
      <c r="O158" s="7">
        <f>0 * (23 / 27)</f>
        <v>0</v>
      </c>
      <c r="P158" s="7">
        <f>72000 * (23 / 27)</f>
        <v>61333.333333333336</v>
      </c>
      <c r="Q158" s="16">
        <f t="shared" si="40"/>
        <v>61333.333333333336</v>
      </c>
      <c r="R158" s="7">
        <f>MAX(J158 - K158, 0) * MAX((23 - 7)/(7), 0)</f>
        <v>0</v>
      </c>
      <c r="S158" s="7">
        <f>SUMIFS('Stock - ETA'!$H$3:H4963,'Stock - ETA'!$F$3:F4963,'Rango proyecciones'!C158,'Stock - ETA'!$Q$3:Q4963,'Rango proyecciones'!$AJ$5)</f>
        <v>0</v>
      </c>
      <c r="T158" s="7">
        <f>SUMIF('Stock - Puerto Chile'!$G$2:G973,'Rango proyecciones'!C158,'Stock - Puerto Chile'!$N$2:N973)</f>
        <v>0</v>
      </c>
      <c r="U158" s="7">
        <f>0 * (23 / 27)</f>
        <v>0</v>
      </c>
      <c r="V158" s="7">
        <f>72000 * (23 / 27)</f>
        <v>61333.333333333336</v>
      </c>
      <c r="W158" s="17">
        <f t="shared" si="41"/>
        <v>61333.333333333336</v>
      </c>
      <c r="X158" s="4"/>
      <c r="Y158" s="7"/>
      <c r="Z158" s="18">
        <f>SUMIFS('Stock - ETA'!$S$3:S4963,'Stock - ETA'!$F$3:F4963,'Rango proyecciones'!C158,'Stock - ETA'!$AA$3:AA4963,'Rango proyecciones'!$AJ$5) + SUMIFS('Stock - ETA'!$R$3:R4963,'Stock - ETA'!$F$3:F4963,'Rango proyecciones'!C158,'Stock - ETA'!$AA$3:AA4963,'Rango proyecciones'!$AJ$7)</f>
        <v>48000</v>
      </c>
      <c r="AA158" s="13">
        <f t="shared" si="42"/>
        <v>48000</v>
      </c>
      <c r="AB158" s="7">
        <f>SUMIFS('Stock - ETA'!$I$3:I4963,'Stock - ETA'!$F$3:F4963,'Rango proyecciones'!C158,'Stock - ETA'!$Q$3:Q4963,'Rango proyecciones'!$AJ$5) + SUMIFS('Stock - ETA'!$H$3:H4963,'Stock - ETA'!$F$3:F4963,'Rango proyecciones'!C158,'Stock - ETA'!$Q$3:Q4963,'Rango proyecciones'!$AJ$7)</f>
        <v>48000</v>
      </c>
      <c r="AC158" s="16">
        <f t="shared" si="43"/>
        <v>48000</v>
      </c>
      <c r="AD158" s="4"/>
      <c r="AE158" s="7">
        <f>SUMIFS('Stock - ETA'!$T$3:T4963,'Stock - ETA'!$F$3:F4963,'Rango proyecciones'!C158,'Stock - ETA'!$AA$3:AA4963,'Rango proyecciones'!$AJ$5) + SUMIFS('Stock - ETA'!$S$3:S4963,'Stock - ETA'!$F$3:F4963,'Rango proyecciones'!C158,'Stock - ETA'!$AA$3:AA4963,'Rango proyecciones'!$AJ$8)</f>
        <v>0</v>
      </c>
      <c r="AF158" s="16">
        <f>0.8 * AD158 + AE158</f>
        <v>0</v>
      </c>
      <c r="AG158" s="7">
        <f>SUMIFS('Stock - ETA'!$J$3:J4963,'Stock - ETA'!$F$3:F4963,'Rango proyecciones'!C158,'Stock - ETA'!$Q$3:Q4963,'Rango proyecciones'!$AJ$5) + SUMIFS('Stock - ETA'!$I$3:I4963,'Stock - ETA'!$F$3:F4963,'Rango proyecciones'!C158,'Stock - ETA'!$Q$3:Q4963,'Rango proyecciones'!$AJ$8)</f>
        <v>0</v>
      </c>
      <c r="AH158" s="16">
        <f>0.8 * AD158 + AG158</f>
        <v>0</v>
      </c>
      <c r="AI158" s="4"/>
    </row>
    <row r="159" spans="1:35" x14ac:dyDescent="0.2">
      <c r="A159" s="2" t="s">
        <v>50</v>
      </c>
      <c r="B159" s="2" t="s">
        <v>35</v>
      </c>
      <c r="C159" s="2" t="s">
        <v>375</v>
      </c>
      <c r="D159" s="2" t="s">
        <v>150</v>
      </c>
      <c r="E159" s="2">
        <v>1030810</v>
      </c>
      <c r="F159" s="2" t="s">
        <v>376</v>
      </c>
      <c r="G159" s="2" t="s">
        <v>214</v>
      </c>
      <c r="H159" s="4">
        <v>0</v>
      </c>
      <c r="I159" s="7">
        <v>0</v>
      </c>
      <c r="J159" s="7">
        <v>0</v>
      </c>
      <c r="K159" s="7">
        <v>0</v>
      </c>
      <c r="L159" s="4">
        <f>MAX(J159 - K159, 0) * MAX((23 - 10)/(10), 0)</f>
        <v>0</v>
      </c>
      <c r="M159" s="7">
        <f>SUMIFS('Stock - ETA'!$R$3:R4963,'Stock - ETA'!$F$3:F4963,'Rango proyecciones'!C159,'Stock - ETA'!$AA$3:AA4963,'Rango proyecciones'!$AJ$5)</f>
        <v>0</v>
      </c>
      <c r="N159" s="7">
        <f>SUMIF('Stock - Puerto Chile'!$G$2:G973,'Rango proyecciones'!C159,'Stock - Puerto Chile'!$L$2:L973)</f>
        <v>0</v>
      </c>
      <c r="O159" s="7">
        <f>21600 * (23 / 27)</f>
        <v>18400</v>
      </c>
      <c r="P159" s="7">
        <f>21600 * (23 / 27)</f>
        <v>18400</v>
      </c>
      <c r="Q159" s="16">
        <f t="shared" si="40"/>
        <v>18400</v>
      </c>
      <c r="R159" s="7">
        <f>MAX(J159 - K159, 0) * MAX((23 - 7)/(7), 0)</f>
        <v>0</v>
      </c>
      <c r="S159" s="7">
        <f>SUMIFS('Stock - ETA'!$H$3:H4963,'Stock - ETA'!$F$3:F4963,'Rango proyecciones'!C159,'Stock - ETA'!$Q$3:Q4963,'Rango proyecciones'!$AJ$5)</f>
        <v>0</v>
      </c>
      <c r="T159" s="7">
        <f>SUMIF('Stock - Puerto Chile'!$G$2:G973,'Rango proyecciones'!C159,'Stock - Puerto Chile'!$N$2:N973)</f>
        <v>0</v>
      </c>
      <c r="U159" s="7">
        <f>21600 * (23 / 27)</f>
        <v>18400</v>
      </c>
      <c r="V159" s="7">
        <f>21600 * (23 / 27)</f>
        <v>18400</v>
      </c>
      <c r="W159" s="17">
        <f t="shared" si="41"/>
        <v>36800</v>
      </c>
      <c r="X159" s="4"/>
      <c r="Y159" s="7"/>
      <c r="Z159" s="18">
        <f>SUMIFS('Stock - ETA'!$S$3:S4963,'Stock - ETA'!$F$3:F4963,'Rango proyecciones'!C159,'Stock - ETA'!$AA$3:AA4963,'Rango proyecciones'!$AJ$5) + SUMIFS('Stock - ETA'!$R$3:R4963,'Stock - ETA'!$F$3:F4963,'Rango proyecciones'!C159,'Stock - ETA'!$AA$3:AA4963,'Rango proyecciones'!$AJ$7)</f>
        <v>0</v>
      </c>
      <c r="AA159" s="13">
        <f t="shared" si="42"/>
        <v>0</v>
      </c>
      <c r="AB159" s="7">
        <f>SUMIFS('Stock - ETA'!$I$3:I4963,'Stock - ETA'!$F$3:F4963,'Rango proyecciones'!C159,'Stock - ETA'!$Q$3:Q4963,'Rango proyecciones'!$AJ$5) + SUMIFS('Stock - ETA'!$H$3:H4963,'Stock - ETA'!$F$3:F4963,'Rango proyecciones'!C159,'Stock - ETA'!$Q$3:Q4963,'Rango proyecciones'!$AJ$7)</f>
        <v>0</v>
      </c>
      <c r="AC159" s="16">
        <f t="shared" si="43"/>
        <v>0</v>
      </c>
      <c r="AD159" s="4"/>
      <c r="AE159" s="7">
        <f>SUMIFS('Stock - ETA'!$T$3:T4963,'Stock - ETA'!$F$3:F4963,'Rango proyecciones'!C159,'Stock - ETA'!$AA$3:AA4963,'Rango proyecciones'!$AJ$5) + SUMIFS('Stock - ETA'!$S$3:S4963,'Stock - ETA'!$F$3:F4963,'Rango proyecciones'!C159,'Stock - ETA'!$AA$3:AA4963,'Rango proyecciones'!$AJ$8)</f>
        <v>0</v>
      </c>
      <c r="AF159" s="16">
        <f>0.8 * AD159 + AE159</f>
        <v>0</v>
      </c>
      <c r="AG159" s="7">
        <f>SUMIFS('Stock - ETA'!$J$3:J4963,'Stock - ETA'!$F$3:F4963,'Rango proyecciones'!C159,'Stock - ETA'!$Q$3:Q4963,'Rango proyecciones'!$AJ$5) + SUMIFS('Stock - ETA'!$I$3:I4963,'Stock - ETA'!$F$3:F4963,'Rango proyecciones'!C159,'Stock - ETA'!$Q$3:Q4963,'Rango proyecciones'!$AJ$8)</f>
        <v>0</v>
      </c>
      <c r="AH159" s="16">
        <f>0.8 * AD159 + AG159</f>
        <v>0</v>
      </c>
      <c r="AI159" s="4"/>
    </row>
    <row r="160" spans="1:35" x14ac:dyDescent="0.2">
      <c r="A160" s="2" t="s">
        <v>50</v>
      </c>
      <c r="B160" s="2" t="s">
        <v>35</v>
      </c>
      <c r="C160" s="2" t="s">
        <v>377</v>
      </c>
      <c r="D160" s="2" t="s">
        <v>46</v>
      </c>
      <c r="E160" s="2">
        <v>1030525</v>
      </c>
      <c r="F160" s="2" t="s">
        <v>378</v>
      </c>
      <c r="G160" s="2" t="s">
        <v>63</v>
      </c>
      <c r="H160" s="4">
        <v>0</v>
      </c>
      <c r="I160" s="7">
        <v>0</v>
      </c>
      <c r="J160" s="7">
        <v>10229</v>
      </c>
      <c r="K160" s="7">
        <v>5754.68</v>
      </c>
      <c r="L160" s="4">
        <f t="shared" ref="L160:L191" si="52">MAX(J160 - K160, 0) * MAX((25 - 10)/(10), 0)</f>
        <v>6711.48</v>
      </c>
      <c r="M160" s="7">
        <f>SUMIFS('Stock - ETA'!$R$3:R4963,'Stock - ETA'!$F$3:F4963,'Rango proyecciones'!C160,'Stock - ETA'!$AA$3:AA4963,'Rango proyecciones'!$AJ$5)</f>
        <v>36000</v>
      </c>
      <c r="N160" s="7">
        <f>SUMIF('Stock - Puerto Chile'!$G$2:G973,'Rango proyecciones'!C160,'Stock - Puerto Chile'!$L$2:L973)</f>
        <v>100800</v>
      </c>
      <c r="O160" s="7">
        <f>0 * (25 / 27)</f>
        <v>0</v>
      </c>
      <c r="P160" s="7">
        <f>24000 * (25 / 27)</f>
        <v>22222.222222222223</v>
      </c>
      <c r="Q160" s="16">
        <f t="shared" si="40"/>
        <v>58222.222222222219</v>
      </c>
      <c r="R160" s="7">
        <f t="shared" ref="R160:R191" si="53">MAX(J160 - K160, 0) * MAX((25 - 7)/(7), 0)</f>
        <v>11505.394285714287</v>
      </c>
      <c r="S160" s="7">
        <f>SUMIFS('Stock - ETA'!$H$3:H4963,'Stock - ETA'!$F$3:F4963,'Rango proyecciones'!C160,'Stock - ETA'!$Q$3:Q4963,'Rango proyecciones'!$AJ$5)</f>
        <v>36000</v>
      </c>
      <c r="T160" s="7">
        <f>SUMIF('Stock - Puerto Chile'!$G$2:G973,'Rango proyecciones'!C160,'Stock - Puerto Chile'!$N$2:N973)</f>
        <v>120960</v>
      </c>
      <c r="U160" s="7">
        <f>0 * (25 / 27)</f>
        <v>0</v>
      </c>
      <c r="V160" s="7">
        <f>24000 * (25 / 27)</f>
        <v>22222.222222222223</v>
      </c>
      <c r="W160" s="17">
        <f t="shared" si="41"/>
        <v>58222.222222222219</v>
      </c>
      <c r="X160" s="4">
        <v>59332</v>
      </c>
      <c r="Y160" s="7">
        <v>59332</v>
      </c>
      <c r="Z160" s="18">
        <f>SUMIFS('Stock - ETA'!$S$3:S4963,'Stock - ETA'!$F$3:F4963,'Rango proyecciones'!C160,'Stock - ETA'!$AA$3:AA4963,'Rango proyecciones'!$AJ$5) + SUMIFS('Stock - ETA'!$R$3:R4963,'Stock - ETA'!$F$3:F4963,'Rango proyecciones'!C160,'Stock - ETA'!$AA$3:AA4963,'Rango proyecciones'!$AJ$7)</f>
        <v>48000</v>
      </c>
      <c r="AA160" s="13">
        <f t="shared" si="42"/>
        <v>107332</v>
      </c>
      <c r="AB160" s="7">
        <f>SUMIFS('Stock - ETA'!$I$3:I4963,'Stock - ETA'!$F$3:F4963,'Rango proyecciones'!C160,'Stock - ETA'!$Q$3:Q4963,'Rango proyecciones'!$AJ$5) + SUMIFS('Stock - ETA'!$H$3:H4963,'Stock - ETA'!$F$3:F4963,'Rango proyecciones'!C160,'Stock - ETA'!$Q$3:Q4963,'Rango proyecciones'!$AJ$7)</f>
        <v>48000</v>
      </c>
      <c r="AC160" s="16">
        <f t="shared" si="43"/>
        <v>107332</v>
      </c>
      <c r="AD160" s="4"/>
      <c r="AE160" s="7">
        <f>SUMIFS('Stock - ETA'!$T$3:T4963,'Stock - ETA'!$F$3:F4963,'Rango proyecciones'!C160,'Stock - ETA'!$AA$3:AA4963,'Rango proyecciones'!$AJ$5) + SUMIFS('Stock - ETA'!$S$3:S4963,'Stock - ETA'!$F$3:F4963,'Rango proyecciones'!C160,'Stock - ETA'!$AA$3:AA4963,'Rango proyecciones'!$AJ$8)</f>
        <v>0</v>
      </c>
      <c r="AF160" s="16">
        <f>0.6 * AD160 + AE160</f>
        <v>0</v>
      </c>
      <c r="AG160" s="7">
        <f>SUMIFS('Stock - ETA'!$J$3:J4963,'Stock - ETA'!$F$3:F4963,'Rango proyecciones'!C160,'Stock - ETA'!$Q$3:Q4963,'Rango proyecciones'!$AJ$5) + SUMIFS('Stock - ETA'!$I$3:I4963,'Stock - ETA'!$F$3:F4963,'Rango proyecciones'!C160,'Stock - ETA'!$Q$3:Q4963,'Rango proyecciones'!$AJ$8)</f>
        <v>0</v>
      </c>
      <c r="AH160" s="16">
        <f>0.6 * AD160 + AG160</f>
        <v>0</v>
      </c>
      <c r="AI160" s="4"/>
    </row>
    <row r="161" spans="1:35" x14ac:dyDescent="0.2">
      <c r="A161" s="2" t="s">
        <v>50</v>
      </c>
      <c r="B161" s="2" t="s">
        <v>35</v>
      </c>
      <c r="C161" s="2" t="s">
        <v>379</v>
      </c>
      <c r="D161" s="2" t="s">
        <v>46</v>
      </c>
      <c r="E161" s="2">
        <v>1030683</v>
      </c>
      <c r="F161" s="2" t="s">
        <v>380</v>
      </c>
      <c r="G161" s="2" t="s">
        <v>214</v>
      </c>
      <c r="H161" s="4">
        <v>0</v>
      </c>
      <c r="I161" s="7">
        <v>0</v>
      </c>
      <c r="J161" s="7">
        <v>40245</v>
      </c>
      <c r="K161" s="7">
        <v>5767.95</v>
      </c>
      <c r="L161" s="4">
        <f t="shared" si="52"/>
        <v>51715.575000000004</v>
      </c>
      <c r="M161" s="7">
        <f>SUMIFS('Stock - ETA'!$R$3:R4963,'Stock - ETA'!$F$3:F4963,'Rango proyecciones'!C161,'Stock - ETA'!$AA$3:AA4963,'Rango proyecciones'!$AJ$5)</f>
        <v>48000</v>
      </c>
      <c r="N161" s="7">
        <f>SUMIF('Stock - Puerto Chile'!$G$2:G973,'Rango proyecciones'!C161,'Stock - Puerto Chile'!$L$2:L973)</f>
        <v>371187</v>
      </c>
      <c r="O161" s="7">
        <f>23925 * (25 / 27)</f>
        <v>22152.777777777777</v>
      </c>
      <c r="P161" s="7">
        <f>24000 * (25 / 27)</f>
        <v>22222.222222222223</v>
      </c>
      <c r="Q161" s="16">
        <f t="shared" si="40"/>
        <v>70222.222222222219</v>
      </c>
      <c r="R161" s="7">
        <f t="shared" si="53"/>
        <v>88655.271428571446</v>
      </c>
      <c r="S161" s="7">
        <f>SUMIFS('Stock - ETA'!$H$3:H4963,'Stock - ETA'!$F$3:F4963,'Rango proyecciones'!C161,'Stock - ETA'!$Q$3:Q4963,'Rango proyecciones'!$AJ$5)</f>
        <v>48000</v>
      </c>
      <c r="T161" s="7">
        <f>SUMIF('Stock - Puerto Chile'!$G$2:G973,'Rango proyecciones'!C161,'Stock - Puerto Chile'!$N$2:N973)</f>
        <v>445424.39999999997</v>
      </c>
      <c r="U161" s="7">
        <f>23925 * (25 / 27)</f>
        <v>22152.777777777777</v>
      </c>
      <c r="V161" s="7">
        <f>24000 * (25 / 27)</f>
        <v>22222.222222222223</v>
      </c>
      <c r="W161" s="17">
        <f t="shared" si="41"/>
        <v>92375</v>
      </c>
      <c r="X161" s="4">
        <v>217633</v>
      </c>
      <c r="Y161" s="7">
        <v>217633</v>
      </c>
      <c r="Z161" s="18">
        <f>SUMIFS('Stock - ETA'!$S$3:S4963,'Stock - ETA'!$F$3:F4963,'Rango proyecciones'!C161,'Stock - ETA'!$AA$3:AA4963,'Rango proyecciones'!$AJ$5) + SUMIFS('Stock - ETA'!$R$3:R4963,'Stock - ETA'!$F$3:F4963,'Rango proyecciones'!C161,'Stock - ETA'!$AA$3:AA4963,'Rango proyecciones'!$AJ$7)</f>
        <v>91020</v>
      </c>
      <c r="AA161" s="13">
        <f t="shared" si="42"/>
        <v>308653</v>
      </c>
      <c r="AB161" s="7">
        <f>SUMIFS('Stock - ETA'!$I$3:I4963,'Stock - ETA'!$F$3:F4963,'Rango proyecciones'!C161,'Stock - ETA'!$Q$3:Q4963,'Rango proyecciones'!$AJ$5) + SUMIFS('Stock - ETA'!$H$3:H4963,'Stock - ETA'!$F$3:F4963,'Rango proyecciones'!C161,'Stock - ETA'!$Q$3:Q4963,'Rango proyecciones'!$AJ$7)</f>
        <v>91020</v>
      </c>
      <c r="AC161" s="16">
        <f t="shared" si="43"/>
        <v>308653</v>
      </c>
      <c r="AD161" s="4"/>
      <c r="AE161" s="7">
        <f>SUMIFS('Stock - ETA'!$T$3:T4963,'Stock - ETA'!$F$3:F4963,'Rango proyecciones'!C161,'Stock - ETA'!$AA$3:AA4963,'Rango proyecciones'!$AJ$5) + SUMIFS('Stock - ETA'!$S$3:S4963,'Stock - ETA'!$F$3:F4963,'Rango proyecciones'!C161,'Stock - ETA'!$AA$3:AA4963,'Rango proyecciones'!$AJ$8)</f>
        <v>0</v>
      </c>
      <c r="AF161" s="16">
        <f>0.6 * AD161 + AE161</f>
        <v>0</v>
      </c>
      <c r="AG161" s="7">
        <f>SUMIFS('Stock - ETA'!$J$3:J4963,'Stock - ETA'!$F$3:F4963,'Rango proyecciones'!C161,'Stock - ETA'!$Q$3:Q4963,'Rango proyecciones'!$AJ$5) + SUMIFS('Stock - ETA'!$I$3:I4963,'Stock - ETA'!$F$3:F4963,'Rango proyecciones'!C161,'Stock - ETA'!$Q$3:Q4963,'Rango proyecciones'!$AJ$8)</f>
        <v>0</v>
      </c>
      <c r="AH161" s="16">
        <f>0.6 * AD161 + AG161</f>
        <v>0</v>
      </c>
      <c r="AI161" s="4"/>
    </row>
    <row r="162" spans="1:35" x14ac:dyDescent="0.2">
      <c r="A162" s="2" t="s">
        <v>50</v>
      </c>
      <c r="B162" s="2" t="s">
        <v>35</v>
      </c>
      <c r="C162" s="2" t="s">
        <v>381</v>
      </c>
      <c r="D162" s="2" t="s">
        <v>46</v>
      </c>
      <c r="E162" s="2">
        <v>1030686</v>
      </c>
      <c r="F162" s="2" t="s">
        <v>382</v>
      </c>
      <c r="G162" s="2" t="s">
        <v>54</v>
      </c>
      <c r="H162" s="4">
        <v>0</v>
      </c>
      <c r="I162" s="7">
        <v>0</v>
      </c>
      <c r="J162" s="7">
        <v>0</v>
      </c>
      <c r="K162" s="7">
        <v>0</v>
      </c>
      <c r="L162" s="4">
        <f t="shared" si="52"/>
        <v>0</v>
      </c>
      <c r="M162" s="7">
        <f>SUMIFS('Stock - ETA'!$R$3:R4963,'Stock - ETA'!$F$3:F4963,'Rango proyecciones'!C162,'Stock - ETA'!$AA$3:AA4963,'Rango proyecciones'!$AJ$5)</f>
        <v>120000</v>
      </c>
      <c r="N162" s="7">
        <f>SUMIF('Stock - Puerto Chile'!$G$2:G973,'Rango proyecciones'!C162,'Stock - Puerto Chile'!$L$2:L973)</f>
        <v>115200</v>
      </c>
      <c r="O162" s="7">
        <f>0 * (25 / 27)</f>
        <v>0</v>
      </c>
      <c r="P162" s="7">
        <f>24000 * (25 / 27)</f>
        <v>22222.222222222223</v>
      </c>
      <c r="Q162" s="16">
        <f t="shared" si="40"/>
        <v>142222.22222222222</v>
      </c>
      <c r="R162" s="7">
        <f t="shared" si="53"/>
        <v>0</v>
      </c>
      <c r="S162" s="7">
        <f>SUMIFS('Stock - ETA'!$H$3:H4963,'Stock - ETA'!$F$3:F4963,'Rango proyecciones'!C162,'Stock - ETA'!$Q$3:Q4963,'Rango proyecciones'!$AJ$5)</f>
        <v>120000</v>
      </c>
      <c r="T162" s="7">
        <f>SUMIF('Stock - Puerto Chile'!$G$2:G973,'Rango proyecciones'!C162,'Stock - Puerto Chile'!$N$2:N973)</f>
        <v>138240</v>
      </c>
      <c r="U162" s="7">
        <f>0 * (25 / 27)</f>
        <v>0</v>
      </c>
      <c r="V162" s="7">
        <f>24000 * (25 / 27)</f>
        <v>22222.222222222223</v>
      </c>
      <c r="W162" s="17">
        <f t="shared" si="41"/>
        <v>142222.22222222222</v>
      </c>
      <c r="X162" s="4">
        <v>162478</v>
      </c>
      <c r="Y162" s="7">
        <v>162478</v>
      </c>
      <c r="Z162" s="18">
        <f>SUMIFS('Stock - ETA'!$S$3:S4963,'Stock - ETA'!$F$3:F4963,'Rango proyecciones'!C162,'Stock - ETA'!$AA$3:AA4963,'Rango proyecciones'!$AJ$5) + SUMIFS('Stock - ETA'!$R$3:R4963,'Stock - ETA'!$F$3:F4963,'Rango proyecciones'!C162,'Stock - ETA'!$AA$3:AA4963,'Rango proyecciones'!$AJ$7)</f>
        <v>144000</v>
      </c>
      <c r="AA162" s="13">
        <f t="shared" si="42"/>
        <v>306478</v>
      </c>
      <c r="AB162" s="7">
        <f>SUMIFS('Stock - ETA'!$I$3:I4963,'Stock - ETA'!$F$3:F4963,'Rango proyecciones'!C162,'Stock - ETA'!$Q$3:Q4963,'Rango proyecciones'!$AJ$5) + SUMIFS('Stock - ETA'!$H$3:H4963,'Stock - ETA'!$F$3:F4963,'Rango proyecciones'!C162,'Stock - ETA'!$Q$3:Q4963,'Rango proyecciones'!$AJ$7)</f>
        <v>144000</v>
      </c>
      <c r="AC162" s="16">
        <f t="shared" si="43"/>
        <v>306478</v>
      </c>
      <c r="AD162" s="4"/>
      <c r="AE162" s="7">
        <f>SUMIFS('Stock - ETA'!$T$3:T4963,'Stock - ETA'!$F$3:F4963,'Rango proyecciones'!C162,'Stock - ETA'!$AA$3:AA4963,'Rango proyecciones'!$AJ$5) + SUMIFS('Stock - ETA'!$S$3:S4963,'Stock - ETA'!$F$3:F4963,'Rango proyecciones'!C162,'Stock - ETA'!$AA$3:AA4963,'Rango proyecciones'!$AJ$8)</f>
        <v>0</v>
      </c>
      <c r="AF162" s="16">
        <f>0.6 * AD162 + AE162</f>
        <v>0</v>
      </c>
      <c r="AG162" s="7">
        <f>SUMIFS('Stock - ETA'!$J$3:J4963,'Stock - ETA'!$F$3:F4963,'Rango proyecciones'!C162,'Stock - ETA'!$Q$3:Q4963,'Rango proyecciones'!$AJ$5) + SUMIFS('Stock - ETA'!$I$3:I4963,'Stock - ETA'!$F$3:F4963,'Rango proyecciones'!C162,'Stock - ETA'!$Q$3:Q4963,'Rango proyecciones'!$AJ$8)</f>
        <v>0</v>
      </c>
      <c r="AH162" s="16">
        <f>0.6 * AD162 + AG162</f>
        <v>0</v>
      </c>
      <c r="AI162" s="4"/>
    </row>
    <row r="163" spans="1:35" x14ac:dyDescent="0.2">
      <c r="A163" s="2" t="s">
        <v>103</v>
      </c>
      <c r="B163" s="2" t="s">
        <v>35</v>
      </c>
      <c r="C163" s="2" t="s">
        <v>383</v>
      </c>
      <c r="D163" s="2" t="s">
        <v>52</v>
      </c>
      <c r="E163" s="2">
        <v>1100574</v>
      </c>
      <c r="F163" s="2" t="s">
        <v>384</v>
      </c>
      <c r="G163" s="2" t="s">
        <v>106</v>
      </c>
      <c r="H163" s="4">
        <v>0</v>
      </c>
      <c r="I163" s="7">
        <v>0</v>
      </c>
      <c r="J163" s="7">
        <v>0</v>
      </c>
      <c r="K163" s="7">
        <v>0</v>
      </c>
      <c r="L163" s="4">
        <f t="shared" si="52"/>
        <v>0</v>
      </c>
      <c r="M163" s="7">
        <f>SUMIFS('Stock - ETA'!$R$3:R4963,'Stock - ETA'!$F$3:F4963,'Rango proyecciones'!C163,'Stock - ETA'!$AA$3:AA4963,'Rango proyecciones'!$AJ$5)</f>
        <v>6730.8516880000006</v>
      </c>
      <c r="N163" s="7">
        <f>SUMIF('Stock - Puerto Chile'!$G$2:G973,'Rango proyecciones'!C163,'Stock - Puerto Chile'!$L$2:L973)</f>
        <v>36352.799999999996</v>
      </c>
      <c r="O163" s="7">
        <f>0 * (25 / 27)</f>
        <v>0</v>
      </c>
      <c r="P163" s="7">
        <f>612 * (25 / 27)</f>
        <v>566.66666666666663</v>
      </c>
      <c r="Q163" s="16">
        <f t="shared" ref="Q163:Q194" si="54">H163 + P163 + M163</f>
        <v>7297.5183546666676</v>
      </c>
      <c r="R163" s="7">
        <f t="shared" si="53"/>
        <v>0</v>
      </c>
      <c r="S163" s="7">
        <f>SUMIFS('Stock - ETA'!$H$3:H4963,'Stock - ETA'!$F$3:F4963,'Rango proyecciones'!C163,'Stock - ETA'!$Q$3:Q4963,'Rango proyecciones'!$AJ$5)</f>
        <v>6730.8516880000006</v>
      </c>
      <c r="T163" s="7">
        <f>SUMIF('Stock - Puerto Chile'!$G$2:G973,'Rango proyecciones'!C163,'Stock - Puerto Chile'!$N$2:N973)</f>
        <v>43623.360000000001</v>
      </c>
      <c r="U163" s="7">
        <f>0 * (25 / 27)</f>
        <v>0</v>
      </c>
      <c r="V163" s="7">
        <f>612 * (25 / 27)</f>
        <v>566.66666666666663</v>
      </c>
      <c r="W163" s="17">
        <f t="shared" ref="W163:W194" si="55">H163 + V163 + S163 + U163</f>
        <v>7297.5183546666676</v>
      </c>
      <c r="X163" s="4"/>
      <c r="Y163" s="7"/>
      <c r="Z163" s="18">
        <f>SUMIFS('Stock - ETA'!$S$3:S4963,'Stock - ETA'!$F$3:F4963,'Rango proyecciones'!C163,'Stock - ETA'!$AA$3:AA4963,'Rango proyecciones'!$AJ$5) + SUMIFS('Stock - ETA'!$R$3:R4963,'Stock - ETA'!$F$3:F4963,'Rango proyecciones'!C163,'Stock - ETA'!$AA$3:AA4963,'Rango proyecciones'!$AJ$7)</f>
        <v>11014.120944</v>
      </c>
      <c r="AA163" s="13">
        <f t="shared" si="42"/>
        <v>11014.120944</v>
      </c>
      <c r="AB163" s="7">
        <f>SUMIFS('Stock - ETA'!$I$3:I4963,'Stock - ETA'!$F$3:F4963,'Rango proyecciones'!C163,'Stock - ETA'!$Q$3:Q4963,'Rango proyecciones'!$AJ$5) + SUMIFS('Stock - ETA'!$H$3:H4963,'Stock - ETA'!$F$3:F4963,'Rango proyecciones'!C163,'Stock - ETA'!$Q$3:Q4963,'Rango proyecciones'!$AJ$7)</f>
        <v>11014.120944</v>
      </c>
      <c r="AC163" s="16">
        <f t="shared" si="43"/>
        <v>11014.120944</v>
      </c>
      <c r="AD163" s="4"/>
      <c r="AE163" s="7">
        <f>SUMIFS('Stock - ETA'!$T$3:T4963,'Stock - ETA'!$F$3:F4963,'Rango proyecciones'!C163,'Stock - ETA'!$AA$3:AA4963,'Rango proyecciones'!$AJ$5) + SUMIFS('Stock - ETA'!$S$3:S4963,'Stock - ETA'!$F$3:F4963,'Rango proyecciones'!C163,'Stock - ETA'!$AA$3:AA4963,'Rango proyecciones'!$AJ$8)</f>
        <v>0</v>
      </c>
      <c r="AF163" s="16">
        <f>0.6 * AD163 + AE163</f>
        <v>0</v>
      </c>
      <c r="AG163" s="7">
        <f>SUMIFS('Stock - ETA'!$J$3:J4963,'Stock - ETA'!$F$3:F4963,'Rango proyecciones'!C163,'Stock - ETA'!$Q$3:Q4963,'Rango proyecciones'!$AJ$5) + SUMIFS('Stock - ETA'!$I$3:I4963,'Stock - ETA'!$F$3:F4963,'Rango proyecciones'!C163,'Stock - ETA'!$Q$3:Q4963,'Rango proyecciones'!$AJ$8)</f>
        <v>0</v>
      </c>
      <c r="AH163" s="16">
        <f>0.6 * AD163 + AG163</f>
        <v>0</v>
      </c>
      <c r="AI163" s="4"/>
    </row>
    <row r="164" spans="1:35" x14ac:dyDescent="0.2">
      <c r="A164" s="2"/>
      <c r="B164" s="2" t="s">
        <v>35</v>
      </c>
      <c r="C164" s="2" t="s">
        <v>385</v>
      </c>
      <c r="D164" s="2" t="s">
        <v>386</v>
      </c>
      <c r="E164" s="2">
        <v>1030355</v>
      </c>
      <c r="F164" s="2"/>
      <c r="G164" s="2"/>
      <c r="H164" s="4">
        <v>0</v>
      </c>
      <c r="I164" s="7">
        <v>0</v>
      </c>
      <c r="J164" s="7">
        <v>6971</v>
      </c>
      <c r="K164" s="7">
        <v>4006</v>
      </c>
      <c r="L164" s="4">
        <f t="shared" si="52"/>
        <v>4447.5</v>
      </c>
      <c r="M164" s="7">
        <f>SUMIFS('Stock - ETA'!$R$3:R4963,'Stock - ETA'!$F$3:F4963,'Rango proyecciones'!C164,'Stock - ETA'!$AA$3:AA4963,'Rango proyecciones'!$AJ$5)</f>
        <v>96000</v>
      </c>
      <c r="N164" s="7">
        <f>SUMIF('Stock - Puerto Chile'!$G$2:G973,'Rango proyecciones'!C164,'Stock - Puerto Chile'!$L$2:L973)</f>
        <v>115200</v>
      </c>
      <c r="O164" s="7">
        <v>0</v>
      </c>
      <c r="P164" s="7">
        <v>0</v>
      </c>
      <c r="Q164" s="16">
        <f t="shared" si="54"/>
        <v>96000</v>
      </c>
      <c r="R164" s="7">
        <f t="shared" si="53"/>
        <v>7624.2857142857147</v>
      </c>
      <c r="S164" s="7">
        <f>SUMIFS('Stock - ETA'!$H$3:H4963,'Stock - ETA'!$F$3:F4963,'Rango proyecciones'!C164,'Stock - ETA'!$Q$3:Q4963,'Rango proyecciones'!$AJ$5)</f>
        <v>96000</v>
      </c>
      <c r="T164" s="7">
        <f>SUMIF('Stock - Puerto Chile'!$G$2:G973,'Rango proyecciones'!C164,'Stock - Puerto Chile'!$N$2:N973)</f>
        <v>138240</v>
      </c>
      <c r="U164" s="7">
        <v>0</v>
      </c>
      <c r="V164" s="7">
        <v>0</v>
      </c>
      <c r="W164" s="17">
        <f t="shared" si="55"/>
        <v>96000</v>
      </c>
      <c r="X164" s="4"/>
      <c r="Y164" s="7"/>
      <c r="Z164" s="18">
        <f>SUMIFS('Stock - ETA'!$S$3:S4963,'Stock - ETA'!$F$3:F4963,'Rango proyecciones'!C164,'Stock - ETA'!$AA$3:AA4963,'Rango proyecciones'!$AJ$5) + SUMIFS('Stock - ETA'!$R$3:R4963,'Stock - ETA'!$F$3:F4963,'Rango proyecciones'!C164,'Stock - ETA'!$AA$3:AA4963,'Rango proyecciones'!$AJ$7)</f>
        <v>72000</v>
      </c>
      <c r="AA164" s="13">
        <f t="shared" si="42"/>
        <v>72000</v>
      </c>
      <c r="AB164" s="7">
        <f>SUMIFS('Stock - ETA'!$I$3:I4963,'Stock - ETA'!$F$3:F4963,'Rango proyecciones'!C164,'Stock - ETA'!$Q$3:Q4963,'Rango proyecciones'!$AJ$5) + SUMIFS('Stock - ETA'!$H$3:H4963,'Stock - ETA'!$F$3:F4963,'Rango proyecciones'!C164,'Stock - ETA'!$Q$3:Q4963,'Rango proyecciones'!$AJ$7)</f>
        <v>72000</v>
      </c>
      <c r="AC164" s="16">
        <f t="shared" si="43"/>
        <v>72000</v>
      </c>
      <c r="AD164" s="4"/>
      <c r="AE164" s="7">
        <f>SUMIFS('Stock - ETA'!$T$3:T4963,'Stock - ETA'!$F$3:F4963,'Rango proyecciones'!C164,'Stock - ETA'!$AA$3:AA4963,'Rango proyecciones'!$AJ$5) + SUMIFS('Stock - ETA'!$S$3:S4963,'Stock - ETA'!$F$3:F4963,'Rango proyecciones'!C164,'Stock - ETA'!$AA$3:AA4963,'Rango proyecciones'!$AJ$8)</f>
        <v>12000</v>
      </c>
      <c r="AF164" s="16">
        <f>0.7 * AD164 + AE164</f>
        <v>12000</v>
      </c>
      <c r="AG164" s="7">
        <f>SUMIFS('Stock - ETA'!$J$3:J4963,'Stock - ETA'!$F$3:F4963,'Rango proyecciones'!C164,'Stock - ETA'!$Q$3:Q4963,'Rango proyecciones'!$AJ$5) + SUMIFS('Stock - ETA'!$I$3:I4963,'Stock - ETA'!$F$3:F4963,'Rango proyecciones'!C164,'Stock - ETA'!$Q$3:Q4963,'Rango proyecciones'!$AJ$8)</f>
        <v>12000</v>
      </c>
      <c r="AH164" s="16">
        <f>0.7 * AD164 + AG164</f>
        <v>12000</v>
      </c>
      <c r="AI164" s="4"/>
    </row>
    <row r="165" spans="1:35" x14ac:dyDescent="0.2">
      <c r="A165" s="2"/>
      <c r="B165" s="2" t="s">
        <v>35</v>
      </c>
      <c r="C165" s="2" t="s">
        <v>387</v>
      </c>
      <c r="D165" s="2" t="s">
        <v>386</v>
      </c>
      <c r="E165" s="2">
        <v>1010877</v>
      </c>
      <c r="F165" s="2"/>
      <c r="G165" s="2"/>
      <c r="H165" s="4">
        <v>0</v>
      </c>
      <c r="I165" s="7">
        <v>0</v>
      </c>
      <c r="J165" s="7">
        <v>6200</v>
      </c>
      <c r="K165" s="7">
        <v>2079.2199999999998</v>
      </c>
      <c r="L165" s="4">
        <f t="shared" si="52"/>
        <v>6181.170000000001</v>
      </c>
      <c r="M165" s="7">
        <f>SUMIFS('Stock - ETA'!$R$3:R4963,'Stock - ETA'!$F$3:F4963,'Rango proyecciones'!C165,'Stock - ETA'!$AA$3:AA4963,'Rango proyecciones'!$AJ$5)</f>
        <v>96000</v>
      </c>
      <c r="N165" s="7">
        <f>SUMIF('Stock - Puerto Chile'!$G$2:G973,'Rango proyecciones'!C165,'Stock - Puerto Chile'!$L$2:L973)</f>
        <v>0</v>
      </c>
      <c r="O165" s="7">
        <v>0</v>
      </c>
      <c r="P165" s="7">
        <v>0</v>
      </c>
      <c r="Q165" s="16">
        <f t="shared" si="54"/>
        <v>96000</v>
      </c>
      <c r="R165" s="7">
        <f t="shared" si="53"/>
        <v>10596.291428571431</v>
      </c>
      <c r="S165" s="7">
        <f>SUMIFS('Stock - ETA'!$H$3:H4963,'Stock - ETA'!$F$3:F4963,'Rango proyecciones'!C165,'Stock - ETA'!$Q$3:Q4963,'Rango proyecciones'!$AJ$5)</f>
        <v>96000</v>
      </c>
      <c r="T165" s="7">
        <f>SUMIF('Stock - Puerto Chile'!$G$2:G973,'Rango proyecciones'!C165,'Stock - Puerto Chile'!$N$2:N973)</f>
        <v>0</v>
      </c>
      <c r="U165" s="7">
        <v>0</v>
      </c>
      <c r="V165" s="7">
        <v>0</v>
      </c>
      <c r="W165" s="17">
        <f t="shared" si="55"/>
        <v>96000</v>
      </c>
      <c r="X165" s="4">
        <v>827</v>
      </c>
      <c r="Y165" s="7">
        <v>827</v>
      </c>
      <c r="Z165" s="18">
        <f>SUMIFS('Stock - ETA'!$S$3:S4963,'Stock - ETA'!$F$3:F4963,'Rango proyecciones'!C165,'Stock - ETA'!$AA$3:AA4963,'Rango proyecciones'!$AJ$5) + SUMIFS('Stock - ETA'!$R$3:R4963,'Stock - ETA'!$F$3:F4963,'Rango proyecciones'!C165,'Stock - ETA'!$AA$3:AA4963,'Rango proyecciones'!$AJ$7)</f>
        <v>24000</v>
      </c>
      <c r="AA165" s="13">
        <f t="shared" si="42"/>
        <v>24827</v>
      </c>
      <c r="AB165" s="7">
        <f>SUMIFS('Stock - ETA'!$I$3:I4963,'Stock - ETA'!$F$3:F4963,'Rango proyecciones'!C165,'Stock - ETA'!$Q$3:Q4963,'Rango proyecciones'!$AJ$5) + SUMIFS('Stock - ETA'!$H$3:H4963,'Stock - ETA'!$F$3:F4963,'Rango proyecciones'!C165,'Stock - ETA'!$Q$3:Q4963,'Rango proyecciones'!$AJ$7)</f>
        <v>24000</v>
      </c>
      <c r="AC165" s="16">
        <f t="shared" si="43"/>
        <v>24827</v>
      </c>
      <c r="AD165" s="4">
        <v>38499</v>
      </c>
      <c r="AE165" s="7">
        <f>SUMIFS('Stock - ETA'!$T$3:T4963,'Stock - ETA'!$F$3:F4963,'Rango proyecciones'!C165,'Stock - ETA'!$AA$3:AA4963,'Rango proyecciones'!$AJ$5) + SUMIFS('Stock - ETA'!$S$3:S4963,'Stock - ETA'!$F$3:F4963,'Rango proyecciones'!C165,'Stock - ETA'!$AA$3:AA4963,'Rango proyecciones'!$AJ$8)</f>
        <v>96000</v>
      </c>
      <c r="AF165" s="16">
        <f>0.7 * AD165 + AE165</f>
        <v>122949.3</v>
      </c>
      <c r="AG165" s="7">
        <f>SUMIFS('Stock - ETA'!$J$3:J4963,'Stock - ETA'!$F$3:F4963,'Rango proyecciones'!C165,'Stock - ETA'!$Q$3:Q4963,'Rango proyecciones'!$AJ$5) + SUMIFS('Stock - ETA'!$I$3:I4963,'Stock - ETA'!$F$3:F4963,'Rango proyecciones'!C165,'Stock - ETA'!$Q$3:Q4963,'Rango proyecciones'!$AJ$8)</f>
        <v>96000</v>
      </c>
      <c r="AH165" s="16">
        <f>0.7 * AD165 + AG165</f>
        <v>122949.3</v>
      </c>
      <c r="AI165" s="4"/>
    </row>
    <row r="166" spans="1:35" x14ac:dyDescent="0.2">
      <c r="A166" s="2"/>
      <c r="B166" s="2" t="s">
        <v>35</v>
      </c>
      <c r="C166" s="2" t="s">
        <v>388</v>
      </c>
      <c r="D166" s="2" t="s">
        <v>389</v>
      </c>
      <c r="E166" s="2">
        <v>1022186</v>
      </c>
      <c r="F166" s="2"/>
      <c r="G166" s="2"/>
      <c r="H166" s="4">
        <v>0</v>
      </c>
      <c r="I166" s="7">
        <v>0</v>
      </c>
      <c r="J166" s="7">
        <v>5061.7979999999998</v>
      </c>
      <c r="K166" s="7">
        <v>546.26</v>
      </c>
      <c r="L166" s="4">
        <f t="shared" si="52"/>
        <v>6773.3069999999989</v>
      </c>
      <c r="M166" s="7">
        <f>SUMIFS('Stock - ETA'!$R$3:R4963,'Stock - ETA'!$F$3:F4963,'Rango proyecciones'!C166,'Stock - ETA'!$AA$3:AA4963,'Rango proyecciones'!$AJ$5)</f>
        <v>128070</v>
      </c>
      <c r="N166" s="7">
        <f>SUMIF('Stock - Puerto Chile'!$G$2:G973,'Rango proyecciones'!C166,'Stock - Puerto Chile'!$L$2:L973)</f>
        <v>102286.79999999999</v>
      </c>
      <c r="O166" s="7">
        <v>0</v>
      </c>
      <c r="P166" s="7">
        <v>0</v>
      </c>
      <c r="Q166" s="16">
        <f t="shared" si="54"/>
        <v>128070</v>
      </c>
      <c r="R166" s="7">
        <f t="shared" si="53"/>
        <v>11611.383428571427</v>
      </c>
      <c r="S166" s="7">
        <f>SUMIFS('Stock - ETA'!$H$3:H4963,'Stock - ETA'!$F$3:F4963,'Rango proyecciones'!C166,'Stock - ETA'!$Q$3:Q4963,'Rango proyecciones'!$AJ$5)</f>
        <v>128070</v>
      </c>
      <c r="T166" s="7">
        <f>SUMIF('Stock - Puerto Chile'!$G$2:G973,'Rango proyecciones'!C166,'Stock - Puerto Chile'!$N$2:N973)</f>
        <v>122744.16</v>
      </c>
      <c r="U166" s="7">
        <v>0</v>
      </c>
      <c r="V166" s="7">
        <v>0</v>
      </c>
      <c r="W166" s="17">
        <f t="shared" si="55"/>
        <v>128070</v>
      </c>
      <c r="X166" s="4">
        <v>12314</v>
      </c>
      <c r="Y166" s="7">
        <v>12314</v>
      </c>
      <c r="Z166" s="18">
        <f>SUMIFS('Stock - ETA'!$S$3:S4963,'Stock - ETA'!$F$3:F4963,'Rango proyecciones'!C166,'Stock - ETA'!$AA$3:AA4963,'Rango proyecciones'!$AJ$5) + SUMIFS('Stock - ETA'!$R$3:R4963,'Stock - ETA'!$F$3:F4963,'Rango proyecciones'!C166,'Stock - ETA'!$AA$3:AA4963,'Rango proyecciones'!$AJ$7)</f>
        <v>67500</v>
      </c>
      <c r="AA166" s="13">
        <f t="shared" si="42"/>
        <v>79814</v>
      </c>
      <c r="AB166" s="7">
        <f>SUMIFS('Stock - ETA'!$I$3:I4963,'Stock - ETA'!$F$3:F4963,'Rango proyecciones'!C166,'Stock - ETA'!$Q$3:Q4963,'Rango proyecciones'!$AJ$5) + SUMIFS('Stock - ETA'!$H$3:H4963,'Stock - ETA'!$F$3:F4963,'Rango proyecciones'!C166,'Stock - ETA'!$Q$3:Q4963,'Rango proyecciones'!$AJ$7)</f>
        <v>67500</v>
      </c>
      <c r="AC166" s="16">
        <f t="shared" si="43"/>
        <v>79814</v>
      </c>
      <c r="AD166" s="4">
        <v>15881</v>
      </c>
      <c r="AE166" s="7">
        <f>SUMIFS('Stock - ETA'!$T$3:T4963,'Stock - ETA'!$F$3:F4963,'Rango proyecciones'!C166,'Stock - ETA'!$AA$3:AA4963,'Rango proyecciones'!$AJ$5) + SUMIFS('Stock - ETA'!$S$3:S4963,'Stock - ETA'!$F$3:F4963,'Rango proyecciones'!C166,'Stock - ETA'!$AA$3:AA4963,'Rango proyecciones'!$AJ$8)</f>
        <v>0</v>
      </c>
      <c r="AF166" s="16">
        <f>0.6 * AD166 + AE166</f>
        <v>9528.6</v>
      </c>
      <c r="AG166" s="7">
        <f>SUMIFS('Stock - ETA'!$J$3:J4963,'Stock - ETA'!$F$3:F4963,'Rango proyecciones'!C166,'Stock - ETA'!$Q$3:Q4963,'Rango proyecciones'!$AJ$5) + SUMIFS('Stock - ETA'!$I$3:I4963,'Stock - ETA'!$F$3:F4963,'Rango proyecciones'!C166,'Stock - ETA'!$Q$3:Q4963,'Rango proyecciones'!$AJ$8)</f>
        <v>0</v>
      </c>
      <c r="AH166" s="16">
        <f>0.6 * AD166 + AG166</f>
        <v>9528.6</v>
      </c>
      <c r="AI166" s="4"/>
    </row>
    <row r="167" spans="1:35" x14ac:dyDescent="0.2">
      <c r="A167" s="2"/>
      <c r="B167" s="2" t="s">
        <v>35</v>
      </c>
      <c r="C167" s="2" t="s">
        <v>390</v>
      </c>
      <c r="D167" s="2" t="s">
        <v>391</v>
      </c>
      <c r="E167" s="2">
        <v>1022142</v>
      </c>
      <c r="F167" s="2"/>
      <c r="G167" s="2"/>
      <c r="H167" s="4">
        <v>0</v>
      </c>
      <c r="I167" s="7">
        <v>0</v>
      </c>
      <c r="J167" s="7">
        <v>8218</v>
      </c>
      <c r="K167" s="7">
        <v>412.89</v>
      </c>
      <c r="L167" s="4">
        <f t="shared" si="52"/>
        <v>11707.664999999999</v>
      </c>
      <c r="M167" s="7">
        <f>SUMIFS('Stock - ETA'!$R$3:R4963,'Stock - ETA'!$F$3:F4963,'Rango proyecciones'!C167,'Stock - ETA'!$AA$3:AA4963,'Rango proyecciones'!$AJ$5)</f>
        <v>27080.95</v>
      </c>
      <c r="N167" s="7">
        <f>SUMIF('Stock - Puerto Chile'!$G$2:G973,'Rango proyecciones'!C167,'Stock - Puerto Chile'!$L$2:L973)</f>
        <v>0</v>
      </c>
      <c r="O167" s="7">
        <v>0</v>
      </c>
      <c r="P167" s="7">
        <v>0</v>
      </c>
      <c r="Q167" s="16">
        <f t="shared" si="54"/>
        <v>27080.95</v>
      </c>
      <c r="R167" s="7">
        <f t="shared" si="53"/>
        <v>20070.282857142858</v>
      </c>
      <c r="S167" s="7">
        <f>SUMIFS('Stock - ETA'!$H$3:H4963,'Stock - ETA'!$F$3:F4963,'Rango proyecciones'!C167,'Stock - ETA'!$Q$3:Q4963,'Rango proyecciones'!$AJ$5)</f>
        <v>27080.95</v>
      </c>
      <c r="T167" s="7">
        <f>SUMIF('Stock - Puerto Chile'!$G$2:G973,'Rango proyecciones'!C167,'Stock - Puerto Chile'!$N$2:N973)</f>
        <v>0</v>
      </c>
      <c r="U167" s="7">
        <v>0</v>
      </c>
      <c r="V167" s="7">
        <v>0</v>
      </c>
      <c r="W167" s="17">
        <f t="shared" si="55"/>
        <v>27080.95</v>
      </c>
      <c r="X167" s="4">
        <v>30828</v>
      </c>
      <c r="Y167" s="7">
        <v>30828</v>
      </c>
      <c r="Z167" s="18">
        <f>SUMIFS('Stock - ETA'!$S$3:S4963,'Stock - ETA'!$F$3:F4963,'Rango proyecciones'!C167,'Stock - ETA'!$AA$3:AA4963,'Rango proyecciones'!$AJ$5) + SUMIFS('Stock - ETA'!$R$3:R4963,'Stock - ETA'!$F$3:F4963,'Rango proyecciones'!C167,'Stock - ETA'!$AA$3:AA4963,'Rango proyecciones'!$AJ$7)</f>
        <v>28011.01</v>
      </c>
      <c r="AA167" s="13">
        <f t="shared" si="42"/>
        <v>58839.009999999995</v>
      </c>
      <c r="AB167" s="7">
        <f>SUMIFS('Stock - ETA'!$I$3:I4963,'Stock - ETA'!$F$3:F4963,'Rango proyecciones'!C167,'Stock - ETA'!$Q$3:Q4963,'Rango proyecciones'!$AJ$5) + SUMIFS('Stock - ETA'!$H$3:H4963,'Stock - ETA'!$F$3:F4963,'Rango proyecciones'!C167,'Stock - ETA'!$Q$3:Q4963,'Rango proyecciones'!$AJ$7)</f>
        <v>28011.01</v>
      </c>
      <c r="AC167" s="16">
        <f t="shared" si="43"/>
        <v>58839.009999999995</v>
      </c>
      <c r="AD167" s="4">
        <v>36532</v>
      </c>
      <c r="AE167" s="7">
        <f>SUMIFS('Stock - ETA'!$T$3:T4963,'Stock - ETA'!$F$3:F4963,'Rango proyecciones'!C167,'Stock - ETA'!$AA$3:AA4963,'Rango proyecciones'!$AJ$5) + SUMIFS('Stock - ETA'!$S$3:S4963,'Stock - ETA'!$F$3:F4963,'Rango proyecciones'!C167,'Stock - ETA'!$AA$3:AA4963,'Rango proyecciones'!$AJ$8)</f>
        <v>8024.24</v>
      </c>
      <c r="AF167" s="16">
        <f>0.7 * AD167 + AE167</f>
        <v>33596.639999999999</v>
      </c>
      <c r="AG167" s="7">
        <f>SUMIFS('Stock - ETA'!$J$3:J4963,'Stock - ETA'!$F$3:F4963,'Rango proyecciones'!C167,'Stock - ETA'!$Q$3:Q4963,'Rango proyecciones'!$AJ$5) + SUMIFS('Stock - ETA'!$I$3:I4963,'Stock - ETA'!$F$3:F4963,'Rango proyecciones'!C167,'Stock - ETA'!$Q$3:Q4963,'Rango proyecciones'!$AJ$8)</f>
        <v>8024.24</v>
      </c>
      <c r="AH167" s="16">
        <f>0.7 * AD167 + AG167</f>
        <v>33596.639999999999</v>
      </c>
      <c r="AI167" s="4"/>
    </row>
    <row r="168" spans="1:35" x14ac:dyDescent="0.2">
      <c r="A168" s="2"/>
      <c r="B168" s="2" t="s">
        <v>35</v>
      </c>
      <c r="C168" s="2" t="s">
        <v>392</v>
      </c>
      <c r="D168" s="2" t="s">
        <v>389</v>
      </c>
      <c r="E168" s="2">
        <v>1022941</v>
      </c>
      <c r="F168" s="2"/>
      <c r="G168" s="2"/>
      <c r="H168" s="4">
        <v>0</v>
      </c>
      <c r="I168" s="7">
        <v>0</v>
      </c>
      <c r="J168" s="7">
        <v>0</v>
      </c>
      <c r="K168" s="7">
        <v>0</v>
      </c>
      <c r="L168" s="4">
        <f t="shared" si="52"/>
        <v>0</v>
      </c>
      <c r="M168" s="7">
        <f>SUMIFS('Stock - ETA'!$R$3:R4963,'Stock - ETA'!$F$3:F4963,'Rango proyecciones'!C168,'Stock - ETA'!$AA$3:AA4963,'Rango proyecciones'!$AJ$5)</f>
        <v>25010</v>
      </c>
      <c r="N168" s="7">
        <f>SUMIF('Stock - Puerto Chile'!$G$2:G973,'Rango proyecciones'!C168,'Stock - Puerto Chile'!$L$2:L973)</f>
        <v>0</v>
      </c>
      <c r="O168" s="7">
        <v>0</v>
      </c>
      <c r="P168" s="7">
        <v>0</v>
      </c>
      <c r="Q168" s="16">
        <f t="shared" si="54"/>
        <v>25010</v>
      </c>
      <c r="R168" s="7">
        <f t="shared" si="53"/>
        <v>0</v>
      </c>
      <c r="S168" s="7">
        <f>SUMIFS('Stock - ETA'!$H$3:H4963,'Stock - ETA'!$F$3:F4963,'Rango proyecciones'!C168,'Stock - ETA'!$Q$3:Q4963,'Rango proyecciones'!$AJ$5)</f>
        <v>25010</v>
      </c>
      <c r="T168" s="7">
        <f>SUMIF('Stock - Puerto Chile'!$G$2:G973,'Rango proyecciones'!C168,'Stock - Puerto Chile'!$N$2:N973)</f>
        <v>0</v>
      </c>
      <c r="U168" s="7">
        <v>0</v>
      </c>
      <c r="V168" s="7">
        <v>0</v>
      </c>
      <c r="W168" s="17">
        <f t="shared" si="55"/>
        <v>25010</v>
      </c>
      <c r="X168" s="4"/>
      <c r="Y168" s="7"/>
      <c r="Z168" s="18">
        <f>SUMIFS('Stock - ETA'!$S$3:S4963,'Stock - ETA'!$F$3:F4963,'Rango proyecciones'!C168,'Stock - ETA'!$AA$3:AA4963,'Rango proyecciones'!$AJ$5) + SUMIFS('Stock - ETA'!$R$3:R4963,'Stock - ETA'!$F$3:F4963,'Rango proyecciones'!C168,'Stock - ETA'!$AA$3:AA4963,'Rango proyecciones'!$AJ$7)</f>
        <v>18245</v>
      </c>
      <c r="AA168" s="13">
        <f t="shared" si="42"/>
        <v>18245</v>
      </c>
      <c r="AB168" s="7">
        <f>SUMIFS('Stock - ETA'!$I$3:I4963,'Stock - ETA'!$F$3:F4963,'Rango proyecciones'!C168,'Stock - ETA'!$Q$3:Q4963,'Rango proyecciones'!$AJ$5) + SUMIFS('Stock - ETA'!$H$3:H4963,'Stock - ETA'!$F$3:F4963,'Rango proyecciones'!C168,'Stock - ETA'!$Q$3:Q4963,'Rango proyecciones'!$AJ$7)</f>
        <v>18245</v>
      </c>
      <c r="AC168" s="16">
        <f t="shared" si="43"/>
        <v>18245</v>
      </c>
      <c r="AD168" s="4"/>
      <c r="AE168" s="7">
        <f>SUMIFS('Stock - ETA'!$T$3:T4963,'Stock - ETA'!$F$3:F4963,'Rango proyecciones'!C168,'Stock - ETA'!$AA$3:AA4963,'Rango proyecciones'!$AJ$5) + SUMIFS('Stock - ETA'!$S$3:S4963,'Stock - ETA'!$F$3:F4963,'Rango proyecciones'!C168,'Stock - ETA'!$AA$3:AA4963,'Rango proyecciones'!$AJ$8)</f>
        <v>0</v>
      </c>
      <c r="AF168" s="16">
        <f>0.6 * AD168 + AE168</f>
        <v>0</v>
      </c>
      <c r="AG168" s="7">
        <f>SUMIFS('Stock - ETA'!$J$3:J4963,'Stock - ETA'!$F$3:F4963,'Rango proyecciones'!C168,'Stock - ETA'!$Q$3:Q4963,'Rango proyecciones'!$AJ$5) + SUMIFS('Stock - ETA'!$I$3:I4963,'Stock - ETA'!$F$3:F4963,'Rango proyecciones'!C168,'Stock - ETA'!$Q$3:Q4963,'Rango proyecciones'!$AJ$8)</f>
        <v>0</v>
      </c>
      <c r="AH168" s="16">
        <f>0.6 * AD168 + AG168</f>
        <v>0</v>
      </c>
      <c r="AI168" s="4"/>
    </row>
    <row r="169" spans="1:35" x14ac:dyDescent="0.2">
      <c r="A169" s="2"/>
      <c r="B169" s="2" t="s">
        <v>35</v>
      </c>
      <c r="C169" s="2" t="s">
        <v>393</v>
      </c>
      <c r="D169" s="2" t="s">
        <v>391</v>
      </c>
      <c r="E169" s="2">
        <v>1021204</v>
      </c>
      <c r="F169" s="2"/>
      <c r="G169" s="2"/>
      <c r="H169" s="4">
        <v>0</v>
      </c>
      <c r="I169" s="7">
        <v>0</v>
      </c>
      <c r="J169" s="7">
        <v>5354</v>
      </c>
      <c r="K169" s="7"/>
      <c r="L169" s="4">
        <f t="shared" si="52"/>
        <v>8031</v>
      </c>
      <c r="M169" s="7">
        <f>SUMIFS('Stock - ETA'!$R$3:R4963,'Stock - ETA'!$F$3:F4963,'Rango proyecciones'!C169,'Stock - ETA'!$AA$3:AA4963,'Rango proyecciones'!$AJ$5)</f>
        <v>23980</v>
      </c>
      <c r="N169" s="7">
        <f>SUMIF('Stock - Puerto Chile'!$G$2:G973,'Rango proyecciones'!C169,'Stock - Puerto Chile'!$L$2:L973)</f>
        <v>0</v>
      </c>
      <c r="O169" s="7">
        <v>0</v>
      </c>
      <c r="P169" s="7">
        <v>0</v>
      </c>
      <c r="Q169" s="16">
        <f t="shared" si="54"/>
        <v>23980</v>
      </c>
      <c r="R169" s="7">
        <f t="shared" si="53"/>
        <v>13767.428571428572</v>
      </c>
      <c r="S169" s="7">
        <f>SUMIFS('Stock - ETA'!$H$3:H4963,'Stock - ETA'!$F$3:F4963,'Rango proyecciones'!C169,'Stock - ETA'!$Q$3:Q4963,'Rango proyecciones'!$AJ$5)</f>
        <v>23980</v>
      </c>
      <c r="T169" s="7">
        <f>SUMIF('Stock - Puerto Chile'!$G$2:G973,'Rango proyecciones'!C169,'Stock - Puerto Chile'!$N$2:N973)</f>
        <v>0</v>
      </c>
      <c r="U169" s="7">
        <v>0</v>
      </c>
      <c r="V169" s="7">
        <v>0</v>
      </c>
      <c r="W169" s="17">
        <f t="shared" si="55"/>
        <v>23980</v>
      </c>
      <c r="X169" s="4"/>
      <c r="Y169" s="7"/>
      <c r="Z169" s="18">
        <f>SUMIFS('Stock - ETA'!$S$3:S4963,'Stock - ETA'!$F$3:F4963,'Rango proyecciones'!C169,'Stock - ETA'!$AA$3:AA4963,'Rango proyecciones'!$AJ$5) + SUMIFS('Stock - ETA'!$R$3:R4963,'Stock - ETA'!$F$3:F4963,'Rango proyecciones'!C169,'Stock - ETA'!$AA$3:AA4963,'Rango proyecciones'!$AJ$7)</f>
        <v>47660</v>
      </c>
      <c r="AA169" s="13">
        <f t="shared" si="42"/>
        <v>47660</v>
      </c>
      <c r="AB169" s="7">
        <f>SUMIFS('Stock - ETA'!$I$3:I4963,'Stock - ETA'!$F$3:F4963,'Rango proyecciones'!C169,'Stock - ETA'!$Q$3:Q4963,'Rango proyecciones'!$AJ$5) + SUMIFS('Stock - ETA'!$H$3:H4963,'Stock - ETA'!$F$3:F4963,'Rango proyecciones'!C169,'Stock - ETA'!$Q$3:Q4963,'Rango proyecciones'!$AJ$7)</f>
        <v>47660</v>
      </c>
      <c r="AC169" s="16">
        <f t="shared" si="43"/>
        <v>47660</v>
      </c>
      <c r="AD169" s="4"/>
      <c r="AE169" s="7">
        <f>SUMIFS('Stock - ETA'!$T$3:T4963,'Stock - ETA'!$F$3:F4963,'Rango proyecciones'!C169,'Stock - ETA'!$AA$3:AA4963,'Rango proyecciones'!$AJ$5) + SUMIFS('Stock - ETA'!$S$3:S4963,'Stock - ETA'!$F$3:F4963,'Rango proyecciones'!C169,'Stock - ETA'!$AA$3:AA4963,'Rango proyecciones'!$AJ$8)</f>
        <v>0</v>
      </c>
      <c r="AF169" s="16">
        <f t="shared" ref="AF169:AF181" si="56">0.7 * AD169 + AE169</f>
        <v>0</v>
      </c>
      <c r="AG169" s="7">
        <f>SUMIFS('Stock - ETA'!$J$3:J4963,'Stock - ETA'!$F$3:F4963,'Rango proyecciones'!C169,'Stock - ETA'!$Q$3:Q4963,'Rango proyecciones'!$AJ$5) + SUMIFS('Stock - ETA'!$I$3:I4963,'Stock - ETA'!$F$3:F4963,'Rango proyecciones'!C169,'Stock - ETA'!$Q$3:Q4963,'Rango proyecciones'!$AJ$8)</f>
        <v>0</v>
      </c>
      <c r="AH169" s="16">
        <f t="shared" ref="AH169:AH181" si="57">0.7 * AD169 + AG169</f>
        <v>0</v>
      </c>
      <c r="AI169" s="4"/>
    </row>
    <row r="170" spans="1:35" x14ac:dyDescent="0.2">
      <c r="A170" s="2"/>
      <c r="B170" s="2" t="s">
        <v>394</v>
      </c>
      <c r="C170" s="2" t="s">
        <v>395</v>
      </c>
      <c r="D170" s="2" t="s">
        <v>396</v>
      </c>
      <c r="E170" s="2">
        <v>1030535</v>
      </c>
      <c r="F170" s="2"/>
      <c r="G170" s="2"/>
      <c r="H170" s="4">
        <v>0</v>
      </c>
      <c r="I170" s="7">
        <v>0</v>
      </c>
      <c r="J170" s="7"/>
      <c r="K170" s="7">
        <v>5018.33</v>
      </c>
      <c r="L170" s="4">
        <f t="shared" si="52"/>
        <v>0</v>
      </c>
      <c r="M170" s="7">
        <f>SUMIF('Stock - ETA'!$F$3:F4963,'Rango proyecciones'!C170,'Stock - ETA'!$R$3:R4963)</f>
        <v>43998.645000000004</v>
      </c>
      <c r="N170" s="7">
        <f>SUMIF('Stock - Puerto Chile'!$G$2:G973,'Rango proyecciones'!C170,'Stock - Puerto Chile'!$L$2:L973)</f>
        <v>0</v>
      </c>
      <c r="O170" s="7">
        <v>0</v>
      </c>
      <c r="P170" s="7">
        <v>0</v>
      </c>
      <c r="Q170" s="16">
        <f t="shared" ref="Q170:Q181" si="58">H170 + M170 + N170 + L170</f>
        <v>43998.645000000004</v>
      </c>
      <c r="R170" s="7">
        <f t="shared" si="53"/>
        <v>0</v>
      </c>
      <c r="S170" s="7">
        <f>SUMIF('Stock - ETA'!$F$3:F4963,'Rango proyecciones'!C170,'Stock - ETA'!$H$3:H4963)</f>
        <v>43998.645000000004</v>
      </c>
      <c r="T170" s="7">
        <f>SUMIF('Stock - Puerto Chile'!$G$2:G973,'Rango proyecciones'!C170,'Stock - Puerto Chile'!$N$2:N973)</f>
        <v>0</v>
      </c>
      <c r="U170" s="7">
        <v>0</v>
      </c>
      <c r="V170" s="7">
        <v>0</v>
      </c>
      <c r="W170" s="16">
        <f t="shared" ref="W170:W181" si="59">H170 + S170 + R170 + T170</f>
        <v>43998.645000000004</v>
      </c>
      <c r="X170" s="4">
        <v>79000</v>
      </c>
      <c r="Y170" s="7">
        <v>79000</v>
      </c>
      <c r="Z170" s="18">
        <f>SUMIF('Stock - ETA'!$F$3:F4963,'Rango proyecciones'!C170,'Stock - ETA'!$S$3:S4963)</f>
        <v>21996.68</v>
      </c>
      <c r="AA170" s="13">
        <f t="shared" si="42"/>
        <v>100996.68</v>
      </c>
      <c r="AB170" s="7">
        <f>SUMIF('Stock - ETA'!$F$3:F4963,'Rango proyecciones'!C170,'Stock - ETA'!$I$3:I4963)</f>
        <v>21996.68</v>
      </c>
      <c r="AC170" s="16">
        <f t="shared" si="43"/>
        <v>100996.68</v>
      </c>
      <c r="AD170" s="4">
        <v>79000</v>
      </c>
      <c r="AE170" s="7">
        <f>SUMIF('Stock - ETA'!$F$3:F4963,'Rango proyecciones'!C170,'Stock - ETA'!$T$3:T4963)</f>
        <v>22001.43</v>
      </c>
      <c r="AF170" s="16">
        <f t="shared" si="56"/>
        <v>77301.429999999993</v>
      </c>
      <c r="AG170" s="7">
        <f>SUMIF('Stock - ETA'!$F$3:F4963,'Rango proyecciones'!C170,'Stock - ETA'!$J$3:J4963)</f>
        <v>22001.43</v>
      </c>
      <c r="AH170" s="16">
        <f t="shared" si="57"/>
        <v>77301.429999999993</v>
      </c>
      <c r="AI170" s="4"/>
    </row>
    <row r="171" spans="1:35" x14ac:dyDescent="0.2">
      <c r="A171" s="2"/>
      <c r="B171" s="2" t="s">
        <v>394</v>
      </c>
      <c r="C171" s="2" t="s">
        <v>397</v>
      </c>
      <c r="D171" s="2" t="s">
        <v>396</v>
      </c>
      <c r="E171" s="2">
        <v>1023038</v>
      </c>
      <c r="F171" s="2"/>
      <c r="G171" s="2"/>
      <c r="H171" s="4">
        <v>0</v>
      </c>
      <c r="I171" s="7">
        <v>0</v>
      </c>
      <c r="J171" s="7">
        <v>0</v>
      </c>
      <c r="K171" s="7">
        <v>0</v>
      </c>
      <c r="L171" s="4">
        <f t="shared" si="52"/>
        <v>0</v>
      </c>
      <c r="M171" s="7">
        <f>SUMIF('Stock - ETA'!$F$3:F4963,'Rango proyecciones'!C171,'Stock - ETA'!$R$3:R4963)</f>
        <v>168995.95</v>
      </c>
      <c r="N171" s="7">
        <f>SUMIF('Stock - Puerto Chile'!$G$2:G973,'Rango proyecciones'!C171,'Stock - Puerto Chile'!$L$2:L973)</f>
        <v>0</v>
      </c>
      <c r="O171" s="7">
        <v>0</v>
      </c>
      <c r="P171" s="7">
        <v>0</v>
      </c>
      <c r="Q171" s="16">
        <f t="shared" si="58"/>
        <v>168995.95</v>
      </c>
      <c r="R171" s="7">
        <f t="shared" si="53"/>
        <v>0</v>
      </c>
      <c r="S171" s="7">
        <f>SUMIF('Stock - ETA'!$F$3:F4963,'Rango proyecciones'!C171,'Stock - ETA'!$H$3:H4963)</f>
        <v>168995.95</v>
      </c>
      <c r="T171" s="7">
        <f>SUMIF('Stock - Puerto Chile'!$G$2:G973,'Rango proyecciones'!C171,'Stock - Puerto Chile'!$N$2:N973)</f>
        <v>0</v>
      </c>
      <c r="U171" s="7">
        <v>0</v>
      </c>
      <c r="V171" s="7">
        <v>0</v>
      </c>
      <c r="W171" s="16">
        <f t="shared" si="59"/>
        <v>168995.95</v>
      </c>
      <c r="X171" s="4">
        <v>110000</v>
      </c>
      <c r="Y171" s="7">
        <v>110000</v>
      </c>
      <c r="Z171" s="18">
        <f>SUMIF('Stock - ETA'!$F$3:F4963,'Rango proyecciones'!C171,'Stock - ETA'!$S$3:S4963)</f>
        <v>0</v>
      </c>
      <c r="AA171" s="13">
        <f t="shared" si="42"/>
        <v>110000</v>
      </c>
      <c r="AB171" s="7">
        <f>SUMIF('Stock - ETA'!$F$3:F4963,'Rango proyecciones'!C171,'Stock - ETA'!$I$3:I4963)</f>
        <v>0</v>
      </c>
      <c r="AC171" s="16">
        <f t="shared" si="43"/>
        <v>110000</v>
      </c>
      <c r="AD171" s="4">
        <v>110000</v>
      </c>
      <c r="AE171" s="7">
        <f>SUMIF('Stock - ETA'!$F$3:F4963,'Rango proyecciones'!C171,'Stock - ETA'!$T$3:T4963)</f>
        <v>0</v>
      </c>
      <c r="AF171" s="16">
        <f t="shared" si="56"/>
        <v>77000</v>
      </c>
      <c r="AG171" s="7">
        <f>SUMIF('Stock - ETA'!$F$3:F4963,'Rango proyecciones'!C171,'Stock - ETA'!$J$3:J4963)</f>
        <v>0</v>
      </c>
      <c r="AH171" s="16">
        <f t="shared" si="57"/>
        <v>77000</v>
      </c>
      <c r="AI171" s="4"/>
    </row>
    <row r="172" spans="1:35" x14ac:dyDescent="0.2">
      <c r="A172" s="2"/>
      <c r="B172" s="2" t="s">
        <v>394</v>
      </c>
      <c r="C172" s="2" t="s">
        <v>398</v>
      </c>
      <c r="D172" s="2" t="s">
        <v>396</v>
      </c>
      <c r="E172" s="2">
        <v>1021470</v>
      </c>
      <c r="F172" s="2"/>
      <c r="G172" s="2"/>
      <c r="H172" s="4">
        <v>0</v>
      </c>
      <c r="I172" s="7">
        <v>0</v>
      </c>
      <c r="J172" s="7">
        <v>9230.7839999999997</v>
      </c>
      <c r="K172" s="7">
        <v>800.31</v>
      </c>
      <c r="L172" s="4">
        <f t="shared" si="52"/>
        <v>12645.710999999999</v>
      </c>
      <c r="M172" s="7">
        <f>SUMIF('Stock - ETA'!$F$3:F4963,'Rango proyecciones'!C172,'Stock - ETA'!$R$3:R4963)</f>
        <v>31159.39</v>
      </c>
      <c r="N172" s="7">
        <f>SUMIF('Stock - Puerto Chile'!$G$2:G973,'Rango proyecciones'!C172,'Stock - Puerto Chile'!$L$2:L973)</f>
        <v>92438.766000000003</v>
      </c>
      <c r="O172" s="7">
        <v>0</v>
      </c>
      <c r="P172" s="7">
        <v>0</v>
      </c>
      <c r="Q172" s="16">
        <f t="shared" si="58"/>
        <v>136243.867</v>
      </c>
      <c r="R172" s="7">
        <f t="shared" si="53"/>
        <v>21678.361714285715</v>
      </c>
      <c r="S172" s="7">
        <f>SUMIF('Stock - ETA'!$F$3:F4963,'Rango proyecciones'!C172,'Stock - ETA'!$H$3:H4963)</f>
        <v>31159.39</v>
      </c>
      <c r="T172" s="7">
        <f>SUMIF('Stock - Puerto Chile'!$G$2:G973,'Rango proyecciones'!C172,'Stock - Puerto Chile'!$N$2:N973)</f>
        <v>110926.51920000001</v>
      </c>
      <c r="U172" s="7">
        <v>0</v>
      </c>
      <c r="V172" s="7">
        <v>0</v>
      </c>
      <c r="W172" s="16">
        <f t="shared" si="59"/>
        <v>163764.27091428573</v>
      </c>
      <c r="X172" s="4">
        <v>22000</v>
      </c>
      <c r="Y172" s="7">
        <v>22000</v>
      </c>
      <c r="Z172" s="18">
        <f>SUMIF('Stock - ETA'!$F$3:F4963,'Rango proyecciones'!C172,'Stock - ETA'!$S$3:S4963)</f>
        <v>0</v>
      </c>
      <c r="AA172" s="13">
        <f t="shared" si="42"/>
        <v>22000</v>
      </c>
      <c r="AB172" s="7">
        <f>SUMIF('Stock - ETA'!$F$3:F4963,'Rango proyecciones'!C172,'Stock - ETA'!$I$3:I4963)</f>
        <v>0</v>
      </c>
      <c r="AC172" s="16">
        <f t="shared" si="43"/>
        <v>22000</v>
      </c>
      <c r="AD172" s="4">
        <v>22000</v>
      </c>
      <c r="AE172" s="7">
        <f>SUMIF('Stock - ETA'!$F$3:F4963,'Rango proyecciones'!C172,'Stock - ETA'!$T$3:T4963)</f>
        <v>0</v>
      </c>
      <c r="AF172" s="16">
        <f t="shared" si="56"/>
        <v>15399.999999999998</v>
      </c>
      <c r="AG172" s="7">
        <f>SUMIF('Stock - ETA'!$F$3:F4963,'Rango proyecciones'!C172,'Stock - ETA'!$J$3:J4963)</f>
        <v>0</v>
      </c>
      <c r="AH172" s="16">
        <f t="shared" si="57"/>
        <v>15399.999999999998</v>
      </c>
      <c r="AI172" s="4"/>
    </row>
    <row r="173" spans="1:35" x14ac:dyDescent="0.2">
      <c r="A173" s="2"/>
      <c r="B173" s="2" t="s">
        <v>394</v>
      </c>
      <c r="C173" s="2" t="s">
        <v>399</v>
      </c>
      <c r="D173" s="2" t="s">
        <v>396</v>
      </c>
      <c r="E173" s="2">
        <v>1021149</v>
      </c>
      <c r="F173" s="2"/>
      <c r="G173" s="2"/>
      <c r="H173" s="4">
        <v>0</v>
      </c>
      <c r="I173" s="7">
        <v>0</v>
      </c>
      <c r="J173" s="7"/>
      <c r="K173" s="7">
        <v>1706.22</v>
      </c>
      <c r="L173" s="4">
        <f t="shared" si="52"/>
        <v>0</v>
      </c>
      <c r="M173" s="7">
        <f>SUMIF('Stock - ETA'!$F$3:F4963,'Rango proyecciones'!C173,'Stock - ETA'!$R$3:R4963)</f>
        <v>87856</v>
      </c>
      <c r="N173" s="7">
        <f>SUMIF('Stock - Puerto Chile'!$G$2:G973,'Rango proyecciones'!C173,'Stock - Puerto Chile'!$L$2:L973)</f>
        <v>92400</v>
      </c>
      <c r="O173" s="7">
        <v>0</v>
      </c>
      <c r="P173" s="7">
        <v>0</v>
      </c>
      <c r="Q173" s="16">
        <f t="shared" si="58"/>
        <v>180256</v>
      </c>
      <c r="R173" s="7">
        <f t="shared" si="53"/>
        <v>0</v>
      </c>
      <c r="S173" s="7">
        <f>SUMIF('Stock - ETA'!$F$3:F4963,'Rango proyecciones'!C173,'Stock - ETA'!$H$3:H4963)</f>
        <v>87856</v>
      </c>
      <c r="T173" s="7">
        <f>SUMIF('Stock - Puerto Chile'!$G$2:G973,'Rango proyecciones'!C173,'Stock - Puerto Chile'!$N$2:N973)</f>
        <v>110880</v>
      </c>
      <c r="U173" s="7">
        <v>0</v>
      </c>
      <c r="V173" s="7">
        <v>0</v>
      </c>
      <c r="W173" s="16">
        <f t="shared" si="59"/>
        <v>198736</v>
      </c>
      <c r="X173" s="4">
        <v>52328</v>
      </c>
      <c r="Y173" s="7">
        <v>52328</v>
      </c>
      <c r="Z173" s="18">
        <f>SUMIF('Stock - ETA'!$F$3:F4963,'Rango proyecciones'!C173,'Stock - ETA'!$S$3:S4963)</f>
        <v>22000</v>
      </c>
      <c r="AA173" s="13">
        <f t="shared" si="42"/>
        <v>74328</v>
      </c>
      <c r="AB173" s="7">
        <f>SUMIF('Stock - ETA'!$F$3:F4963,'Rango proyecciones'!C173,'Stock - ETA'!$I$3:I4963)</f>
        <v>22000</v>
      </c>
      <c r="AC173" s="16">
        <f t="shared" si="43"/>
        <v>74328</v>
      </c>
      <c r="AD173" s="4">
        <v>150996</v>
      </c>
      <c r="AE173" s="7">
        <f>SUMIF('Stock - ETA'!$F$3:F4963,'Rango proyecciones'!C173,'Stock - ETA'!$T$3:T4963)</f>
        <v>0</v>
      </c>
      <c r="AF173" s="16">
        <f t="shared" si="56"/>
        <v>105697.2</v>
      </c>
      <c r="AG173" s="7">
        <f>SUMIF('Stock - ETA'!$F$3:F4963,'Rango proyecciones'!C173,'Stock - ETA'!$J$3:J4963)</f>
        <v>0</v>
      </c>
      <c r="AH173" s="16">
        <f t="shared" si="57"/>
        <v>105697.2</v>
      </c>
      <c r="AI173" s="4"/>
    </row>
    <row r="174" spans="1:35" x14ac:dyDescent="0.2">
      <c r="A174" s="2"/>
      <c r="B174" s="2" t="s">
        <v>394</v>
      </c>
      <c r="C174" s="2" t="s">
        <v>400</v>
      </c>
      <c r="D174" s="2" t="s">
        <v>396</v>
      </c>
      <c r="E174" s="2">
        <v>1020861</v>
      </c>
      <c r="F174" s="2"/>
      <c r="G174" s="2"/>
      <c r="H174" s="4">
        <v>0</v>
      </c>
      <c r="I174" s="7">
        <v>0</v>
      </c>
      <c r="J174" s="7"/>
      <c r="K174" s="7">
        <v>2196.21</v>
      </c>
      <c r="L174" s="4">
        <f t="shared" si="52"/>
        <v>0</v>
      </c>
      <c r="M174" s="7">
        <f>SUMIF('Stock - ETA'!$F$3:F4963,'Rango proyecciones'!C174,'Stock - ETA'!$R$3:R4963)</f>
        <v>74673.75</v>
      </c>
      <c r="N174" s="7">
        <f>SUMIF('Stock - Puerto Chile'!$G$2:G973,'Rango proyecciones'!C174,'Stock - Puerto Chile'!$L$2:L973)</f>
        <v>198047.87459999998</v>
      </c>
      <c r="O174" s="7">
        <v>0</v>
      </c>
      <c r="P174" s="7">
        <v>0</v>
      </c>
      <c r="Q174" s="16">
        <f t="shared" si="58"/>
        <v>272721.62459999998</v>
      </c>
      <c r="R174" s="7">
        <f t="shared" si="53"/>
        <v>0</v>
      </c>
      <c r="S174" s="7">
        <f>SUMIF('Stock - ETA'!$F$3:F4963,'Rango proyecciones'!C174,'Stock - ETA'!$H$3:H4963)</f>
        <v>74673.75</v>
      </c>
      <c r="T174" s="7">
        <f>SUMIF('Stock - Puerto Chile'!$G$2:G973,'Rango proyecciones'!C174,'Stock - Puerto Chile'!$N$2:N973)</f>
        <v>237657.44951999997</v>
      </c>
      <c r="U174" s="7">
        <v>0</v>
      </c>
      <c r="V174" s="7">
        <v>0</v>
      </c>
      <c r="W174" s="16">
        <f t="shared" si="59"/>
        <v>312331.19951999997</v>
      </c>
      <c r="X174" s="4">
        <v>110000</v>
      </c>
      <c r="Y174" s="7">
        <v>110000</v>
      </c>
      <c r="Z174" s="18">
        <f>SUMIF('Stock - ETA'!$F$3:F4963,'Rango proyecciones'!C174,'Stock - ETA'!$S$3:S4963)</f>
        <v>0</v>
      </c>
      <c r="AA174" s="13">
        <f t="shared" si="42"/>
        <v>110000</v>
      </c>
      <c r="AB174" s="7">
        <f>SUMIF('Stock - ETA'!$F$3:F4963,'Rango proyecciones'!C174,'Stock - ETA'!$I$3:I4963)</f>
        <v>0</v>
      </c>
      <c r="AC174" s="16">
        <f t="shared" si="43"/>
        <v>110000</v>
      </c>
      <c r="AD174" s="4">
        <v>110000</v>
      </c>
      <c r="AE174" s="7">
        <f>SUMIF('Stock - ETA'!$F$3:F4963,'Rango proyecciones'!C174,'Stock - ETA'!$T$3:T4963)</f>
        <v>0</v>
      </c>
      <c r="AF174" s="16">
        <f t="shared" si="56"/>
        <v>77000</v>
      </c>
      <c r="AG174" s="7">
        <f>SUMIF('Stock - ETA'!$F$3:F4963,'Rango proyecciones'!C174,'Stock - ETA'!$J$3:J4963)</f>
        <v>0</v>
      </c>
      <c r="AH174" s="16">
        <f t="shared" si="57"/>
        <v>77000</v>
      </c>
      <c r="AI174" s="4"/>
    </row>
    <row r="175" spans="1:35" x14ac:dyDescent="0.2">
      <c r="A175" s="2"/>
      <c r="B175" s="2" t="s">
        <v>394</v>
      </c>
      <c r="C175" s="2" t="s">
        <v>401</v>
      </c>
      <c r="D175" s="2" t="s">
        <v>396</v>
      </c>
      <c r="E175" s="2">
        <v>1022885</v>
      </c>
      <c r="F175" s="2"/>
      <c r="G175" s="2"/>
      <c r="H175" s="4">
        <v>0</v>
      </c>
      <c r="I175" s="7">
        <v>0</v>
      </c>
      <c r="J175" s="7">
        <v>0</v>
      </c>
      <c r="K175" s="7">
        <v>0</v>
      </c>
      <c r="L175" s="4">
        <f t="shared" si="52"/>
        <v>0</v>
      </c>
      <c r="M175" s="7">
        <f>SUMIF('Stock - ETA'!$F$3:F4963,'Rango proyecciones'!C175,'Stock - ETA'!$R$3:R4963)</f>
        <v>467210.10000000003</v>
      </c>
      <c r="N175" s="7">
        <f>SUMIF('Stock - Puerto Chile'!$G$2:G973,'Rango proyecciones'!C175,'Stock - Puerto Chile'!$L$2:L973)</f>
        <v>343054.3554</v>
      </c>
      <c r="O175" s="7">
        <v>0</v>
      </c>
      <c r="P175" s="7">
        <v>0</v>
      </c>
      <c r="Q175" s="16">
        <f t="shared" si="58"/>
        <v>810264.45540000009</v>
      </c>
      <c r="R175" s="7">
        <f t="shared" si="53"/>
        <v>0</v>
      </c>
      <c r="S175" s="7">
        <f>SUMIF('Stock - ETA'!$F$3:F4963,'Rango proyecciones'!C175,'Stock - ETA'!$H$3:H4963)</f>
        <v>467210.10000000003</v>
      </c>
      <c r="T175" s="7">
        <f>SUMIF('Stock - Puerto Chile'!$G$2:G973,'Rango proyecciones'!C175,'Stock - Puerto Chile'!$N$2:N973)</f>
        <v>411665.22647999995</v>
      </c>
      <c r="U175" s="7">
        <v>0</v>
      </c>
      <c r="V175" s="7">
        <v>0</v>
      </c>
      <c r="W175" s="16">
        <f t="shared" si="59"/>
        <v>878875.32648000005</v>
      </c>
      <c r="X175" s="4">
        <v>550000</v>
      </c>
      <c r="Y175" s="7">
        <v>550000</v>
      </c>
      <c r="Z175" s="18">
        <f>SUMIF('Stock - ETA'!$F$3:F4963,'Rango proyecciones'!C175,'Stock - ETA'!$S$3:S4963)</f>
        <v>88019.209999999992</v>
      </c>
      <c r="AA175" s="13">
        <f t="shared" si="42"/>
        <v>638019.21</v>
      </c>
      <c r="AB175" s="7">
        <f>SUMIF('Stock - ETA'!$F$3:F4963,'Rango proyecciones'!C175,'Stock - ETA'!$I$3:I4963)</f>
        <v>88019.209999999992</v>
      </c>
      <c r="AC175" s="16">
        <f t="shared" si="43"/>
        <v>638019.21</v>
      </c>
      <c r="AD175" s="4">
        <v>550000</v>
      </c>
      <c r="AE175" s="7">
        <f>SUMIF('Stock - ETA'!$F$3:F4963,'Rango proyecciones'!C175,'Stock - ETA'!$T$3:T4963)</f>
        <v>0</v>
      </c>
      <c r="AF175" s="16">
        <f t="shared" si="56"/>
        <v>385000</v>
      </c>
      <c r="AG175" s="7">
        <f>SUMIF('Stock - ETA'!$F$3:F4963,'Rango proyecciones'!C175,'Stock - ETA'!$J$3:J4963)</f>
        <v>0</v>
      </c>
      <c r="AH175" s="16">
        <f t="shared" si="57"/>
        <v>385000</v>
      </c>
      <c r="AI175" s="4"/>
    </row>
    <row r="176" spans="1:35" x14ac:dyDescent="0.2">
      <c r="A176" s="2"/>
      <c r="B176" s="2" t="s">
        <v>394</v>
      </c>
      <c r="C176" s="2" t="s">
        <v>402</v>
      </c>
      <c r="D176" s="2" t="s">
        <v>396</v>
      </c>
      <c r="E176" s="2">
        <v>1021150</v>
      </c>
      <c r="F176" s="2"/>
      <c r="G176" s="2"/>
      <c r="H176" s="4">
        <v>0</v>
      </c>
      <c r="I176" s="7">
        <v>0</v>
      </c>
      <c r="J176" s="7">
        <v>6595.2979999999998</v>
      </c>
      <c r="K176" s="7">
        <v>589.79</v>
      </c>
      <c r="L176" s="4">
        <f t="shared" si="52"/>
        <v>9008.2619999999988</v>
      </c>
      <c r="M176" s="7">
        <f>SUMIF('Stock - ETA'!$F$3:F4963,'Rango proyecciones'!C176,'Stock - ETA'!$R$3:R4963)</f>
        <v>99680</v>
      </c>
      <c r="N176" s="7">
        <f>SUMIF('Stock - Puerto Chile'!$G$2:G973,'Rango proyecciones'!C176,'Stock - Puerto Chile'!$L$2:L973)</f>
        <v>39600</v>
      </c>
      <c r="O176" s="7">
        <v>0</v>
      </c>
      <c r="P176" s="7">
        <v>0</v>
      </c>
      <c r="Q176" s="16">
        <f t="shared" si="58"/>
        <v>148288.26199999999</v>
      </c>
      <c r="R176" s="7">
        <f t="shared" si="53"/>
        <v>15442.734857142857</v>
      </c>
      <c r="S176" s="7">
        <f>SUMIF('Stock - ETA'!$F$3:F4963,'Rango proyecciones'!C176,'Stock - ETA'!$H$3:H4963)</f>
        <v>99680</v>
      </c>
      <c r="T176" s="7">
        <f>SUMIF('Stock - Puerto Chile'!$G$2:G973,'Rango proyecciones'!C176,'Stock - Puerto Chile'!$N$2:N973)</f>
        <v>47520</v>
      </c>
      <c r="U176" s="7">
        <v>0</v>
      </c>
      <c r="V176" s="7">
        <v>0</v>
      </c>
      <c r="W176" s="16">
        <f t="shared" si="59"/>
        <v>162642.73485714284</v>
      </c>
      <c r="X176" s="4"/>
      <c r="Y176" s="7"/>
      <c r="Z176" s="18">
        <f>SUMIF('Stock - ETA'!$F$3:F4963,'Rango proyecciones'!C176,'Stock - ETA'!$S$3:S4963)</f>
        <v>22000</v>
      </c>
      <c r="AA176" s="13">
        <f t="shared" si="42"/>
        <v>22000</v>
      </c>
      <c r="AB176" s="7">
        <f>SUMIF('Stock - ETA'!$F$3:F4963,'Rango proyecciones'!C176,'Stock - ETA'!$I$3:I4963)</f>
        <v>22000</v>
      </c>
      <c r="AC176" s="16">
        <f t="shared" si="43"/>
        <v>22000</v>
      </c>
      <c r="AD176" s="4"/>
      <c r="AE176" s="7">
        <f>SUMIF('Stock - ETA'!$F$3:F4963,'Rango proyecciones'!C176,'Stock - ETA'!$T$3:T4963)</f>
        <v>0</v>
      </c>
      <c r="AF176" s="16">
        <f t="shared" si="56"/>
        <v>0</v>
      </c>
      <c r="AG176" s="7">
        <f>SUMIF('Stock - ETA'!$F$3:F4963,'Rango proyecciones'!C176,'Stock - ETA'!$J$3:J4963)</f>
        <v>0</v>
      </c>
      <c r="AH176" s="16">
        <f t="shared" si="57"/>
        <v>0</v>
      </c>
      <c r="AI176" s="4"/>
    </row>
    <row r="177" spans="1:35" x14ac:dyDescent="0.2">
      <c r="A177" s="2"/>
      <c r="B177" s="2" t="s">
        <v>394</v>
      </c>
      <c r="C177" s="2" t="s">
        <v>403</v>
      </c>
      <c r="D177" s="2" t="s">
        <v>396</v>
      </c>
      <c r="E177" s="2">
        <v>1020860</v>
      </c>
      <c r="F177" s="2"/>
      <c r="G177" s="2"/>
      <c r="H177" s="4">
        <v>0</v>
      </c>
      <c r="I177" s="7">
        <v>0</v>
      </c>
      <c r="J177" s="7">
        <v>6282.11</v>
      </c>
      <c r="K177" s="7"/>
      <c r="L177" s="4">
        <f t="shared" si="52"/>
        <v>9423.1649999999991</v>
      </c>
      <c r="M177" s="7">
        <f>SUMIF('Stock - ETA'!$F$3:F4963,'Rango proyecciones'!C177,'Stock - ETA'!$R$3:R4963)</f>
        <v>170530.74</v>
      </c>
      <c r="N177" s="7">
        <f>SUMIF('Stock - Puerto Chile'!$G$2:G973,'Rango proyecciones'!C177,'Stock - Puerto Chile'!$L$2:L973)</f>
        <v>145209.90359999999</v>
      </c>
      <c r="O177" s="7">
        <v>0</v>
      </c>
      <c r="P177" s="7">
        <v>0</v>
      </c>
      <c r="Q177" s="16">
        <f t="shared" si="58"/>
        <v>325163.80859999993</v>
      </c>
      <c r="R177" s="7">
        <f t="shared" si="53"/>
        <v>16153.997142857143</v>
      </c>
      <c r="S177" s="7">
        <f>SUMIF('Stock - ETA'!$F$3:F4963,'Rango proyecciones'!C177,'Stock - ETA'!$H$3:H4963)</f>
        <v>170530.74</v>
      </c>
      <c r="T177" s="7">
        <f>SUMIF('Stock - Puerto Chile'!$G$2:G973,'Rango proyecciones'!C177,'Stock - Puerto Chile'!$N$2:N973)</f>
        <v>174251.88432000001</v>
      </c>
      <c r="U177" s="7">
        <v>0</v>
      </c>
      <c r="V177" s="7">
        <v>0</v>
      </c>
      <c r="W177" s="16">
        <f t="shared" si="59"/>
        <v>360936.62146285712</v>
      </c>
      <c r="X177" s="4">
        <v>110000</v>
      </c>
      <c r="Y177" s="7">
        <v>110000</v>
      </c>
      <c r="Z177" s="18">
        <f>SUMIF('Stock - ETA'!$F$3:F4963,'Rango proyecciones'!C177,'Stock - ETA'!$S$3:S4963)</f>
        <v>44018.95</v>
      </c>
      <c r="AA177" s="13">
        <f t="shared" si="42"/>
        <v>154018.95000000001</v>
      </c>
      <c r="AB177" s="7">
        <f>SUMIF('Stock - ETA'!$F$3:F4963,'Rango proyecciones'!C177,'Stock - ETA'!$I$3:I4963)</f>
        <v>44018.95</v>
      </c>
      <c r="AC177" s="16">
        <f t="shared" si="43"/>
        <v>154018.95000000001</v>
      </c>
      <c r="AD177" s="4">
        <v>110000</v>
      </c>
      <c r="AE177" s="7">
        <f>SUMIF('Stock - ETA'!$F$3:F4963,'Rango proyecciones'!C177,'Stock - ETA'!$T$3:T4963)</f>
        <v>22007.66</v>
      </c>
      <c r="AF177" s="16">
        <f t="shared" si="56"/>
        <v>99007.66</v>
      </c>
      <c r="AG177" s="7">
        <f>SUMIF('Stock - ETA'!$F$3:F4963,'Rango proyecciones'!C177,'Stock - ETA'!$J$3:J4963)</f>
        <v>22007.66</v>
      </c>
      <c r="AH177" s="16">
        <f t="shared" si="57"/>
        <v>99007.66</v>
      </c>
      <c r="AI177" s="4"/>
    </row>
    <row r="178" spans="1:35" x14ac:dyDescent="0.2">
      <c r="A178" s="2"/>
      <c r="B178" s="2" t="s">
        <v>394</v>
      </c>
      <c r="C178" s="2" t="s">
        <v>404</v>
      </c>
      <c r="D178" s="2" t="s">
        <v>396</v>
      </c>
      <c r="E178" s="2">
        <v>1022887</v>
      </c>
      <c r="F178" s="2"/>
      <c r="G178" s="2"/>
      <c r="H178" s="4">
        <v>0</v>
      </c>
      <c r="I178" s="7">
        <v>0</v>
      </c>
      <c r="J178" s="7">
        <v>60969.4</v>
      </c>
      <c r="K178" s="7">
        <v>10800.54</v>
      </c>
      <c r="L178" s="4">
        <f t="shared" si="52"/>
        <v>75253.290000000008</v>
      </c>
      <c r="M178" s="7">
        <f>SUMIF('Stock - ETA'!$F$3:F4963,'Rango proyecciones'!C178,'Stock - ETA'!$R$3:R4963)</f>
        <v>333424.00999999995</v>
      </c>
      <c r="N178" s="7">
        <f>SUMIF('Stock - Puerto Chile'!$G$2:G973,'Rango proyecciones'!C178,'Stock - Puerto Chile'!$L$2:L973)</f>
        <v>871480.44839999999</v>
      </c>
      <c r="O178" s="7">
        <v>0</v>
      </c>
      <c r="P178" s="7">
        <v>0</v>
      </c>
      <c r="Q178" s="16">
        <f t="shared" si="58"/>
        <v>1280157.7483999999</v>
      </c>
      <c r="R178" s="7">
        <f t="shared" si="53"/>
        <v>129005.64000000001</v>
      </c>
      <c r="S178" s="7">
        <f>SUMIF('Stock - ETA'!$F$3:F4963,'Rango proyecciones'!C178,'Stock - ETA'!$H$3:H4963)</f>
        <v>333424.00999999995</v>
      </c>
      <c r="T178" s="7">
        <f>SUMIF('Stock - Puerto Chile'!$G$2:G973,'Rango proyecciones'!C178,'Stock - Puerto Chile'!$N$2:N973)</f>
        <v>1045776.5380800001</v>
      </c>
      <c r="U178" s="7">
        <v>0</v>
      </c>
      <c r="V178" s="7">
        <v>0</v>
      </c>
      <c r="W178" s="16">
        <f t="shared" si="59"/>
        <v>1508206.18808</v>
      </c>
      <c r="X178" s="4">
        <v>220000</v>
      </c>
      <c r="Y178" s="7">
        <v>220000</v>
      </c>
      <c r="Z178" s="18">
        <f>SUMIF('Stock - ETA'!$F$3:F4963,'Rango proyecciones'!C178,'Stock - ETA'!$S$3:S4963)</f>
        <v>66016.160000000003</v>
      </c>
      <c r="AA178" s="13">
        <f t="shared" si="42"/>
        <v>286016.16000000003</v>
      </c>
      <c r="AB178" s="7">
        <f>SUMIF('Stock - ETA'!$F$3:F4963,'Rango proyecciones'!C178,'Stock - ETA'!$I$3:I4963)</f>
        <v>66016.160000000003</v>
      </c>
      <c r="AC178" s="16">
        <f t="shared" si="43"/>
        <v>286016.16000000003</v>
      </c>
      <c r="AD178" s="4">
        <v>220000</v>
      </c>
      <c r="AE178" s="7">
        <f>SUMIF('Stock - ETA'!$F$3:F4963,'Rango proyecciones'!C178,'Stock - ETA'!$T$3:T4963)</f>
        <v>44035.619999999995</v>
      </c>
      <c r="AF178" s="16">
        <f t="shared" si="56"/>
        <v>198035.62</v>
      </c>
      <c r="AG178" s="7">
        <f>SUMIF('Stock - ETA'!$F$3:F4963,'Rango proyecciones'!C178,'Stock - ETA'!$J$3:J4963)</f>
        <v>44035.619999999995</v>
      </c>
      <c r="AH178" s="16">
        <f t="shared" si="57"/>
        <v>198035.62</v>
      </c>
      <c r="AI178" s="4"/>
    </row>
    <row r="179" spans="1:35" x14ac:dyDescent="0.2">
      <c r="A179" s="2"/>
      <c r="B179" s="2" t="s">
        <v>394</v>
      </c>
      <c r="C179" s="2" t="s">
        <v>405</v>
      </c>
      <c r="D179" s="2" t="s">
        <v>396</v>
      </c>
      <c r="E179" s="2">
        <v>1022607</v>
      </c>
      <c r="F179" s="2"/>
      <c r="G179" s="2"/>
      <c r="H179" s="4">
        <v>0</v>
      </c>
      <c r="I179" s="7">
        <v>0</v>
      </c>
      <c r="J179" s="7">
        <v>3316</v>
      </c>
      <c r="K179" s="7">
        <v>506.55</v>
      </c>
      <c r="L179" s="4">
        <f t="shared" si="52"/>
        <v>4214.1749999999993</v>
      </c>
      <c r="M179" s="7">
        <f>SUMIF('Stock - ETA'!$F$3:F4963,'Rango proyecciones'!C179,'Stock - ETA'!$R$3:R4963)</f>
        <v>35936.25</v>
      </c>
      <c r="N179" s="7">
        <f>SUMIF('Stock - Puerto Chile'!$G$2:G973,'Rango proyecciones'!C179,'Stock - Puerto Chile'!$L$2:L973)</f>
        <v>0</v>
      </c>
      <c r="O179" s="7">
        <v>0</v>
      </c>
      <c r="P179" s="7">
        <v>0</v>
      </c>
      <c r="Q179" s="16">
        <f t="shared" si="58"/>
        <v>40150.425000000003</v>
      </c>
      <c r="R179" s="7">
        <f t="shared" si="53"/>
        <v>7224.3</v>
      </c>
      <c r="S179" s="7">
        <f>SUMIF('Stock - ETA'!$F$3:F4963,'Rango proyecciones'!C179,'Stock - ETA'!$H$3:H4963)</f>
        <v>35936.25</v>
      </c>
      <c r="T179" s="7">
        <f>SUMIF('Stock - Puerto Chile'!$G$2:G973,'Rango proyecciones'!C179,'Stock - Puerto Chile'!$N$2:N973)</f>
        <v>0</v>
      </c>
      <c r="U179" s="7">
        <v>0</v>
      </c>
      <c r="V179" s="7">
        <v>0</v>
      </c>
      <c r="W179" s="16">
        <f t="shared" si="59"/>
        <v>43160.55</v>
      </c>
      <c r="X179" s="4">
        <v>25619</v>
      </c>
      <c r="Y179" s="7">
        <v>25619</v>
      </c>
      <c r="Z179" s="18">
        <f>SUMIF('Stock - ETA'!$F$3:F4963,'Rango proyecciones'!C179,'Stock - ETA'!$S$3:S4963)</f>
        <v>0</v>
      </c>
      <c r="AA179" s="13">
        <f t="shared" si="42"/>
        <v>25619</v>
      </c>
      <c r="AB179" s="7">
        <f>SUMIF('Stock - ETA'!$F$3:F4963,'Rango proyecciones'!C179,'Stock - ETA'!$I$3:I4963)</f>
        <v>0</v>
      </c>
      <c r="AC179" s="16">
        <f t="shared" si="43"/>
        <v>25619</v>
      </c>
      <c r="AD179" s="4">
        <v>30359</v>
      </c>
      <c r="AE179" s="7">
        <f>SUMIF('Stock - ETA'!$F$3:F4963,'Rango proyecciones'!C179,'Stock - ETA'!$T$3:T4963)</f>
        <v>0</v>
      </c>
      <c r="AF179" s="16">
        <f t="shared" si="56"/>
        <v>21251.3</v>
      </c>
      <c r="AG179" s="7">
        <f>SUMIF('Stock - ETA'!$F$3:F4963,'Rango proyecciones'!C179,'Stock - ETA'!$J$3:J4963)</f>
        <v>0</v>
      </c>
      <c r="AH179" s="16">
        <f t="shared" si="57"/>
        <v>21251.3</v>
      </c>
      <c r="AI179" s="4"/>
    </row>
    <row r="180" spans="1:35" x14ac:dyDescent="0.2">
      <c r="A180" s="2"/>
      <c r="B180" s="2" t="s">
        <v>394</v>
      </c>
      <c r="C180" s="2" t="s">
        <v>406</v>
      </c>
      <c r="D180" s="2" t="s">
        <v>396</v>
      </c>
      <c r="E180" s="2">
        <v>1021152</v>
      </c>
      <c r="F180" s="2"/>
      <c r="G180" s="2"/>
      <c r="H180" s="4">
        <v>0</v>
      </c>
      <c r="I180" s="7">
        <v>0</v>
      </c>
      <c r="J180" s="7">
        <v>0</v>
      </c>
      <c r="K180" s="7">
        <v>0</v>
      </c>
      <c r="L180" s="4">
        <f t="shared" si="52"/>
        <v>0</v>
      </c>
      <c r="M180" s="7">
        <f>SUMIF('Stock - ETA'!$F$3:F4963,'Rango proyecciones'!C180,'Stock - ETA'!$R$3:R4963)</f>
        <v>4736</v>
      </c>
      <c r="N180" s="7">
        <f>SUMIF('Stock - Puerto Chile'!$G$2:G973,'Rango proyecciones'!C180,'Stock - Puerto Chile'!$L$2:L973)</f>
        <v>0</v>
      </c>
      <c r="O180" s="7">
        <v>0</v>
      </c>
      <c r="P180" s="7">
        <v>0</v>
      </c>
      <c r="Q180" s="16">
        <f t="shared" si="58"/>
        <v>4736</v>
      </c>
      <c r="R180" s="7">
        <f t="shared" si="53"/>
        <v>0</v>
      </c>
      <c r="S180" s="7">
        <f>SUMIF('Stock - ETA'!$F$3:F4963,'Rango proyecciones'!C180,'Stock - ETA'!$H$3:H4963)</f>
        <v>4736</v>
      </c>
      <c r="T180" s="7">
        <f>SUMIF('Stock - Puerto Chile'!$G$2:G973,'Rango proyecciones'!C180,'Stock - Puerto Chile'!$N$2:N973)</f>
        <v>0</v>
      </c>
      <c r="U180" s="7">
        <v>0</v>
      </c>
      <c r="V180" s="7">
        <v>0</v>
      </c>
      <c r="W180" s="16">
        <f t="shared" si="59"/>
        <v>4736</v>
      </c>
      <c r="X180" s="4"/>
      <c r="Y180" s="7"/>
      <c r="Z180" s="18">
        <f>SUMIF('Stock - ETA'!$F$3:F4963,'Rango proyecciones'!C180,'Stock - ETA'!$S$3:S4963)</f>
        <v>0</v>
      </c>
      <c r="AA180" s="13">
        <f t="shared" si="42"/>
        <v>0</v>
      </c>
      <c r="AB180" s="7">
        <f>SUMIF('Stock - ETA'!$F$3:F4963,'Rango proyecciones'!C180,'Stock - ETA'!$I$3:I4963)</f>
        <v>0</v>
      </c>
      <c r="AC180" s="16">
        <f t="shared" si="43"/>
        <v>0</v>
      </c>
      <c r="AD180" s="4"/>
      <c r="AE180" s="7">
        <f>SUMIF('Stock - ETA'!$F$3:F4963,'Rango proyecciones'!C180,'Stock - ETA'!$T$3:T4963)</f>
        <v>22000</v>
      </c>
      <c r="AF180" s="16">
        <f t="shared" si="56"/>
        <v>22000</v>
      </c>
      <c r="AG180" s="7">
        <f>SUMIF('Stock - ETA'!$F$3:F4963,'Rango proyecciones'!C180,'Stock - ETA'!$J$3:J4963)</f>
        <v>22000</v>
      </c>
      <c r="AH180" s="16">
        <f t="shared" si="57"/>
        <v>22000</v>
      </c>
      <c r="AI180" s="4"/>
    </row>
    <row r="181" spans="1:35" x14ac:dyDescent="0.2">
      <c r="A181" s="2"/>
      <c r="B181" s="2" t="s">
        <v>394</v>
      </c>
      <c r="C181" s="2" t="s">
        <v>407</v>
      </c>
      <c r="D181" s="2" t="s">
        <v>396</v>
      </c>
      <c r="E181" s="2">
        <v>1023144</v>
      </c>
      <c r="F181" s="2"/>
      <c r="G181" s="2"/>
      <c r="H181" s="4">
        <v>0</v>
      </c>
      <c r="I181" s="7">
        <v>0</v>
      </c>
      <c r="J181" s="7">
        <v>11207</v>
      </c>
      <c r="K181" s="7"/>
      <c r="L181" s="4">
        <f t="shared" si="52"/>
        <v>16810.5</v>
      </c>
      <c r="M181" s="7">
        <f>SUMIF('Stock - ETA'!$F$3:F4963,'Rango proyecciones'!C181,'Stock - ETA'!$R$3:R4963)</f>
        <v>48014.400000000001</v>
      </c>
      <c r="N181" s="7">
        <f>SUMIF('Stock - Puerto Chile'!$G$2:G973,'Rango proyecciones'!C181,'Stock - Puerto Chile'!$L$2:L973)</f>
        <v>0</v>
      </c>
      <c r="O181" s="7">
        <v>0</v>
      </c>
      <c r="P181" s="7">
        <v>0</v>
      </c>
      <c r="Q181" s="16">
        <f t="shared" si="58"/>
        <v>64824.9</v>
      </c>
      <c r="R181" s="7">
        <f t="shared" si="53"/>
        <v>28818.000000000004</v>
      </c>
      <c r="S181" s="7">
        <f>SUMIF('Stock - ETA'!$F$3:F4963,'Rango proyecciones'!C181,'Stock - ETA'!$H$3:H4963)</f>
        <v>48014.400000000001</v>
      </c>
      <c r="T181" s="7">
        <f>SUMIF('Stock - Puerto Chile'!$G$2:G973,'Rango proyecciones'!C181,'Stock - Puerto Chile'!$N$2:N973)</f>
        <v>0</v>
      </c>
      <c r="U181" s="7">
        <v>0</v>
      </c>
      <c r="V181" s="7">
        <v>0</v>
      </c>
      <c r="W181" s="16">
        <f t="shared" si="59"/>
        <v>76832.400000000009</v>
      </c>
      <c r="X181" s="4">
        <v>34684</v>
      </c>
      <c r="Y181" s="7">
        <v>34684</v>
      </c>
      <c r="Z181" s="18">
        <f>SUMIF('Stock - ETA'!$F$3:F4963,'Rango proyecciones'!C181,'Stock - ETA'!$S$3:S4963)</f>
        <v>24001.93</v>
      </c>
      <c r="AA181" s="13">
        <f t="shared" si="42"/>
        <v>58685.93</v>
      </c>
      <c r="AB181" s="7">
        <f>SUMIF('Stock - ETA'!$F$3:F4963,'Rango proyecciones'!C181,'Stock - ETA'!$I$3:I4963)</f>
        <v>24001.93</v>
      </c>
      <c r="AC181" s="16">
        <f t="shared" si="43"/>
        <v>58685.93</v>
      </c>
      <c r="AD181" s="4">
        <v>3546</v>
      </c>
      <c r="AE181" s="7">
        <f>SUMIF('Stock - ETA'!$F$3:F4963,'Rango proyecciones'!C181,'Stock - ETA'!$T$3:T4963)</f>
        <v>0</v>
      </c>
      <c r="AF181" s="16">
        <f t="shared" si="56"/>
        <v>2482.1999999999998</v>
      </c>
      <c r="AG181" s="7">
        <f>SUMIF('Stock - ETA'!$F$3:F4963,'Rango proyecciones'!C181,'Stock - ETA'!$J$3:J4963)</f>
        <v>0</v>
      </c>
      <c r="AH181" s="16">
        <f t="shared" si="57"/>
        <v>2482.1999999999998</v>
      </c>
      <c r="AI181" s="4"/>
    </row>
    <row r="182" spans="1:35" x14ac:dyDescent="0.2">
      <c r="A182" s="2"/>
      <c r="B182" s="2" t="s">
        <v>35</v>
      </c>
      <c r="C182" s="2" t="s">
        <v>408</v>
      </c>
      <c r="D182" s="2" t="s">
        <v>409</v>
      </c>
      <c r="E182" s="2">
        <v>1030837</v>
      </c>
      <c r="F182" s="2"/>
      <c r="G182" s="2"/>
      <c r="H182" s="4">
        <v>0</v>
      </c>
      <c r="I182" s="7">
        <v>0</v>
      </c>
      <c r="J182" s="7">
        <v>0</v>
      </c>
      <c r="K182" s="7">
        <v>0</v>
      </c>
      <c r="L182" s="4">
        <f t="shared" si="52"/>
        <v>0</v>
      </c>
      <c r="M182" s="7">
        <f>SUMIFS('Stock - ETA'!$R$3:R4963,'Stock - ETA'!$F$3:F4963,'Rango proyecciones'!C182,'Stock - ETA'!$AA$3:AA4963,'Rango proyecciones'!$AJ$5)</f>
        <v>18.139144080000001</v>
      </c>
      <c r="N182" s="7">
        <f>SUMIF('Stock - Puerto Chile'!$G$2:G973,'Rango proyecciones'!C182,'Stock - Puerto Chile'!$L$2:L973)</f>
        <v>0</v>
      </c>
      <c r="O182" s="7">
        <v>0</v>
      </c>
      <c r="P182" s="7">
        <v>0</v>
      </c>
      <c r="Q182" s="16">
        <f t="shared" ref="Q182:Q200" si="60">H182 + P182 + M182</f>
        <v>18.139144080000001</v>
      </c>
      <c r="R182" s="7">
        <f t="shared" si="53"/>
        <v>0</v>
      </c>
      <c r="S182" s="7">
        <f>SUMIFS('Stock - ETA'!$H$3:H4963,'Stock - ETA'!$F$3:F4963,'Rango proyecciones'!C182,'Stock - ETA'!$Q$3:Q4963,'Rango proyecciones'!$AJ$5)</f>
        <v>18.139144080000001</v>
      </c>
      <c r="T182" s="7">
        <f>SUMIF('Stock - Puerto Chile'!$G$2:G973,'Rango proyecciones'!C182,'Stock - Puerto Chile'!$N$2:N973)</f>
        <v>0</v>
      </c>
      <c r="U182" s="7">
        <v>0</v>
      </c>
      <c r="V182" s="7">
        <v>0</v>
      </c>
      <c r="W182" s="17">
        <f t="shared" ref="W182:W200" si="61">H182 + V182 + S182 + U182</f>
        <v>18.139144080000001</v>
      </c>
      <c r="X182" s="4"/>
      <c r="Y182" s="7"/>
      <c r="Z182" s="18">
        <f>SUMIFS('Stock - ETA'!$S$3:S4963,'Stock - ETA'!$F$3:F4963,'Rango proyecciones'!C182,'Stock - ETA'!$AA$3:AA4963,'Rango proyecciones'!$AJ$5) + SUMIFS('Stock - ETA'!$R$3:R4963,'Stock - ETA'!$F$3:F4963,'Rango proyecciones'!C182,'Stock - ETA'!$AA$3:AA4963,'Rango proyecciones'!$AJ$7)</f>
        <v>0</v>
      </c>
      <c r="AA182" s="13">
        <f t="shared" si="42"/>
        <v>0</v>
      </c>
      <c r="AB182" s="7">
        <f>SUMIFS('Stock - ETA'!$I$3:I4963,'Stock - ETA'!$F$3:F4963,'Rango proyecciones'!C182,'Stock - ETA'!$Q$3:Q4963,'Rango proyecciones'!$AJ$5) + SUMIFS('Stock - ETA'!$H$3:H4963,'Stock - ETA'!$F$3:F4963,'Rango proyecciones'!C182,'Stock - ETA'!$Q$3:Q4963,'Rango proyecciones'!$AJ$7)</f>
        <v>0</v>
      </c>
      <c r="AC182" s="16">
        <f t="shared" si="43"/>
        <v>0</v>
      </c>
      <c r="AD182" s="4"/>
      <c r="AE182" s="7">
        <f>SUMIFS('Stock - ETA'!$T$3:T4963,'Stock - ETA'!$F$3:F4963,'Rango proyecciones'!C182,'Stock - ETA'!$AA$3:AA4963,'Rango proyecciones'!$AJ$5) + SUMIFS('Stock - ETA'!$S$3:S4963,'Stock - ETA'!$F$3:F4963,'Rango proyecciones'!C182,'Stock - ETA'!$AA$3:AA4963,'Rango proyecciones'!$AJ$8)</f>
        <v>0</v>
      </c>
      <c r="AF182" s="16">
        <f>0.6 * AD182 + AE182</f>
        <v>0</v>
      </c>
      <c r="AG182" s="7">
        <f>SUMIFS('Stock - ETA'!$J$3:J4963,'Stock - ETA'!$F$3:F4963,'Rango proyecciones'!C182,'Stock - ETA'!$Q$3:Q4963,'Rango proyecciones'!$AJ$5) + SUMIFS('Stock - ETA'!$I$3:I4963,'Stock - ETA'!$F$3:F4963,'Rango proyecciones'!C182,'Stock - ETA'!$Q$3:Q4963,'Rango proyecciones'!$AJ$8)</f>
        <v>0</v>
      </c>
      <c r="AH182" s="16">
        <f>0.6 * AD182 + AG182</f>
        <v>0</v>
      </c>
      <c r="AI182" s="4"/>
    </row>
    <row r="183" spans="1:35" x14ac:dyDescent="0.2">
      <c r="A183" s="2"/>
      <c r="B183" s="2" t="s">
        <v>35</v>
      </c>
      <c r="C183" s="2" t="s">
        <v>410</v>
      </c>
      <c r="D183" s="2" t="s">
        <v>391</v>
      </c>
      <c r="E183" s="2">
        <v>1022918</v>
      </c>
      <c r="F183" s="2"/>
      <c r="G183" s="2"/>
      <c r="H183" s="4">
        <v>0</v>
      </c>
      <c r="I183" s="7">
        <v>0</v>
      </c>
      <c r="J183" s="7">
        <v>0</v>
      </c>
      <c r="K183" s="7">
        <v>0</v>
      </c>
      <c r="L183" s="4">
        <f t="shared" si="52"/>
        <v>0</v>
      </c>
      <c r="M183" s="7">
        <f>SUMIFS('Stock - ETA'!$R$3:R4963,'Stock - ETA'!$F$3:F4963,'Rango proyecciones'!C183,'Stock - ETA'!$AA$3:AA4963,'Rango proyecciones'!$AJ$5)</f>
        <v>144000</v>
      </c>
      <c r="N183" s="7">
        <f>SUMIF('Stock - Puerto Chile'!$G$2:G973,'Rango proyecciones'!C183,'Stock - Puerto Chile'!$L$2:L973)</f>
        <v>114576</v>
      </c>
      <c r="O183" s="7">
        <v>0</v>
      </c>
      <c r="P183" s="7">
        <v>0</v>
      </c>
      <c r="Q183" s="16">
        <f t="shared" si="60"/>
        <v>144000</v>
      </c>
      <c r="R183" s="7">
        <f t="shared" si="53"/>
        <v>0</v>
      </c>
      <c r="S183" s="7">
        <f>SUMIFS('Stock - ETA'!$H$3:H4963,'Stock - ETA'!$F$3:F4963,'Rango proyecciones'!C183,'Stock - ETA'!$Q$3:Q4963,'Rango proyecciones'!$AJ$5)</f>
        <v>144000</v>
      </c>
      <c r="T183" s="7">
        <f>SUMIF('Stock - Puerto Chile'!$G$2:G973,'Rango proyecciones'!C183,'Stock - Puerto Chile'!$N$2:N973)</f>
        <v>137491.19999999998</v>
      </c>
      <c r="U183" s="7">
        <v>0</v>
      </c>
      <c r="V183" s="7">
        <v>0</v>
      </c>
      <c r="W183" s="17">
        <f t="shared" si="61"/>
        <v>144000</v>
      </c>
      <c r="X183" s="4">
        <v>118242</v>
      </c>
      <c r="Y183" s="7">
        <v>118242</v>
      </c>
      <c r="Z183" s="18">
        <f>SUMIFS('Stock - ETA'!$S$3:S4963,'Stock - ETA'!$F$3:F4963,'Rango proyecciones'!C183,'Stock - ETA'!$AA$3:AA4963,'Rango proyecciones'!$AJ$5) + SUMIFS('Stock - ETA'!$R$3:R4963,'Stock - ETA'!$F$3:F4963,'Rango proyecciones'!C183,'Stock - ETA'!$AA$3:AA4963,'Rango proyecciones'!$AJ$7)</f>
        <v>95740</v>
      </c>
      <c r="AA183" s="13">
        <f t="shared" si="42"/>
        <v>213982</v>
      </c>
      <c r="AB183" s="7">
        <f>SUMIFS('Stock - ETA'!$I$3:I4963,'Stock - ETA'!$F$3:F4963,'Rango proyecciones'!C183,'Stock - ETA'!$Q$3:Q4963,'Rango proyecciones'!$AJ$5) + SUMIFS('Stock - ETA'!$H$3:H4963,'Stock - ETA'!$F$3:F4963,'Rango proyecciones'!C183,'Stock - ETA'!$Q$3:Q4963,'Rango proyecciones'!$AJ$7)</f>
        <v>95740</v>
      </c>
      <c r="AC183" s="16">
        <f t="shared" si="43"/>
        <v>213982</v>
      </c>
      <c r="AD183" s="4">
        <v>140117</v>
      </c>
      <c r="AE183" s="7">
        <f>SUMIFS('Stock - ETA'!$T$3:T4963,'Stock - ETA'!$F$3:F4963,'Rango proyecciones'!C183,'Stock - ETA'!$AA$3:AA4963,'Rango proyecciones'!$AJ$5) + SUMIFS('Stock - ETA'!$S$3:S4963,'Stock - ETA'!$F$3:F4963,'Rango proyecciones'!C183,'Stock - ETA'!$AA$3:AA4963,'Rango proyecciones'!$AJ$8)</f>
        <v>71960</v>
      </c>
      <c r="AF183" s="16">
        <f>0.7 * AD183 + AE183</f>
        <v>170041.9</v>
      </c>
      <c r="AG183" s="7">
        <f>SUMIFS('Stock - ETA'!$J$3:J4963,'Stock - ETA'!$F$3:F4963,'Rango proyecciones'!C183,'Stock - ETA'!$Q$3:Q4963,'Rango proyecciones'!$AJ$5) + SUMIFS('Stock - ETA'!$I$3:I4963,'Stock - ETA'!$F$3:F4963,'Rango proyecciones'!C183,'Stock - ETA'!$Q$3:Q4963,'Rango proyecciones'!$AJ$8)</f>
        <v>71960</v>
      </c>
      <c r="AH183" s="16">
        <f>0.7 * AD183 + AG183</f>
        <v>170041.9</v>
      </c>
      <c r="AI183" s="4"/>
    </row>
    <row r="184" spans="1:35" x14ac:dyDescent="0.2">
      <c r="A184" s="2"/>
      <c r="B184" s="2" t="s">
        <v>35</v>
      </c>
      <c r="C184" s="2" t="s">
        <v>411</v>
      </c>
      <c r="D184" s="2" t="s">
        <v>391</v>
      </c>
      <c r="E184" s="2">
        <v>1021936</v>
      </c>
      <c r="F184" s="2"/>
      <c r="G184" s="2"/>
      <c r="H184" s="4">
        <v>0</v>
      </c>
      <c r="I184" s="7">
        <v>0</v>
      </c>
      <c r="J184" s="7">
        <v>0</v>
      </c>
      <c r="K184" s="7">
        <v>0</v>
      </c>
      <c r="L184" s="4">
        <f t="shared" si="52"/>
        <v>0</v>
      </c>
      <c r="M184" s="7">
        <f>SUMIFS('Stock - ETA'!$R$3:R4963,'Stock - ETA'!$F$3:F4963,'Rango proyecciones'!C184,'Stock - ETA'!$AA$3:AA4963,'Rango proyecciones'!$AJ$5)</f>
        <v>456000</v>
      </c>
      <c r="N184" s="7">
        <f>SUMIF('Stock - Puerto Chile'!$G$2:G973,'Rango proyecciones'!C184,'Stock - Puerto Chile'!$L$2:L973)</f>
        <v>489600</v>
      </c>
      <c r="O184" s="7">
        <v>0</v>
      </c>
      <c r="P184" s="7">
        <v>0</v>
      </c>
      <c r="Q184" s="16">
        <f t="shared" si="60"/>
        <v>456000</v>
      </c>
      <c r="R184" s="7">
        <f t="shared" si="53"/>
        <v>0</v>
      </c>
      <c r="S184" s="7">
        <f>SUMIFS('Stock - ETA'!$H$3:H4963,'Stock - ETA'!$F$3:F4963,'Rango proyecciones'!C184,'Stock - ETA'!$Q$3:Q4963,'Rango proyecciones'!$AJ$5)</f>
        <v>456000</v>
      </c>
      <c r="T184" s="7">
        <f>SUMIF('Stock - Puerto Chile'!$G$2:G973,'Rango proyecciones'!C184,'Stock - Puerto Chile'!$N$2:N973)</f>
        <v>587520</v>
      </c>
      <c r="U184" s="7">
        <v>0</v>
      </c>
      <c r="V184" s="7">
        <v>0</v>
      </c>
      <c r="W184" s="17">
        <f t="shared" si="61"/>
        <v>456000</v>
      </c>
      <c r="X184" s="4">
        <v>456000</v>
      </c>
      <c r="Y184" s="7">
        <v>456000</v>
      </c>
      <c r="Z184" s="18">
        <f>SUMIFS('Stock - ETA'!$S$3:S4963,'Stock - ETA'!$F$3:F4963,'Rango proyecciones'!C184,'Stock - ETA'!$AA$3:AA4963,'Rango proyecciones'!$AJ$5) + SUMIFS('Stock - ETA'!$R$3:R4963,'Stock - ETA'!$F$3:F4963,'Rango proyecciones'!C184,'Stock - ETA'!$AA$3:AA4963,'Rango proyecciones'!$AJ$7)</f>
        <v>504000</v>
      </c>
      <c r="AA184" s="13">
        <f t="shared" si="42"/>
        <v>960000</v>
      </c>
      <c r="AB184" s="7">
        <f>SUMIFS('Stock - ETA'!$I$3:I4963,'Stock - ETA'!$F$3:F4963,'Rango proyecciones'!C184,'Stock - ETA'!$Q$3:Q4963,'Rango proyecciones'!$AJ$5) + SUMIFS('Stock - ETA'!$H$3:H4963,'Stock - ETA'!$F$3:F4963,'Rango proyecciones'!C184,'Stock - ETA'!$Q$3:Q4963,'Rango proyecciones'!$AJ$7)</f>
        <v>504000</v>
      </c>
      <c r="AC184" s="16">
        <f t="shared" si="43"/>
        <v>960000</v>
      </c>
      <c r="AD184" s="4">
        <v>456000</v>
      </c>
      <c r="AE184" s="7">
        <f>SUMIFS('Stock - ETA'!$T$3:T4963,'Stock - ETA'!$F$3:F4963,'Rango proyecciones'!C184,'Stock - ETA'!$AA$3:AA4963,'Rango proyecciones'!$AJ$5) + SUMIFS('Stock - ETA'!$S$3:S4963,'Stock - ETA'!$F$3:F4963,'Rango proyecciones'!C184,'Stock - ETA'!$AA$3:AA4963,'Rango proyecciones'!$AJ$8)</f>
        <v>72000</v>
      </c>
      <c r="AF184" s="16">
        <f>0.7 * AD184 + AE184</f>
        <v>391200</v>
      </c>
      <c r="AG184" s="7">
        <f>SUMIFS('Stock - ETA'!$J$3:J4963,'Stock - ETA'!$F$3:F4963,'Rango proyecciones'!C184,'Stock - ETA'!$Q$3:Q4963,'Rango proyecciones'!$AJ$5) + SUMIFS('Stock - ETA'!$I$3:I4963,'Stock - ETA'!$F$3:F4963,'Rango proyecciones'!C184,'Stock - ETA'!$Q$3:Q4963,'Rango proyecciones'!$AJ$8)</f>
        <v>72000</v>
      </c>
      <c r="AH184" s="16">
        <f>0.7 * AD184 + AG184</f>
        <v>391200</v>
      </c>
      <c r="AI184" s="4"/>
    </row>
    <row r="185" spans="1:35" x14ac:dyDescent="0.2">
      <c r="A185" s="2"/>
      <c r="B185" s="2" t="s">
        <v>35</v>
      </c>
      <c r="C185" s="2" t="s">
        <v>412</v>
      </c>
      <c r="D185" s="2" t="s">
        <v>409</v>
      </c>
      <c r="E185" s="2">
        <v>1021140</v>
      </c>
      <c r="F185" s="2"/>
      <c r="G185" s="2"/>
      <c r="H185" s="4">
        <v>0</v>
      </c>
      <c r="I185" s="7">
        <v>0</v>
      </c>
      <c r="J185" s="7">
        <v>0</v>
      </c>
      <c r="K185" s="7">
        <v>0</v>
      </c>
      <c r="L185" s="4">
        <f t="shared" si="52"/>
        <v>0</v>
      </c>
      <c r="M185" s="7">
        <f>SUMIFS('Stock - ETA'!$R$3:R4963,'Stock - ETA'!$F$3:F4963,'Rango proyecciones'!C185,'Stock - ETA'!$AA$3:AA4963,'Rango proyecciones'!$AJ$5)</f>
        <v>24091.337056239998</v>
      </c>
      <c r="N185" s="7">
        <f>SUMIF('Stock - Puerto Chile'!$G$2:G973,'Rango proyecciones'!C185,'Stock - Puerto Chile'!$L$2:L973)</f>
        <v>28816.185600000001</v>
      </c>
      <c r="O185" s="7">
        <v>0</v>
      </c>
      <c r="P185" s="7">
        <v>0</v>
      </c>
      <c r="Q185" s="16">
        <f t="shared" si="60"/>
        <v>24091.337056239998</v>
      </c>
      <c r="R185" s="7">
        <f t="shared" si="53"/>
        <v>0</v>
      </c>
      <c r="S185" s="7">
        <f>SUMIFS('Stock - ETA'!$H$3:H4963,'Stock - ETA'!$F$3:F4963,'Rango proyecciones'!C185,'Stock - ETA'!$Q$3:Q4963,'Rango proyecciones'!$AJ$5)</f>
        <v>24091.337056239998</v>
      </c>
      <c r="T185" s="7">
        <f>SUMIF('Stock - Puerto Chile'!$G$2:G973,'Rango proyecciones'!C185,'Stock - Puerto Chile'!$N$2:N973)</f>
        <v>34579.422720000002</v>
      </c>
      <c r="U185" s="7">
        <v>0</v>
      </c>
      <c r="V185" s="7">
        <v>0</v>
      </c>
      <c r="W185" s="17">
        <f t="shared" si="61"/>
        <v>24091.337056239998</v>
      </c>
      <c r="X185" s="4">
        <v>24041</v>
      </c>
      <c r="Y185" s="7">
        <v>24041</v>
      </c>
      <c r="Z185" s="18">
        <f>SUMIFS('Stock - ETA'!$S$3:S4963,'Stock - ETA'!$F$3:F4963,'Rango proyecciones'!C185,'Stock - ETA'!$AA$3:AA4963,'Rango proyecciones'!$AJ$5) + SUMIFS('Stock - ETA'!$R$3:R4963,'Stock - ETA'!$F$3:F4963,'Rango proyecciones'!C185,'Stock - ETA'!$AA$3:AA4963,'Rango proyecciones'!$AJ$7)</f>
        <v>0</v>
      </c>
      <c r="AA185" s="13">
        <f t="shared" si="42"/>
        <v>24041</v>
      </c>
      <c r="AB185" s="7">
        <f>SUMIFS('Stock - ETA'!$I$3:I4963,'Stock - ETA'!$F$3:F4963,'Rango proyecciones'!C185,'Stock - ETA'!$Q$3:Q4963,'Rango proyecciones'!$AJ$5) + SUMIFS('Stock - ETA'!$H$3:H4963,'Stock - ETA'!$F$3:F4963,'Rango proyecciones'!C185,'Stock - ETA'!$Q$3:Q4963,'Rango proyecciones'!$AJ$7)</f>
        <v>0</v>
      </c>
      <c r="AC185" s="16">
        <f t="shared" si="43"/>
        <v>24041</v>
      </c>
      <c r="AD185" s="4">
        <v>24041</v>
      </c>
      <c r="AE185" s="7">
        <f>SUMIFS('Stock - ETA'!$T$3:T4963,'Stock - ETA'!$F$3:F4963,'Rango proyecciones'!C185,'Stock - ETA'!$AA$3:AA4963,'Rango proyecciones'!$AJ$5) + SUMIFS('Stock - ETA'!$S$3:S4963,'Stock - ETA'!$F$3:F4963,'Rango proyecciones'!C185,'Stock - ETA'!$AA$3:AA4963,'Rango proyecciones'!$AJ$8)</f>
        <v>0</v>
      </c>
      <c r="AF185" s="16">
        <f t="shared" ref="AF185:AF194" si="62">0.6 * AD185 + AE185</f>
        <v>14424.6</v>
      </c>
      <c r="AG185" s="7">
        <f>SUMIFS('Stock - ETA'!$J$3:J4963,'Stock - ETA'!$F$3:F4963,'Rango proyecciones'!C185,'Stock - ETA'!$Q$3:Q4963,'Rango proyecciones'!$AJ$5) + SUMIFS('Stock - ETA'!$I$3:I4963,'Stock - ETA'!$F$3:F4963,'Rango proyecciones'!C185,'Stock - ETA'!$Q$3:Q4963,'Rango proyecciones'!$AJ$8)</f>
        <v>0</v>
      </c>
      <c r="AH185" s="16">
        <f t="shared" ref="AH185:AH194" si="63">0.6 * AD185 + AG185</f>
        <v>14424.6</v>
      </c>
      <c r="AI185" s="4"/>
    </row>
    <row r="186" spans="1:35" x14ac:dyDescent="0.2">
      <c r="A186" s="2"/>
      <c r="B186" s="2" t="s">
        <v>35</v>
      </c>
      <c r="C186" s="2" t="s">
        <v>413</v>
      </c>
      <c r="D186" s="2" t="s">
        <v>389</v>
      </c>
      <c r="E186" s="2">
        <v>1030685</v>
      </c>
      <c r="F186" s="2"/>
      <c r="G186" s="2"/>
      <c r="H186" s="4">
        <v>0</v>
      </c>
      <c r="I186" s="7">
        <v>0</v>
      </c>
      <c r="J186" s="7">
        <v>8120</v>
      </c>
      <c r="K186" s="7">
        <v>3326.76</v>
      </c>
      <c r="L186" s="4">
        <f t="shared" si="52"/>
        <v>7189.86</v>
      </c>
      <c r="M186" s="7">
        <f>SUMIFS('Stock - ETA'!$R$3:R4963,'Stock - ETA'!$F$3:F4963,'Rango proyecciones'!C186,'Stock - ETA'!$AA$3:AA4963,'Rango proyecciones'!$AJ$5)</f>
        <v>120000</v>
      </c>
      <c r="N186" s="7">
        <f>SUMIF('Stock - Puerto Chile'!$G$2:G973,'Rango proyecciones'!C186,'Stock - Puerto Chile'!$L$2:L973)</f>
        <v>115200</v>
      </c>
      <c r="O186" s="7">
        <v>0</v>
      </c>
      <c r="P186" s="7">
        <v>0</v>
      </c>
      <c r="Q186" s="16">
        <f t="shared" si="60"/>
        <v>120000</v>
      </c>
      <c r="R186" s="7">
        <f t="shared" si="53"/>
        <v>12325.474285714286</v>
      </c>
      <c r="S186" s="7">
        <f>SUMIFS('Stock - ETA'!$H$3:H4963,'Stock - ETA'!$F$3:F4963,'Rango proyecciones'!C186,'Stock - ETA'!$Q$3:Q4963,'Rango proyecciones'!$AJ$5)</f>
        <v>120000</v>
      </c>
      <c r="T186" s="7">
        <f>SUMIF('Stock - Puerto Chile'!$G$2:G973,'Rango proyecciones'!C186,'Stock - Puerto Chile'!$N$2:N973)</f>
        <v>138240</v>
      </c>
      <c r="U186" s="7">
        <v>0</v>
      </c>
      <c r="V186" s="7">
        <v>0</v>
      </c>
      <c r="W186" s="17">
        <f t="shared" si="61"/>
        <v>120000</v>
      </c>
      <c r="X186" s="4">
        <v>114583</v>
      </c>
      <c r="Y186" s="7">
        <v>114583</v>
      </c>
      <c r="Z186" s="18">
        <f>SUMIFS('Stock - ETA'!$S$3:S4963,'Stock - ETA'!$F$3:F4963,'Rango proyecciones'!C186,'Stock - ETA'!$AA$3:AA4963,'Rango proyecciones'!$AJ$5) + SUMIFS('Stock - ETA'!$R$3:R4963,'Stock - ETA'!$F$3:F4963,'Rango proyecciones'!C186,'Stock - ETA'!$AA$3:AA4963,'Rango proyecciones'!$AJ$7)</f>
        <v>120000</v>
      </c>
      <c r="AA186" s="13">
        <f t="shared" si="42"/>
        <v>234583</v>
      </c>
      <c r="AB186" s="7">
        <f>SUMIFS('Stock - ETA'!$I$3:I4963,'Stock - ETA'!$F$3:F4963,'Rango proyecciones'!C186,'Stock - ETA'!$Q$3:Q4963,'Rango proyecciones'!$AJ$5) + SUMIFS('Stock - ETA'!$H$3:H4963,'Stock - ETA'!$F$3:F4963,'Rango proyecciones'!C186,'Stock - ETA'!$Q$3:Q4963,'Rango proyecciones'!$AJ$7)</f>
        <v>120000</v>
      </c>
      <c r="AC186" s="16">
        <f t="shared" si="43"/>
        <v>234583</v>
      </c>
      <c r="AD186" s="4"/>
      <c r="AE186" s="7">
        <f>SUMIFS('Stock - ETA'!$T$3:T4963,'Stock - ETA'!$F$3:F4963,'Rango proyecciones'!C186,'Stock - ETA'!$AA$3:AA4963,'Rango proyecciones'!$AJ$5) + SUMIFS('Stock - ETA'!$S$3:S4963,'Stock - ETA'!$F$3:F4963,'Rango proyecciones'!C186,'Stock - ETA'!$AA$3:AA4963,'Rango proyecciones'!$AJ$8)</f>
        <v>24000</v>
      </c>
      <c r="AF186" s="16">
        <f t="shared" si="62"/>
        <v>24000</v>
      </c>
      <c r="AG186" s="7">
        <f>SUMIFS('Stock - ETA'!$J$3:J4963,'Stock - ETA'!$F$3:F4963,'Rango proyecciones'!C186,'Stock - ETA'!$Q$3:Q4963,'Rango proyecciones'!$AJ$5) + SUMIFS('Stock - ETA'!$I$3:I4963,'Stock - ETA'!$F$3:F4963,'Rango proyecciones'!C186,'Stock - ETA'!$Q$3:Q4963,'Rango proyecciones'!$AJ$8)</f>
        <v>24000</v>
      </c>
      <c r="AH186" s="16">
        <f t="shared" si="63"/>
        <v>24000</v>
      </c>
      <c r="AI186" s="4"/>
    </row>
    <row r="187" spans="1:35" x14ac:dyDescent="0.2">
      <c r="A187" s="2"/>
      <c r="B187" s="2" t="s">
        <v>35</v>
      </c>
      <c r="C187" s="2" t="s">
        <v>414</v>
      </c>
      <c r="D187" s="2" t="s">
        <v>389</v>
      </c>
      <c r="E187" s="2">
        <v>1022291</v>
      </c>
      <c r="F187" s="2"/>
      <c r="G187" s="2"/>
      <c r="H187" s="4">
        <v>0</v>
      </c>
      <c r="I187" s="7">
        <v>0</v>
      </c>
      <c r="J187" s="7">
        <v>4534.5600000000004</v>
      </c>
      <c r="K187" s="7">
        <v>470.54</v>
      </c>
      <c r="L187" s="4">
        <f t="shared" si="52"/>
        <v>6096.0300000000007</v>
      </c>
      <c r="M187" s="7">
        <f>SUMIFS('Stock - ETA'!$R$3:R4963,'Stock - ETA'!$F$3:F4963,'Rango proyecciones'!C187,'Stock - ETA'!$AA$3:AA4963,'Rango proyecciones'!$AJ$5)</f>
        <v>73146.83</v>
      </c>
      <c r="N187" s="7">
        <f>SUMIF('Stock - Puerto Chile'!$G$2:G973,'Rango proyecciones'!C187,'Stock - Puerto Chile'!$L$2:L973)</f>
        <v>115024.6728</v>
      </c>
      <c r="O187" s="7">
        <v>0</v>
      </c>
      <c r="P187" s="7">
        <v>0</v>
      </c>
      <c r="Q187" s="16">
        <f t="shared" si="60"/>
        <v>73146.83</v>
      </c>
      <c r="R187" s="7">
        <f t="shared" si="53"/>
        <v>10450.337142857144</v>
      </c>
      <c r="S187" s="7">
        <f>SUMIFS('Stock - ETA'!$H$3:H4963,'Stock - ETA'!$F$3:F4963,'Rango proyecciones'!C187,'Stock - ETA'!$Q$3:Q4963,'Rango proyecciones'!$AJ$5)</f>
        <v>73146.83</v>
      </c>
      <c r="T187" s="7">
        <f>SUMIF('Stock - Puerto Chile'!$G$2:G973,'Rango proyecciones'!C187,'Stock - Puerto Chile'!$N$2:N973)</f>
        <v>138029.60735999999</v>
      </c>
      <c r="U187" s="7">
        <v>0</v>
      </c>
      <c r="V187" s="7">
        <v>0</v>
      </c>
      <c r="W187" s="17">
        <f t="shared" si="61"/>
        <v>73146.83</v>
      </c>
      <c r="X187" s="4">
        <v>30749</v>
      </c>
      <c r="Y187" s="7">
        <v>30749</v>
      </c>
      <c r="Z187" s="18">
        <f>SUMIFS('Stock - ETA'!$S$3:S4963,'Stock - ETA'!$F$3:F4963,'Rango proyecciones'!C187,'Stock - ETA'!$AA$3:AA4963,'Rango proyecciones'!$AJ$5) + SUMIFS('Stock - ETA'!$R$3:R4963,'Stock - ETA'!$F$3:F4963,'Rango proyecciones'!C187,'Stock - ETA'!$AA$3:AA4963,'Rango proyecciones'!$AJ$7)</f>
        <v>24015.11</v>
      </c>
      <c r="AA187" s="13">
        <f t="shared" si="42"/>
        <v>54764.11</v>
      </c>
      <c r="AB187" s="7">
        <f>SUMIFS('Stock - ETA'!$I$3:I4963,'Stock - ETA'!$F$3:F4963,'Rango proyecciones'!C187,'Stock - ETA'!$Q$3:Q4963,'Rango proyecciones'!$AJ$5) + SUMIFS('Stock - ETA'!$H$3:H4963,'Stock - ETA'!$F$3:F4963,'Rango proyecciones'!C187,'Stock - ETA'!$Q$3:Q4963,'Rango proyecciones'!$AJ$7)</f>
        <v>24015.11</v>
      </c>
      <c r="AC187" s="16">
        <f t="shared" si="43"/>
        <v>54764.11</v>
      </c>
      <c r="AD187" s="4">
        <v>40362</v>
      </c>
      <c r="AE187" s="7">
        <f>SUMIFS('Stock - ETA'!$T$3:T4963,'Stock - ETA'!$F$3:F4963,'Rango proyecciones'!C187,'Stock - ETA'!$AA$3:AA4963,'Rango proyecciones'!$AJ$5) + SUMIFS('Stock - ETA'!$S$3:S4963,'Stock - ETA'!$F$3:F4963,'Rango proyecciones'!C187,'Stock - ETA'!$AA$3:AA4963,'Rango proyecciones'!$AJ$8)</f>
        <v>0</v>
      </c>
      <c r="AF187" s="16">
        <f t="shared" si="62"/>
        <v>24217.200000000001</v>
      </c>
      <c r="AG187" s="7">
        <f>SUMIFS('Stock - ETA'!$J$3:J4963,'Stock - ETA'!$F$3:F4963,'Rango proyecciones'!C187,'Stock - ETA'!$Q$3:Q4963,'Rango proyecciones'!$AJ$5) + SUMIFS('Stock - ETA'!$I$3:I4963,'Stock - ETA'!$F$3:F4963,'Rango proyecciones'!C187,'Stock - ETA'!$Q$3:Q4963,'Rango proyecciones'!$AJ$8)</f>
        <v>0</v>
      </c>
      <c r="AH187" s="16">
        <f t="shared" si="63"/>
        <v>24217.200000000001</v>
      </c>
      <c r="AI187" s="4"/>
    </row>
    <row r="188" spans="1:35" x14ac:dyDescent="0.2">
      <c r="A188" s="2"/>
      <c r="B188" s="2" t="s">
        <v>35</v>
      </c>
      <c r="C188" s="2" t="s">
        <v>415</v>
      </c>
      <c r="D188" s="2" t="s">
        <v>389</v>
      </c>
      <c r="E188" s="2">
        <v>1022033</v>
      </c>
      <c r="F188" s="2"/>
      <c r="G188" s="2"/>
      <c r="H188" s="4">
        <v>0</v>
      </c>
      <c r="I188" s="7">
        <v>0</v>
      </c>
      <c r="J188" s="7">
        <v>3286</v>
      </c>
      <c r="K188" s="7">
        <v>450.29</v>
      </c>
      <c r="L188" s="4">
        <f t="shared" si="52"/>
        <v>4253.5650000000005</v>
      </c>
      <c r="M188" s="7">
        <f>SUMIFS('Stock - ETA'!$R$3:R4963,'Stock - ETA'!$F$3:F4963,'Rango proyecciones'!C188,'Stock - ETA'!$AA$3:AA4963,'Rango proyecciones'!$AJ$5)</f>
        <v>24000</v>
      </c>
      <c r="N188" s="7">
        <f>SUMIF('Stock - Puerto Chile'!$G$2:G973,'Rango proyecciones'!C188,'Stock - Puerto Chile'!$L$2:L973)</f>
        <v>100674</v>
      </c>
      <c r="O188" s="7">
        <v>0</v>
      </c>
      <c r="P188" s="7">
        <v>0</v>
      </c>
      <c r="Q188" s="16">
        <f t="shared" si="60"/>
        <v>24000</v>
      </c>
      <c r="R188" s="7">
        <f t="shared" si="53"/>
        <v>7291.8257142857146</v>
      </c>
      <c r="S188" s="7">
        <f>SUMIFS('Stock - ETA'!$H$3:H4963,'Stock - ETA'!$F$3:F4963,'Rango proyecciones'!C188,'Stock - ETA'!$Q$3:Q4963,'Rango proyecciones'!$AJ$5)</f>
        <v>24000</v>
      </c>
      <c r="T188" s="7">
        <f>SUMIF('Stock - Puerto Chile'!$G$2:G973,'Rango proyecciones'!C188,'Stock - Puerto Chile'!$N$2:N973)</f>
        <v>120808.79999999999</v>
      </c>
      <c r="U188" s="7">
        <v>0</v>
      </c>
      <c r="V188" s="7">
        <v>0</v>
      </c>
      <c r="W188" s="17">
        <f t="shared" si="61"/>
        <v>24000</v>
      </c>
      <c r="X188" s="4">
        <v>36616</v>
      </c>
      <c r="Y188" s="7">
        <v>36616</v>
      </c>
      <c r="Z188" s="18">
        <f>SUMIFS('Stock - ETA'!$S$3:S4963,'Stock - ETA'!$F$3:F4963,'Rango proyecciones'!C188,'Stock - ETA'!$AA$3:AA4963,'Rango proyecciones'!$AJ$5) + SUMIFS('Stock - ETA'!$R$3:R4963,'Stock - ETA'!$F$3:F4963,'Rango proyecciones'!C188,'Stock - ETA'!$AA$3:AA4963,'Rango proyecciones'!$AJ$7)</f>
        <v>24000</v>
      </c>
      <c r="AA188" s="13">
        <f t="shared" si="42"/>
        <v>60616</v>
      </c>
      <c r="AB188" s="7">
        <f>SUMIFS('Stock - ETA'!$I$3:I4963,'Stock - ETA'!$F$3:F4963,'Rango proyecciones'!C188,'Stock - ETA'!$Q$3:Q4963,'Rango proyecciones'!$AJ$5) + SUMIFS('Stock - ETA'!$H$3:H4963,'Stock - ETA'!$F$3:F4963,'Rango proyecciones'!C188,'Stock - ETA'!$Q$3:Q4963,'Rango proyecciones'!$AJ$7)</f>
        <v>24000</v>
      </c>
      <c r="AC188" s="16">
        <f t="shared" si="43"/>
        <v>60616</v>
      </c>
      <c r="AD188" s="4">
        <v>41437</v>
      </c>
      <c r="AE188" s="7">
        <f>SUMIFS('Stock - ETA'!$T$3:T4963,'Stock - ETA'!$F$3:F4963,'Rango proyecciones'!C188,'Stock - ETA'!$AA$3:AA4963,'Rango proyecciones'!$AJ$5) + SUMIFS('Stock - ETA'!$S$3:S4963,'Stock - ETA'!$F$3:F4963,'Rango proyecciones'!C188,'Stock - ETA'!$AA$3:AA4963,'Rango proyecciones'!$AJ$8)</f>
        <v>24000</v>
      </c>
      <c r="AF188" s="16">
        <f t="shared" si="62"/>
        <v>48862.2</v>
      </c>
      <c r="AG188" s="7">
        <f>SUMIFS('Stock - ETA'!$J$3:J4963,'Stock - ETA'!$F$3:F4963,'Rango proyecciones'!C188,'Stock - ETA'!$Q$3:Q4963,'Rango proyecciones'!$AJ$5) + SUMIFS('Stock - ETA'!$I$3:I4963,'Stock - ETA'!$F$3:F4963,'Rango proyecciones'!C188,'Stock - ETA'!$Q$3:Q4963,'Rango proyecciones'!$AJ$8)</f>
        <v>24000</v>
      </c>
      <c r="AH188" s="16">
        <f t="shared" si="63"/>
        <v>48862.2</v>
      </c>
      <c r="AI188" s="4"/>
    </row>
    <row r="189" spans="1:35" x14ac:dyDescent="0.2">
      <c r="A189" s="2"/>
      <c r="B189" s="2" t="s">
        <v>35</v>
      </c>
      <c r="C189" s="2" t="s">
        <v>416</v>
      </c>
      <c r="D189" s="2" t="s">
        <v>389</v>
      </c>
      <c r="E189" s="2">
        <v>1021739</v>
      </c>
      <c r="F189" s="2"/>
      <c r="G189" s="2"/>
      <c r="H189" s="4">
        <v>0</v>
      </c>
      <c r="I189" s="7">
        <v>0</v>
      </c>
      <c r="J189" s="7">
        <v>2719.056</v>
      </c>
      <c r="K189" s="7">
        <v>753.49</v>
      </c>
      <c r="L189" s="4">
        <f t="shared" si="52"/>
        <v>2948.3490000000002</v>
      </c>
      <c r="M189" s="7">
        <f>SUMIFS('Stock - ETA'!$R$3:R4963,'Stock - ETA'!$F$3:F4963,'Rango proyecciones'!C189,'Stock - ETA'!$AA$3:AA4963,'Rango proyecciones'!$AJ$5)</f>
        <v>78731.100000000006</v>
      </c>
      <c r="N189" s="7">
        <f>SUMIF('Stock - Puerto Chile'!$G$2:G973,'Rango proyecciones'!C189,'Stock - Puerto Chile'!$L$2:L973)</f>
        <v>0</v>
      </c>
      <c r="O189" s="7">
        <v>0</v>
      </c>
      <c r="P189" s="7">
        <v>0</v>
      </c>
      <c r="Q189" s="16">
        <f t="shared" si="60"/>
        <v>78731.100000000006</v>
      </c>
      <c r="R189" s="7">
        <f t="shared" si="53"/>
        <v>5054.3125714285716</v>
      </c>
      <c r="S189" s="7">
        <f>SUMIFS('Stock - ETA'!$H$3:H4963,'Stock - ETA'!$F$3:F4963,'Rango proyecciones'!C189,'Stock - ETA'!$Q$3:Q4963,'Rango proyecciones'!$AJ$5)</f>
        <v>78731.100000000006</v>
      </c>
      <c r="T189" s="7">
        <f>SUMIF('Stock - Puerto Chile'!$G$2:G973,'Rango proyecciones'!C189,'Stock - Puerto Chile'!$N$2:N973)</f>
        <v>0</v>
      </c>
      <c r="U189" s="7">
        <v>0</v>
      </c>
      <c r="V189" s="7">
        <v>0</v>
      </c>
      <c r="W189" s="17">
        <f t="shared" si="61"/>
        <v>78731.100000000006</v>
      </c>
      <c r="X189" s="4"/>
      <c r="Y189" s="7"/>
      <c r="Z189" s="18">
        <f>SUMIFS('Stock - ETA'!$S$3:S4963,'Stock - ETA'!$F$3:F4963,'Rango proyecciones'!C189,'Stock - ETA'!$AA$3:AA4963,'Rango proyecciones'!$AJ$5) + SUMIFS('Stock - ETA'!$R$3:R4963,'Stock - ETA'!$F$3:F4963,'Rango proyecciones'!C189,'Stock - ETA'!$AA$3:AA4963,'Rango proyecciones'!$AJ$7)</f>
        <v>21179.69</v>
      </c>
      <c r="AA189" s="13">
        <f t="shared" si="42"/>
        <v>21179.69</v>
      </c>
      <c r="AB189" s="7">
        <f>SUMIFS('Stock - ETA'!$I$3:I4963,'Stock - ETA'!$F$3:F4963,'Rango proyecciones'!C189,'Stock - ETA'!$Q$3:Q4963,'Rango proyecciones'!$AJ$5) + SUMIFS('Stock - ETA'!$H$3:H4963,'Stock - ETA'!$F$3:F4963,'Rango proyecciones'!C189,'Stock - ETA'!$Q$3:Q4963,'Rango proyecciones'!$AJ$7)</f>
        <v>21179.69</v>
      </c>
      <c r="AC189" s="16">
        <f t="shared" si="43"/>
        <v>21179.69</v>
      </c>
      <c r="AD189" s="4">
        <v>93968</v>
      </c>
      <c r="AE189" s="7">
        <f>SUMIFS('Stock - ETA'!$T$3:T4963,'Stock - ETA'!$F$3:F4963,'Rango proyecciones'!C189,'Stock - ETA'!$AA$3:AA4963,'Rango proyecciones'!$AJ$5) + SUMIFS('Stock - ETA'!$S$3:S4963,'Stock - ETA'!$F$3:F4963,'Rango proyecciones'!C189,'Stock - ETA'!$AA$3:AA4963,'Rango proyecciones'!$AJ$8)</f>
        <v>0</v>
      </c>
      <c r="AF189" s="16">
        <f t="shared" si="62"/>
        <v>56380.799999999996</v>
      </c>
      <c r="AG189" s="7">
        <f>SUMIFS('Stock - ETA'!$J$3:J4963,'Stock - ETA'!$F$3:F4963,'Rango proyecciones'!C189,'Stock - ETA'!$Q$3:Q4963,'Rango proyecciones'!$AJ$5) + SUMIFS('Stock - ETA'!$I$3:I4963,'Stock - ETA'!$F$3:F4963,'Rango proyecciones'!C189,'Stock - ETA'!$Q$3:Q4963,'Rango proyecciones'!$AJ$8)</f>
        <v>0</v>
      </c>
      <c r="AH189" s="16">
        <f t="shared" si="63"/>
        <v>56380.799999999996</v>
      </c>
      <c r="AI189" s="4"/>
    </row>
    <row r="190" spans="1:35" x14ac:dyDescent="0.2">
      <c r="A190" s="2"/>
      <c r="B190" s="2" t="s">
        <v>35</v>
      </c>
      <c r="C190" s="2" t="s">
        <v>417</v>
      </c>
      <c r="D190" s="2" t="s">
        <v>389</v>
      </c>
      <c r="E190" s="2">
        <v>1011969</v>
      </c>
      <c r="F190" s="2"/>
      <c r="G190" s="2"/>
      <c r="H190" s="4">
        <v>0</v>
      </c>
      <c r="I190" s="7">
        <v>0</v>
      </c>
      <c r="J190" s="7">
        <v>14000</v>
      </c>
      <c r="K190" s="7">
        <v>2505.9299999999998</v>
      </c>
      <c r="L190" s="4">
        <f t="shared" si="52"/>
        <v>17241.105</v>
      </c>
      <c r="M190" s="7">
        <f>SUMIFS('Stock - ETA'!$R$3:R4963,'Stock - ETA'!$F$3:F4963,'Rango proyecciones'!C190,'Stock - ETA'!$AA$3:AA4963,'Rango proyecciones'!$AJ$5)</f>
        <v>168000</v>
      </c>
      <c r="N190" s="7">
        <f>SUMIF('Stock - Puerto Chile'!$G$2:G973,'Rango proyecciones'!C190,'Stock - Puerto Chile'!$L$2:L973)</f>
        <v>273600</v>
      </c>
      <c r="O190" s="7">
        <v>0</v>
      </c>
      <c r="P190" s="7">
        <v>0</v>
      </c>
      <c r="Q190" s="16">
        <f t="shared" si="60"/>
        <v>168000</v>
      </c>
      <c r="R190" s="7">
        <f t="shared" si="53"/>
        <v>29556.18</v>
      </c>
      <c r="S190" s="7">
        <f>SUMIFS('Stock - ETA'!$H$3:H4963,'Stock - ETA'!$F$3:F4963,'Rango proyecciones'!C190,'Stock - ETA'!$Q$3:Q4963,'Rango proyecciones'!$AJ$5)</f>
        <v>168000</v>
      </c>
      <c r="T190" s="7">
        <f>SUMIF('Stock - Puerto Chile'!$G$2:G973,'Rango proyecciones'!C190,'Stock - Puerto Chile'!$N$2:N973)</f>
        <v>328320</v>
      </c>
      <c r="U190" s="7">
        <v>0</v>
      </c>
      <c r="V190" s="7">
        <v>0</v>
      </c>
      <c r="W190" s="17">
        <f t="shared" si="61"/>
        <v>168000</v>
      </c>
      <c r="X190" s="4">
        <v>154997</v>
      </c>
      <c r="Y190" s="7">
        <v>154997</v>
      </c>
      <c r="Z190" s="18">
        <f>SUMIFS('Stock - ETA'!$S$3:S4963,'Stock - ETA'!$F$3:F4963,'Rango proyecciones'!C190,'Stock - ETA'!$AA$3:AA4963,'Rango proyecciones'!$AJ$5) + SUMIFS('Stock - ETA'!$R$3:R4963,'Stock - ETA'!$F$3:F4963,'Rango proyecciones'!C190,'Stock - ETA'!$AA$3:AA4963,'Rango proyecciones'!$AJ$7)</f>
        <v>120000</v>
      </c>
      <c r="AA190" s="13">
        <f t="shared" si="42"/>
        <v>274997</v>
      </c>
      <c r="AB190" s="7">
        <f>SUMIFS('Stock - ETA'!$I$3:I4963,'Stock - ETA'!$F$3:F4963,'Rango proyecciones'!C190,'Stock - ETA'!$Q$3:Q4963,'Rango proyecciones'!$AJ$5) + SUMIFS('Stock - ETA'!$H$3:H4963,'Stock - ETA'!$F$3:F4963,'Rango proyecciones'!C190,'Stock - ETA'!$Q$3:Q4963,'Rango proyecciones'!$AJ$7)</f>
        <v>120000</v>
      </c>
      <c r="AC190" s="16">
        <f t="shared" si="43"/>
        <v>274997</v>
      </c>
      <c r="AD190" s="4">
        <v>186118</v>
      </c>
      <c r="AE190" s="7">
        <f>SUMIFS('Stock - ETA'!$T$3:T4963,'Stock - ETA'!$F$3:F4963,'Rango proyecciones'!C190,'Stock - ETA'!$AA$3:AA4963,'Rango proyecciones'!$AJ$5) + SUMIFS('Stock - ETA'!$S$3:S4963,'Stock - ETA'!$F$3:F4963,'Rango proyecciones'!C190,'Stock - ETA'!$AA$3:AA4963,'Rango proyecciones'!$AJ$8)</f>
        <v>24000</v>
      </c>
      <c r="AF190" s="16">
        <f t="shared" si="62"/>
        <v>135670.79999999999</v>
      </c>
      <c r="AG190" s="7">
        <f>SUMIFS('Stock - ETA'!$J$3:J4963,'Stock - ETA'!$F$3:F4963,'Rango proyecciones'!C190,'Stock - ETA'!$Q$3:Q4963,'Rango proyecciones'!$AJ$5) + SUMIFS('Stock - ETA'!$I$3:I4963,'Stock - ETA'!$F$3:F4963,'Rango proyecciones'!C190,'Stock - ETA'!$Q$3:Q4963,'Rango proyecciones'!$AJ$8)</f>
        <v>24000</v>
      </c>
      <c r="AH190" s="16">
        <f t="shared" si="63"/>
        <v>135670.79999999999</v>
      </c>
      <c r="AI190" s="4"/>
    </row>
    <row r="191" spans="1:35" x14ac:dyDescent="0.2">
      <c r="A191" s="2"/>
      <c r="B191" s="2" t="s">
        <v>35</v>
      </c>
      <c r="C191" s="2" t="s">
        <v>418</v>
      </c>
      <c r="D191" s="2" t="s">
        <v>389</v>
      </c>
      <c r="E191" s="2">
        <v>1011967</v>
      </c>
      <c r="F191" s="2"/>
      <c r="G191" s="2"/>
      <c r="H191" s="4">
        <v>0</v>
      </c>
      <c r="I191" s="7">
        <v>0</v>
      </c>
      <c r="J191" s="7">
        <v>16000</v>
      </c>
      <c r="K191" s="7">
        <v>1504.02</v>
      </c>
      <c r="L191" s="4">
        <f t="shared" si="52"/>
        <v>21743.97</v>
      </c>
      <c r="M191" s="7">
        <f>SUMIFS('Stock - ETA'!$R$3:R4963,'Stock - ETA'!$F$3:F4963,'Rango proyecciones'!C191,'Stock - ETA'!$AA$3:AA4963,'Rango proyecciones'!$AJ$5)</f>
        <v>72000</v>
      </c>
      <c r="N191" s="7">
        <f>SUMIF('Stock - Puerto Chile'!$G$2:G973,'Rango proyecciones'!C191,'Stock - Puerto Chile'!$L$2:L973)</f>
        <v>115200</v>
      </c>
      <c r="O191" s="7">
        <v>0</v>
      </c>
      <c r="P191" s="7">
        <v>0</v>
      </c>
      <c r="Q191" s="16">
        <f t="shared" si="60"/>
        <v>72000</v>
      </c>
      <c r="R191" s="7">
        <f t="shared" si="53"/>
        <v>37275.377142857142</v>
      </c>
      <c r="S191" s="7">
        <f>SUMIFS('Stock - ETA'!$H$3:H4963,'Stock - ETA'!$F$3:F4963,'Rango proyecciones'!C191,'Stock - ETA'!$Q$3:Q4963,'Rango proyecciones'!$AJ$5)</f>
        <v>72000</v>
      </c>
      <c r="T191" s="7">
        <f>SUMIF('Stock - Puerto Chile'!$G$2:G973,'Rango proyecciones'!C191,'Stock - Puerto Chile'!$N$2:N973)</f>
        <v>138240</v>
      </c>
      <c r="U191" s="7">
        <v>0</v>
      </c>
      <c r="V191" s="7">
        <v>0</v>
      </c>
      <c r="W191" s="17">
        <f t="shared" si="61"/>
        <v>72000</v>
      </c>
      <c r="X191" s="4">
        <v>120019</v>
      </c>
      <c r="Y191" s="7">
        <v>120019</v>
      </c>
      <c r="Z191" s="18">
        <f>SUMIFS('Stock - ETA'!$S$3:S4963,'Stock - ETA'!$F$3:F4963,'Rango proyecciones'!C191,'Stock - ETA'!$AA$3:AA4963,'Rango proyecciones'!$AJ$5) + SUMIFS('Stock - ETA'!$R$3:R4963,'Stock - ETA'!$F$3:F4963,'Rango proyecciones'!C191,'Stock - ETA'!$AA$3:AA4963,'Rango proyecciones'!$AJ$7)</f>
        <v>119340</v>
      </c>
      <c r="AA191" s="13">
        <f t="shared" si="42"/>
        <v>239359</v>
      </c>
      <c r="AB191" s="7">
        <f>SUMIFS('Stock - ETA'!$I$3:I4963,'Stock - ETA'!$F$3:F4963,'Rango proyecciones'!C191,'Stock - ETA'!$Q$3:Q4963,'Rango proyecciones'!$AJ$5) + SUMIFS('Stock - ETA'!$H$3:H4963,'Stock - ETA'!$F$3:F4963,'Rango proyecciones'!C191,'Stock - ETA'!$Q$3:Q4963,'Rango proyecciones'!$AJ$7)</f>
        <v>119340</v>
      </c>
      <c r="AC191" s="16">
        <f t="shared" si="43"/>
        <v>239359</v>
      </c>
      <c r="AD191" s="4">
        <v>144117</v>
      </c>
      <c r="AE191" s="7">
        <f>SUMIFS('Stock - ETA'!$T$3:T4963,'Stock - ETA'!$F$3:F4963,'Rango proyecciones'!C191,'Stock - ETA'!$AA$3:AA4963,'Rango proyecciones'!$AJ$5) + SUMIFS('Stock - ETA'!$S$3:S4963,'Stock - ETA'!$F$3:F4963,'Rango proyecciones'!C191,'Stock - ETA'!$AA$3:AA4963,'Rango proyecciones'!$AJ$8)</f>
        <v>0</v>
      </c>
      <c r="AF191" s="16">
        <f t="shared" si="62"/>
        <v>86470.2</v>
      </c>
      <c r="AG191" s="7">
        <f>SUMIFS('Stock - ETA'!$J$3:J4963,'Stock - ETA'!$F$3:F4963,'Rango proyecciones'!C191,'Stock - ETA'!$Q$3:Q4963,'Rango proyecciones'!$AJ$5) + SUMIFS('Stock - ETA'!$I$3:I4963,'Stock - ETA'!$F$3:F4963,'Rango proyecciones'!C191,'Stock - ETA'!$Q$3:Q4963,'Rango proyecciones'!$AJ$8)</f>
        <v>0</v>
      </c>
      <c r="AH191" s="16">
        <f t="shared" si="63"/>
        <v>86470.2</v>
      </c>
      <c r="AI191" s="4"/>
    </row>
    <row r="192" spans="1:35" x14ac:dyDescent="0.2">
      <c r="A192" s="2"/>
      <c r="B192" s="2" t="s">
        <v>35</v>
      </c>
      <c r="C192" s="2" t="s">
        <v>419</v>
      </c>
      <c r="D192" s="2" t="s">
        <v>389</v>
      </c>
      <c r="E192" s="2">
        <v>1012452</v>
      </c>
      <c r="F192" s="2"/>
      <c r="G192" s="2"/>
      <c r="H192" s="4">
        <v>0</v>
      </c>
      <c r="I192" s="7">
        <v>0</v>
      </c>
      <c r="J192" s="7">
        <v>6000</v>
      </c>
      <c r="K192" s="7"/>
      <c r="L192" s="4">
        <f t="shared" ref="L192:L223" si="64">MAX(J192 - K192, 0) * MAX((25 - 10)/(10), 0)</f>
        <v>9000</v>
      </c>
      <c r="M192" s="7">
        <f>SUMIFS('Stock - ETA'!$R$3:R4963,'Stock - ETA'!$F$3:F4963,'Rango proyecciones'!C192,'Stock - ETA'!$AA$3:AA4963,'Rango proyecciones'!$AJ$5)</f>
        <v>39952</v>
      </c>
      <c r="N192" s="7">
        <f>SUMIF('Stock - Puerto Chile'!$G$2:G973,'Rango proyecciones'!C192,'Stock - Puerto Chile'!$L$2:L973)</f>
        <v>47942.400000000001</v>
      </c>
      <c r="O192" s="7">
        <v>0</v>
      </c>
      <c r="P192" s="7">
        <v>0</v>
      </c>
      <c r="Q192" s="16">
        <f t="shared" si="60"/>
        <v>39952</v>
      </c>
      <c r="R192" s="7">
        <f t="shared" ref="R192:R223" si="65">MAX(J192 - K192, 0) * MAX((25 - 7)/(7), 0)</f>
        <v>15428.571428571429</v>
      </c>
      <c r="S192" s="7">
        <f>SUMIFS('Stock - ETA'!$H$3:H4963,'Stock - ETA'!$F$3:F4963,'Rango proyecciones'!C192,'Stock - ETA'!$Q$3:Q4963,'Rango proyecciones'!$AJ$5)</f>
        <v>39952</v>
      </c>
      <c r="T192" s="7">
        <f>SUMIF('Stock - Puerto Chile'!$G$2:G973,'Rango proyecciones'!C192,'Stock - Puerto Chile'!$N$2:N973)</f>
        <v>57530.879999999997</v>
      </c>
      <c r="U192" s="7">
        <v>0</v>
      </c>
      <c r="V192" s="7">
        <v>0</v>
      </c>
      <c r="W192" s="17">
        <f t="shared" si="61"/>
        <v>39952</v>
      </c>
      <c r="X192" s="4">
        <v>34637</v>
      </c>
      <c r="Y192" s="7">
        <v>34637</v>
      </c>
      <c r="Z192" s="18">
        <f>SUMIFS('Stock - ETA'!$S$3:S4963,'Stock - ETA'!$F$3:F4963,'Rango proyecciones'!C192,'Stock - ETA'!$AA$3:AA4963,'Rango proyecciones'!$AJ$5) + SUMIFS('Stock - ETA'!$R$3:R4963,'Stock - ETA'!$F$3:F4963,'Rango proyecciones'!C192,'Stock - ETA'!$AA$3:AA4963,'Rango proyecciones'!$AJ$7)</f>
        <v>59928</v>
      </c>
      <c r="AA192" s="13">
        <f t="shared" si="42"/>
        <v>94565</v>
      </c>
      <c r="AB192" s="7">
        <f>SUMIFS('Stock - ETA'!$I$3:I4963,'Stock - ETA'!$F$3:F4963,'Rango proyecciones'!C192,'Stock - ETA'!$Q$3:Q4963,'Rango proyecciones'!$AJ$5) + SUMIFS('Stock - ETA'!$H$3:H4963,'Stock - ETA'!$F$3:F4963,'Rango proyecciones'!C192,'Stock - ETA'!$Q$3:Q4963,'Rango proyecciones'!$AJ$7)</f>
        <v>59928</v>
      </c>
      <c r="AC192" s="16">
        <f t="shared" si="43"/>
        <v>94565</v>
      </c>
      <c r="AD192" s="4">
        <v>58560</v>
      </c>
      <c r="AE192" s="7">
        <f>SUMIFS('Stock - ETA'!$T$3:T4963,'Stock - ETA'!$F$3:F4963,'Rango proyecciones'!C192,'Stock - ETA'!$AA$3:AA4963,'Rango proyecciones'!$AJ$5) + SUMIFS('Stock - ETA'!$S$3:S4963,'Stock - ETA'!$F$3:F4963,'Rango proyecciones'!C192,'Stock - ETA'!$AA$3:AA4963,'Rango proyecciones'!$AJ$8)</f>
        <v>0</v>
      </c>
      <c r="AF192" s="16">
        <f t="shared" si="62"/>
        <v>35136</v>
      </c>
      <c r="AG192" s="7">
        <f>SUMIFS('Stock - ETA'!$J$3:J4963,'Stock - ETA'!$F$3:F4963,'Rango proyecciones'!C192,'Stock - ETA'!$Q$3:Q4963,'Rango proyecciones'!$AJ$5) + SUMIFS('Stock - ETA'!$I$3:I4963,'Stock - ETA'!$F$3:F4963,'Rango proyecciones'!C192,'Stock - ETA'!$Q$3:Q4963,'Rango proyecciones'!$AJ$8)</f>
        <v>0</v>
      </c>
      <c r="AH192" s="16">
        <f t="shared" si="63"/>
        <v>35136</v>
      </c>
      <c r="AI192" s="4"/>
    </row>
    <row r="193" spans="1:35" x14ac:dyDescent="0.2">
      <c r="A193" s="2"/>
      <c r="B193" s="2" t="s">
        <v>35</v>
      </c>
      <c r="C193" s="2" t="s">
        <v>420</v>
      </c>
      <c r="D193" s="2" t="s">
        <v>389</v>
      </c>
      <c r="E193" s="2">
        <v>1011586</v>
      </c>
      <c r="F193" s="2"/>
      <c r="G193" s="2"/>
      <c r="H193" s="4">
        <v>0</v>
      </c>
      <c r="I193" s="7">
        <v>0</v>
      </c>
      <c r="J193" s="7">
        <v>12000</v>
      </c>
      <c r="K193" s="7"/>
      <c r="L193" s="4">
        <f t="shared" si="64"/>
        <v>18000</v>
      </c>
      <c r="M193" s="7">
        <f>SUMIFS('Stock - ETA'!$R$3:R4963,'Stock - ETA'!$F$3:F4963,'Rango proyecciones'!C193,'Stock - ETA'!$AA$3:AA4963,'Rango proyecciones'!$AJ$5)</f>
        <v>99770</v>
      </c>
      <c r="N193" s="7">
        <f>SUMIF('Stock - Puerto Chile'!$G$2:G973,'Rango proyecciones'!C193,'Stock - Puerto Chile'!$L$2:L973)</f>
        <v>239447.99999999997</v>
      </c>
      <c r="O193" s="7">
        <v>0</v>
      </c>
      <c r="P193" s="7">
        <v>0</v>
      </c>
      <c r="Q193" s="16">
        <f t="shared" si="60"/>
        <v>99770</v>
      </c>
      <c r="R193" s="7">
        <f t="shared" si="65"/>
        <v>30857.142857142859</v>
      </c>
      <c r="S193" s="7">
        <f>SUMIFS('Stock - ETA'!$H$3:H4963,'Stock - ETA'!$F$3:F4963,'Rango proyecciones'!C193,'Stock - ETA'!$Q$3:Q4963,'Rango proyecciones'!$AJ$5)</f>
        <v>99770</v>
      </c>
      <c r="T193" s="7">
        <f>SUMIF('Stock - Puerto Chile'!$G$2:G973,'Rango proyecciones'!C193,'Stock - Puerto Chile'!$N$2:N973)</f>
        <v>287337.59999999998</v>
      </c>
      <c r="U193" s="7">
        <v>0</v>
      </c>
      <c r="V193" s="7">
        <v>0</v>
      </c>
      <c r="W193" s="17">
        <f t="shared" si="61"/>
        <v>99770</v>
      </c>
      <c r="X193" s="4">
        <v>114449</v>
      </c>
      <c r="Y193" s="7">
        <v>114449</v>
      </c>
      <c r="Z193" s="18">
        <f>SUMIFS('Stock - ETA'!$S$3:S4963,'Stock - ETA'!$F$3:F4963,'Rango proyecciones'!C193,'Stock - ETA'!$AA$3:AA4963,'Rango proyecciones'!$AJ$5) + SUMIFS('Stock - ETA'!$R$3:R4963,'Stock - ETA'!$F$3:F4963,'Rango proyecciones'!C193,'Stock - ETA'!$AA$3:AA4963,'Rango proyecciones'!$AJ$7)</f>
        <v>109747</v>
      </c>
      <c r="AA193" s="13">
        <f t="shared" si="42"/>
        <v>224196</v>
      </c>
      <c r="AB193" s="7">
        <f>SUMIFS('Stock - ETA'!$I$3:I4963,'Stock - ETA'!$F$3:F4963,'Rango proyecciones'!C193,'Stock - ETA'!$Q$3:Q4963,'Rango proyecciones'!$AJ$5) + SUMIFS('Stock - ETA'!$H$3:H4963,'Stock - ETA'!$F$3:F4963,'Rango proyecciones'!C193,'Stock - ETA'!$Q$3:Q4963,'Rango proyecciones'!$AJ$7)</f>
        <v>109747</v>
      </c>
      <c r="AC193" s="16">
        <f t="shared" si="43"/>
        <v>224196</v>
      </c>
      <c r="AD193" s="4">
        <v>137486</v>
      </c>
      <c r="AE193" s="7">
        <f>SUMIFS('Stock - ETA'!$T$3:T4963,'Stock - ETA'!$F$3:F4963,'Rango proyecciones'!C193,'Stock - ETA'!$AA$3:AA4963,'Rango proyecciones'!$AJ$5) + SUMIFS('Stock - ETA'!$S$3:S4963,'Stock - ETA'!$F$3:F4963,'Rango proyecciones'!C193,'Stock - ETA'!$AA$3:AA4963,'Rango proyecciones'!$AJ$8)</f>
        <v>19954</v>
      </c>
      <c r="AF193" s="16">
        <f t="shared" si="62"/>
        <v>102445.59999999999</v>
      </c>
      <c r="AG193" s="7">
        <f>SUMIFS('Stock - ETA'!$J$3:J4963,'Stock - ETA'!$F$3:F4963,'Rango proyecciones'!C193,'Stock - ETA'!$Q$3:Q4963,'Rango proyecciones'!$AJ$5) + SUMIFS('Stock - ETA'!$I$3:I4963,'Stock - ETA'!$F$3:F4963,'Rango proyecciones'!C193,'Stock - ETA'!$Q$3:Q4963,'Rango proyecciones'!$AJ$8)</f>
        <v>19954</v>
      </c>
      <c r="AH193" s="16">
        <f t="shared" si="63"/>
        <v>102445.59999999999</v>
      </c>
      <c r="AI193" s="4"/>
    </row>
    <row r="194" spans="1:35" x14ac:dyDescent="0.2">
      <c r="A194" s="2"/>
      <c r="B194" s="2" t="s">
        <v>35</v>
      </c>
      <c r="C194" s="2" t="s">
        <v>421</v>
      </c>
      <c r="D194" s="2" t="s">
        <v>389</v>
      </c>
      <c r="E194" s="2">
        <v>1011417</v>
      </c>
      <c r="F194" s="2"/>
      <c r="G194" s="2"/>
      <c r="H194" s="4">
        <v>0</v>
      </c>
      <c r="I194" s="7">
        <v>0</v>
      </c>
      <c r="J194" s="7">
        <v>7640</v>
      </c>
      <c r="K194" s="7"/>
      <c r="L194" s="4">
        <f t="shared" si="64"/>
        <v>11460</v>
      </c>
      <c r="M194" s="7">
        <f>SUMIFS('Stock - ETA'!$R$3:R4963,'Stock - ETA'!$F$3:F4963,'Rango proyecciones'!C194,'Stock - ETA'!$AA$3:AA4963,'Rango proyecciones'!$AJ$5)</f>
        <v>99000</v>
      </c>
      <c r="N194" s="7">
        <f>SUMIF('Stock - Puerto Chile'!$G$2:G973,'Rango proyecciones'!C194,'Stock - Puerto Chile'!$L$2:L973)</f>
        <v>95040</v>
      </c>
      <c r="O194" s="7">
        <v>0</v>
      </c>
      <c r="P194" s="7">
        <v>0</v>
      </c>
      <c r="Q194" s="16">
        <f t="shared" si="60"/>
        <v>99000</v>
      </c>
      <c r="R194" s="7">
        <f t="shared" si="65"/>
        <v>19645.714285714286</v>
      </c>
      <c r="S194" s="7">
        <f>SUMIFS('Stock - ETA'!$H$3:H4963,'Stock - ETA'!$F$3:F4963,'Rango proyecciones'!C194,'Stock - ETA'!$Q$3:Q4963,'Rango proyecciones'!$AJ$5)</f>
        <v>99000</v>
      </c>
      <c r="T194" s="7">
        <f>SUMIF('Stock - Puerto Chile'!$G$2:G973,'Rango proyecciones'!C194,'Stock - Puerto Chile'!$N$2:N973)</f>
        <v>114048</v>
      </c>
      <c r="U194" s="7">
        <v>0</v>
      </c>
      <c r="V194" s="7">
        <v>0</v>
      </c>
      <c r="W194" s="17">
        <f t="shared" si="61"/>
        <v>99000</v>
      </c>
      <c r="X194" s="4"/>
      <c r="Y194" s="7"/>
      <c r="Z194" s="18">
        <f>SUMIFS('Stock - ETA'!$S$3:S4963,'Stock - ETA'!$F$3:F4963,'Rango proyecciones'!C194,'Stock - ETA'!$AA$3:AA4963,'Rango proyecciones'!$AJ$5) + SUMIFS('Stock - ETA'!$R$3:R4963,'Stock - ETA'!$F$3:F4963,'Rango proyecciones'!C194,'Stock - ETA'!$AA$3:AA4963,'Rango proyecciones'!$AJ$7)</f>
        <v>89100</v>
      </c>
      <c r="AA194" s="13">
        <f t="shared" si="42"/>
        <v>89100</v>
      </c>
      <c r="AB194" s="7">
        <f>SUMIFS('Stock - ETA'!$I$3:I4963,'Stock - ETA'!$F$3:F4963,'Rango proyecciones'!C194,'Stock - ETA'!$Q$3:Q4963,'Rango proyecciones'!$AJ$5) + SUMIFS('Stock - ETA'!$H$3:H4963,'Stock - ETA'!$F$3:F4963,'Rango proyecciones'!C194,'Stock - ETA'!$Q$3:Q4963,'Rango proyecciones'!$AJ$7)</f>
        <v>89100</v>
      </c>
      <c r="AC194" s="16">
        <f t="shared" si="43"/>
        <v>89100</v>
      </c>
      <c r="AD194" s="4"/>
      <c r="AE194" s="7">
        <f>SUMIFS('Stock - ETA'!$T$3:T4963,'Stock - ETA'!$F$3:F4963,'Rango proyecciones'!C194,'Stock - ETA'!$AA$3:AA4963,'Rango proyecciones'!$AJ$5) + SUMIFS('Stock - ETA'!$S$3:S4963,'Stock - ETA'!$F$3:F4963,'Rango proyecciones'!C194,'Stock - ETA'!$AA$3:AA4963,'Rango proyecciones'!$AJ$8)</f>
        <v>0</v>
      </c>
      <c r="AF194" s="16">
        <f t="shared" si="62"/>
        <v>0</v>
      </c>
      <c r="AG194" s="7">
        <f>SUMIFS('Stock - ETA'!$J$3:J4963,'Stock - ETA'!$F$3:F4963,'Rango proyecciones'!C194,'Stock - ETA'!$Q$3:Q4963,'Rango proyecciones'!$AJ$5) + SUMIFS('Stock - ETA'!$I$3:I4963,'Stock - ETA'!$F$3:F4963,'Rango proyecciones'!C194,'Stock - ETA'!$Q$3:Q4963,'Rango proyecciones'!$AJ$8)</f>
        <v>0</v>
      </c>
      <c r="AH194" s="16">
        <f t="shared" si="63"/>
        <v>0</v>
      </c>
      <c r="AI194" s="4"/>
    </row>
    <row r="195" spans="1:35" x14ac:dyDescent="0.2">
      <c r="A195" s="2"/>
      <c r="B195" s="2" t="s">
        <v>35</v>
      </c>
      <c r="C195" s="2" t="s">
        <v>422</v>
      </c>
      <c r="D195" s="2" t="s">
        <v>423</v>
      </c>
      <c r="E195" s="2">
        <v>1021555</v>
      </c>
      <c r="F195" s="2"/>
      <c r="G195" s="2"/>
      <c r="H195" s="4">
        <v>0</v>
      </c>
      <c r="I195" s="7">
        <v>0</v>
      </c>
      <c r="J195" s="7">
        <v>11292.817999999999</v>
      </c>
      <c r="K195" s="7">
        <v>1051.1300000000001</v>
      </c>
      <c r="L195" s="4">
        <f t="shared" si="64"/>
        <v>15362.531999999997</v>
      </c>
      <c r="M195" s="7">
        <f>SUMIFS('Stock - ETA'!$R$3:R4963,'Stock - ETA'!$F$3:F4963,'Rango proyecciones'!C195,'Stock - ETA'!$AA$3:AA4963,'Rango proyecciones'!$AJ$5)</f>
        <v>156613.03</v>
      </c>
      <c r="N195" s="7">
        <f>SUMIF('Stock - Puerto Chile'!$G$2:G973,'Rango proyecciones'!C195,'Stock - Puerto Chile'!$L$2:L973)</f>
        <v>246248.90239130432</v>
      </c>
      <c r="O195" s="7">
        <v>0</v>
      </c>
      <c r="P195" s="7">
        <v>0</v>
      </c>
      <c r="Q195" s="16">
        <f t="shared" si="60"/>
        <v>156613.03</v>
      </c>
      <c r="R195" s="7">
        <f t="shared" si="65"/>
        <v>26335.769142857142</v>
      </c>
      <c r="S195" s="7">
        <f>SUMIFS('Stock - ETA'!$H$3:H4963,'Stock - ETA'!$F$3:F4963,'Rango proyecciones'!C195,'Stock - ETA'!$Q$3:Q4963,'Rango proyecciones'!$AJ$5)</f>
        <v>156613.03</v>
      </c>
      <c r="T195" s="7">
        <f>SUMIF('Stock - Puerto Chile'!$G$2:G973,'Rango proyecciones'!C195,'Stock - Puerto Chile'!$N$2:N973)</f>
        <v>303075.57217391301</v>
      </c>
      <c r="U195" s="7">
        <v>0</v>
      </c>
      <c r="V195" s="7">
        <v>0</v>
      </c>
      <c r="W195" s="17">
        <f t="shared" si="61"/>
        <v>156613.03</v>
      </c>
      <c r="X195" s="4">
        <v>109972</v>
      </c>
      <c r="Y195" s="7">
        <v>109972</v>
      </c>
      <c r="Z195" s="18">
        <f>SUMIFS('Stock - ETA'!$S$3:S4963,'Stock - ETA'!$F$3:F4963,'Rango proyecciones'!C195,'Stock - ETA'!$AA$3:AA4963,'Rango proyecciones'!$AJ$5) + SUMIFS('Stock - ETA'!$R$3:R4963,'Stock - ETA'!$F$3:F4963,'Rango proyecciones'!C195,'Stock - ETA'!$AA$3:AA4963,'Rango proyecciones'!$AJ$7)</f>
        <v>89495.07</v>
      </c>
      <c r="AA195" s="13">
        <f t="shared" ref="AA195:AA258" si="66">Z195 + X195</f>
        <v>199467.07</v>
      </c>
      <c r="AB195" s="7">
        <f>SUMIFS('Stock - ETA'!$I$3:I4963,'Stock - ETA'!$F$3:F4963,'Rango proyecciones'!C195,'Stock - ETA'!$Q$3:Q4963,'Rango proyecciones'!$AJ$5) + SUMIFS('Stock - ETA'!$H$3:H4963,'Stock - ETA'!$F$3:F4963,'Rango proyecciones'!C195,'Stock - ETA'!$Q$3:Q4963,'Rango proyecciones'!$AJ$7)</f>
        <v>89495.07</v>
      </c>
      <c r="AC195" s="16">
        <f t="shared" ref="AC195:AC258" si="67">AB195 + X195</f>
        <v>199467.07</v>
      </c>
      <c r="AD195" s="4">
        <v>121368</v>
      </c>
      <c r="AE195" s="7">
        <f>SUMIFS('Stock - ETA'!$T$3:T4963,'Stock - ETA'!$F$3:F4963,'Rango proyecciones'!C195,'Stock - ETA'!$AA$3:AA4963,'Rango proyecciones'!$AJ$5) + SUMIFS('Stock - ETA'!$S$3:S4963,'Stock - ETA'!$F$3:F4963,'Rango proyecciones'!C195,'Stock - ETA'!$AA$3:AA4963,'Rango proyecciones'!$AJ$8)</f>
        <v>0</v>
      </c>
      <c r="AF195" s="16">
        <f>0.8 * AD195 + AE195</f>
        <v>97094.400000000009</v>
      </c>
      <c r="AG195" s="7">
        <f>SUMIFS('Stock - ETA'!$J$3:J4963,'Stock - ETA'!$F$3:F4963,'Rango proyecciones'!C195,'Stock - ETA'!$Q$3:Q4963,'Rango proyecciones'!$AJ$5) + SUMIFS('Stock - ETA'!$I$3:I4963,'Stock - ETA'!$F$3:F4963,'Rango proyecciones'!C195,'Stock - ETA'!$Q$3:Q4963,'Rango proyecciones'!$AJ$8)</f>
        <v>0</v>
      </c>
      <c r="AH195" s="16">
        <f>0.8 * AD195 + AG195</f>
        <v>97094.400000000009</v>
      </c>
      <c r="AI195" s="4"/>
    </row>
    <row r="196" spans="1:35" x14ac:dyDescent="0.2">
      <c r="A196" s="2"/>
      <c r="B196" s="2" t="s">
        <v>35</v>
      </c>
      <c r="C196" s="2" t="s">
        <v>424</v>
      </c>
      <c r="D196" s="2" t="s">
        <v>423</v>
      </c>
      <c r="E196" s="2">
        <v>1021270</v>
      </c>
      <c r="F196" s="2"/>
      <c r="G196" s="2"/>
      <c r="H196" s="4">
        <v>0</v>
      </c>
      <c r="I196" s="7">
        <v>0</v>
      </c>
      <c r="J196" s="7">
        <v>0</v>
      </c>
      <c r="K196" s="7">
        <v>0</v>
      </c>
      <c r="L196" s="4">
        <f t="shared" si="64"/>
        <v>0</v>
      </c>
      <c r="M196" s="7">
        <f>SUMIFS('Stock - ETA'!$R$3:R4963,'Stock - ETA'!$F$3:F4963,'Rango proyecciones'!C196,'Stock - ETA'!$AA$3:AA4963,'Rango proyecciones'!$AJ$5)</f>
        <v>281621.30000000005</v>
      </c>
      <c r="N196" s="7">
        <f>SUMIF('Stock - Puerto Chile'!$G$2:G973,'Rango proyecciones'!C196,'Stock - Puerto Chile'!$L$2:L973)</f>
        <v>325530.57069565216</v>
      </c>
      <c r="O196" s="7">
        <v>0</v>
      </c>
      <c r="P196" s="7">
        <v>0</v>
      </c>
      <c r="Q196" s="16">
        <f t="shared" si="60"/>
        <v>281621.30000000005</v>
      </c>
      <c r="R196" s="7">
        <f t="shared" si="65"/>
        <v>0</v>
      </c>
      <c r="S196" s="7">
        <f>SUMIFS('Stock - ETA'!$H$3:H4963,'Stock - ETA'!$F$3:F4963,'Rango proyecciones'!C196,'Stock - ETA'!$Q$3:Q4963,'Rango proyecciones'!$AJ$5)</f>
        <v>281621.30000000005</v>
      </c>
      <c r="T196" s="7">
        <f>SUMIF('Stock - Puerto Chile'!$G$2:G973,'Rango proyecciones'!C196,'Stock - Puerto Chile'!$N$2:N973)</f>
        <v>400653.01008695655</v>
      </c>
      <c r="U196" s="7">
        <v>0</v>
      </c>
      <c r="V196" s="7">
        <v>0</v>
      </c>
      <c r="W196" s="17">
        <f t="shared" si="61"/>
        <v>281621.30000000005</v>
      </c>
      <c r="X196" s="4">
        <v>240000</v>
      </c>
      <c r="Y196" s="7">
        <v>240000</v>
      </c>
      <c r="Z196" s="18">
        <f>SUMIFS('Stock - ETA'!$S$3:S4963,'Stock - ETA'!$F$3:F4963,'Rango proyecciones'!C196,'Stock - ETA'!$AA$3:AA4963,'Rango proyecciones'!$AJ$5) + SUMIFS('Stock - ETA'!$R$3:R4963,'Stock - ETA'!$F$3:F4963,'Rango proyecciones'!C196,'Stock - ETA'!$AA$3:AA4963,'Rango proyecciones'!$AJ$7)</f>
        <v>102435.09</v>
      </c>
      <c r="AA196" s="13">
        <f t="shared" si="66"/>
        <v>342435.08999999997</v>
      </c>
      <c r="AB196" s="7">
        <f>SUMIFS('Stock - ETA'!$I$3:I4963,'Stock - ETA'!$F$3:F4963,'Rango proyecciones'!C196,'Stock - ETA'!$Q$3:Q4963,'Rango proyecciones'!$AJ$5) + SUMIFS('Stock - ETA'!$H$3:H4963,'Stock - ETA'!$F$3:F4963,'Rango proyecciones'!C196,'Stock - ETA'!$Q$3:Q4963,'Rango proyecciones'!$AJ$7)</f>
        <v>102435.09</v>
      </c>
      <c r="AC196" s="16">
        <f t="shared" si="67"/>
        <v>342435.08999999997</v>
      </c>
      <c r="AD196" s="4">
        <v>240000</v>
      </c>
      <c r="AE196" s="7">
        <f>SUMIFS('Stock - ETA'!$T$3:T4963,'Stock - ETA'!$F$3:F4963,'Rango proyecciones'!C196,'Stock - ETA'!$AA$3:AA4963,'Rango proyecciones'!$AJ$5) + SUMIFS('Stock - ETA'!$S$3:S4963,'Stock - ETA'!$F$3:F4963,'Rango proyecciones'!C196,'Stock - ETA'!$AA$3:AA4963,'Rango proyecciones'!$AJ$8)</f>
        <v>0</v>
      </c>
      <c r="AF196" s="16">
        <f>0.8 * AD196 + AE196</f>
        <v>192000</v>
      </c>
      <c r="AG196" s="7">
        <f>SUMIFS('Stock - ETA'!$J$3:J4963,'Stock - ETA'!$F$3:F4963,'Rango proyecciones'!C196,'Stock - ETA'!$Q$3:Q4963,'Rango proyecciones'!$AJ$5) + SUMIFS('Stock - ETA'!$I$3:I4963,'Stock - ETA'!$F$3:F4963,'Rango proyecciones'!C196,'Stock - ETA'!$Q$3:Q4963,'Rango proyecciones'!$AJ$8)</f>
        <v>0</v>
      </c>
      <c r="AH196" s="16">
        <f>0.8 * AD196 + AG196</f>
        <v>192000</v>
      </c>
      <c r="AI196" s="4"/>
    </row>
    <row r="197" spans="1:35" x14ac:dyDescent="0.2">
      <c r="A197" s="2"/>
      <c r="B197" s="2" t="s">
        <v>35</v>
      </c>
      <c r="C197" s="2" t="s">
        <v>425</v>
      </c>
      <c r="D197" s="2" t="s">
        <v>386</v>
      </c>
      <c r="E197" s="2">
        <v>1012745</v>
      </c>
      <c r="F197" s="2"/>
      <c r="G197" s="2"/>
      <c r="H197" s="4">
        <v>0</v>
      </c>
      <c r="I197" s="7">
        <v>0</v>
      </c>
      <c r="J197" s="7">
        <v>4000</v>
      </c>
      <c r="K197" s="7">
        <v>984.07</v>
      </c>
      <c r="L197" s="4">
        <f t="shared" si="64"/>
        <v>4523.8949999999995</v>
      </c>
      <c r="M197" s="7">
        <f>SUMIFS('Stock - ETA'!$R$3:R4963,'Stock - ETA'!$F$3:F4963,'Rango proyecciones'!C197,'Stock - ETA'!$AA$3:AA4963,'Rango proyecciones'!$AJ$5)</f>
        <v>7400.87</v>
      </c>
      <c r="N197" s="7">
        <f>SUMIF('Stock - Puerto Chile'!$G$2:G973,'Rango proyecciones'!C197,'Stock - Puerto Chile'!$L$2:L973)</f>
        <v>51561.128400000001</v>
      </c>
      <c r="O197" s="7">
        <v>0</v>
      </c>
      <c r="P197" s="7">
        <v>0</v>
      </c>
      <c r="Q197" s="16">
        <f t="shared" si="60"/>
        <v>7400.87</v>
      </c>
      <c r="R197" s="7">
        <f t="shared" si="65"/>
        <v>7755.2485714285713</v>
      </c>
      <c r="S197" s="7">
        <f>SUMIFS('Stock - ETA'!$H$3:H4963,'Stock - ETA'!$F$3:F4963,'Rango proyecciones'!C197,'Stock - ETA'!$Q$3:Q4963,'Rango proyecciones'!$AJ$5)</f>
        <v>7400.87</v>
      </c>
      <c r="T197" s="7">
        <f>SUMIF('Stock - Puerto Chile'!$G$2:G973,'Rango proyecciones'!C197,'Stock - Puerto Chile'!$N$2:N973)</f>
        <v>61873.354079999997</v>
      </c>
      <c r="U197" s="7">
        <v>0</v>
      </c>
      <c r="V197" s="7">
        <v>0</v>
      </c>
      <c r="W197" s="17">
        <f t="shared" si="61"/>
        <v>7400.87</v>
      </c>
      <c r="X197" s="4"/>
      <c r="Y197" s="7"/>
      <c r="Z197" s="18">
        <f>SUMIFS('Stock - ETA'!$S$3:S4963,'Stock - ETA'!$F$3:F4963,'Rango proyecciones'!C197,'Stock - ETA'!$AA$3:AA4963,'Rango proyecciones'!$AJ$5) + SUMIFS('Stock - ETA'!$R$3:R4963,'Stock - ETA'!$F$3:F4963,'Rango proyecciones'!C197,'Stock - ETA'!$AA$3:AA4963,'Rango proyecciones'!$AJ$7)</f>
        <v>0</v>
      </c>
      <c r="AA197" s="13">
        <f t="shared" si="66"/>
        <v>0</v>
      </c>
      <c r="AB197" s="7">
        <f>SUMIFS('Stock - ETA'!$I$3:I4963,'Stock - ETA'!$F$3:F4963,'Rango proyecciones'!C197,'Stock - ETA'!$Q$3:Q4963,'Rango proyecciones'!$AJ$5) + SUMIFS('Stock - ETA'!$H$3:H4963,'Stock - ETA'!$F$3:F4963,'Rango proyecciones'!C197,'Stock - ETA'!$Q$3:Q4963,'Rango proyecciones'!$AJ$7)</f>
        <v>0</v>
      </c>
      <c r="AC197" s="16">
        <f t="shared" si="67"/>
        <v>0</v>
      </c>
      <c r="AD197" s="4"/>
      <c r="AE197" s="7">
        <f>SUMIFS('Stock - ETA'!$T$3:T4963,'Stock - ETA'!$F$3:F4963,'Rango proyecciones'!C197,'Stock - ETA'!$AA$3:AA4963,'Rango proyecciones'!$AJ$5) + SUMIFS('Stock - ETA'!$S$3:S4963,'Stock - ETA'!$F$3:F4963,'Rango proyecciones'!C197,'Stock - ETA'!$AA$3:AA4963,'Rango proyecciones'!$AJ$8)</f>
        <v>0</v>
      </c>
      <c r="AF197" s="16">
        <f>0.7 * AD197 + AE197</f>
        <v>0</v>
      </c>
      <c r="AG197" s="7">
        <f>SUMIFS('Stock - ETA'!$J$3:J4963,'Stock - ETA'!$F$3:F4963,'Rango proyecciones'!C197,'Stock - ETA'!$Q$3:Q4963,'Rango proyecciones'!$AJ$5) + SUMIFS('Stock - ETA'!$I$3:I4963,'Stock - ETA'!$F$3:F4963,'Rango proyecciones'!C197,'Stock - ETA'!$Q$3:Q4963,'Rango proyecciones'!$AJ$8)</f>
        <v>0</v>
      </c>
      <c r="AH197" s="16">
        <f>0.7 * AD197 + AG197</f>
        <v>0</v>
      </c>
      <c r="AI197" s="4"/>
    </row>
    <row r="198" spans="1:35" x14ac:dyDescent="0.2">
      <c r="A198" s="2"/>
      <c r="B198" s="2" t="s">
        <v>35</v>
      </c>
      <c r="C198" s="2" t="s">
        <v>426</v>
      </c>
      <c r="D198" s="2" t="s">
        <v>386</v>
      </c>
      <c r="E198" s="2">
        <v>1012730</v>
      </c>
      <c r="F198" s="2"/>
      <c r="G198" s="2"/>
      <c r="H198" s="4">
        <v>0</v>
      </c>
      <c r="I198" s="7">
        <v>0</v>
      </c>
      <c r="J198" s="7">
        <v>0</v>
      </c>
      <c r="K198" s="7">
        <v>0</v>
      </c>
      <c r="L198" s="4">
        <f t="shared" si="64"/>
        <v>0</v>
      </c>
      <c r="M198" s="7">
        <f>SUMIFS('Stock - ETA'!$R$3:R4963,'Stock - ETA'!$F$3:F4963,'Rango proyecciones'!C198,'Stock - ETA'!$AA$3:AA4963,'Rango proyecciones'!$AJ$5)</f>
        <v>28750.925000000003</v>
      </c>
      <c r="N198" s="7">
        <f>SUMIF('Stock - Puerto Chile'!$G$2:G973,'Rango proyecciones'!C198,'Stock - Puerto Chile'!$L$2:L973)</f>
        <v>60575.027999999998</v>
      </c>
      <c r="O198" s="7">
        <v>0</v>
      </c>
      <c r="P198" s="7">
        <v>0</v>
      </c>
      <c r="Q198" s="16">
        <f t="shared" si="60"/>
        <v>28750.925000000003</v>
      </c>
      <c r="R198" s="7">
        <f t="shared" si="65"/>
        <v>0</v>
      </c>
      <c r="S198" s="7">
        <f>SUMIFS('Stock - ETA'!$H$3:H4963,'Stock - ETA'!$F$3:F4963,'Rango proyecciones'!C198,'Stock - ETA'!$Q$3:Q4963,'Rango proyecciones'!$AJ$5)</f>
        <v>28750.925000000003</v>
      </c>
      <c r="T198" s="7">
        <f>SUMIF('Stock - Puerto Chile'!$G$2:G973,'Rango proyecciones'!C198,'Stock - Puerto Chile'!$N$2:N973)</f>
        <v>72690.033599999995</v>
      </c>
      <c r="U198" s="7">
        <v>0</v>
      </c>
      <c r="V198" s="7">
        <v>0</v>
      </c>
      <c r="W198" s="17">
        <f t="shared" si="61"/>
        <v>28750.925000000003</v>
      </c>
      <c r="X198" s="4"/>
      <c r="Y198" s="7"/>
      <c r="Z198" s="18">
        <f>SUMIFS('Stock - ETA'!$S$3:S4963,'Stock - ETA'!$F$3:F4963,'Rango proyecciones'!C198,'Stock - ETA'!$AA$3:AA4963,'Rango proyecciones'!$AJ$5) + SUMIFS('Stock - ETA'!$R$3:R4963,'Stock - ETA'!$F$3:F4963,'Rango proyecciones'!C198,'Stock - ETA'!$AA$3:AA4963,'Rango proyecciones'!$AJ$7)</f>
        <v>34822.595000000001</v>
      </c>
      <c r="AA198" s="13">
        <f t="shared" si="66"/>
        <v>34822.595000000001</v>
      </c>
      <c r="AB198" s="7">
        <f>SUMIFS('Stock - ETA'!$I$3:I4963,'Stock - ETA'!$F$3:F4963,'Rango proyecciones'!C198,'Stock - ETA'!$Q$3:Q4963,'Rango proyecciones'!$AJ$5) + SUMIFS('Stock - ETA'!$H$3:H4963,'Stock - ETA'!$F$3:F4963,'Rango proyecciones'!C198,'Stock - ETA'!$Q$3:Q4963,'Rango proyecciones'!$AJ$7)</f>
        <v>34822.595000000001</v>
      </c>
      <c r="AC198" s="16">
        <f t="shared" si="67"/>
        <v>34822.595000000001</v>
      </c>
      <c r="AD198" s="4">
        <v>8200</v>
      </c>
      <c r="AE198" s="7">
        <f>SUMIFS('Stock - ETA'!$T$3:T4963,'Stock - ETA'!$F$3:F4963,'Rango proyecciones'!C198,'Stock - ETA'!$AA$3:AA4963,'Rango proyecciones'!$AJ$5) + SUMIFS('Stock - ETA'!$S$3:S4963,'Stock - ETA'!$F$3:F4963,'Rango proyecciones'!C198,'Stock - ETA'!$AA$3:AA4963,'Rango proyecciones'!$AJ$8)</f>
        <v>0</v>
      </c>
      <c r="AF198" s="16">
        <f>0.7 * AD198 + AE198</f>
        <v>5740</v>
      </c>
      <c r="AG198" s="7">
        <f>SUMIFS('Stock - ETA'!$J$3:J4963,'Stock - ETA'!$F$3:F4963,'Rango proyecciones'!C198,'Stock - ETA'!$Q$3:Q4963,'Rango proyecciones'!$AJ$5) + SUMIFS('Stock - ETA'!$I$3:I4963,'Stock - ETA'!$F$3:F4963,'Rango proyecciones'!C198,'Stock - ETA'!$Q$3:Q4963,'Rango proyecciones'!$AJ$8)</f>
        <v>0</v>
      </c>
      <c r="AH198" s="16">
        <f>0.7 * AD198 + AG198</f>
        <v>5740</v>
      </c>
      <c r="AI198" s="4"/>
    </row>
    <row r="199" spans="1:35" x14ac:dyDescent="0.2">
      <c r="A199" s="2"/>
      <c r="B199" s="2" t="s">
        <v>35</v>
      </c>
      <c r="C199" s="2" t="s">
        <v>427</v>
      </c>
      <c r="D199" s="2" t="s">
        <v>386</v>
      </c>
      <c r="E199" s="2">
        <v>1012724</v>
      </c>
      <c r="F199" s="2"/>
      <c r="G199" s="2"/>
      <c r="H199" s="4">
        <v>0</v>
      </c>
      <c r="I199" s="7">
        <v>0</v>
      </c>
      <c r="J199" s="7">
        <v>0</v>
      </c>
      <c r="K199" s="7">
        <v>0</v>
      </c>
      <c r="L199" s="4">
        <f t="shared" si="64"/>
        <v>0</v>
      </c>
      <c r="M199" s="7">
        <f>SUMIFS('Stock - ETA'!$R$3:R4963,'Stock - ETA'!$F$3:F4963,'Rango proyecciones'!C199,'Stock - ETA'!$AA$3:AA4963,'Rango proyecciones'!$AJ$5)</f>
        <v>7446.27</v>
      </c>
      <c r="N199" s="7">
        <f>SUMIF('Stock - Puerto Chile'!$G$2:G973,'Rango proyecciones'!C199,'Stock - Puerto Chile'!$L$2:L973)</f>
        <v>67032.673800000004</v>
      </c>
      <c r="O199" s="7">
        <v>0</v>
      </c>
      <c r="P199" s="7">
        <v>0</v>
      </c>
      <c r="Q199" s="16">
        <f t="shared" si="60"/>
        <v>7446.27</v>
      </c>
      <c r="R199" s="7">
        <f t="shared" si="65"/>
        <v>0</v>
      </c>
      <c r="S199" s="7">
        <f>SUMIFS('Stock - ETA'!$H$3:H4963,'Stock - ETA'!$F$3:F4963,'Rango proyecciones'!C199,'Stock - ETA'!$Q$3:Q4963,'Rango proyecciones'!$AJ$5)</f>
        <v>7446.27</v>
      </c>
      <c r="T199" s="7">
        <f>SUMIF('Stock - Puerto Chile'!$G$2:G973,'Rango proyecciones'!C199,'Stock - Puerto Chile'!$N$2:N973)</f>
        <v>80439.208559999999</v>
      </c>
      <c r="U199" s="7">
        <v>0</v>
      </c>
      <c r="V199" s="7">
        <v>0</v>
      </c>
      <c r="W199" s="17">
        <f t="shared" si="61"/>
        <v>7446.27</v>
      </c>
      <c r="X199" s="4"/>
      <c r="Y199" s="7"/>
      <c r="Z199" s="18">
        <f>SUMIFS('Stock - ETA'!$S$3:S4963,'Stock - ETA'!$F$3:F4963,'Rango proyecciones'!C199,'Stock - ETA'!$AA$3:AA4963,'Rango proyecciones'!$AJ$5) + SUMIFS('Stock - ETA'!$R$3:R4963,'Stock - ETA'!$F$3:F4963,'Rango proyecciones'!C199,'Stock - ETA'!$AA$3:AA4963,'Rango proyecciones'!$AJ$7)</f>
        <v>10801.93</v>
      </c>
      <c r="AA199" s="13">
        <f t="shared" si="66"/>
        <v>10801.93</v>
      </c>
      <c r="AB199" s="7">
        <f>SUMIFS('Stock - ETA'!$I$3:I4963,'Stock - ETA'!$F$3:F4963,'Rango proyecciones'!C199,'Stock - ETA'!$Q$3:Q4963,'Rango proyecciones'!$AJ$5) + SUMIFS('Stock - ETA'!$H$3:H4963,'Stock - ETA'!$F$3:F4963,'Rango proyecciones'!C199,'Stock - ETA'!$Q$3:Q4963,'Rango proyecciones'!$AJ$7)</f>
        <v>10801.93</v>
      </c>
      <c r="AC199" s="16">
        <f t="shared" si="67"/>
        <v>10801.93</v>
      </c>
      <c r="AD199" s="4"/>
      <c r="AE199" s="7">
        <f>SUMIFS('Stock - ETA'!$T$3:T4963,'Stock - ETA'!$F$3:F4963,'Rango proyecciones'!C199,'Stock - ETA'!$AA$3:AA4963,'Rango proyecciones'!$AJ$5) + SUMIFS('Stock - ETA'!$S$3:S4963,'Stock - ETA'!$F$3:F4963,'Rango proyecciones'!C199,'Stock - ETA'!$AA$3:AA4963,'Rango proyecciones'!$AJ$8)</f>
        <v>0</v>
      </c>
      <c r="AF199" s="16">
        <f>0.7 * AD199 + AE199</f>
        <v>0</v>
      </c>
      <c r="AG199" s="7">
        <f>SUMIFS('Stock - ETA'!$J$3:J4963,'Stock - ETA'!$F$3:F4963,'Rango proyecciones'!C199,'Stock - ETA'!$Q$3:Q4963,'Rango proyecciones'!$AJ$5) + SUMIFS('Stock - ETA'!$I$3:I4963,'Stock - ETA'!$F$3:F4963,'Rango proyecciones'!C199,'Stock - ETA'!$Q$3:Q4963,'Rango proyecciones'!$AJ$8)</f>
        <v>0</v>
      </c>
      <c r="AH199" s="16">
        <f>0.7 * AD199 + AG199</f>
        <v>0</v>
      </c>
      <c r="AI199" s="4"/>
    </row>
    <row r="200" spans="1:35" x14ac:dyDescent="0.2">
      <c r="A200" s="2"/>
      <c r="B200" s="2" t="s">
        <v>35</v>
      </c>
      <c r="C200" s="2" t="s">
        <v>428</v>
      </c>
      <c r="D200" s="2" t="s">
        <v>386</v>
      </c>
      <c r="E200" s="2">
        <v>1022858</v>
      </c>
      <c r="F200" s="2"/>
      <c r="G200" s="2"/>
      <c r="H200" s="4">
        <v>0</v>
      </c>
      <c r="I200" s="7">
        <v>0</v>
      </c>
      <c r="J200" s="7">
        <v>0</v>
      </c>
      <c r="K200" s="7">
        <v>0</v>
      </c>
      <c r="L200" s="4">
        <f t="shared" si="64"/>
        <v>0</v>
      </c>
      <c r="M200" s="7">
        <f>SUMIFS('Stock - ETA'!$R$3:R4963,'Stock - ETA'!$F$3:F4963,'Rango proyecciones'!C200,'Stock - ETA'!$AA$3:AA4963,'Rango proyecciones'!$AJ$5)</f>
        <v>40012.69</v>
      </c>
      <c r="N200" s="7">
        <f>SUMIF('Stock - Puerto Chile'!$G$2:G973,'Rango proyecciones'!C200,'Stock - Puerto Chile'!$L$2:L973)</f>
        <v>0</v>
      </c>
      <c r="O200" s="7">
        <v>0</v>
      </c>
      <c r="P200" s="7">
        <v>0</v>
      </c>
      <c r="Q200" s="16">
        <f t="shared" si="60"/>
        <v>40012.69</v>
      </c>
      <c r="R200" s="7">
        <f t="shared" si="65"/>
        <v>0</v>
      </c>
      <c r="S200" s="7">
        <f>SUMIFS('Stock - ETA'!$H$3:H4963,'Stock - ETA'!$F$3:F4963,'Rango proyecciones'!C200,'Stock - ETA'!$Q$3:Q4963,'Rango proyecciones'!$AJ$5)</f>
        <v>40012.69</v>
      </c>
      <c r="T200" s="7">
        <f>SUMIF('Stock - Puerto Chile'!$G$2:G973,'Rango proyecciones'!C200,'Stock - Puerto Chile'!$N$2:N973)</f>
        <v>0</v>
      </c>
      <c r="U200" s="7">
        <v>0</v>
      </c>
      <c r="V200" s="7">
        <v>0</v>
      </c>
      <c r="W200" s="17">
        <f t="shared" si="61"/>
        <v>40012.69</v>
      </c>
      <c r="X200" s="4"/>
      <c r="Y200" s="7"/>
      <c r="Z200" s="18">
        <f>SUMIFS('Stock - ETA'!$S$3:S4963,'Stock - ETA'!$F$3:F4963,'Rango proyecciones'!C200,'Stock - ETA'!$AA$3:AA4963,'Rango proyecciones'!$AJ$5) + SUMIFS('Stock - ETA'!$R$3:R4963,'Stock - ETA'!$F$3:F4963,'Rango proyecciones'!C200,'Stock - ETA'!$AA$3:AA4963,'Rango proyecciones'!$AJ$7)</f>
        <v>0</v>
      </c>
      <c r="AA200" s="13">
        <f t="shared" si="66"/>
        <v>0</v>
      </c>
      <c r="AB200" s="7">
        <f>SUMIFS('Stock - ETA'!$I$3:I4963,'Stock - ETA'!$F$3:F4963,'Rango proyecciones'!C200,'Stock - ETA'!$Q$3:Q4963,'Rango proyecciones'!$AJ$5) + SUMIFS('Stock - ETA'!$H$3:H4963,'Stock - ETA'!$F$3:F4963,'Rango proyecciones'!C200,'Stock - ETA'!$Q$3:Q4963,'Rango proyecciones'!$AJ$7)</f>
        <v>0</v>
      </c>
      <c r="AC200" s="16">
        <f t="shared" si="67"/>
        <v>0</v>
      </c>
      <c r="AD200" s="4"/>
      <c r="AE200" s="7">
        <f>SUMIFS('Stock - ETA'!$T$3:T4963,'Stock - ETA'!$F$3:F4963,'Rango proyecciones'!C200,'Stock - ETA'!$AA$3:AA4963,'Rango proyecciones'!$AJ$5) + SUMIFS('Stock - ETA'!$S$3:S4963,'Stock - ETA'!$F$3:F4963,'Rango proyecciones'!C200,'Stock - ETA'!$AA$3:AA4963,'Rango proyecciones'!$AJ$8)</f>
        <v>0</v>
      </c>
      <c r="AF200" s="16">
        <f>0.7 * AD200 + AE200</f>
        <v>0</v>
      </c>
      <c r="AG200" s="7">
        <f>SUMIFS('Stock - ETA'!$J$3:J4963,'Stock - ETA'!$F$3:F4963,'Rango proyecciones'!C200,'Stock - ETA'!$Q$3:Q4963,'Rango proyecciones'!$AJ$5) + SUMIFS('Stock - ETA'!$I$3:I4963,'Stock - ETA'!$F$3:F4963,'Rango proyecciones'!C200,'Stock - ETA'!$Q$3:Q4963,'Rango proyecciones'!$AJ$8)</f>
        <v>0</v>
      </c>
      <c r="AH200" s="16">
        <f>0.7 * AD200 + AG200</f>
        <v>0</v>
      </c>
      <c r="AI200" s="4"/>
    </row>
    <row r="201" spans="1:35" x14ac:dyDescent="0.2">
      <c r="A201" s="2"/>
      <c r="B201" s="2" t="s">
        <v>394</v>
      </c>
      <c r="C201" s="2" t="s">
        <v>429</v>
      </c>
      <c r="D201" s="2" t="s">
        <v>396</v>
      </c>
      <c r="E201" s="2">
        <v>1012612</v>
      </c>
      <c r="F201" s="2"/>
      <c r="G201" s="2"/>
      <c r="H201" s="4">
        <v>0</v>
      </c>
      <c r="I201" s="7">
        <v>0</v>
      </c>
      <c r="J201" s="7">
        <v>0</v>
      </c>
      <c r="K201" s="7">
        <v>0</v>
      </c>
      <c r="L201" s="4">
        <f t="shared" si="64"/>
        <v>0</v>
      </c>
      <c r="M201" s="7">
        <f>SUMIF('Stock - ETA'!$F$3:F4963,'Rango proyecciones'!C201,'Stock - ETA'!$R$3:R4963)</f>
        <v>491235.26000000007</v>
      </c>
      <c r="N201" s="7">
        <f>SUMIF('Stock - Puerto Chile'!$G$2:G973,'Rango proyecciones'!C201,'Stock - Puerto Chile'!$L$2:L973)</f>
        <v>387811.99799999996</v>
      </c>
      <c r="O201" s="7">
        <v>0</v>
      </c>
      <c r="P201" s="7">
        <v>0</v>
      </c>
      <c r="Q201" s="16">
        <f>H201 + M201 + N201 + L201</f>
        <v>879047.25800000003</v>
      </c>
      <c r="R201" s="7">
        <f t="shared" si="65"/>
        <v>0</v>
      </c>
      <c r="S201" s="7">
        <f>SUMIF('Stock - ETA'!$F$3:F4963,'Rango proyecciones'!C201,'Stock - ETA'!$H$3:H4963)</f>
        <v>491235.26000000007</v>
      </c>
      <c r="T201" s="7">
        <f>SUMIF('Stock - Puerto Chile'!$G$2:G973,'Rango proyecciones'!C201,'Stock - Puerto Chile'!$N$2:N973)</f>
        <v>465374.39759999997</v>
      </c>
      <c r="U201" s="7">
        <v>0</v>
      </c>
      <c r="V201" s="7">
        <v>0</v>
      </c>
      <c r="W201" s="16">
        <f>H201 + S201 + R201 + T201</f>
        <v>956609.65760000004</v>
      </c>
      <c r="X201" s="4">
        <v>1000000</v>
      </c>
      <c r="Y201" s="7">
        <v>1000000</v>
      </c>
      <c r="Z201" s="18">
        <f>SUMIF('Stock - ETA'!$F$3:F4963,'Rango proyecciones'!C201,'Stock - ETA'!$S$3:S4963)</f>
        <v>569237.15999999992</v>
      </c>
      <c r="AA201" s="13">
        <f t="shared" si="66"/>
        <v>1569237.16</v>
      </c>
      <c r="AB201" s="7">
        <f>SUMIF('Stock - ETA'!$F$3:F4963,'Rango proyecciones'!C201,'Stock - ETA'!$I$3:I4963)</f>
        <v>569237.15999999992</v>
      </c>
      <c r="AC201" s="16">
        <f t="shared" si="67"/>
        <v>1569237.16</v>
      </c>
      <c r="AD201" s="4">
        <v>1000000</v>
      </c>
      <c r="AE201" s="7">
        <f>SUMIF('Stock - ETA'!$F$3:F4963,'Rango proyecciones'!C201,'Stock - ETA'!$T$3:T4963)</f>
        <v>24673.200000000001</v>
      </c>
      <c r="AF201" s="16">
        <f>0.7 * AD201 + AE201</f>
        <v>724673.2</v>
      </c>
      <c r="AG201" s="7">
        <f>SUMIF('Stock - ETA'!$F$3:F4963,'Rango proyecciones'!C201,'Stock - ETA'!$J$3:J4963)</f>
        <v>24673.200000000001</v>
      </c>
      <c r="AH201" s="16">
        <f>0.7 * AD201 + AG201</f>
        <v>724673.2</v>
      </c>
      <c r="AI201" s="4"/>
    </row>
    <row r="202" spans="1:35" x14ac:dyDescent="0.2">
      <c r="A202" s="2"/>
      <c r="B202" s="2" t="s">
        <v>35</v>
      </c>
      <c r="C202" s="2" t="s">
        <v>430</v>
      </c>
      <c r="D202" s="2" t="s">
        <v>409</v>
      </c>
      <c r="E202" s="2">
        <v>1021260</v>
      </c>
      <c r="F202" s="2"/>
      <c r="G202" s="2"/>
      <c r="H202" s="4">
        <v>0</v>
      </c>
      <c r="I202" s="7">
        <v>0</v>
      </c>
      <c r="J202" s="7"/>
      <c r="K202" s="7">
        <v>1053.1199999999999</v>
      </c>
      <c r="L202" s="4">
        <f t="shared" si="64"/>
        <v>0</v>
      </c>
      <c r="M202" s="7">
        <f>SUMIFS('Stock - ETA'!$R$3:R4963,'Stock - ETA'!$F$3:F4963,'Rango proyecciones'!C202,'Stock - ETA'!$AA$3:AA4963,'Rango proyecciones'!$AJ$5)</f>
        <v>47929.157019999999</v>
      </c>
      <c r="N202" s="7">
        <f>SUMIF('Stock - Puerto Chile'!$G$2:G973,'Rango proyecciones'!C202,'Stock - Puerto Chile'!$L$2:L973)</f>
        <v>57626.148000000001</v>
      </c>
      <c r="O202" s="7">
        <v>0</v>
      </c>
      <c r="P202" s="7">
        <v>0</v>
      </c>
      <c r="Q202" s="16">
        <f t="shared" ref="Q202:Q223" si="68">H202 + P202 + M202</f>
        <v>47929.157019999999</v>
      </c>
      <c r="R202" s="7">
        <f t="shared" si="65"/>
        <v>0</v>
      </c>
      <c r="S202" s="7">
        <f>SUMIFS('Stock - ETA'!$H$3:H4963,'Stock - ETA'!$F$3:F4963,'Rango proyecciones'!C202,'Stock - ETA'!$Q$3:Q4963,'Rango proyecciones'!$AJ$5)</f>
        <v>47929.157019999999</v>
      </c>
      <c r="T202" s="7">
        <f>SUMIF('Stock - Puerto Chile'!$G$2:G973,'Rango proyecciones'!C202,'Stock - Puerto Chile'!$N$2:N973)</f>
        <v>69151.377599999993</v>
      </c>
      <c r="U202" s="7">
        <v>0</v>
      </c>
      <c r="V202" s="7">
        <v>0</v>
      </c>
      <c r="W202" s="17">
        <f t="shared" ref="W202:W223" si="69">H202 + V202 + S202 + U202</f>
        <v>47929.157019999999</v>
      </c>
      <c r="X202" s="4">
        <v>39414</v>
      </c>
      <c r="Y202" s="7">
        <v>39414</v>
      </c>
      <c r="Z202" s="18">
        <f>SUMIFS('Stock - ETA'!$S$3:S4963,'Stock - ETA'!$F$3:F4963,'Rango proyecciones'!C202,'Stock - ETA'!$AA$3:AA4963,'Rango proyecciones'!$AJ$5) + SUMIFS('Stock - ETA'!$R$3:R4963,'Stock - ETA'!$F$3:F4963,'Rango proyecciones'!C202,'Stock - ETA'!$AA$3:AA4963,'Rango proyecciones'!$AJ$7)</f>
        <v>0</v>
      </c>
      <c r="AA202" s="13">
        <f t="shared" si="66"/>
        <v>39414</v>
      </c>
      <c r="AB202" s="7">
        <f>SUMIFS('Stock - ETA'!$I$3:I4963,'Stock - ETA'!$F$3:F4963,'Rango proyecciones'!C202,'Stock - ETA'!$Q$3:Q4963,'Rango proyecciones'!$AJ$5) + SUMIFS('Stock - ETA'!$H$3:H4963,'Stock - ETA'!$F$3:F4963,'Rango proyecciones'!C202,'Stock - ETA'!$Q$3:Q4963,'Rango proyecciones'!$AJ$7)</f>
        <v>0</v>
      </c>
      <c r="AC202" s="16">
        <f t="shared" si="67"/>
        <v>39414</v>
      </c>
      <c r="AD202" s="4">
        <v>46706</v>
      </c>
      <c r="AE202" s="7">
        <f>SUMIFS('Stock - ETA'!$T$3:T4963,'Stock - ETA'!$F$3:F4963,'Rango proyecciones'!C202,'Stock - ETA'!$AA$3:AA4963,'Rango proyecciones'!$AJ$5) + SUMIFS('Stock - ETA'!$S$3:S4963,'Stock - ETA'!$F$3:F4963,'Rango proyecciones'!C202,'Stock - ETA'!$AA$3:AA4963,'Rango proyecciones'!$AJ$8)</f>
        <v>0</v>
      </c>
      <c r="AF202" s="16">
        <f>0.6 * AD202 + AE202</f>
        <v>28023.599999999999</v>
      </c>
      <c r="AG202" s="7">
        <f>SUMIFS('Stock - ETA'!$J$3:J4963,'Stock - ETA'!$F$3:F4963,'Rango proyecciones'!C202,'Stock - ETA'!$Q$3:Q4963,'Rango proyecciones'!$AJ$5) + SUMIFS('Stock - ETA'!$I$3:I4963,'Stock - ETA'!$F$3:F4963,'Rango proyecciones'!C202,'Stock - ETA'!$Q$3:Q4963,'Rango proyecciones'!$AJ$8)</f>
        <v>0</v>
      </c>
      <c r="AH202" s="16">
        <f>0.6 * AD202 + AG202</f>
        <v>28023.599999999999</v>
      </c>
      <c r="AI202" s="4"/>
    </row>
    <row r="203" spans="1:35" x14ac:dyDescent="0.2">
      <c r="A203" s="2"/>
      <c r="B203" s="2" t="s">
        <v>35</v>
      </c>
      <c r="C203" s="2" t="s">
        <v>431</v>
      </c>
      <c r="D203" s="2" t="s">
        <v>391</v>
      </c>
      <c r="E203" s="2">
        <v>1022398</v>
      </c>
      <c r="F203" s="2"/>
      <c r="G203" s="2"/>
      <c r="H203" s="4">
        <v>0</v>
      </c>
      <c r="I203" s="7">
        <v>0</v>
      </c>
      <c r="J203" s="7">
        <v>0</v>
      </c>
      <c r="K203" s="7">
        <v>0</v>
      </c>
      <c r="L203" s="4">
        <f t="shared" si="64"/>
        <v>0</v>
      </c>
      <c r="M203" s="7">
        <f>SUMIFS('Stock - ETA'!$R$3:R4963,'Stock - ETA'!$F$3:F4963,'Rango proyecciones'!C203,'Stock - ETA'!$AA$3:AA4963,'Rango proyecciones'!$AJ$5)</f>
        <v>57660.939999999995</v>
      </c>
      <c r="N203" s="7">
        <f>SUMIF('Stock - Puerto Chile'!$G$2:G973,'Rango proyecciones'!C203,'Stock - Puerto Chile'!$L$2:L973)</f>
        <v>37720.583999999995</v>
      </c>
      <c r="O203" s="7">
        <v>0</v>
      </c>
      <c r="P203" s="7">
        <v>0</v>
      </c>
      <c r="Q203" s="16">
        <f t="shared" si="68"/>
        <v>57660.939999999995</v>
      </c>
      <c r="R203" s="7">
        <f t="shared" si="65"/>
        <v>0</v>
      </c>
      <c r="S203" s="7">
        <f>SUMIFS('Stock - ETA'!$H$3:H4963,'Stock - ETA'!$F$3:F4963,'Rango proyecciones'!C203,'Stock - ETA'!$Q$3:Q4963,'Rango proyecciones'!$AJ$5)</f>
        <v>57660.939999999995</v>
      </c>
      <c r="T203" s="7">
        <f>SUMIF('Stock - Puerto Chile'!$G$2:G973,'Rango proyecciones'!C203,'Stock - Puerto Chile'!$N$2:N973)</f>
        <v>45264.700799999999</v>
      </c>
      <c r="U203" s="7">
        <v>0</v>
      </c>
      <c r="V203" s="7">
        <v>0</v>
      </c>
      <c r="W203" s="17">
        <f t="shared" si="69"/>
        <v>57660.939999999995</v>
      </c>
      <c r="X203" s="4">
        <v>14457</v>
      </c>
      <c r="Y203" s="7">
        <v>14457</v>
      </c>
      <c r="Z203" s="18">
        <f>SUMIFS('Stock - ETA'!$S$3:S4963,'Stock - ETA'!$F$3:F4963,'Rango proyecciones'!C203,'Stock - ETA'!$AA$3:AA4963,'Rango proyecciones'!$AJ$5) + SUMIFS('Stock - ETA'!$R$3:R4963,'Stock - ETA'!$F$3:F4963,'Rango proyecciones'!C203,'Stock - ETA'!$AA$3:AA4963,'Rango proyecciones'!$AJ$7)</f>
        <v>35286.159999999996</v>
      </c>
      <c r="AA203" s="13">
        <f t="shared" si="66"/>
        <v>49743.159999999996</v>
      </c>
      <c r="AB203" s="7">
        <f>SUMIFS('Stock - ETA'!$I$3:I4963,'Stock - ETA'!$F$3:F4963,'Rango proyecciones'!C203,'Stock - ETA'!$Q$3:Q4963,'Rango proyecciones'!$AJ$5) + SUMIFS('Stock - ETA'!$H$3:H4963,'Stock - ETA'!$F$3:F4963,'Rango proyecciones'!C203,'Stock - ETA'!$Q$3:Q4963,'Rango proyecciones'!$AJ$7)</f>
        <v>35286.159999999996</v>
      </c>
      <c r="AC203" s="16">
        <f t="shared" si="67"/>
        <v>49743.159999999996</v>
      </c>
      <c r="AD203" s="4">
        <v>12721</v>
      </c>
      <c r="AE203" s="7">
        <f>SUMIFS('Stock - ETA'!$T$3:T4963,'Stock - ETA'!$F$3:F4963,'Rango proyecciones'!C203,'Stock - ETA'!$AA$3:AA4963,'Rango proyecciones'!$AJ$5) + SUMIFS('Stock - ETA'!$S$3:S4963,'Stock - ETA'!$F$3:F4963,'Rango proyecciones'!C203,'Stock - ETA'!$AA$3:AA4963,'Rango proyecciones'!$AJ$8)</f>
        <v>0</v>
      </c>
      <c r="AF203" s="16">
        <f t="shared" ref="AF203:AF208" si="70">0.7 * AD203 + AE203</f>
        <v>8904.6999999999989</v>
      </c>
      <c r="AG203" s="7">
        <f>SUMIFS('Stock - ETA'!$J$3:J4963,'Stock - ETA'!$F$3:F4963,'Rango proyecciones'!C203,'Stock - ETA'!$Q$3:Q4963,'Rango proyecciones'!$AJ$5) + SUMIFS('Stock - ETA'!$I$3:I4963,'Stock - ETA'!$F$3:F4963,'Rango proyecciones'!C203,'Stock - ETA'!$Q$3:Q4963,'Rango proyecciones'!$AJ$8)</f>
        <v>0</v>
      </c>
      <c r="AH203" s="16">
        <f t="shared" ref="AH203:AH208" si="71">0.7 * AD203 + AG203</f>
        <v>8904.6999999999989</v>
      </c>
      <c r="AI203" s="4"/>
    </row>
    <row r="204" spans="1:35" x14ac:dyDescent="0.2">
      <c r="A204" s="2"/>
      <c r="B204" s="2" t="s">
        <v>35</v>
      </c>
      <c r="C204" s="2" t="s">
        <v>432</v>
      </c>
      <c r="D204" s="2" t="s">
        <v>391</v>
      </c>
      <c r="E204" s="2">
        <v>1021925</v>
      </c>
      <c r="F204" s="2"/>
      <c r="G204" s="2"/>
      <c r="H204" s="4">
        <v>0</v>
      </c>
      <c r="I204" s="7">
        <v>0</v>
      </c>
      <c r="J204" s="7">
        <v>5672.98</v>
      </c>
      <c r="K204" s="7"/>
      <c r="L204" s="4">
        <f t="shared" si="64"/>
        <v>8509.4699999999993</v>
      </c>
      <c r="M204" s="7">
        <f>SUMIFS('Stock - ETA'!$R$3:R4963,'Stock - ETA'!$F$3:F4963,'Rango proyecciones'!C204,'Stock - ETA'!$AA$3:AA4963,'Rango proyecciones'!$AJ$5)</f>
        <v>25106.79</v>
      </c>
      <c r="N204" s="7">
        <f>SUMIF('Stock - Puerto Chile'!$G$2:G973,'Rango proyecciones'!C204,'Stock - Puerto Chile'!$L$2:L973)</f>
        <v>91294.760399999999</v>
      </c>
      <c r="O204" s="7">
        <v>0</v>
      </c>
      <c r="P204" s="7">
        <v>0</v>
      </c>
      <c r="Q204" s="16">
        <f t="shared" si="68"/>
        <v>25106.79</v>
      </c>
      <c r="R204" s="7">
        <f t="shared" si="65"/>
        <v>14587.662857142857</v>
      </c>
      <c r="S204" s="7">
        <f>SUMIFS('Stock - ETA'!$H$3:H4963,'Stock - ETA'!$F$3:F4963,'Rango proyecciones'!C204,'Stock - ETA'!$Q$3:Q4963,'Rango proyecciones'!$AJ$5)</f>
        <v>25106.79</v>
      </c>
      <c r="T204" s="7">
        <f>SUMIF('Stock - Puerto Chile'!$G$2:G973,'Rango proyecciones'!C204,'Stock - Puerto Chile'!$N$2:N973)</f>
        <v>109553.71247999999</v>
      </c>
      <c r="U204" s="7">
        <v>0</v>
      </c>
      <c r="V204" s="7">
        <v>0</v>
      </c>
      <c r="W204" s="17">
        <f t="shared" si="69"/>
        <v>25106.79</v>
      </c>
      <c r="X204" s="4">
        <v>140260</v>
      </c>
      <c r="Y204" s="7">
        <v>140260</v>
      </c>
      <c r="Z204" s="18">
        <f>SUMIFS('Stock - ETA'!$S$3:S4963,'Stock - ETA'!$F$3:F4963,'Rango proyecciones'!C204,'Stock - ETA'!$AA$3:AA4963,'Rango proyecciones'!$AJ$5) + SUMIFS('Stock - ETA'!$R$3:R4963,'Stock - ETA'!$F$3:F4963,'Rango proyecciones'!C204,'Stock - ETA'!$AA$3:AA4963,'Rango proyecciones'!$AJ$7)</f>
        <v>46078.77</v>
      </c>
      <c r="AA204" s="13">
        <f t="shared" si="66"/>
        <v>186338.77</v>
      </c>
      <c r="AB204" s="7">
        <f>SUMIFS('Stock - ETA'!$I$3:I4963,'Stock - ETA'!$F$3:F4963,'Rango proyecciones'!C204,'Stock - ETA'!$Q$3:Q4963,'Rango proyecciones'!$AJ$5) + SUMIFS('Stock - ETA'!$H$3:H4963,'Stock - ETA'!$F$3:F4963,'Rango proyecciones'!C204,'Stock - ETA'!$Q$3:Q4963,'Rango proyecciones'!$AJ$7)</f>
        <v>46078.77</v>
      </c>
      <c r="AC204" s="16">
        <f t="shared" si="67"/>
        <v>186338.77</v>
      </c>
      <c r="AD204" s="4">
        <v>150000</v>
      </c>
      <c r="AE204" s="7">
        <f>SUMIFS('Stock - ETA'!$T$3:T4963,'Stock - ETA'!$F$3:F4963,'Rango proyecciones'!C204,'Stock - ETA'!$AA$3:AA4963,'Rango proyecciones'!$AJ$5) + SUMIFS('Stock - ETA'!$S$3:S4963,'Stock - ETA'!$F$3:F4963,'Rango proyecciones'!C204,'Stock - ETA'!$AA$3:AA4963,'Rango proyecciones'!$AJ$8)</f>
        <v>15991.710000000001</v>
      </c>
      <c r="AF204" s="16">
        <f t="shared" si="70"/>
        <v>120991.71</v>
      </c>
      <c r="AG204" s="7">
        <f>SUMIFS('Stock - ETA'!$J$3:J4963,'Stock - ETA'!$F$3:F4963,'Rango proyecciones'!C204,'Stock - ETA'!$Q$3:Q4963,'Rango proyecciones'!$AJ$5) + SUMIFS('Stock - ETA'!$I$3:I4963,'Stock - ETA'!$F$3:F4963,'Rango proyecciones'!C204,'Stock - ETA'!$Q$3:Q4963,'Rango proyecciones'!$AJ$8)</f>
        <v>15991.710000000001</v>
      </c>
      <c r="AH204" s="16">
        <f t="shared" si="71"/>
        <v>120991.71</v>
      </c>
      <c r="AI204" s="4"/>
    </row>
    <row r="205" spans="1:35" x14ac:dyDescent="0.2">
      <c r="A205" s="2"/>
      <c r="B205" s="2" t="s">
        <v>35</v>
      </c>
      <c r="C205" s="2" t="s">
        <v>433</v>
      </c>
      <c r="D205" s="2" t="s">
        <v>391</v>
      </c>
      <c r="E205" s="2">
        <v>1022975</v>
      </c>
      <c r="F205" s="2"/>
      <c r="G205" s="2"/>
      <c r="H205" s="4">
        <v>0</v>
      </c>
      <c r="I205" s="7">
        <v>0</v>
      </c>
      <c r="J205" s="7">
        <v>1495</v>
      </c>
      <c r="K205" s="7"/>
      <c r="L205" s="4">
        <f t="shared" si="64"/>
        <v>2242.5</v>
      </c>
      <c r="M205" s="7">
        <f>SUMIFS('Stock - ETA'!$R$3:R4963,'Stock - ETA'!$F$3:F4963,'Rango proyecciones'!C205,'Stock - ETA'!$AA$3:AA4963,'Rango proyecciones'!$AJ$5)</f>
        <v>19030</v>
      </c>
      <c r="N205" s="7">
        <f>SUMIF('Stock - Puerto Chile'!$G$2:G973,'Rango proyecciones'!C205,'Stock - Puerto Chile'!$L$2:L973)</f>
        <v>21696</v>
      </c>
      <c r="O205" s="7">
        <v>0</v>
      </c>
      <c r="P205" s="7">
        <v>0</v>
      </c>
      <c r="Q205" s="16">
        <f t="shared" si="68"/>
        <v>19030</v>
      </c>
      <c r="R205" s="7">
        <f t="shared" si="65"/>
        <v>3844.2857142857147</v>
      </c>
      <c r="S205" s="7">
        <f>SUMIFS('Stock - ETA'!$H$3:H4963,'Stock - ETA'!$F$3:F4963,'Rango proyecciones'!C205,'Stock - ETA'!$Q$3:Q4963,'Rango proyecciones'!$AJ$5)</f>
        <v>19030</v>
      </c>
      <c r="T205" s="7">
        <f>SUMIF('Stock - Puerto Chile'!$G$2:G973,'Rango proyecciones'!C205,'Stock - Puerto Chile'!$N$2:N973)</f>
        <v>26035.200000000001</v>
      </c>
      <c r="U205" s="7">
        <v>0</v>
      </c>
      <c r="V205" s="7">
        <v>0</v>
      </c>
      <c r="W205" s="17">
        <f t="shared" si="69"/>
        <v>19030</v>
      </c>
      <c r="X205" s="4">
        <v>48000</v>
      </c>
      <c r="Y205" s="7">
        <v>48000</v>
      </c>
      <c r="Z205" s="18">
        <f>SUMIFS('Stock - ETA'!$S$3:S4963,'Stock - ETA'!$F$3:F4963,'Rango proyecciones'!C205,'Stock - ETA'!$AA$3:AA4963,'Rango proyecciones'!$AJ$5) + SUMIFS('Stock - ETA'!$R$3:R4963,'Stock - ETA'!$F$3:F4963,'Rango proyecciones'!C205,'Stock - ETA'!$AA$3:AA4963,'Rango proyecciones'!$AJ$7)</f>
        <v>24140</v>
      </c>
      <c r="AA205" s="13">
        <f t="shared" si="66"/>
        <v>72140</v>
      </c>
      <c r="AB205" s="7">
        <f>SUMIFS('Stock - ETA'!$I$3:I4963,'Stock - ETA'!$F$3:F4963,'Rango proyecciones'!C205,'Stock - ETA'!$Q$3:Q4963,'Rango proyecciones'!$AJ$5) + SUMIFS('Stock - ETA'!$H$3:H4963,'Stock - ETA'!$F$3:F4963,'Rango proyecciones'!C205,'Stock - ETA'!$Q$3:Q4963,'Rango proyecciones'!$AJ$7)</f>
        <v>24140</v>
      </c>
      <c r="AC205" s="16">
        <f t="shared" si="67"/>
        <v>72140</v>
      </c>
      <c r="AD205" s="4">
        <v>48000</v>
      </c>
      <c r="AE205" s="7">
        <f>SUMIFS('Stock - ETA'!$T$3:T4963,'Stock - ETA'!$F$3:F4963,'Rango proyecciones'!C205,'Stock - ETA'!$AA$3:AA4963,'Rango proyecciones'!$AJ$5) + SUMIFS('Stock - ETA'!$S$3:S4963,'Stock - ETA'!$F$3:F4963,'Rango proyecciones'!C205,'Stock - ETA'!$AA$3:AA4963,'Rango proyecciones'!$AJ$8)</f>
        <v>0</v>
      </c>
      <c r="AF205" s="16">
        <f t="shared" si="70"/>
        <v>33600</v>
      </c>
      <c r="AG205" s="7">
        <f>SUMIFS('Stock - ETA'!$J$3:J4963,'Stock - ETA'!$F$3:F4963,'Rango proyecciones'!C205,'Stock - ETA'!$Q$3:Q4963,'Rango proyecciones'!$AJ$5) + SUMIFS('Stock - ETA'!$I$3:I4963,'Stock - ETA'!$F$3:F4963,'Rango proyecciones'!C205,'Stock - ETA'!$Q$3:Q4963,'Rango proyecciones'!$AJ$8)</f>
        <v>0</v>
      </c>
      <c r="AH205" s="16">
        <f t="shared" si="71"/>
        <v>33600</v>
      </c>
      <c r="AI205" s="4"/>
    </row>
    <row r="206" spans="1:35" x14ac:dyDescent="0.2">
      <c r="A206" s="2"/>
      <c r="B206" s="2" t="s">
        <v>35</v>
      </c>
      <c r="C206" s="2" t="s">
        <v>434</v>
      </c>
      <c r="D206" s="2" t="s">
        <v>391</v>
      </c>
      <c r="E206" s="2">
        <v>1022413</v>
      </c>
      <c r="F206" s="2"/>
      <c r="G206" s="2"/>
      <c r="H206" s="4">
        <v>0</v>
      </c>
      <c r="I206" s="7">
        <v>0</v>
      </c>
      <c r="J206" s="7">
        <v>1241</v>
      </c>
      <c r="K206" s="7">
        <v>56.04</v>
      </c>
      <c r="L206" s="4">
        <f t="shared" si="64"/>
        <v>1777.44</v>
      </c>
      <c r="M206" s="7">
        <f>SUMIFS('Stock - ETA'!$R$3:R4963,'Stock - ETA'!$F$3:F4963,'Rango proyecciones'!C206,'Stock - ETA'!$AA$3:AA4963,'Rango proyecciones'!$AJ$5)</f>
        <v>3000</v>
      </c>
      <c r="N206" s="7">
        <f>SUMIF('Stock - Puerto Chile'!$G$2:G973,'Rango proyecciones'!C206,'Stock - Puerto Chile'!$L$2:L973)</f>
        <v>3600</v>
      </c>
      <c r="O206" s="7">
        <v>0</v>
      </c>
      <c r="P206" s="7">
        <v>0</v>
      </c>
      <c r="Q206" s="16">
        <f t="shared" si="68"/>
        <v>3000</v>
      </c>
      <c r="R206" s="7">
        <f t="shared" si="65"/>
        <v>3047.0400000000004</v>
      </c>
      <c r="S206" s="7">
        <f>SUMIFS('Stock - ETA'!$H$3:H4963,'Stock - ETA'!$F$3:F4963,'Rango proyecciones'!C206,'Stock - ETA'!$Q$3:Q4963,'Rango proyecciones'!$AJ$5)</f>
        <v>3000</v>
      </c>
      <c r="T206" s="7">
        <f>SUMIF('Stock - Puerto Chile'!$G$2:G973,'Rango proyecciones'!C206,'Stock - Puerto Chile'!$N$2:N973)</f>
        <v>4320</v>
      </c>
      <c r="U206" s="7">
        <v>0</v>
      </c>
      <c r="V206" s="7">
        <v>0</v>
      </c>
      <c r="W206" s="17">
        <f t="shared" si="69"/>
        <v>3000</v>
      </c>
      <c r="X206" s="4"/>
      <c r="Y206" s="7"/>
      <c r="Z206" s="18">
        <f>SUMIFS('Stock - ETA'!$S$3:S4963,'Stock - ETA'!$F$3:F4963,'Rango proyecciones'!C206,'Stock - ETA'!$AA$3:AA4963,'Rango proyecciones'!$AJ$5) + SUMIFS('Stock - ETA'!$R$3:R4963,'Stock - ETA'!$F$3:F4963,'Rango proyecciones'!C206,'Stock - ETA'!$AA$3:AA4963,'Rango proyecciones'!$AJ$7)</f>
        <v>12008</v>
      </c>
      <c r="AA206" s="13">
        <f t="shared" si="66"/>
        <v>12008</v>
      </c>
      <c r="AB206" s="7">
        <f>SUMIFS('Stock - ETA'!$I$3:I4963,'Stock - ETA'!$F$3:F4963,'Rango proyecciones'!C206,'Stock - ETA'!$Q$3:Q4963,'Rango proyecciones'!$AJ$5) + SUMIFS('Stock - ETA'!$H$3:H4963,'Stock - ETA'!$F$3:F4963,'Rango proyecciones'!C206,'Stock - ETA'!$Q$3:Q4963,'Rango proyecciones'!$AJ$7)</f>
        <v>12008</v>
      </c>
      <c r="AC206" s="16">
        <f t="shared" si="67"/>
        <v>12008</v>
      </c>
      <c r="AD206" s="4"/>
      <c r="AE206" s="7">
        <f>SUMIFS('Stock - ETA'!$T$3:T4963,'Stock - ETA'!$F$3:F4963,'Rango proyecciones'!C206,'Stock - ETA'!$AA$3:AA4963,'Rango proyecciones'!$AJ$5) + SUMIFS('Stock - ETA'!$S$3:S4963,'Stock - ETA'!$F$3:F4963,'Rango proyecciones'!C206,'Stock - ETA'!$AA$3:AA4963,'Rango proyecciones'!$AJ$8)</f>
        <v>0</v>
      </c>
      <c r="AF206" s="16">
        <f t="shared" si="70"/>
        <v>0</v>
      </c>
      <c r="AG206" s="7">
        <f>SUMIFS('Stock - ETA'!$J$3:J4963,'Stock - ETA'!$F$3:F4963,'Rango proyecciones'!C206,'Stock - ETA'!$Q$3:Q4963,'Rango proyecciones'!$AJ$5) + SUMIFS('Stock - ETA'!$I$3:I4963,'Stock - ETA'!$F$3:F4963,'Rango proyecciones'!C206,'Stock - ETA'!$Q$3:Q4963,'Rango proyecciones'!$AJ$8)</f>
        <v>0</v>
      </c>
      <c r="AH206" s="16">
        <f t="shared" si="71"/>
        <v>0</v>
      </c>
      <c r="AI206" s="4"/>
    </row>
    <row r="207" spans="1:35" x14ac:dyDescent="0.2">
      <c r="A207" s="2"/>
      <c r="B207" s="2" t="s">
        <v>35</v>
      </c>
      <c r="C207" s="2" t="s">
        <v>435</v>
      </c>
      <c r="D207" s="2" t="s">
        <v>391</v>
      </c>
      <c r="E207" s="2">
        <v>1021987</v>
      </c>
      <c r="F207" s="2"/>
      <c r="G207" s="2"/>
      <c r="H207" s="4">
        <v>0</v>
      </c>
      <c r="I207" s="7">
        <v>0</v>
      </c>
      <c r="J207" s="7">
        <v>0</v>
      </c>
      <c r="K207" s="7">
        <v>0</v>
      </c>
      <c r="L207" s="4">
        <f t="shared" si="64"/>
        <v>0</v>
      </c>
      <c r="M207" s="7">
        <f>SUMIFS('Stock - ETA'!$R$3:R4963,'Stock - ETA'!$F$3:F4963,'Rango proyecciones'!C207,'Stock - ETA'!$AA$3:AA4963,'Rango proyecciones'!$AJ$5)</f>
        <v>6060</v>
      </c>
      <c r="N207" s="7">
        <f>SUMIF('Stock - Puerto Chile'!$G$2:G973,'Rango proyecciones'!C207,'Stock - Puerto Chile'!$L$2:L973)</f>
        <v>2400</v>
      </c>
      <c r="O207" s="7">
        <v>0</v>
      </c>
      <c r="P207" s="7">
        <v>0</v>
      </c>
      <c r="Q207" s="16">
        <f t="shared" si="68"/>
        <v>6060</v>
      </c>
      <c r="R207" s="7">
        <f t="shared" si="65"/>
        <v>0</v>
      </c>
      <c r="S207" s="7">
        <f>SUMIFS('Stock - ETA'!$H$3:H4963,'Stock - ETA'!$F$3:F4963,'Rango proyecciones'!C207,'Stock - ETA'!$Q$3:Q4963,'Rango proyecciones'!$AJ$5)</f>
        <v>6060</v>
      </c>
      <c r="T207" s="7">
        <f>SUMIF('Stock - Puerto Chile'!$G$2:G973,'Rango proyecciones'!C207,'Stock - Puerto Chile'!$N$2:N973)</f>
        <v>2880</v>
      </c>
      <c r="U207" s="7">
        <v>0</v>
      </c>
      <c r="V207" s="7">
        <v>0</v>
      </c>
      <c r="W207" s="17">
        <f t="shared" si="69"/>
        <v>6060</v>
      </c>
      <c r="X207" s="4">
        <v>4482</v>
      </c>
      <c r="Y207" s="7">
        <v>4482</v>
      </c>
      <c r="Z207" s="18">
        <f>SUMIFS('Stock - ETA'!$S$3:S4963,'Stock - ETA'!$F$3:F4963,'Rango proyecciones'!C207,'Stock - ETA'!$AA$3:AA4963,'Rango proyecciones'!$AJ$5) + SUMIFS('Stock - ETA'!$R$3:R4963,'Stock - ETA'!$F$3:F4963,'Rango proyecciones'!C207,'Stock - ETA'!$AA$3:AA4963,'Rango proyecciones'!$AJ$7)</f>
        <v>2010</v>
      </c>
      <c r="AA207" s="13">
        <f t="shared" si="66"/>
        <v>6492</v>
      </c>
      <c r="AB207" s="7">
        <f>SUMIFS('Stock - ETA'!$I$3:I4963,'Stock - ETA'!$F$3:F4963,'Rango proyecciones'!C207,'Stock - ETA'!$Q$3:Q4963,'Rango proyecciones'!$AJ$5) + SUMIFS('Stock - ETA'!$H$3:H4963,'Stock - ETA'!$F$3:F4963,'Rango proyecciones'!C207,'Stock - ETA'!$Q$3:Q4963,'Rango proyecciones'!$AJ$7)</f>
        <v>2010</v>
      </c>
      <c r="AC207" s="16">
        <f t="shared" si="67"/>
        <v>6492</v>
      </c>
      <c r="AD207" s="4"/>
      <c r="AE207" s="7">
        <f>SUMIFS('Stock - ETA'!$T$3:T4963,'Stock - ETA'!$F$3:F4963,'Rango proyecciones'!C207,'Stock - ETA'!$AA$3:AA4963,'Rango proyecciones'!$AJ$5) + SUMIFS('Stock - ETA'!$S$3:S4963,'Stock - ETA'!$F$3:F4963,'Rango proyecciones'!C207,'Stock - ETA'!$AA$3:AA4963,'Rango proyecciones'!$AJ$8)</f>
        <v>0</v>
      </c>
      <c r="AF207" s="16">
        <f t="shared" si="70"/>
        <v>0</v>
      </c>
      <c r="AG207" s="7">
        <f>SUMIFS('Stock - ETA'!$J$3:J4963,'Stock - ETA'!$F$3:F4963,'Rango proyecciones'!C207,'Stock - ETA'!$Q$3:Q4963,'Rango proyecciones'!$AJ$5) + SUMIFS('Stock - ETA'!$I$3:I4963,'Stock - ETA'!$F$3:F4963,'Rango proyecciones'!C207,'Stock - ETA'!$Q$3:Q4963,'Rango proyecciones'!$AJ$8)</f>
        <v>0</v>
      </c>
      <c r="AH207" s="16">
        <f t="shared" si="71"/>
        <v>0</v>
      </c>
      <c r="AI207" s="4"/>
    </row>
    <row r="208" spans="1:35" x14ac:dyDescent="0.2">
      <c r="A208" s="2"/>
      <c r="B208" s="2" t="s">
        <v>35</v>
      </c>
      <c r="C208" s="2" t="s">
        <v>436</v>
      </c>
      <c r="D208" s="2" t="s">
        <v>391</v>
      </c>
      <c r="E208" s="2">
        <v>1023269</v>
      </c>
      <c r="F208" s="2"/>
      <c r="G208" s="2"/>
      <c r="H208" s="4">
        <v>0</v>
      </c>
      <c r="I208" s="7">
        <v>0</v>
      </c>
      <c r="J208" s="7">
        <v>10000</v>
      </c>
      <c r="K208" s="7"/>
      <c r="L208" s="4">
        <f t="shared" si="64"/>
        <v>15000</v>
      </c>
      <c r="M208" s="7">
        <f>SUMIFS('Stock - ETA'!$R$3:R4963,'Stock - ETA'!$F$3:F4963,'Rango proyecciones'!C208,'Stock - ETA'!$AA$3:AA4963,'Rango proyecciones'!$AJ$5)</f>
        <v>8067.02</v>
      </c>
      <c r="N208" s="7">
        <f>SUMIF('Stock - Puerto Chile'!$G$2:G973,'Rango proyecciones'!C208,'Stock - Puerto Chile'!$L$2:L973)</f>
        <v>41954.152800000003</v>
      </c>
      <c r="O208" s="7">
        <v>0</v>
      </c>
      <c r="P208" s="7">
        <v>0</v>
      </c>
      <c r="Q208" s="16">
        <f t="shared" si="68"/>
        <v>8067.02</v>
      </c>
      <c r="R208" s="7">
        <f t="shared" si="65"/>
        <v>25714.285714285717</v>
      </c>
      <c r="S208" s="7">
        <f>SUMIFS('Stock - ETA'!$H$3:H4963,'Stock - ETA'!$F$3:F4963,'Rango proyecciones'!C208,'Stock - ETA'!$Q$3:Q4963,'Rango proyecciones'!$AJ$5)</f>
        <v>8067.02</v>
      </c>
      <c r="T208" s="7">
        <f>SUMIF('Stock - Puerto Chile'!$G$2:G973,'Rango proyecciones'!C208,'Stock - Puerto Chile'!$N$2:N973)</f>
        <v>50344.983359999998</v>
      </c>
      <c r="U208" s="7">
        <v>0</v>
      </c>
      <c r="V208" s="7">
        <v>0</v>
      </c>
      <c r="W208" s="17">
        <f t="shared" si="69"/>
        <v>8067.02</v>
      </c>
      <c r="X208" s="4">
        <v>10000</v>
      </c>
      <c r="Y208" s="7">
        <v>10000</v>
      </c>
      <c r="Z208" s="18">
        <f>SUMIFS('Stock - ETA'!$S$3:S4963,'Stock - ETA'!$F$3:F4963,'Rango proyecciones'!C208,'Stock - ETA'!$AA$3:AA4963,'Rango proyecciones'!$AJ$5) + SUMIFS('Stock - ETA'!$R$3:R4963,'Stock - ETA'!$F$3:F4963,'Rango proyecciones'!C208,'Stock - ETA'!$AA$3:AA4963,'Rango proyecciones'!$AJ$7)</f>
        <v>12003.97</v>
      </c>
      <c r="AA208" s="13">
        <f t="shared" si="66"/>
        <v>22003.97</v>
      </c>
      <c r="AB208" s="7">
        <f>SUMIFS('Stock - ETA'!$I$3:I4963,'Stock - ETA'!$F$3:F4963,'Rango proyecciones'!C208,'Stock - ETA'!$Q$3:Q4963,'Rango proyecciones'!$AJ$5) + SUMIFS('Stock - ETA'!$H$3:H4963,'Stock - ETA'!$F$3:F4963,'Rango proyecciones'!C208,'Stock - ETA'!$Q$3:Q4963,'Rango proyecciones'!$AJ$7)</f>
        <v>12003.97</v>
      </c>
      <c r="AC208" s="16">
        <f t="shared" si="67"/>
        <v>22003.97</v>
      </c>
      <c r="AD208" s="4"/>
      <c r="AE208" s="7">
        <f>SUMIFS('Stock - ETA'!$T$3:T4963,'Stock - ETA'!$F$3:F4963,'Rango proyecciones'!C208,'Stock - ETA'!$AA$3:AA4963,'Rango proyecciones'!$AJ$5) + SUMIFS('Stock - ETA'!$S$3:S4963,'Stock - ETA'!$F$3:F4963,'Rango proyecciones'!C208,'Stock - ETA'!$AA$3:AA4963,'Rango proyecciones'!$AJ$8)</f>
        <v>0</v>
      </c>
      <c r="AF208" s="16">
        <f t="shared" si="70"/>
        <v>0</v>
      </c>
      <c r="AG208" s="7">
        <f>SUMIFS('Stock - ETA'!$J$3:J4963,'Stock - ETA'!$F$3:F4963,'Rango proyecciones'!C208,'Stock - ETA'!$Q$3:Q4963,'Rango proyecciones'!$AJ$5) + SUMIFS('Stock - ETA'!$I$3:I4963,'Stock - ETA'!$F$3:F4963,'Rango proyecciones'!C208,'Stock - ETA'!$Q$3:Q4963,'Rango proyecciones'!$AJ$8)</f>
        <v>0</v>
      </c>
      <c r="AH208" s="16">
        <f t="shared" si="71"/>
        <v>0</v>
      </c>
      <c r="AI208" s="4"/>
    </row>
    <row r="209" spans="1:35" x14ac:dyDescent="0.2">
      <c r="A209" s="2"/>
      <c r="B209" s="2" t="s">
        <v>35</v>
      </c>
      <c r="C209" s="2" t="s">
        <v>437</v>
      </c>
      <c r="D209" s="2" t="s">
        <v>409</v>
      </c>
      <c r="E209" s="2">
        <v>1021539</v>
      </c>
      <c r="F209" s="2"/>
      <c r="G209" s="2"/>
      <c r="H209" s="4">
        <v>0</v>
      </c>
      <c r="I209" s="7">
        <v>0</v>
      </c>
      <c r="J209" s="7">
        <v>0</v>
      </c>
      <c r="K209" s="7">
        <v>0</v>
      </c>
      <c r="L209" s="4">
        <f t="shared" si="64"/>
        <v>0</v>
      </c>
      <c r="M209" s="7">
        <f>SUMIFS('Stock - ETA'!$R$3:R4963,'Stock - ETA'!$F$3:F4963,'Rango proyecciones'!C209,'Stock - ETA'!$AA$3:AA4963,'Rango proyecciones'!$AJ$5)</f>
        <v>34074.27102</v>
      </c>
      <c r="N209" s="7">
        <f>SUMIF('Stock - Puerto Chile'!$G$2:G973,'Rango proyecciones'!C209,'Stock - Puerto Chile'!$L$2:L973)</f>
        <v>7267.3607999999995</v>
      </c>
      <c r="O209" s="7">
        <v>0</v>
      </c>
      <c r="P209" s="7">
        <v>0</v>
      </c>
      <c r="Q209" s="16">
        <f t="shared" si="68"/>
        <v>34074.27102</v>
      </c>
      <c r="R209" s="7">
        <f t="shared" si="65"/>
        <v>0</v>
      </c>
      <c r="S209" s="7">
        <f>SUMIFS('Stock - ETA'!$H$3:H4963,'Stock - ETA'!$F$3:F4963,'Rango proyecciones'!C209,'Stock - ETA'!$Q$3:Q4963,'Rango proyecciones'!$AJ$5)</f>
        <v>34074.27102</v>
      </c>
      <c r="T209" s="7">
        <f>SUMIF('Stock - Puerto Chile'!$G$2:G973,'Rango proyecciones'!C209,'Stock - Puerto Chile'!$N$2:N973)</f>
        <v>8720.8329599999997</v>
      </c>
      <c r="U209" s="7">
        <v>0</v>
      </c>
      <c r="V209" s="7">
        <v>0</v>
      </c>
      <c r="W209" s="17">
        <f t="shared" si="69"/>
        <v>34074.27102</v>
      </c>
      <c r="X209" s="4">
        <v>11794</v>
      </c>
      <c r="Y209" s="7">
        <v>11794</v>
      </c>
      <c r="Z209" s="18">
        <f>SUMIFS('Stock - ETA'!$S$3:S4963,'Stock - ETA'!$F$3:F4963,'Rango proyecciones'!C209,'Stock - ETA'!$AA$3:AA4963,'Rango proyecciones'!$AJ$5) + SUMIFS('Stock - ETA'!$R$3:R4963,'Stock - ETA'!$F$3:F4963,'Rango proyecciones'!C209,'Stock - ETA'!$AA$3:AA4963,'Rango proyecciones'!$AJ$7)</f>
        <v>24006.352060000001</v>
      </c>
      <c r="AA209" s="13">
        <f t="shared" si="66"/>
        <v>35800.352060000005</v>
      </c>
      <c r="AB209" s="7">
        <f>SUMIFS('Stock - ETA'!$I$3:I4963,'Stock - ETA'!$F$3:F4963,'Rango proyecciones'!C209,'Stock - ETA'!$Q$3:Q4963,'Rango proyecciones'!$AJ$5) + SUMIFS('Stock - ETA'!$H$3:H4963,'Stock - ETA'!$F$3:F4963,'Rango proyecciones'!C209,'Stock - ETA'!$Q$3:Q4963,'Rango proyecciones'!$AJ$7)</f>
        <v>24006.352060000001</v>
      </c>
      <c r="AC209" s="16">
        <f t="shared" si="67"/>
        <v>35800.352060000005</v>
      </c>
      <c r="AD209" s="4">
        <v>11794</v>
      </c>
      <c r="AE209" s="7">
        <f>SUMIFS('Stock - ETA'!$T$3:T4963,'Stock - ETA'!$F$3:F4963,'Rango proyecciones'!C209,'Stock - ETA'!$AA$3:AA4963,'Rango proyecciones'!$AJ$5) + SUMIFS('Stock - ETA'!$S$3:S4963,'Stock - ETA'!$F$3:F4963,'Rango proyecciones'!C209,'Stock - ETA'!$AA$3:AA4963,'Rango proyecciones'!$AJ$8)</f>
        <v>11824.56738</v>
      </c>
      <c r="AF209" s="16">
        <f t="shared" ref="AF209:AF223" si="72">0.6 * AD209 + AE209</f>
        <v>18900.967380000002</v>
      </c>
      <c r="AG209" s="7">
        <f>SUMIFS('Stock - ETA'!$J$3:J4963,'Stock - ETA'!$F$3:F4963,'Rango proyecciones'!C209,'Stock - ETA'!$Q$3:Q4963,'Rango proyecciones'!$AJ$5) + SUMIFS('Stock - ETA'!$I$3:I4963,'Stock - ETA'!$F$3:F4963,'Rango proyecciones'!C209,'Stock - ETA'!$Q$3:Q4963,'Rango proyecciones'!$AJ$8)</f>
        <v>11824.56738</v>
      </c>
      <c r="AH209" s="16">
        <f t="shared" ref="AH209:AH223" si="73">0.6 * AD209 + AG209</f>
        <v>18900.967380000002</v>
      </c>
      <c r="AI209" s="4"/>
    </row>
    <row r="210" spans="1:35" x14ac:dyDescent="0.2">
      <c r="A210" s="2"/>
      <c r="B210" s="2" t="s">
        <v>35</v>
      </c>
      <c r="C210" s="2" t="s">
        <v>438</v>
      </c>
      <c r="D210" s="2" t="s">
        <v>389</v>
      </c>
      <c r="E210" s="2">
        <v>1011968</v>
      </c>
      <c r="F210" s="2"/>
      <c r="G210" s="2"/>
      <c r="H210" s="4">
        <v>0</v>
      </c>
      <c r="I210" s="7">
        <v>0</v>
      </c>
      <c r="J210" s="7">
        <v>2000</v>
      </c>
      <c r="K210" s="7">
        <v>481.75</v>
      </c>
      <c r="L210" s="4">
        <f t="shared" si="64"/>
        <v>2277.375</v>
      </c>
      <c r="M210" s="7">
        <f>SUMIFS('Stock - ETA'!$R$3:R4963,'Stock - ETA'!$F$3:F4963,'Rango proyecciones'!C210,'Stock - ETA'!$AA$3:AA4963,'Rango proyecciones'!$AJ$5)</f>
        <v>28660</v>
      </c>
      <c r="N210" s="7">
        <f>SUMIF('Stock - Puerto Chile'!$G$2:G973,'Rango proyecciones'!C210,'Stock - Puerto Chile'!$L$2:L973)</f>
        <v>67272</v>
      </c>
      <c r="O210" s="7">
        <v>0</v>
      </c>
      <c r="P210" s="7">
        <v>0</v>
      </c>
      <c r="Q210" s="16">
        <f t="shared" si="68"/>
        <v>28660</v>
      </c>
      <c r="R210" s="7">
        <f t="shared" si="65"/>
        <v>3904.0714285714289</v>
      </c>
      <c r="S210" s="7">
        <f>SUMIFS('Stock - ETA'!$H$3:H4963,'Stock - ETA'!$F$3:F4963,'Rango proyecciones'!C210,'Stock - ETA'!$Q$3:Q4963,'Rango proyecciones'!$AJ$5)</f>
        <v>28660</v>
      </c>
      <c r="T210" s="7">
        <f>SUMIF('Stock - Puerto Chile'!$G$2:G973,'Rango proyecciones'!C210,'Stock - Puerto Chile'!$N$2:N973)</f>
        <v>80726.399999999994</v>
      </c>
      <c r="U210" s="7">
        <v>0</v>
      </c>
      <c r="V210" s="7">
        <v>0</v>
      </c>
      <c r="W210" s="17">
        <f t="shared" si="69"/>
        <v>28660</v>
      </c>
      <c r="X210" s="4">
        <v>14344</v>
      </c>
      <c r="Y210" s="7">
        <v>14344</v>
      </c>
      <c r="Z210" s="18">
        <f>SUMIFS('Stock - ETA'!$S$3:S4963,'Stock - ETA'!$F$3:F4963,'Rango proyecciones'!C210,'Stock - ETA'!$AA$3:AA4963,'Rango proyecciones'!$AJ$5) + SUMIFS('Stock - ETA'!$R$3:R4963,'Stock - ETA'!$F$3:F4963,'Rango proyecciones'!C210,'Stock - ETA'!$AA$3:AA4963,'Rango proyecciones'!$AJ$7)</f>
        <v>0</v>
      </c>
      <c r="AA210" s="13">
        <f t="shared" si="66"/>
        <v>14344</v>
      </c>
      <c r="AB210" s="7">
        <f>SUMIFS('Stock - ETA'!$I$3:I4963,'Stock - ETA'!$F$3:F4963,'Rango proyecciones'!C210,'Stock - ETA'!$Q$3:Q4963,'Rango proyecciones'!$AJ$5) + SUMIFS('Stock - ETA'!$H$3:H4963,'Stock - ETA'!$F$3:F4963,'Rango proyecciones'!C210,'Stock - ETA'!$Q$3:Q4963,'Rango proyecciones'!$AJ$7)</f>
        <v>0</v>
      </c>
      <c r="AC210" s="16">
        <f t="shared" si="67"/>
        <v>14344</v>
      </c>
      <c r="AD210" s="4">
        <v>26944</v>
      </c>
      <c r="AE210" s="7">
        <f>SUMIFS('Stock - ETA'!$T$3:T4963,'Stock - ETA'!$F$3:F4963,'Rango proyecciones'!C210,'Stock - ETA'!$AA$3:AA4963,'Rango proyecciones'!$AJ$5) + SUMIFS('Stock - ETA'!$S$3:S4963,'Stock - ETA'!$F$3:F4963,'Rango proyecciones'!C210,'Stock - ETA'!$AA$3:AA4963,'Rango proyecciones'!$AJ$8)</f>
        <v>0</v>
      </c>
      <c r="AF210" s="16">
        <f t="shared" si="72"/>
        <v>16166.4</v>
      </c>
      <c r="AG210" s="7">
        <f>SUMIFS('Stock - ETA'!$J$3:J4963,'Stock - ETA'!$F$3:F4963,'Rango proyecciones'!C210,'Stock - ETA'!$Q$3:Q4963,'Rango proyecciones'!$AJ$5) + SUMIFS('Stock - ETA'!$I$3:I4963,'Stock - ETA'!$F$3:F4963,'Rango proyecciones'!C210,'Stock - ETA'!$Q$3:Q4963,'Rango proyecciones'!$AJ$8)</f>
        <v>0</v>
      </c>
      <c r="AH210" s="16">
        <f t="shared" si="73"/>
        <v>16166.4</v>
      </c>
      <c r="AI210" s="4"/>
    </row>
    <row r="211" spans="1:35" x14ac:dyDescent="0.2">
      <c r="A211" s="2"/>
      <c r="B211" s="2" t="s">
        <v>35</v>
      </c>
      <c r="C211" s="2" t="s">
        <v>439</v>
      </c>
      <c r="D211" s="2" t="s">
        <v>389</v>
      </c>
      <c r="E211" s="2">
        <v>1030566</v>
      </c>
      <c r="F211" s="2"/>
      <c r="G211" s="2"/>
      <c r="H211" s="4">
        <v>0</v>
      </c>
      <c r="I211" s="7">
        <v>0</v>
      </c>
      <c r="J211" s="7">
        <v>6000</v>
      </c>
      <c r="K211" s="7"/>
      <c r="L211" s="4">
        <f t="shared" si="64"/>
        <v>9000</v>
      </c>
      <c r="M211" s="7">
        <f>SUMIFS('Stock - ETA'!$R$3:R4963,'Stock - ETA'!$F$3:F4963,'Rango proyecciones'!C211,'Stock - ETA'!$AA$3:AA4963,'Rango proyecciones'!$AJ$5)</f>
        <v>36000</v>
      </c>
      <c r="N211" s="7">
        <f>SUMIF('Stock - Puerto Chile'!$G$2:G973,'Rango proyecciones'!C211,'Stock - Puerto Chile'!$L$2:L973)</f>
        <v>0</v>
      </c>
      <c r="O211" s="7">
        <v>0</v>
      </c>
      <c r="P211" s="7">
        <v>0</v>
      </c>
      <c r="Q211" s="16">
        <f t="shared" si="68"/>
        <v>36000</v>
      </c>
      <c r="R211" s="7">
        <f t="shared" si="65"/>
        <v>15428.571428571429</v>
      </c>
      <c r="S211" s="7">
        <f>SUMIFS('Stock - ETA'!$H$3:H4963,'Stock - ETA'!$F$3:F4963,'Rango proyecciones'!C211,'Stock - ETA'!$Q$3:Q4963,'Rango proyecciones'!$AJ$5)</f>
        <v>36000</v>
      </c>
      <c r="T211" s="7">
        <f>SUMIF('Stock - Puerto Chile'!$G$2:G973,'Rango proyecciones'!C211,'Stock - Puerto Chile'!$N$2:N973)</f>
        <v>0</v>
      </c>
      <c r="U211" s="7">
        <v>0</v>
      </c>
      <c r="V211" s="7">
        <v>0</v>
      </c>
      <c r="W211" s="17">
        <f t="shared" si="69"/>
        <v>36000</v>
      </c>
      <c r="X211" s="4">
        <v>45681</v>
      </c>
      <c r="Y211" s="7">
        <v>45681</v>
      </c>
      <c r="Z211" s="18">
        <f>SUMIFS('Stock - ETA'!$S$3:S4963,'Stock - ETA'!$F$3:F4963,'Rango proyecciones'!C211,'Stock - ETA'!$AA$3:AA4963,'Rango proyecciones'!$AJ$5) + SUMIFS('Stock - ETA'!$R$3:R4963,'Stock - ETA'!$F$3:F4963,'Rango proyecciones'!C211,'Stock - ETA'!$AA$3:AA4963,'Rango proyecciones'!$AJ$7)</f>
        <v>24000</v>
      </c>
      <c r="AA211" s="13">
        <f t="shared" si="66"/>
        <v>69681</v>
      </c>
      <c r="AB211" s="7">
        <f>SUMIFS('Stock - ETA'!$I$3:I4963,'Stock - ETA'!$F$3:F4963,'Rango proyecciones'!C211,'Stock - ETA'!$Q$3:Q4963,'Rango proyecciones'!$AJ$5) + SUMIFS('Stock - ETA'!$H$3:H4963,'Stock - ETA'!$F$3:F4963,'Rango proyecciones'!C211,'Stock - ETA'!$Q$3:Q4963,'Rango proyecciones'!$AJ$7)</f>
        <v>24000</v>
      </c>
      <c r="AC211" s="16">
        <f t="shared" si="67"/>
        <v>69681</v>
      </c>
      <c r="AD211" s="4"/>
      <c r="AE211" s="7">
        <f>SUMIFS('Stock - ETA'!$T$3:T4963,'Stock - ETA'!$F$3:F4963,'Rango proyecciones'!C211,'Stock - ETA'!$AA$3:AA4963,'Rango proyecciones'!$AJ$5) + SUMIFS('Stock - ETA'!$S$3:S4963,'Stock - ETA'!$F$3:F4963,'Rango proyecciones'!C211,'Stock - ETA'!$AA$3:AA4963,'Rango proyecciones'!$AJ$8)</f>
        <v>0</v>
      </c>
      <c r="AF211" s="16">
        <f t="shared" si="72"/>
        <v>0</v>
      </c>
      <c r="AG211" s="7">
        <f>SUMIFS('Stock - ETA'!$J$3:J4963,'Stock - ETA'!$F$3:F4963,'Rango proyecciones'!C211,'Stock - ETA'!$Q$3:Q4963,'Rango proyecciones'!$AJ$5) + SUMIFS('Stock - ETA'!$I$3:I4963,'Stock - ETA'!$F$3:F4963,'Rango proyecciones'!C211,'Stock - ETA'!$Q$3:Q4963,'Rango proyecciones'!$AJ$8)</f>
        <v>0</v>
      </c>
      <c r="AH211" s="16">
        <f t="shared" si="73"/>
        <v>0</v>
      </c>
      <c r="AI211" s="4"/>
    </row>
    <row r="212" spans="1:35" x14ac:dyDescent="0.2">
      <c r="A212" s="2"/>
      <c r="B212" s="2" t="s">
        <v>35</v>
      </c>
      <c r="C212" s="2" t="s">
        <v>440</v>
      </c>
      <c r="D212" s="2" t="s">
        <v>389</v>
      </c>
      <c r="E212" s="2">
        <v>1022096</v>
      </c>
      <c r="F212" s="2"/>
      <c r="G212" s="2"/>
      <c r="H212" s="4">
        <v>0</v>
      </c>
      <c r="I212" s="7">
        <v>0</v>
      </c>
      <c r="J212" s="7">
        <v>21308.601999999999</v>
      </c>
      <c r="K212" s="7">
        <v>1299.07</v>
      </c>
      <c r="L212" s="4">
        <f t="shared" si="64"/>
        <v>30014.297999999999</v>
      </c>
      <c r="M212" s="7">
        <f>SUMIFS('Stock - ETA'!$R$3:R4963,'Stock - ETA'!$F$3:F4963,'Rango proyecciones'!C212,'Stock - ETA'!$AA$3:AA4963,'Rango proyecciones'!$AJ$5)</f>
        <v>184610</v>
      </c>
      <c r="N212" s="7">
        <f>SUMIF('Stock - Puerto Chile'!$G$2:G973,'Rango proyecciones'!C212,'Stock - Puerto Chile'!$L$2:L973)</f>
        <v>521316</v>
      </c>
      <c r="O212" s="7">
        <v>0</v>
      </c>
      <c r="P212" s="7">
        <v>0</v>
      </c>
      <c r="Q212" s="16">
        <f t="shared" si="68"/>
        <v>184610</v>
      </c>
      <c r="R212" s="7">
        <f t="shared" si="65"/>
        <v>51453.082285714285</v>
      </c>
      <c r="S212" s="7">
        <f>SUMIFS('Stock - ETA'!$H$3:H4963,'Stock - ETA'!$F$3:F4963,'Rango proyecciones'!C212,'Stock - ETA'!$Q$3:Q4963,'Rango proyecciones'!$AJ$5)</f>
        <v>184610</v>
      </c>
      <c r="T212" s="7">
        <f>SUMIF('Stock - Puerto Chile'!$G$2:G973,'Rango proyecciones'!C212,'Stock - Puerto Chile'!$N$2:N973)</f>
        <v>625579.19999999995</v>
      </c>
      <c r="U212" s="7">
        <v>0</v>
      </c>
      <c r="V212" s="7">
        <v>0</v>
      </c>
      <c r="W212" s="17">
        <f t="shared" si="69"/>
        <v>184610</v>
      </c>
      <c r="X212" s="4">
        <v>173356</v>
      </c>
      <c r="Y212" s="7">
        <v>173356</v>
      </c>
      <c r="Z212" s="18">
        <f>SUMIFS('Stock - ETA'!$S$3:S4963,'Stock - ETA'!$F$3:F4963,'Rango proyecciones'!C212,'Stock - ETA'!$AA$3:AA4963,'Rango proyecciones'!$AJ$5) + SUMIFS('Stock - ETA'!$R$3:R4963,'Stock - ETA'!$F$3:F4963,'Rango proyecciones'!C212,'Stock - ETA'!$AA$3:AA4963,'Rango proyecciones'!$AJ$7)</f>
        <v>144740</v>
      </c>
      <c r="AA212" s="13">
        <f t="shared" si="66"/>
        <v>318096</v>
      </c>
      <c r="AB212" s="7">
        <f>SUMIFS('Stock - ETA'!$I$3:I4963,'Stock - ETA'!$F$3:F4963,'Rango proyecciones'!C212,'Stock - ETA'!$Q$3:Q4963,'Rango proyecciones'!$AJ$5) + SUMIFS('Stock - ETA'!$H$3:H4963,'Stock - ETA'!$F$3:F4963,'Rango proyecciones'!C212,'Stock - ETA'!$Q$3:Q4963,'Rango proyecciones'!$AJ$7)</f>
        <v>144740</v>
      </c>
      <c r="AC212" s="16">
        <f t="shared" si="67"/>
        <v>318096</v>
      </c>
      <c r="AD212" s="4">
        <v>212373</v>
      </c>
      <c r="AE212" s="7">
        <f>SUMIFS('Stock - ETA'!$T$3:T4963,'Stock - ETA'!$F$3:F4963,'Rango proyecciones'!C212,'Stock - ETA'!$AA$3:AA4963,'Rango proyecciones'!$AJ$5) + SUMIFS('Stock - ETA'!$S$3:S4963,'Stock - ETA'!$F$3:F4963,'Rango proyecciones'!C212,'Stock - ETA'!$AA$3:AA4963,'Rango proyecciones'!$AJ$8)</f>
        <v>0</v>
      </c>
      <c r="AF212" s="16">
        <f t="shared" si="72"/>
        <v>127423.79999999999</v>
      </c>
      <c r="AG212" s="7">
        <f>SUMIFS('Stock - ETA'!$J$3:J4963,'Stock - ETA'!$F$3:F4963,'Rango proyecciones'!C212,'Stock - ETA'!$Q$3:Q4963,'Rango proyecciones'!$AJ$5) + SUMIFS('Stock - ETA'!$I$3:I4963,'Stock - ETA'!$F$3:F4963,'Rango proyecciones'!C212,'Stock - ETA'!$Q$3:Q4963,'Rango proyecciones'!$AJ$8)</f>
        <v>0</v>
      </c>
      <c r="AH212" s="16">
        <f t="shared" si="73"/>
        <v>127423.79999999999</v>
      </c>
      <c r="AI212" s="4"/>
    </row>
    <row r="213" spans="1:35" x14ac:dyDescent="0.2">
      <c r="A213" s="2"/>
      <c r="B213" s="2" t="s">
        <v>35</v>
      </c>
      <c r="C213" s="2" t="s">
        <v>441</v>
      </c>
      <c r="D213" s="2" t="s">
        <v>389</v>
      </c>
      <c r="E213" s="2">
        <v>1023034</v>
      </c>
      <c r="F213" s="2"/>
      <c r="G213" s="2"/>
      <c r="H213" s="4">
        <v>0</v>
      </c>
      <c r="I213" s="7">
        <v>0</v>
      </c>
      <c r="J213" s="7"/>
      <c r="K213" s="7">
        <v>4503.3999999999996</v>
      </c>
      <c r="L213" s="4">
        <f t="shared" si="64"/>
        <v>0</v>
      </c>
      <c r="M213" s="7">
        <f>SUMIFS('Stock - ETA'!$R$3:R4963,'Stock - ETA'!$F$3:F4963,'Rango proyecciones'!C213,'Stock - ETA'!$AA$3:AA4963,'Rango proyecciones'!$AJ$5)</f>
        <v>73040</v>
      </c>
      <c r="N213" s="7">
        <f>SUMIF('Stock - Puerto Chile'!$G$2:G973,'Rango proyecciones'!C213,'Stock - Puerto Chile'!$L$2:L973)</f>
        <v>192780</v>
      </c>
      <c r="O213" s="7">
        <v>0</v>
      </c>
      <c r="P213" s="7">
        <v>0</v>
      </c>
      <c r="Q213" s="16">
        <f t="shared" si="68"/>
        <v>73040</v>
      </c>
      <c r="R213" s="7">
        <f t="shared" si="65"/>
        <v>0</v>
      </c>
      <c r="S213" s="7">
        <f>SUMIFS('Stock - ETA'!$H$3:H4963,'Stock - ETA'!$F$3:F4963,'Rango proyecciones'!C213,'Stock - ETA'!$Q$3:Q4963,'Rango proyecciones'!$AJ$5)</f>
        <v>73040</v>
      </c>
      <c r="T213" s="7">
        <f>SUMIF('Stock - Puerto Chile'!$G$2:G973,'Rango proyecciones'!C213,'Stock - Puerto Chile'!$N$2:N973)</f>
        <v>231336</v>
      </c>
      <c r="U213" s="7">
        <v>0</v>
      </c>
      <c r="V213" s="7">
        <v>0</v>
      </c>
      <c r="W213" s="17">
        <f t="shared" si="69"/>
        <v>73040</v>
      </c>
      <c r="X213" s="4">
        <v>1508</v>
      </c>
      <c r="Y213" s="7">
        <v>1508</v>
      </c>
      <c r="Z213" s="18">
        <f>SUMIFS('Stock - ETA'!$S$3:S4963,'Stock - ETA'!$F$3:F4963,'Rango proyecciones'!C213,'Stock - ETA'!$AA$3:AA4963,'Rango proyecciones'!$AJ$5) + SUMIFS('Stock - ETA'!$R$3:R4963,'Stock - ETA'!$F$3:F4963,'Rango proyecciones'!C213,'Stock - ETA'!$AA$3:AA4963,'Rango proyecciones'!$AJ$7)</f>
        <v>48980</v>
      </c>
      <c r="AA213" s="13">
        <f t="shared" si="66"/>
        <v>50488</v>
      </c>
      <c r="AB213" s="7">
        <f>SUMIFS('Stock - ETA'!$I$3:I4963,'Stock - ETA'!$F$3:F4963,'Rango proyecciones'!C213,'Stock - ETA'!$Q$3:Q4963,'Rango proyecciones'!$AJ$5) + SUMIFS('Stock - ETA'!$H$3:H4963,'Stock - ETA'!$F$3:F4963,'Rango proyecciones'!C213,'Stock - ETA'!$Q$3:Q4963,'Rango proyecciones'!$AJ$7)</f>
        <v>48980</v>
      </c>
      <c r="AC213" s="16">
        <f t="shared" si="67"/>
        <v>50488</v>
      </c>
      <c r="AD213" s="4">
        <v>159948</v>
      </c>
      <c r="AE213" s="7">
        <f>SUMIFS('Stock - ETA'!$T$3:T4963,'Stock - ETA'!$F$3:F4963,'Rango proyecciones'!C213,'Stock - ETA'!$AA$3:AA4963,'Rango proyecciones'!$AJ$5) + SUMIFS('Stock - ETA'!$S$3:S4963,'Stock - ETA'!$F$3:F4963,'Rango proyecciones'!C213,'Stock - ETA'!$AA$3:AA4963,'Rango proyecciones'!$AJ$8)</f>
        <v>0</v>
      </c>
      <c r="AF213" s="16">
        <f t="shared" si="72"/>
        <v>95968.8</v>
      </c>
      <c r="AG213" s="7">
        <f>SUMIFS('Stock - ETA'!$J$3:J4963,'Stock - ETA'!$F$3:F4963,'Rango proyecciones'!C213,'Stock - ETA'!$Q$3:Q4963,'Rango proyecciones'!$AJ$5) + SUMIFS('Stock - ETA'!$I$3:I4963,'Stock - ETA'!$F$3:F4963,'Rango proyecciones'!C213,'Stock - ETA'!$Q$3:Q4963,'Rango proyecciones'!$AJ$8)</f>
        <v>0</v>
      </c>
      <c r="AH213" s="16">
        <f t="shared" si="73"/>
        <v>95968.8</v>
      </c>
      <c r="AI213" s="4"/>
    </row>
    <row r="214" spans="1:35" x14ac:dyDescent="0.2">
      <c r="A214" s="2"/>
      <c r="B214" s="2" t="s">
        <v>35</v>
      </c>
      <c r="C214" s="2" t="s">
        <v>442</v>
      </c>
      <c r="D214" s="2" t="s">
        <v>389</v>
      </c>
      <c r="E214" s="2">
        <v>1022945</v>
      </c>
      <c r="F214" s="2"/>
      <c r="G214" s="2"/>
      <c r="H214" s="4">
        <v>0</v>
      </c>
      <c r="I214" s="7">
        <v>0</v>
      </c>
      <c r="J214" s="7">
        <v>0</v>
      </c>
      <c r="K214" s="7">
        <v>0</v>
      </c>
      <c r="L214" s="4">
        <f t="shared" si="64"/>
        <v>0</v>
      </c>
      <c r="M214" s="7">
        <f>SUMIFS('Stock - ETA'!$R$3:R4963,'Stock - ETA'!$F$3:F4963,'Rango proyecciones'!C214,'Stock - ETA'!$AA$3:AA4963,'Rango proyecciones'!$AJ$5)</f>
        <v>48380</v>
      </c>
      <c r="N214" s="7">
        <f>SUMIF('Stock - Puerto Chile'!$G$2:G973,'Rango proyecciones'!C214,'Stock - Puerto Chile'!$L$2:L973)</f>
        <v>129972</v>
      </c>
      <c r="O214" s="7">
        <v>0</v>
      </c>
      <c r="P214" s="7">
        <v>0</v>
      </c>
      <c r="Q214" s="16">
        <f t="shared" si="68"/>
        <v>48380</v>
      </c>
      <c r="R214" s="7">
        <f t="shared" si="65"/>
        <v>0</v>
      </c>
      <c r="S214" s="7">
        <f>SUMIFS('Stock - ETA'!$H$3:H4963,'Stock - ETA'!$F$3:F4963,'Rango proyecciones'!C214,'Stock - ETA'!$Q$3:Q4963,'Rango proyecciones'!$AJ$5)</f>
        <v>48380</v>
      </c>
      <c r="T214" s="7">
        <f>SUMIF('Stock - Puerto Chile'!$G$2:G973,'Rango proyecciones'!C214,'Stock - Puerto Chile'!$N$2:N973)</f>
        <v>155966.39999999999</v>
      </c>
      <c r="U214" s="7">
        <v>0</v>
      </c>
      <c r="V214" s="7">
        <v>0</v>
      </c>
      <c r="W214" s="17">
        <f t="shared" si="69"/>
        <v>48380</v>
      </c>
      <c r="X214" s="4">
        <v>299033</v>
      </c>
      <c r="Y214" s="7">
        <v>299033</v>
      </c>
      <c r="Z214" s="18">
        <f>SUMIFS('Stock - ETA'!$S$3:S4963,'Stock - ETA'!$F$3:F4963,'Rango proyecciones'!C214,'Stock - ETA'!$AA$3:AA4963,'Rango proyecciones'!$AJ$5) + SUMIFS('Stock - ETA'!$R$3:R4963,'Stock - ETA'!$F$3:F4963,'Rango proyecciones'!C214,'Stock - ETA'!$AA$3:AA4963,'Rango proyecciones'!$AJ$7)</f>
        <v>100920</v>
      </c>
      <c r="AA214" s="13">
        <f t="shared" si="66"/>
        <v>399953</v>
      </c>
      <c r="AB214" s="7">
        <f>SUMIFS('Stock - ETA'!$I$3:I4963,'Stock - ETA'!$F$3:F4963,'Rango proyecciones'!C214,'Stock - ETA'!$Q$3:Q4963,'Rango proyecciones'!$AJ$5) + SUMIFS('Stock - ETA'!$H$3:H4963,'Stock - ETA'!$F$3:F4963,'Rango proyecciones'!C214,'Stock - ETA'!$Q$3:Q4963,'Rango proyecciones'!$AJ$7)</f>
        <v>100920</v>
      </c>
      <c r="AC214" s="16">
        <f t="shared" si="67"/>
        <v>399953</v>
      </c>
      <c r="AD214" s="4">
        <v>326690</v>
      </c>
      <c r="AE214" s="7">
        <f>SUMIFS('Stock - ETA'!$T$3:T4963,'Stock - ETA'!$F$3:F4963,'Rango proyecciones'!C214,'Stock - ETA'!$AA$3:AA4963,'Rango proyecciones'!$AJ$5) + SUMIFS('Stock - ETA'!$S$3:S4963,'Stock - ETA'!$F$3:F4963,'Rango proyecciones'!C214,'Stock - ETA'!$AA$3:AA4963,'Rango proyecciones'!$AJ$8)</f>
        <v>0</v>
      </c>
      <c r="AF214" s="16">
        <f t="shared" si="72"/>
        <v>196014</v>
      </c>
      <c r="AG214" s="7">
        <f>SUMIFS('Stock - ETA'!$J$3:J4963,'Stock - ETA'!$F$3:F4963,'Rango proyecciones'!C214,'Stock - ETA'!$Q$3:Q4963,'Rango proyecciones'!$AJ$5) + SUMIFS('Stock - ETA'!$I$3:I4963,'Stock - ETA'!$F$3:F4963,'Rango proyecciones'!C214,'Stock - ETA'!$Q$3:Q4963,'Rango proyecciones'!$AJ$8)</f>
        <v>0</v>
      </c>
      <c r="AH214" s="16">
        <f t="shared" si="73"/>
        <v>196014</v>
      </c>
      <c r="AI214" s="4"/>
    </row>
    <row r="215" spans="1:35" x14ac:dyDescent="0.2">
      <c r="A215" s="2"/>
      <c r="B215" s="2" t="s">
        <v>35</v>
      </c>
      <c r="C215" s="2" t="s">
        <v>443</v>
      </c>
      <c r="D215" s="2" t="s">
        <v>389</v>
      </c>
      <c r="E215" s="2">
        <v>1021774</v>
      </c>
      <c r="F215" s="2"/>
      <c r="G215" s="2"/>
      <c r="H215" s="4">
        <v>0</v>
      </c>
      <c r="I215" s="7">
        <v>0</v>
      </c>
      <c r="J215" s="7">
        <v>6656.88</v>
      </c>
      <c r="K215" s="7">
        <v>788.37</v>
      </c>
      <c r="L215" s="4">
        <f t="shared" si="64"/>
        <v>8802.7649999999994</v>
      </c>
      <c r="M215" s="7">
        <f>SUMIFS('Stock - ETA'!$R$3:R4963,'Stock - ETA'!$F$3:F4963,'Rango proyecciones'!C215,'Stock - ETA'!$AA$3:AA4963,'Rango proyecciones'!$AJ$5)</f>
        <v>121100</v>
      </c>
      <c r="N215" s="7">
        <f>SUMIF('Stock - Puerto Chile'!$G$2:G973,'Rango proyecciones'!C215,'Stock - Puerto Chile'!$L$2:L973)</f>
        <v>58560</v>
      </c>
      <c r="O215" s="7">
        <v>0</v>
      </c>
      <c r="P215" s="7">
        <v>0</v>
      </c>
      <c r="Q215" s="16">
        <f t="shared" si="68"/>
        <v>121100</v>
      </c>
      <c r="R215" s="7">
        <f t="shared" si="65"/>
        <v>15090.454285714288</v>
      </c>
      <c r="S215" s="7">
        <f>SUMIFS('Stock - ETA'!$H$3:H4963,'Stock - ETA'!$F$3:F4963,'Rango proyecciones'!C215,'Stock - ETA'!$Q$3:Q4963,'Rango proyecciones'!$AJ$5)</f>
        <v>121100</v>
      </c>
      <c r="T215" s="7">
        <f>SUMIF('Stock - Puerto Chile'!$G$2:G973,'Rango proyecciones'!C215,'Stock - Puerto Chile'!$N$2:N973)</f>
        <v>70272</v>
      </c>
      <c r="U215" s="7">
        <v>0</v>
      </c>
      <c r="V215" s="7">
        <v>0</v>
      </c>
      <c r="W215" s="17">
        <f t="shared" si="69"/>
        <v>121100</v>
      </c>
      <c r="X215" s="4">
        <v>65147</v>
      </c>
      <c r="Y215" s="7">
        <v>65147</v>
      </c>
      <c r="Z215" s="18">
        <f>SUMIFS('Stock - ETA'!$S$3:S4963,'Stock - ETA'!$F$3:F4963,'Rango proyecciones'!C215,'Stock - ETA'!$AA$3:AA4963,'Rango proyecciones'!$AJ$5) + SUMIFS('Stock - ETA'!$R$3:R4963,'Stock - ETA'!$F$3:F4963,'Rango proyecciones'!C215,'Stock - ETA'!$AA$3:AA4963,'Rango proyecciones'!$AJ$7)</f>
        <v>48280</v>
      </c>
      <c r="AA215" s="13">
        <f t="shared" si="66"/>
        <v>113427</v>
      </c>
      <c r="AB215" s="7">
        <f>SUMIFS('Stock - ETA'!$I$3:I4963,'Stock - ETA'!$F$3:F4963,'Rango proyecciones'!C215,'Stock - ETA'!$Q$3:Q4963,'Rango proyecciones'!$AJ$5) + SUMIFS('Stock - ETA'!$H$3:H4963,'Stock - ETA'!$F$3:F4963,'Rango proyecciones'!C215,'Stock - ETA'!$Q$3:Q4963,'Rango proyecciones'!$AJ$7)</f>
        <v>48280</v>
      </c>
      <c r="AC215" s="16">
        <f t="shared" si="67"/>
        <v>113427</v>
      </c>
      <c r="AD215" s="4">
        <v>66951</v>
      </c>
      <c r="AE215" s="7">
        <f>SUMIFS('Stock - ETA'!$T$3:T4963,'Stock - ETA'!$F$3:F4963,'Rango proyecciones'!C215,'Stock - ETA'!$AA$3:AA4963,'Rango proyecciones'!$AJ$5) + SUMIFS('Stock - ETA'!$S$3:S4963,'Stock - ETA'!$F$3:F4963,'Rango proyecciones'!C215,'Stock - ETA'!$AA$3:AA4963,'Rango proyecciones'!$AJ$8)</f>
        <v>0</v>
      </c>
      <c r="AF215" s="16">
        <f t="shared" si="72"/>
        <v>40170.6</v>
      </c>
      <c r="AG215" s="7">
        <f>SUMIFS('Stock - ETA'!$J$3:J4963,'Stock - ETA'!$F$3:F4963,'Rango proyecciones'!C215,'Stock - ETA'!$Q$3:Q4963,'Rango proyecciones'!$AJ$5) + SUMIFS('Stock - ETA'!$I$3:I4963,'Stock - ETA'!$F$3:F4963,'Rango proyecciones'!C215,'Stock - ETA'!$Q$3:Q4963,'Rango proyecciones'!$AJ$8)</f>
        <v>0</v>
      </c>
      <c r="AH215" s="16">
        <f t="shared" si="73"/>
        <v>40170.6</v>
      </c>
      <c r="AI215" s="4"/>
    </row>
    <row r="216" spans="1:35" x14ac:dyDescent="0.2">
      <c r="A216" s="2"/>
      <c r="B216" s="2" t="s">
        <v>35</v>
      </c>
      <c r="C216" s="2" t="s">
        <v>444</v>
      </c>
      <c r="D216" s="2" t="s">
        <v>389</v>
      </c>
      <c r="E216" s="2">
        <v>1022748</v>
      </c>
      <c r="F216" s="2"/>
      <c r="G216" s="2"/>
      <c r="H216" s="4">
        <v>0</v>
      </c>
      <c r="I216" s="7">
        <v>0</v>
      </c>
      <c r="J216" s="7">
        <v>15545.8</v>
      </c>
      <c r="K216" s="7">
        <v>1175.8800000000001</v>
      </c>
      <c r="L216" s="4">
        <f t="shared" si="64"/>
        <v>21554.879999999997</v>
      </c>
      <c r="M216" s="7">
        <f>SUMIFS('Stock - ETA'!$R$3:R4963,'Stock - ETA'!$F$3:F4963,'Rango proyecciones'!C216,'Stock - ETA'!$AA$3:AA4963,'Rango proyecciones'!$AJ$5)</f>
        <v>147690</v>
      </c>
      <c r="N216" s="7">
        <f>SUMIF('Stock - Puerto Chile'!$G$2:G973,'Rango proyecciones'!C216,'Stock - Puerto Chile'!$L$2:L973)</f>
        <v>259650</v>
      </c>
      <c r="O216" s="7">
        <v>0</v>
      </c>
      <c r="P216" s="7">
        <v>0</v>
      </c>
      <c r="Q216" s="16">
        <f t="shared" si="68"/>
        <v>147690</v>
      </c>
      <c r="R216" s="7">
        <f t="shared" si="65"/>
        <v>36951.222857142857</v>
      </c>
      <c r="S216" s="7">
        <f>SUMIFS('Stock - ETA'!$H$3:H4963,'Stock - ETA'!$F$3:F4963,'Rango proyecciones'!C216,'Stock - ETA'!$Q$3:Q4963,'Rango proyecciones'!$AJ$5)</f>
        <v>147690</v>
      </c>
      <c r="T216" s="7">
        <f>SUMIF('Stock - Puerto Chile'!$G$2:G973,'Rango proyecciones'!C216,'Stock - Puerto Chile'!$N$2:N973)</f>
        <v>311580</v>
      </c>
      <c r="U216" s="7">
        <v>0</v>
      </c>
      <c r="V216" s="7">
        <v>0</v>
      </c>
      <c r="W216" s="17">
        <f t="shared" si="69"/>
        <v>147690</v>
      </c>
      <c r="X216" s="4">
        <v>201323</v>
      </c>
      <c r="Y216" s="7">
        <v>201323</v>
      </c>
      <c r="Z216" s="18">
        <f>SUMIFS('Stock - ETA'!$S$3:S4963,'Stock - ETA'!$F$3:F4963,'Rango proyecciones'!C216,'Stock - ETA'!$AA$3:AA4963,'Rango proyecciones'!$AJ$5) + SUMIFS('Stock - ETA'!$R$3:R4963,'Stock - ETA'!$F$3:F4963,'Rango proyecciones'!C216,'Stock - ETA'!$AA$3:AA4963,'Rango proyecciones'!$AJ$7)</f>
        <v>194020</v>
      </c>
      <c r="AA216" s="13">
        <f t="shared" si="66"/>
        <v>395343</v>
      </c>
      <c r="AB216" s="7">
        <f>SUMIFS('Stock - ETA'!$I$3:I4963,'Stock - ETA'!$F$3:F4963,'Rango proyecciones'!C216,'Stock - ETA'!$Q$3:Q4963,'Rango proyecciones'!$AJ$5) + SUMIFS('Stock - ETA'!$H$3:H4963,'Stock - ETA'!$F$3:F4963,'Rango proyecciones'!C216,'Stock - ETA'!$Q$3:Q4963,'Rango proyecciones'!$AJ$7)</f>
        <v>194020</v>
      </c>
      <c r="AC216" s="16">
        <f t="shared" si="67"/>
        <v>395343</v>
      </c>
      <c r="AD216" s="4">
        <v>240000</v>
      </c>
      <c r="AE216" s="7">
        <f>SUMIFS('Stock - ETA'!$T$3:T4963,'Stock - ETA'!$F$3:F4963,'Rango proyecciones'!C216,'Stock - ETA'!$AA$3:AA4963,'Rango proyecciones'!$AJ$5) + SUMIFS('Stock - ETA'!$S$3:S4963,'Stock - ETA'!$F$3:F4963,'Rango proyecciones'!C216,'Stock - ETA'!$AA$3:AA4963,'Rango proyecciones'!$AJ$8)</f>
        <v>24000</v>
      </c>
      <c r="AF216" s="16">
        <f t="shared" si="72"/>
        <v>168000</v>
      </c>
      <c r="AG216" s="7">
        <f>SUMIFS('Stock - ETA'!$J$3:J4963,'Stock - ETA'!$F$3:F4963,'Rango proyecciones'!C216,'Stock - ETA'!$Q$3:Q4963,'Rango proyecciones'!$AJ$5) + SUMIFS('Stock - ETA'!$I$3:I4963,'Stock - ETA'!$F$3:F4963,'Rango proyecciones'!C216,'Stock - ETA'!$Q$3:Q4963,'Rango proyecciones'!$AJ$8)</f>
        <v>24000</v>
      </c>
      <c r="AH216" s="16">
        <f t="shared" si="73"/>
        <v>168000</v>
      </c>
      <c r="AI216" s="4"/>
    </row>
    <row r="217" spans="1:35" x14ac:dyDescent="0.2">
      <c r="A217" s="2"/>
      <c r="B217" s="2" t="s">
        <v>35</v>
      </c>
      <c r="C217" s="2" t="s">
        <v>445</v>
      </c>
      <c r="D217" s="2" t="s">
        <v>389</v>
      </c>
      <c r="E217" s="2">
        <v>1022541</v>
      </c>
      <c r="F217" s="2"/>
      <c r="G217" s="2"/>
      <c r="H217" s="4">
        <v>0</v>
      </c>
      <c r="I217" s="7">
        <v>0</v>
      </c>
      <c r="J217" s="7">
        <v>0</v>
      </c>
      <c r="K217" s="7">
        <v>0</v>
      </c>
      <c r="L217" s="4">
        <f t="shared" si="64"/>
        <v>0</v>
      </c>
      <c r="M217" s="7">
        <f>SUMIFS('Stock - ETA'!$R$3:R4963,'Stock - ETA'!$F$3:F4963,'Rango proyecciones'!C217,'Stock - ETA'!$AA$3:AA4963,'Rango proyecciones'!$AJ$5)</f>
        <v>106906.17</v>
      </c>
      <c r="N217" s="7">
        <f>SUMIF('Stock - Puerto Chile'!$G$2:G973,'Rango proyecciones'!C217,'Stock - Puerto Chile'!$L$2:L973)</f>
        <v>192029.05319999997</v>
      </c>
      <c r="O217" s="7">
        <v>0</v>
      </c>
      <c r="P217" s="7">
        <v>0</v>
      </c>
      <c r="Q217" s="16">
        <f t="shared" si="68"/>
        <v>106906.17</v>
      </c>
      <c r="R217" s="7">
        <f t="shared" si="65"/>
        <v>0</v>
      </c>
      <c r="S217" s="7">
        <f>SUMIFS('Stock - ETA'!$H$3:H4963,'Stock - ETA'!$F$3:F4963,'Rango proyecciones'!C217,'Stock - ETA'!$Q$3:Q4963,'Rango proyecciones'!$AJ$5)</f>
        <v>106906.17</v>
      </c>
      <c r="T217" s="7">
        <f>SUMIF('Stock - Puerto Chile'!$G$2:G973,'Rango proyecciones'!C217,'Stock - Puerto Chile'!$N$2:N973)</f>
        <v>230434.86383999998</v>
      </c>
      <c r="U217" s="7">
        <v>0</v>
      </c>
      <c r="V217" s="7">
        <v>0</v>
      </c>
      <c r="W217" s="17">
        <f t="shared" si="69"/>
        <v>106906.17</v>
      </c>
      <c r="X217" s="4"/>
      <c r="Y217" s="7"/>
      <c r="Z217" s="18">
        <f>SUMIFS('Stock - ETA'!$S$3:S4963,'Stock - ETA'!$F$3:F4963,'Rango proyecciones'!C217,'Stock - ETA'!$AA$3:AA4963,'Rango proyecciones'!$AJ$5) + SUMIFS('Stock - ETA'!$R$3:R4963,'Stock - ETA'!$F$3:F4963,'Rango proyecciones'!C217,'Stock - ETA'!$AA$3:AA4963,'Rango proyecciones'!$AJ$7)</f>
        <v>239806.31</v>
      </c>
      <c r="AA217" s="13">
        <f t="shared" si="66"/>
        <v>239806.31</v>
      </c>
      <c r="AB217" s="7">
        <f>SUMIFS('Stock - ETA'!$I$3:I4963,'Stock - ETA'!$F$3:F4963,'Rango proyecciones'!C217,'Stock - ETA'!$Q$3:Q4963,'Rango proyecciones'!$AJ$5) + SUMIFS('Stock - ETA'!$H$3:H4963,'Stock - ETA'!$F$3:F4963,'Rango proyecciones'!C217,'Stock - ETA'!$Q$3:Q4963,'Rango proyecciones'!$AJ$7)</f>
        <v>239806.31</v>
      </c>
      <c r="AC217" s="16">
        <f t="shared" si="67"/>
        <v>239806.31</v>
      </c>
      <c r="AD217" s="4">
        <v>142025</v>
      </c>
      <c r="AE217" s="7">
        <f>SUMIFS('Stock - ETA'!$T$3:T4963,'Stock - ETA'!$F$3:F4963,'Rango proyecciones'!C217,'Stock - ETA'!$AA$3:AA4963,'Rango proyecciones'!$AJ$5) + SUMIFS('Stock - ETA'!$S$3:S4963,'Stock - ETA'!$F$3:F4963,'Rango proyecciones'!C217,'Stock - ETA'!$AA$3:AA4963,'Rango proyecciones'!$AJ$8)</f>
        <v>0</v>
      </c>
      <c r="AF217" s="16">
        <f t="shared" si="72"/>
        <v>85215</v>
      </c>
      <c r="AG217" s="7">
        <f>SUMIFS('Stock - ETA'!$J$3:J4963,'Stock - ETA'!$F$3:F4963,'Rango proyecciones'!C217,'Stock - ETA'!$Q$3:Q4963,'Rango proyecciones'!$AJ$5) + SUMIFS('Stock - ETA'!$I$3:I4963,'Stock - ETA'!$F$3:F4963,'Rango proyecciones'!C217,'Stock - ETA'!$Q$3:Q4963,'Rango proyecciones'!$AJ$8)</f>
        <v>0</v>
      </c>
      <c r="AH217" s="16">
        <f t="shared" si="73"/>
        <v>85215</v>
      </c>
      <c r="AI217" s="4"/>
    </row>
    <row r="218" spans="1:35" x14ac:dyDescent="0.2">
      <c r="A218" s="2"/>
      <c r="B218" s="2" t="s">
        <v>35</v>
      </c>
      <c r="C218" s="2" t="s">
        <v>446</v>
      </c>
      <c r="D218" s="2" t="s">
        <v>389</v>
      </c>
      <c r="E218" s="2">
        <v>1022856</v>
      </c>
      <c r="F218" s="2"/>
      <c r="G218" s="2"/>
      <c r="H218" s="4">
        <v>0</v>
      </c>
      <c r="I218" s="7">
        <v>0</v>
      </c>
      <c r="J218" s="7">
        <v>0</v>
      </c>
      <c r="K218" s="7">
        <v>0</v>
      </c>
      <c r="L218" s="4">
        <f t="shared" si="64"/>
        <v>0</v>
      </c>
      <c r="M218" s="7">
        <f>SUMIFS('Stock - ETA'!$R$3:R4963,'Stock - ETA'!$F$3:F4963,'Rango proyecciones'!C218,'Stock - ETA'!$AA$3:AA4963,'Rango proyecciones'!$AJ$5)</f>
        <v>24551.74</v>
      </c>
      <c r="N218" s="7">
        <f>SUMIF('Stock - Puerto Chile'!$G$2:G973,'Rango proyecciones'!C218,'Stock - Puerto Chile'!$L$2:L973)</f>
        <v>201824.073</v>
      </c>
      <c r="O218" s="7">
        <v>0</v>
      </c>
      <c r="P218" s="7">
        <v>0</v>
      </c>
      <c r="Q218" s="16">
        <f t="shared" si="68"/>
        <v>24551.74</v>
      </c>
      <c r="R218" s="7">
        <f t="shared" si="65"/>
        <v>0</v>
      </c>
      <c r="S218" s="7">
        <f>SUMIFS('Stock - ETA'!$H$3:H4963,'Stock - ETA'!$F$3:F4963,'Rango proyecciones'!C218,'Stock - ETA'!$Q$3:Q4963,'Rango proyecciones'!$AJ$5)</f>
        <v>24551.74</v>
      </c>
      <c r="T218" s="7">
        <f>SUMIF('Stock - Puerto Chile'!$G$2:G973,'Rango proyecciones'!C218,'Stock - Puerto Chile'!$N$2:N973)</f>
        <v>242188.88759999996</v>
      </c>
      <c r="U218" s="7">
        <v>0</v>
      </c>
      <c r="V218" s="7">
        <v>0</v>
      </c>
      <c r="W218" s="17">
        <f t="shared" si="69"/>
        <v>24551.74</v>
      </c>
      <c r="X218" s="4">
        <v>263352</v>
      </c>
      <c r="Y218" s="7">
        <v>263352</v>
      </c>
      <c r="Z218" s="18">
        <f>SUMIFS('Stock - ETA'!$S$3:S4963,'Stock - ETA'!$F$3:F4963,'Rango proyecciones'!C218,'Stock - ETA'!$AA$3:AA4963,'Rango proyecciones'!$AJ$5) + SUMIFS('Stock - ETA'!$R$3:R4963,'Stock - ETA'!$F$3:F4963,'Rango proyecciones'!C218,'Stock - ETA'!$AA$3:AA4963,'Rango proyecciones'!$AJ$7)</f>
        <v>68448.850000000006</v>
      </c>
      <c r="AA218" s="13">
        <f t="shared" si="66"/>
        <v>331800.84999999998</v>
      </c>
      <c r="AB218" s="7">
        <f>SUMIFS('Stock - ETA'!$I$3:I4963,'Stock - ETA'!$F$3:F4963,'Rango proyecciones'!C218,'Stock - ETA'!$Q$3:Q4963,'Rango proyecciones'!$AJ$5) + SUMIFS('Stock - ETA'!$H$3:H4963,'Stock - ETA'!$F$3:F4963,'Rango proyecciones'!C218,'Stock - ETA'!$Q$3:Q4963,'Rango proyecciones'!$AJ$7)</f>
        <v>68448.850000000006</v>
      </c>
      <c r="AC218" s="16">
        <f t="shared" si="67"/>
        <v>331800.84999999998</v>
      </c>
      <c r="AD218" s="4"/>
      <c r="AE218" s="7">
        <f>SUMIFS('Stock - ETA'!$T$3:T4963,'Stock - ETA'!$F$3:F4963,'Rango proyecciones'!C218,'Stock - ETA'!$AA$3:AA4963,'Rango proyecciones'!$AJ$5) + SUMIFS('Stock - ETA'!$S$3:S4963,'Stock - ETA'!$F$3:F4963,'Rango proyecciones'!C218,'Stock - ETA'!$AA$3:AA4963,'Rango proyecciones'!$AJ$8)</f>
        <v>25000.97</v>
      </c>
      <c r="AF218" s="16">
        <f t="shared" si="72"/>
        <v>25000.97</v>
      </c>
      <c r="AG218" s="7">
        <f>SUMIFS('Stock - ETA'!$J$3:J4963,'Stock - ETA'!$F$3:F4963,'Rango proyecciones'!C218,'Stock - ETA'!$Q$3:Q4963,'Rango proyecciones'!$AJ$5) + SUMIFS('Stock - ETA'!$I$3:I4963,'Stock - ETA'!$F$3:F4963,'Rango proyecciones'!C218,'Stock - ETA'!$Q$3:Q4963,'Rango proyecciones'!$AJ$8)</f>
        <v>25000.97</v>
      </c>
      <c r="AH218" s="16">
        <f t="shared" si="73"/>
        <v>25000.97</v>
      </c>
      <c r="AI218" s="4"/>
    </row>
    <row r="219" spans="1:35" x14ac:dyDescent="0.2">
      <c r="A219" s="2"/>
      <c r="B219" s="2" t="s">
        <v>35</v>
      </c>
      <c r="C219" s="2" t="s">
        <v>447</v>
      </c>
      <c r="D219" s="2" t="s">
        <v>389</v>
      </c>
      <c r="E219" s="2">
        <v>1022381</v>
      </c>
      <c r="F219" s="2"/>
      <c r="G219" s="2"/>
      <c r="H219" s="4">
        <v>0</v>
      </c>
      <c r="I219" s="7">
        <v>0</v>
      </c>
      <c r="J219" s="7">
        <v>7683.3940000000002</v>
      </c>
      <c r="K219" s="7">
        <v>585.70000000000005</v>
      </c>
      <c r="L219" s="4">
        <f t="shared" si="64"/>
        <v>10646.541000000001</v>
      </c>
      <c r="M219" s="7">
        <f>SUMIFS('Stock - ETA'!$R$3:R4963,'Stock - ETA'!$F$3:F4963,'Rango proyecciones'!C219,'Stock - ETA'!$AA$3:AA4963,'Rango proyecciones'!$AJ$5)</f>
        <v>48160</v>
      </c>
      <c r="N219" s="7">
        <f>SUMIF('Stock - Puerto Chile'!$G$2:G973,'Rango proyecciones'!C219,'Stock - Puerto Chile'!$L$2:L973)</f>
        <v>259866</v>
      </c>
      <c r="O219" s="7">
        <v>0</v>
      </c>
      <c r="P219" s="7">
        <v>0</v>
      </c>
      <c r="Q219" s="16">
        <f t="shared" si="68"/>
        <v>48160</v>
      </c>
      <c r="R219" s="7">
        <f t="shared" si="65"/>
        <v>18251.213142857145</v>
      </c>
      <c r="S219" s="7">
        <f>SUMIFS('Stock - ETA'!$H$3:H4963,'Stock - ETA'!$F$3:F4963,'Rango proyecciones'!C219,'Stock - ETA'!$Q$3:Q4963,'Rango proyecciones'!$AJ$5)</f>
        <v>48160</v>
      </c>
      <c r="T219" s="7">
        <f>SUMIF('Stock - Puerto Chile'!$G$2:G973,'Rango proyecciones'!C219,'Stock - Puerto Chile'!$N$2:N973)</f>
        <v>311839.19999999995</v>
      </c>
      <c r="U219" s="7">
        <v>0</v>
      </c>
      <c r="V219" s="7">
        <v>0</v>
      </c>
      <c r="W219" s="17">
        <f t="shared" si="69"/>
        <v>48160</v>
      </c>
      <c r="X219" s="4">
        <v>37948</v>
      </c>
      <c r="Y219" s="7">
        <v>37948</v>
      </c>
      <c r="Z219" s="18">
        <f>SUMIFS('Stock - ETA'!$S$3:S4963,'Stock - ETA'!$F$3:F4963,'Rango proyecciones'!C219,'Stock - ETA'!$AA$3:AA4963,'Rango proyecciones'!$AJ$5) + SUMIFS('Stock - ETA'!$R$3:R4963,'Stock - ETA'!$F$3:F4963,'Rango proyecciones'!C219,'Stock - ETA'!$AA$3:AA4963,'Rango proyecciones'!$AJ$7)</f>
        <v>24000</v>
      </c>
      <c r="AA219" s="13">
        <f t="shared" si="66"/>
        <v>61948</v>
      </c>
      <c r="AB219" s="7">
        <f>SUMIFS('Stock - ETA'!$I$3:I4963,'Stock - ETA'!$F$3:F4963,'Rango proyecciones'!C219,'Stock - ETA'!$Q$3:Q4963,'Rango proyecciones'!$AJ$5) + SUMIFS('Stock - ETA'!$H$3:H4963,'Stock - ETA'!$F$3:F4963,'Rango proyecciones'!C219,'Stock - ETA'!$Q$3:Q4963,'Rango proyecciones'!$AJ$7)</f>
        <v>24000</v>
      </c>
      <c r="AC219" s="16">
        <f t="shared" si="67"/>
        <v>61948</v>
      </c>
      <c r="AD219" s="4">
        <v>49408</v>
      </c>
      <c r="AE219" s="7">
        <f>SUMIFS('Stock - ETA'!$T$3:T4963,'Stock - ETA'!$F$3:F4963,'Rango proyecciones'!C219,'Stock - ETA'!$AA$3:AA4963,'Rango proyecciones'!$AJ$5) + SUMIFS('Stock - ETA'!$S$3:S4963,'Stock - ETA'!$F$3:F4963,'Rango proyecciones'!C219,'Stock - ETA'!$AA$3:AA4963,'Rango proyecciones'!$AJ$8)</f>
        <v>0</v>
      </c>
      <c r="AF219" s="16">
        <f t="shared" si="72"/>
        <v>29644.799999999999</v>
      </c>
      <c r="AG219" s="7">
        <f>SUMIFS('Stock - ETA'!$J$3:J4963,'Stock - ETA'!$F$3:F4963,'Rango proyecciones'!C219,'Stock - ETA'!$Q$3:Q4963,'Rango proyecciones'!$AJ$5) + SUMIFS('Stock - ETA'!$I$3:I4963,'Stock - ETA'!$F$3:F4963,'Rango proyecciones'!C219,'Stock - ETA'!$Q$3:Q4963,'Rango proyecciones'!$AJ$8)</f>
        <v>0</v>
      </c>
      <c r="AH219" s="16">
        <f t="shared" si="73"/>
        <v>29644.799999999999</v>
      </c>
      <c r="AI219" s="4"/>
    </row>
    <row r="220" spans="1:35" x14ac:dyDescent="0.2">
      <c r="A220" s="2"/>
      <c r="B220" s="2" t="s">
        <v>35</v>
      </c>
      <c r="C220" s="2" t="s">
        <v>448</v>
      </c>
      <c r="D220" s="2" t="s">
        <v>389</v>
      </c>
      <c r="E220" s="2">
        <v>1012503</v>
      </c>
      <c r="F220" s="2"/>
      <c r="G220" s="2"/>
      <c r="H220" s="4">
        <v>0</v>
      </c>
      <c r="I220" s="7">
        <v>0</v>
      </c>
      <c r="J220" s="7">
        <v>26000</v>
      </c>
      <c r="K220" s="7">
        <v>3501.45</v>
      </c>
      <c r="L220" s="4">
        <f t="shared" si="64"/>
        <v>33747.824999999997</v>
      </c>
      <c r="M220" s="7">
        <f>SUMIFS('Stock - ETA'!$R$3:R4963,'Stock - ETA'!$F$3:F4963,'Rango proyecciones'!C220,'Stock - ETA'!$AA$3:AA4963,'Rango proyecciones'!$AJ$5)</f>
        <v>273520</v>
      </c>
      <c r="N220" s="7">
        <f>SUMIF('Stock - Puerto Chile'!$G$2:G973,'Rango proyecciones'!C220,'Stock - Puerto Chile'!$L$2:L973)</f>
        <v>230400</v>
      </c>
      <c r="O220" s="7">
        <v>0</v>
      </c>
      <c r="P220" s="7">
        <v>0</v>
      </c>
      <c r="Q220" s="16">
        <f t="shared" si="68"/>
        <v>273520</v>
      </c>
      <c r="R220" s="7">
        <f t="shared" si="65"/>
        <v>57853.414285714287</v>
      </c>
      <c r="S220" s="7">
        <f>SUMIFS('Stock - ETA'!$H$3:H4963,'Stock - ETA'!$F$3:F4963,'Rango proyecciones'!C220,'Stock - ETA'!$Q$3:Q4963,'Rango proyecciones'!$AJ$5)</f>
        <v>273520</v>
      </c>
      <c r="T220" s="7">
        <f>SUMIF('Stock - Puerto Chile'!$G$2:G973,'Rango proyecciones'!C220,'Stock - Puerto Chile'!$N$2:N973)</f>
        <v>276480</v>
      </c>
      <c r="U220" s="7">
        <v>0</v>
      </c>
      <c r="V220" s="7">
        <v>0</v>
      </c>
      <c r="W220" s="17">
        <f t="shared" si="69"/>
        <v>273520</v>
      </c>
      <c r="X220" s="4">
        <v>219175</v>
      </c>
      <c r="Y220" s="7">
        <v>219175</v>
      </c>
      <c r="Z220" s="18">
        <f>SUMIFS('Stock - ETA'!$S$3:S4963,'Stock - ETA'!$F$3:F4963,'Rango proyecciones'!C220,'Stock - ETA'!$AA$3:AA4963,'Rango proyecciones'!$AJ$5) + SUMIFS('Stock - ETA'!$R$3:R4963,'Stock - ETA'!$F$3:F4963,'Rango proyecciones'!C220,'Stock - ETA'!$AA$3:AA4963,'Rango proyecciones'!$AJ$7)</f>
        <v>168000</v>
      </c>
      <c r="AA220" s="13">
        <f t="shared" si="66"/>
        <v>387175</v>
      </c>
      <c r="AB220" s="7">
        <f>SUMIFS('Stock - ETA'!$I$3:I4963,'Stock - ETA'!$F$3:F4963,'Rango proyecciones'!C220,'Stock - ETA'!$Q$3:Q4963,'Rango proyecciones'!$AJ$5) + SUMIFS('Stock - ETA'!$H$3:H4963,'Stock - ETA'!$F$3:F4963,'Rango proyecciones'!C220,'Stock - ETA'!$Q$3:Q4963,'Rango proyecciones'!$AJ$7)</f>
        <v>168000</v>
      </c>
      <c r="AC220" s="16">
        <f t="shared" si="67"/>
        <v>387175</v>
      </c>
      <c r="AD220" s="4">
        <v>258402</v>
      </c>
      <c r="AE220" s="7">
        <f>SUMIFS('Stock - ETA'!$T$3:T4963,'Stock - ETA'!$F$3:F4963,'Rango proyecciones'!C220,'Stock - ETA'!$AA$3:AA4963,'Rango proyecciones'!$AJ$5) + SUMIFS('Stock - ETA'!$S$3:S4963,'Stock - ETA'!$F$3:F4963,'Rango proyecciones'!C220,'Stock - ETA'!$AA$3:AA4963,'Rango proyecciones'!$AJ$8)</f>
        <v>0</v>
      </c>
      <c r="AF220" s="16">
        <f t="shared" si="72"/>
        <v>155041.19999999998</v>
      </c>
      <c r="AG220" s="7">
        <f>SUMIFS('Stock - ETA'!$J$3:J4963,'Stock - ETA'!$F$3:F4963,'Rango proyecciones'!C220,'Stock - ETA'!$Q$3:Q4963,'Rango proyecciones'!$AJ$5) + SUMIFS('Stock - ETA'!$I$3:I4963,'Stock - ETA'!$F$3:F4963,'Rango proyecciones'!C220,'Stock - ETA'!$Q$3:Q4963,'Rango proyecciones'!$AJ$8)</f>
        <v>0</v>
      </c>
      <c r="AH220" s="16">
        <f t="shared" si="73"/>
        <v>155041.19999999998</v>
      </c>
      <c r="AI220" s="4"/>
    </row>
    <row r="221" spans="1:35" x14ac:dyDescent="0.2">
      <c r="A221" s="2"/>
      <c r="B221" s="2" t="s">
        <v>35</v>
      </c>
      <c r="C221" s="2" t="s">
        <v>449</v>
      </c>
      <c r="D221" s="2" t="s">
        <v>389</v>
      </c>
      <c r="E221" s="2">
        <v>1012681</v>
      </c>
      <c r="F221" s="2"/>
      <c r="G221" s="2"/>
      <c r="H221" s="4">
        <v>0</v>
      </c>
      <c r="I221" s="7">
        <v>0</v>
      </c>
      <c r="J221" s="7">
        <v>4400</v>
      </c>
      <c r="K221" s="7">
        <v>1183.33</v>
      </c>
      <c r="L221" s="4">
        <f t="shared" si="64"/>
        <v>4825.0050000000001</v>
      </c>
      <c r="M221" s="7">
        <f>SUMIFS('Stock - ETA'!$R$3:R4963,'Stock - ETA'!$F$3:F4963,'Rango proyecciones'!C221,'Stock - ETA'!$AA$3:AA4963,'Rango proyecciones'!$AJ$5)</f>
        <v>24000</v>
      </c>
      <c r="N221" s="7">
        <f>SUMIF('Stock - Puerto Chile'!$G$2:G973,'Rango proyecciones'!C221,'Stock - Puerto Chile'!$L$2:L973)</f>
        <v>100800</v>
      </c>
      <c r="O221" s="7">
        <v>0</v>
      </c>
      <c r="P221" s="7">
        <v>0</v>
      </c>
      <c r="Q221" s="16">
        <f t="shared" si="68"/>
        <v>24000</v>
      </c>
      <c r="R221" s="7">
        <f t="shared" si="65"/>
        <v>8271.437142857143</v>
      </c>
      <c r="S221" s="7">
        <f>SUMIFS('Stock - ETA'!$H$3:H4963,'Stock - ETA'!$F$3:F4963,'Rango proyecciones'!C221,'Stock - ETA'!$Q$3:Q4963,'Rango proyecciones'!$AJ$5)</f>
        <v>24000</v>
      </c>
      <c r="T221" s="7">
        <f>SUMIF('Stock - Puerto Chile'!$G$2:G973,'Rango proyecciones'!C221,'Stock - Puerto Chile'!$N$2:N973)</f>
        <v>120960</v>
      </c>
      <c r="U221" s="7">
        <v>0</v>
      </c>
      <c r="V221" s="7">
        <v>0</v>
      </c>
      <c r="W221" s="17">
        <f t="shared" si="69"/>
        <v>24000</v>
      </c>
      <c r="X221" s="4">
        <v>48000</v>
      </c>
      <c r="Y221" s="7">
        <v>48000</v>
      </c>
      <c r="Z221" s="18">
        <f>SUMIFS('Stock - ETA'!$S$3:S4963,'Stock - ETA'!$F$3:F4963,'Rango proyecciones'!C221,'Stock - ETA'!$AA$3:AA4963,'Rango proyecciones'!$AJ$5) + SUMIFS('Stock - ETA'!$R$3:R4963,'Stock - ETA'!$F$3:F4963,'Rango proyecciones'!C221,'Stock - ETA'!$AA$3:AA4963,'Rango proyecciones'!$AJ$7)</f>
        <v>24000</v>
      </c>
      <c r="AA221" s="13">
        <f t="shared" si="66"/>
        <v>72000</v>
      </c>
      <c r="AB221" s="7">
        <f>SUMIFS('Stock - ETA'!$I$3:I4963,'Stock - ETA'!$F$3:F4963,'Rango proyecciones'!C221,'Stock - ETA'!$Q$3:Q4963,'Rango proyecciones'!$AJ$5) + SUMIFS('Stock - ETA'!$H$3:H4963,'Stock - ETA'!$F$3:F4963,'Rango proyecciones'!C221,'Stock - ETA'!$Q$3:Q4963,'Rango proyecciones'!$AJ$7)</f>
        <v>24000</v>
      </c>
      <c r="AC221" s="16">
        <f t="shared" si="67"/>
        <v>72000</v>
      </c>
      <c r="AD221" s="4">
        <v>48000</v>
      </c>
      <c r="AE221" s="7">
        <f>SUMIFS('Stock - ETA'!$T$3:T4963,'Stock - ETA'!$F$3:F4963,'Rango proyecciones'!C221,'Stock - ETA'!$AA$3:AA4963,'Rango proyecciones'!$AJ$5) + SUMIFS('Stock - ETA'!$S$3:S4963,'Stock - ETA'!$F$3:F4963,'Rango proyecciones'!C221,'Stock - ETA'!$AA$3:AA4963,'Rango proyecciones'!$AJ$8)</f>
        <v>0</v>
      </c>
      <c r="AF221" s="16">
        <f t="shared" si="72"/>
        <v>28800</v>
      </c>
      <c r="AG221" s="7">
        <f>SUMIFS('Stock - ETA'!$J$3:J4963,'Stock - ETA'!$F$3:F4963,'Rango proyecciones'!C221,'Stock - ETA'!$Q$3:Q4963,'Rango proyecciones'!$AJ$5) + SUMIFS('Stock - ETA'!$I$3:I4963,'Stock - ETA'!$F$3:F4963,'Rango proyecciones'!C221,'Stock - ETA'!$Q$3:Q4963,'Rango proyecciones'!$AJ$8)</f>
        <v>0</v>
      </c>
      <c r="AH221" s="16">
        <f t="shared" si="73"/>
        <v>28800</v>
      </c>
      <c r="AI221" s="4"/>
    </row>
    <row r="222" spans="1:35" x14ac:dyDescent="0.2">
      <c r="A222" s="2"/>
      <c r="B222" s="2" t="s">
        <v>35</v>
      </c>
      <c r="C222" s="2" t="s">
        <v>450</v>
      </c>
      <c r="D222" s="2" t="s">
        <v>389</v>
      </c>
      <c r="E222" s="2">
        <v>1012455</v>
      </c>
      <c r="F222" s="2"/>
      <c r="G222" s="2"/>
      <c r="H222" s="4">
        <v>0</v>
      </c>
      <c r="I222" s="7">
        <v>0</v>
      </c>
      <c r="J222" s="7">
        <v>3200</v>
      </c>
      <c r="K222" s="7">
        <v>100.5</v>
      </c>
      <c r="L222" s="4">
        <f t="shared" si="64"/>
        <v>4649.25</v>
      </c>
      <c r="M222" s="7">
        <f>SUMIFS('Stock - ETA'!$R$3:R4963,'Stock - ETA'!$F$3:F4963,'Rango proyecciones'!C222,'Stock - ETA'!$AA$3:AA4963,'Rango proyecciones'!$AJ$5)</f>
        <v>83560</v>
      </c>
      <c r="N222" s="7">
        <f>SUMIF('Stock - Puerto Chile'!$G$2:G973,'Rango proyecciones'!C222,'Stock - Puerto Chile'!$L$2:L973)</f>
        <v>57600</v>
      </c>
      <c r="O222" s="7">
        <v>0</v>
      </c>
      <c r="P222" s="7">
        <v>0</v>
      </c>
      <c r="Q222" s="16">
        <f t="shared" si="68"/>
        <v>83560</v>
      </c>
      <c r="R222" s="7">
        <f t="shared" si="65"/>
        <v>7970.1428571428578</v>
      </c>
      <c r="S222" s="7">
        <f>SUMIFS('Stock - ETA'!$H$3:H4963,'Stock - ETA'!$F$3:F4963,'Rango proyecciones'!C222,'Stock - ETA'!$Q$3:Q4963,'Rango proyecciones'!$AJ$5)</f>
        <v>83560</v>
      </c>
      <c r="T222" s="7">
        <f>SUMIF('Stock - Puerto Chile'!$G$2:G973,'Rango proyecciones'!C222,'Stock - Puerto Chile'!$N$2:N973)</f>
        <v>69120</v>
      </c>
      <c r="U222" s="7">
        <v>0</v>
      </c>
      <c r="V222" s="7">
        <v>0</v>
      </c>
      <c r="W222" s="17">
        <f t="shared" si="69"/>
        <v>83560</v>
      </c>
      <c r="X222" s="4">
        <v>61196</v>
      </c>
      <c r="Y222" s="7">
        <v>61196</v>
      </c>
      <c r="Z222" s="18">
        <f>SUMIFS('Stock - ETA'!$S$3:S4963,'Stock - ETA'!$F$3:F4963,'Rango proyecciones'!C222,'Stock - ETA'!$AA$3:AA4963,'Rango proyecciones'!$AJ$5) + SUMIFS('Stock - ETA'!$R$3:R4963,'Stock - ETA'!$F$3:F4963,'Rango proyecciones'!C222,'Stock - ETA'!$AA$3:AA4963,'Rango proyecciones'!$AJ$7)</f>
        <v>48000</v>
      </c>
      <c r="AA222" s="13">
        <f t="shared" si="66"/>
        <v>109196</v>
      </c>
      <c r="AB222" s="7">
        <f>SUMIFS('Stock - ETA'!$I$3:I4963,'Stock - ETA'!$F$3:F4963,'Rango proyecciones'!C222,'Stock - ETA'!$Q$3:Q4963,'Rango proyecciones'!$AJ$5) + SUMIFS('Stock - ETA'!$H$3:H4963,'Stock - ETA'!$F$3:F4963,'Rango proyecciones'!C222,'Stock - ETA'!$Q$3:Q4963,'Rango proyecciones'!$AJ$7)</f>
        <v>48000</v>
      </c>
      <c r="AC222" s="16">
        <f t="shared" si="67"/>
        <v>109196</v>
      </c>
      <c r="AD222" s="4"/>
      <c r="AE222" s="7">
        <f>SUMIFS('Stock - ETA'!$T$3:T4963,'Stock - ETA'!$F$3:F4963,'Rango proyecciones'!C222,'Stock - ETA'!$AA$3:AA4963,'Rango proyecciones'!$AJ$5) + SUMIFS('Stock - ETA'!$S$3:S4963,'Stock - ETA'!$F$3:F4963,'Rango proyecciones'!C222,'Stock - ETA'!$AA$3:AA4963,'Rango proyecciones'!$AJ$8)</f>
        <v>24000</v>
      </c>
      <c r="AF222" s="16">
        <f t="shared" si="72"/>
        <v>24000</v>
      </c>
      <c r="AG222" s="7">
        <f>SUMIFS('Stock - ETA'!$J$3:J4963,'Stock - ETA'!$F$3:F4963,'Rango proyecciones'!C222,'Stock - ETA'!$Q$3:Q4963,'Rango proyecciones'!$AJ$5) + SUMIFS('Stock - ETA'!$I$3:I4963,'Stock - ETA'!$F$3:F4963,'Rango proyecciones'!C222,'Stock - ETA'!$Q$3:Q4963,'Rango proyecciones'!$AJ$8)</f>
        <v>24000</v>
      </c>
      <c r="AH222" s="16">
        <f t="shared" si="73"/>
        <v>24000</v>
      </c>
      <c r="AI222" s="4"/>
    </row>
    <row r="223" spans="1:35" x14ac:dyDescent="0.2">
      <c r="A223" s="2"/>
      <c r="B223" s="2" t="s">
        <v>35</v>
      </c>
      <c r="C223" s="2" t="s">
        <v>451</v>
      </c>
      <c r="D223" s="2" t="s">
        <v>389</v>
      </c>
      <c r="E223" s="2">
        <v>1012448</v>
      </c>
      <c r="F223" s="2"/>
      <c r="G223" s="2"/>
      <c r="H223" s="4">
        <v>0</v>
      </c>
      <c r="I223" s="7">
        <v>0</v>
      </c>
      <c r="J223" s="7">
        <v>8000</v>
      </c>
      <c r="K223" s="7">
        <v>4111.8100000000004</v>
      </c>
      <c r="L223" s="4">
        <f t="shared" si="64"/>
        <v>5832.2849999999999</v>
      </c>
      <c r="M223" s="7">
        <f>SUMIFS('Stock - ETA'!$R$3:R4963,'Stock - ETA'!$F$3:F4963,'Rango proyecciones'!C223,'Stock - ETA'!$AA$3:AA4963,'Rango proyecciones'!$AJ$5)</f>
        <v>216000</v>
      </c>
      <c r="N223" s="7">
        <f>SUMIF('Stock - Puerto Chile'!$G$2:G973,'Rango proyecciones'!C223,'Stock - Puerto Chile'!$L$2:L973)</f>
        <v>229860</v>
      </c>
      <c r="O223" s="7">
        <v>0</v>
      </c>
      <c r="P223" s="7">
        <v>0</v>
      </c>
      <c r="Q223" s="16">
        <f t="shared" si="68"/>
        <v>216000</v>
      </c>
      <c r="R223" s="7">
        <f t="shared" si="65"/>
        <v>9998.2028571428564</v>
      </c>
      <c r="S223" s="7">
        <f>SUMIFS('Stock - ETA'!$H$3:H4963,'Stock - ETA'!$F$3:F4963,'Rango proyecciones'!C223,'Stock - ETA'!$Q$3:Q4963,'Rango proyecciones'!$AJ$5)</f>
        <v>216000</v>
      </c>
      <c r="T223" s="7">
        <f>SUMIF('Stock - Puerto Chile'!$G$2:G973,'Rango proyecciones'!C223,'Stock - Puerto Chile'!$N$2:N973)</f>
        <v>275832</v>
      </c>
      <c r="U223" s="7">
        <v>0</v>
      </c>
      <c r="V223" s="7">
        <v>0</v>
      </c>
      <c r="W223" s="17">
        <f t="shared" si="69"/>
        <v>216000</v>
      </c>
      <c r="X223" s="4">
        <v>184039</v>
      </c>
      <c r="Y223" s="7">
        <v>184039</v>
      </c>
      <c r="Z223" s="18">
        <f>SUMIFS('Stock - ETA'!$S$3:S4963,'Stock - ETA'!$F$3:F4963,'Rango proyecciones'!C223,'Stock - ETA'!$AA$3:AA4963,'Rango proyecciones'!$AJ$5) + SUMIFS('Stock - ETA'!$R$3:R4963,'Stock - ETA'!$F$3:F4963,'Rango proyecciones'!C223,'Stock - ETA'!$AA$3:AA4963,'Rango proyecciones'!$AJ$7)</f>
        <v>96000</v>
      </c>
      <c r="AA223" s="13">
        <f t="shared" si="66"/>
        <v>280039</v>
      </c>
      <c r="AB223" s="7">
        <f>SUMIFS('Stock - ETA'!$I$3:I4963,'Stock - ETA'!$F$3:F4963,'Rango proyecciones'!C223,'Stock - ETA'!$Q$3:Q4963,'Rango proyecciones'!$AJ$5) + SUMIFS('Stock - ETA'!$H$3:H4963,'Stock - ETA'!$F$3:F4963,'Rango proyecciones'!C223,'Stock - ETA'!$Q$3:Q4963,'Rango proyecciones'!$AJ$7)</f>
        <v>96000</v>
      </c>
      <c r="AC223" s="16">
        <f t="shared" si="67"/>
        <v>280039</v>
      </c>
      <c r="AD223" s="4">
        <v>220990</v>
      </c>
      <c r="AE223" s="7">
        <f>SUMIFS('Stock - ETA'!$T$3:T4963,'Stock - ETA'!$F$3:F4963,'Rango proyecciones'!C223,'Stock - ETA'!$AA$3:AA4963,'Rango proyecciones'!$AJ$5) + SUMIFS('Stock - ETA'!$S$3:S4963,'Stock - ETA'!$F$3:F4963,'Rango proyecciones'!C223,'Stock - ETA'!$AA$3:AA4963,'Rango proyecciones'!$AJ$8)</f>
        <v>0</v>
      </c>
      <c r="AF223" s="16">
        <f t="shared" si="72"/>
        <v>132594</v>
      </c>
      <c r="AG223" s="7">
        <f>SUMIFS('Stock - ETA'!$J$3:J4963,'Stock - ETA'!$F$3:F4963,'Rango proyecciones'!C223,'Stock - ETA'!$Q$3:Q4963,'Rango proyecciones'!$AJ$5) + SUMIFS('Stock - ETA'!$I$3:I4963,'Stock - ETA'!$F$3:F4963,'Rango proyecciones'!C223,'Stock - ETA'!$Q$3:Q4963,'Rango proyecciones'!$AJ$8)</f>
        <v>0</v>
      </c>
      <c r="AH223" s="16">
        <f t="shared" si="73"/>
        <v>132594</v>
      </c>
      <c r="AI223" s="4"/>
    </row>
    <row r="224" spans="1:35" x14ac:dyDescent="0.2">
      <c r="A224" s="2"/>
      <c r="B224" s="2" t="s">
        <v>394</v>
      </c>
      <c r="C224" s="2" t="s">
        <v>452</v>
      </c>
      <c r="D224" s="2" t="s">
        <v>396</v>
      </c>
      <c r="E224" s="2">
        <v>1021664</v>
      </c>
      <c r="F224" s="2"/>
      <c r="G224" s="2"/>
      <c r="H224" s="4">
        <v>0</v>
      </c>
      <c r="I224" s="7">
        <v>0</v>
      </c>
      <c r="J224" s="7">
        <v>0</v>
      </c>
      <c r="K224" s="7">
        <v>0</v>
      </c>
      <c r="L224" s="4">
        <f t="shared" ref="L224:L255" si="74">MAX(J224 - K224, 0) * MAX((25 - 10)/(10), 0)</f>
        <v>0</v>
      </c>
      <c r="M224" s="7">
        <f>SUMIF('Stock - ETA'!$F$3:F4963,'Rango proyecciones'!C224,'Stock - ETA'!$R$3:R4963)</f>
        <v>105538.14</v>
      </c>
      <c r="N224" s="7">
        <f>SUMIF('Stock - Puerto Chile'!$G$2:G973,'Rango proyecciones'!C224,'Stock - Puerto Chile'!$L$2:L973)</f>
        <v>145898.0478</v>
      </c>
      <c r="O224" s="7">
        <v>0</v>
      </c>
      <c r="P224" s="7">
        <v>0</v>
      </c>
      <c r="Q224" s="16">
        <f>H224 + M224 + N224 + L224</f>
        <v>251436.18780000001</v>
      </c>
      <c r="R224" s="7">
        <f t="shared" ref="R224:R255" si="75">MAX(J224 - K224, 0) * MAX((25 - 7)/(7), 0)</f>
        <v>0</v>
      </c>
      <c r="S224" s="7">
        <f>SUMIF('Stock - ETA'!$F$3:F4963,'Rango proyecciones'!C224,'Stock - ETA'!$H$3:H4963)</f>
        <v>105538.14</v>
      </c>
      <c r="T224" s="7">
        <f>SUMIF('Stock - Puerto Chile'!$G$2:G973,'Rango proyecciones'!C224,'Stock - Puerto Chile'!$N$2:N973)</f>
        <v>175077.65736000001</v>
      </c>
      <c r="U224" s="7">
        <v>0</v>
      </c>
      <c r="V224" s="7">
        <v>0</v>
      </c>
      <c r="W224" s="16">
        <f>H224 + S224 + R224 + T224</f>
        <v>280615.79736000003</v>
      </c>
      <c r="X224" s="4">
        <v>31665</v>
      </c>
      <c r="Y224" s="7">
        <v>31665</v>
      </c>
      <c r="Z224" s="18">
        <f>SUMIF('Stock - ETA'!$F$3:F4963,'Rango proyecciones'!C224,'Stock - ETA'!$S$3:S4963)</f>
        <v>43719.69</v>
      </c>
      <c r="AA224" s="13">
        <f t="shared" si="66"/>
        <v>75384.69</v>
      </c>
      <c r="AB224" s="7">
        <f>SUMIF('Stock - ETA'!$F$3:F4963,'Rango proyecciones'!C224,'Stock - ETA'!$I$3:I4963)</f>
        <v>43719.69</v>
      </c>
      <c r="AC224" s="16">
        <f t="shared" si="67"/>
        <v>75384.69</v>
      </c>
      <c r="AD224" s="4">
        <v>113783</v>
      </c>
      <c r="AE224" s="7">
        <f>SUMIF('Stock - ETA'!$F$3:F4963,'Rango proyecciones'!C224,'Stock - ETA'!$T$3:T4963)</f>
        <v>0</v>
      </c>
      <c r="AF224" s="16">
        <f>0.7 * AD224 + AE224</f>
        <v>79648.099999999991</v>
      </c>
      <c r="AG224" s="7">
        <f>SUMIF('Stock - ETA'!$F$3:F4963,'Rango proyecciones'!C224,'Stock - ETA'!$J$3:J4963)</f>
        <v>0</v>
      </c>
      <c r="AH224" s="16">
        <f>0.7 * AD224 + AG224</f>
        <v>79648.099999999991</v>
      </c>
      <c r="AI224" s="4"/>
    </row>
    <row r="225" spans="1:35" x14ac:dyDescent="0.2">
      <c r="A225" s="2"/>
      <c r="B225" s="2" t="s">
        <v>394</v>
      </c>
      <c r="C225" s="2" t="s">
        <v>453</v>
      </c>
      <c r="D225" s="2" t="s">
        <v>396</v>
      </c>
      <c r="E225" s="2">
        <v>1021665</v>
      </c>
      <c r="F225" s="2"/>
      <c r="G225" s="2"/>
      <c r="H225" s="4">
        <v>0</v>
      </c>
      <c r="I225" s="7">
        <v>0</v>
      </c>
      <c r="J225" s="7">
        <v>0</v>
      </c>
      <c r="K225" s="7">
        <v>0</v>
      </c>
      <c r="L225" s="4">
        <f t="shared" si="74"/>
        <v>0</v>
      </c>
      <c r="M225" s="7">
        <f>SUMIF('Stock - ETA'!$F$3:F4963,'Rango proyecciones'!C225,'Stock - ETA'!$R$3:R4963)</f>
        <v>203590.26</v>
      </c>
      <c r="N225" s="7">
        <f>SUMIF('Stock - Puerto Chile'!$G$2:G973,'Rango proyecciones'!C225,'Stock - Puerto Chile'!$L$2:L973)</f>
        <v>67001.041199999992</v>
      </c>
      <c r="O225" s="7">
        <v>0</v>
      </c>
      <c r="P225" s="7">
        <v>0</v>
      </c>
      <c r="Q225" s="16">
        <f>H225 + M225 + N225 + L225</f>
        <v>270591.30119999999</v>
      </c>
      <c r="R225" s="7">
        <f t="shared" si="75"/>
        <v>0</v>
      </c>
      <c r="S225" s="7">
        <f>SUMIF('Stock - ETA'!$F$3:F4963,'Rango proyecciones'!C225,'Stock - ETA'!$H$3:H4963)</f>
        <v>203590.26</v>
      </c>
      <c r="T225" s="7">
        <f>SUMIF('Stock - Puerto Chile'!$G$2:G973,'Rango proyecciones'!C225,'Stock - Puerto Chile'!$N$2:N973)</f>
        <v>80401.24944</v>
      </c>
      <c r="U225" s="7">
        <v>0</v>
      </c>
      <c r="V225" s="7">
        <v>0</v>
      </c>
      <c r="W225" s="16">
        <f>H225 + S225 + R225 + T225</f>
        <v>283991.50943999999</v>
      </c>
      <c r="X225" s="4">
        <v>110000</v>
      </c>
      <c r="Y225" s="7">
        <v>110000</v>
      </c>
      <c r="Z225" s="18">
        <f>SUMIF('Stock - ETA'!$F$3:F4963,'Rango proyecciones'!C225,'Stock - ETA'!$S$3:S4963)</f>
        <v>0</v>
      </c>
      <c r="AA225" s="13">
        <f t="shared" si="66"/>
        <v>110000</v>
      </c>
      <c r="AB225" s="7">
        <f>SUMIF('Stock - ETA'!$F$3:F4963,'Rango proyecciones'!C225,'Stock - ETA'!$I$3:I4963)</f>
        <v>0</v>
      </c>
      <c r="AC225" s="16">
        <f t="shared" si="67"/>
        <v>110000</v>
      </c>
      <c r="AD225" s="4">
        <v>110000</v>
      </c>
      <c r="AE225" s="7">
        <f>SUMIF('Stock - ETA'!$F$3:F4963,'Rango proyecciones'!C225,'Stock - ETA'!$T$3:T4963)</f>
        <v>0</v>
      </c>
      <c r="AF225" s="16">
        <f>0.7 * AD225 + AE225</f>
        <v>77000</v>
      </c>
      <c r="AG225" s="7">
        <f>SUMIF('Stock - ETA'!$F$3:F4963,'Rango proyecciones'!C225,'Stock - ETA'!$J$3:J4963)</f>
        <v>0</v>
      </c>
      <c r="AH225" s="16">
        <f>0.7 * AD225 + AG225</f>
        <v>77000</v>
      </c>
      <c r="AI225" s="4"/>
    </row>
    <row r="226" spans="1:35" x14ac:dyDescent="0.2">
      <c r="A226" s="2"/>
      <c r="B226" s="2" t="s">
        <v>35</v>
      </c>
      <c r="C226" s="2" t="s">
        <v>454</v>
      </c>
      <c r="D226" s="2" t="s">
        <v>386</v>
      </c>
      <c r="E226" s="2">
        <v>1012432</v>
      </c>
      <c r="F226" s="2"/>
      <c r="G226" s="2"/>
      <c r="H226" s="4">
        <v>0</v>
      </c>
      <c r="I226" s="7">
        <v>0</v>
      </c>
      <c r="J226" s="7">
        <v>0</v>
      </c>
      <c r="K226" s="7">
        <v>0</v>
      </c>
      <c r="L226" s="4">
        <f t="shared" si="74"/>
        <v>0</v>
      </c>
      <c r="M226" s="7">
        <f>SUMIFS('Stock - ETA'!$R$3:R4963,'Stock - ETA'!$F$3:F4963,'Rango proyecciones'!C226,'Stock - ETA'!$AA$3:AA4963,'Rango proyecciones'!$AJ$5)</f>
        <v>108000</v>
      </c>
      <c r="N226" s="7">
        <f>SUMIF('Stock - Puerto Chile'!$G$2:G973,'Rango proyecciones'!C226,'Stock - Puerto Chile'!$L$2:L973)</f>
        <v>77760</v>
      </c>
      <c r="O226" s="7">
        <v>0</v>
      </c>
      <c r="P226" s="7">
        <v>0</v>
      </c>
      <c r="Q226" s="16">
        <f>H226 + P226 + M226</f>
        <v>108000</v>
      </c>
      <c r="R226" s="7">
        <f t="shared" si="75"/>
        <v>0</v>
      </c>
      <c r="S226" s="7">
        <f>SUMIFS('Stock - ETA'!$H$3:H4963,'Stock - ETA'!$F$3:F4963,'Rango proyecciones'!C226,'Stock - ETA'!$Q$3:Q4963,'Rango proyecciones'!$AJ$5)</f>
        <v>108000</v>
      </c>
      <c r="T226" s="7">
        <f>SUMIF('Stock - Puerto Chile'!$G$2:G973,'Rango proyecciones'!C226,'Stock - Puerto Chile'!$N$2:N973)</f>
        <v>93312</v>
      </c>
      <c r="U226" s="7">
        <v>0</v>
      </c>
      <c r="V226" s="7">
        <v>0</v>
      </c>
      <c r="W226" s="17">
        <f>H226 + V226 + S226 + U226</f>
        <v>108000</v>
      </c>
      <c r="X226" s="4"/>
      <c r="Y226" s="7"/>
      <c r="Z226" s="18">
        <f>SUMIFS('Stock - ETA'!$S$3:S4963,'Stock - ETA'!$F$3:F4963,'Rango proyecciones'!C226,'Stock - ETA'!$AA$3:AA4963,'Rango proyecciones'!$AJ$5) + SUMIFS('Stock - ETA'!$R$3:R4963,'Stock - ETA'!$F$3:F4963,'Rango proyecciones'!C226,'Stock - ETA'!$AA$3:AA4963,'Rango proyecciones'!$AJ$7)</f>
        <v>0</v>
      </c>
      <c r="AA226" s="13">
        <f t="shared" si="66"/>
        <v>0</v>
      </c>
      <c r="AB226" s="7">
        <f>SUMIFS('Stock - ETA'!$I$3:I4963,'Stock - ETA'!$F$3:F4963,'Rango proyecciones'!C226,'Stock - ETA'!$Q$3:Q4963,'Rango proyecciones'!$AJ$5) + SUMIFS('Stock - ETA'!$H$3:H4963,'Stock - ETA'!$F$3:F4963,'Rango proyecciones'!C226,'Stock - ETA'!$Q$3:Q4963,'Rango proyecciones'!$AJ$7)</f>
        <v>0</v>
      </c>
      <c r="AC226" s="16">
        <f t="shared" si="67"/>
        <v>0</v>
      </c>
      <c r="AD226" s="4"/>
      <c r="AE226" s="7">
        <f>SUMIFS('Stock - ETA'!$T$3:T4963,'Stock - ETA'!$F$3:F4963,'Rango proyecciones'!C226,'Stock - ETA'!$AA$3:AA4963,'Rango proyecciones'!$AJ$5) + SUMIFS('Stock - ETA'!$S$3:S4963,'Stock - ETA'!$F$3:F4963,'Rango proyecciones'!C226,'Stock - ETA'!$AA$3:AA4963,'Rango proyecciones'!$AJ$8)</f>
        <v>0</v>
      </c>
      <c r="AF226" s="16">
        <f>0.7 * AD226 + AE226</f>
        <v>0</v>
      </c>
      <c r="AG226" s="7">
        <f>SUMIFS('Stock - ETA'!$J$3:J4963,'Stock - ETA'!$F$3:F4963,'Rango proyecciones'!C226,'Stock - ETA'!$Q$3:Q4963,'Rango proyecciones'!$AJ$5) + SUMIFS('Stock - ETA'!$I$3:I4963,'Stock - ETA'!$F$3:F4963,'Rango proyecciones'!C226,'Stock - ETA'!$Q$3:Q4963,'Rango proyecciones'!$AJ$8)</f>
        <v>0</v>
      </c>
      <c r="AH226" s="16">
        <f>0.7 * AD226 + AG226</f>
        <v>0</v>
      </c>
      <c r="AI226" s="4"/>
    </row>
    <row r="227" spans="1:35" x14ac:dyDescent="0.2">
      <c r="A227" s="2"/>
      <c r="B227" s="2" t="s">
        <v>35</v>
      </c>
      <c r="C227" s="2" t="s">
        <v>455</v>
      </c>
      <c r="D227" s="2" t="s">
        <v>386</v>
      </c>
      <c r="E227" s="2">
        <v>1030388</v>
      </c>
      <c r="F227" s="2"/>
      <c r="G227" s="2"/>
      <c r="H227" s="4">
        <v>0</v>
      </c>
      <c r="I227" s="7">
        <v>0</v>
      </c>
      <c r="J227" s="7">
        <v>0</v>
      </c>
      <c r="K227" s="7">
        <v>0</v>
      </c>
      <c r="L227" s="4">
        <f t="shared" si="74"/>
        <v>0</v>
      </c>
      <c r="M227" s="7">
        <f>SUMIFS('Stock - ETA'!$R$3:R4963,'Stock - ETA'!$F$3:F4963,'Rango proyecciones'!C227,'Stock - ETA'!$AA$3:AA4963,'Rango proyecciones'!$AJ$5)</f>
        <v>48000</v>
      </c>
      <c r="N227" s="7">
        <f>SUMIF('Stock - Puerto Chile'!$G$2:G973,'Rango proyecciones'!C227,'Stock - Puerto Chile'!$L$2:L973)</f>
        <v>0</v>
      </c>
      <c r="O227" s="7">
        <v>0</v>
      </c>
      <c r="P227" s="7">
        <v>0</v>
      </c>
      <c r="Q227" s="16">
        <f>H227 + P227 + M227</f>
        <v>48000</v>
      </c>
      <c r="R227" s="7">
        <f t="shared" si="75"/>
        <v>0</v>
      </c>
      <c r="S227" s="7">
        <f>SUMIFS('Stock - ETA'!$H$3:H4963,'Stock - ETA'!$F$3:F4963,'Rango proyecciones'!C227,'Stock - ETA'!$Q$3:Q4963,'Rango proyecciones'!$AJ$5)</f>
        <v>48000</v>
      </c>
      <c r="T227" s="7">
        <f>SUMIF('Stock - Puerto Chile'!$G$2:G973,'Rango proyecciones'!C227,'Stock - Puerto Chile'!$N$2:N973)</f>
        <v>0</v>
      </c>
      <c r="U227" s="7">
        <v>0</v>
      </c>
      <c r="V227" s="7">
        <v>0</v>
      </c>
      <c r="W227" s="17">
        <f>H227 + V227 + S227 + U227</f>
        <v>48000</v>
      </c>
      <c r="X227" s="4"/>
      <c r="Y227" s="7"/>
      <c r="Z227" s="18">
        <f>SUMIFS('Stock - ETA'!$S$3:S4963,'Stock - ETA'!$F$3:F4963,'Rango proyecciones'!C227,'Stock - ETA'!$AA$3:AA4963,'Rango proyecciones'!$AJ$5) + SUMIFS('Stock - ETA'!$R$3:R4963,'Stock - ETA'!$F$3:F4963,'Rango proyecciones'!C227,'Stock - ETA'!$AA$3:AA4963,'Rango proyecciones'!$AJ$7)</f>
        <v>24000</v>
      </c>
      <c r="AA227" s="13">
        <f t="shared" si="66"/>
        <v>24000</v>
      </c>
      <c r="AB227" s="7">
        <f>SUMIFS('Stock - ETA'!$I$3:I4963,'Stock - ETA'!$F$3:F4963,'Rango proyecciones'!C227,'Stock - ETA'!$Q$3:Q4963,'Rango proyecciones'!$AJ$5) + SUMIFS('Stock - ETA'!$H$3:H4963,'Stock - ETA'!$F$3:F4963,'Rango proyecciones'!C227,'Stock - ETA'!$Q$3:Q4963,'Rango proyecciones'!$AJ$7)</f>
        <v>24000</v>
      </c>
      <c r="AC227" s="16">
        <f t="shared" si="67"/>
        <v>24000</v>
      </c>
      <c r="AD227" s="4"/>
      <c r="AE227" s="7">
        <f>SUMIFS('Stock - ETA'!$T$3:T4963,'Stock - ETA'!$F$3:F4963,'Rango proyecciones'!C227,'Stock - ETA'!$AA$3:AA4963,'Rango proyecciones'!$AJ$5) + SUMIFS('Stock - ETA'!$S$3:S4963,'Stock - ETA'!$F$3:F4963,'Rango proyecciones'!C227,'Stock - ETA'!$AA$3:AA4963,'Rango proyecciones'!$AJ$8)</f>
        <v>23250</v>
      </c>
      <c r="AF227" s="16">
        <f>0.7 * AD227 + AE227</f>
        <v>23250</v>
      </c>
      <c r="AG227" s="7">
        <f>SUMIFS('Stock - ETA'!$J$3:J4963,'Stock - ETA'!$F$3:F4963,'Rango proyecciones'!C227,'Stock - ETA'!$Q$3:Q4963,'Rango proyecciones'!$AJ$5) + SUMIFS('Stock - ETA'!$I$3:I4963,'Stock - ETA'!$F$3:F4963,'Rango proyecciones'!C227,'Stock - ETA'!$Q$3:Q4963,'Rango proyecciones'!$AJ$8)</f>
        <v>23250</v>
      </c>
      <c r="AH227" s="16">
        <f>0.7 * AD227 + AG227</f>
        <v>23250</v>
      </c>
      <c r="AI227" s="4"/>
    </row>
    <row r="228" spans="1:35" x14ac:dyDescent="0.2">
      <c r="A228" s="2"/>
      <c r="B228" s="2" t="s">
        <v>394</v>
      </c>
      <c r="C228" s="2" t="s">
        <v>456</v>
      </c>
      <c r="D228" s="2" t="s">
        <v>396</v>
      </c>
      <c r="E228" s="2">
        <v>1022930</v>
      </c>
      <c r="F228" s="2"/>
      <c r="G228" s="2"/>
      <c r="H228" s="4">
        <v>0</v>
      </c>
      <c r="I228" s="7">
        <v>0</v>
      </c>
      <c r="J228" s="7">
        <v>0</v>
      </c>
      <c r="K228" s="7">
        <v>0</v>
      </c>
      <c r="L228" s="4">
        <f t="shared" si="74"/>
        <v>0</v>
      </c>
      <c r="M228" s="7">
        <f>SUMIF('Stock - ETA'!$F$3:F4963,'Rango proyecciones'!C228,'Stock - ETA'!$R$3:R4963)</f>
        <v>132044.13</v>
      </c>
      <c r="N228" s="7">
        <f>SUMIF('Stock - Puerto Chile'!$G$2:G973,'Rango proyecciones'!C228,'Stock - Puerto Chile'!$L$2:L973)</f>
        <v>52822.423199999997</v>
      </c>
      <c r="O228" s="7">
        <v>0</v>
      </c>
      <c r="P228" s="7">
        <v>0</v>
      </c>
      <c r="Q228" s="16">
        <f>H228 + M228 + N228 + L228</f>
        <v>184866.55319999999</v>
      </c>
      <c r="R228" s="7">
        <f t="shared" si="75"/>
        <v>0</v>
      </c>
      <c r="S228" s="7">
        <f>SUMIF('Stock - ETA'!$F$3:F4963,'Rango proyecciones'!C228,'Stock - ETA'!$H$3:H4963)</f>
        <v>132044.13</v>
      </c>
      <c r="T228" s="7">
        <f>SUMIF('Stock - Puerto Chile'!$G$2:G973,'Rango proyecciones'!C228,'Stock - Puerto Chile'!$N$2:N973)</f>
        <v>63386.90784</v>
      </c>
      <c r="U228" s="7">
        <v>0</v>
      </c>
      <c r="V228" s="7">
        <v>0</v>
      </c>
      <c r="W228" s="16">
        <f>H228 + S228 + R228 + T228</f>
        <v>195431.03784</v>
      </c>
      <c r="X228" s="4">
        <v>176000</v>
      </c>
      <c r="Y228" s="7">
        <v>176000</v>
      </c>
      <c r="Z228" s="18">
        <f>SUMIF('Stock - ETA'!$F$3:F4963,'Rango proyecciones'!C228,'Stock - ETA'!$S$3:S4963)</f>
        <v>44024.61</v>
      </c>
      <c r="AA228" s="13">
        <f t="shared" si="66"/>
        <v>220024.61</v>
      </c>
      <c r="AB228" s="7">
        <f>SUMIF('Stock - ETA'!$F$3:F4963,'Rango proyecciones'!C228,'Stock - ETA'!$I$3:I4963)</f>
        <v>44024.61</v>
      </c>
      <c r="AC228" s="16">
        <f t="shared" si="67"/>
        <v>220024.61</v>
      </c>
      <c r="AD228" s="4">
        <v>176000</v>
      </c>
      <c r="AE228" s="7">
        <f>SUMIF('Stock - ETA'!$F$3:F4963,'Rango proyecciones'!C228,'Stock - ETA'!$T$3:T4963)</f>
        <v>0</v>
      </c>
      <c r="AF228" s="16">
        <f>0.7 * AD228 + AE228</f>
        <v>123199.99999999999</v>
      </c>
      <c r="AG228" s="7">
        <f>SUMIF('Stock - ETA'!$F$3:F4963,'Rango proyecciones'!C228,'Stock - ETA'!$J$3:J4963)</f>
        <v>0</v>
      </c>
      <c r="AH228" s="16">
        <f>0.7 * AD228 + AG228</f>
        <v>123199.99999999999</v>
      </c>
      <c r="AI228" s="4"/>
    </row>
    <row r="229" spans="1:35" x14ac:dyDescent="0.2">
      <c r="A229" s="2"/>
      <c r="B229" s="2" t="s">
        <v>394</v>
      </c>
      <c r="C229" s="2" t="s">
        <v>457</v>
      </c>
      <c r="D229" s="2" t="s">
        <v>458</v>
      </c>
      <c r="E229" s="2">
        <v>1010877</v>
      </c>
      <c r="F229" s="2"/>
      <c r="G229" s="2"/>
      <c r="H229" s="4">
        <v>0</v>
      </c>
      <c r="I229" s="7">
        <v>0</v>
      </c>
      <c r="J229" s="7">
        <v>6200</v>
      </c>
      <c r="K229" s="7">
        <v>2079.2199999999998</v>
      </c>
      <c r="L229" s="4">
        <f t="shared" si="74"/>
        <v>6181.170000000001</v>
      </c>
      <c r="M229" s="7">
        <f>SUMIF('Stock - ETA'!$F$3:F4963,'Rango proyecciones'!C229,'Stock - ETA'!$R$3:R4963)</f>
        <v>24000</v>
      </c>
      <c r="N229" s="7">
        <f>SUMIF('Stock - Puerto Chile'!$G$2:G973,'Rango proyecciones'!C229,'Stock - Puerto Chile'!$L$2:L973)</f>
        <v>144000</v>
      </c>
      <c r="O229" s="7">
        <v>0</v>
      </c>
      <c r="P229" s="7">
        <v>0</v>
      </c>
      <c r="Q229" s="16">
        <f>H229 + M229 + N229 + L229</f>
        <v>174181.17</v>
      </c>
      <c r="R229" s="7">
        <f t="shared" si="75"/>
        <v>10596.291428571431</v>
      </c>
      <c r="S229" s="7">
        <f>SUMIF('Stock - ETA'!$F$3:F4963,'Rango proyecciones'!C229,'Stock - ETA'!$H$3:H4963)</f>
        <v>24000</v>
      </c>
      <c r="T229" s="7">
        <f>SUMIF('Stock - Puerto Chile'!$G$2:G973,'Rango proyecciones'!C229,'Stock - Puerto Chile'!$N$2:N973)</f>
        <v>172800</v>
      </c>
      <c r="U229" s="7">
        <v>0</v>
      </c>
      <c r="V229" s="7">
        <v>0</v>
      </c>
      <c r="W229" s="16">
        <f>H229 + S229 + R229 + T229</f>
        <v>207396.29142857142</v>
      </c>
      <c r="X229" s="4"/>
      <c r="Y229" s="7"/>
      <c r="Z229" s="18">
        <f>SUMIF('Stock - ETA'!$F$3:F4963,'Rango proyecciones'!C229,'Stock - ETA'!$S$3:S4963)</f>
        <v>24000</v>
      </c>
      <c r="AA229" s="13">
        <f t="shared" si="66"/>
        <v>24000</v>
      </c>
      <c r="AB229" s="7">
        <f>SUMIF('Stock - ETA'!$F$3:F4963,'Rango proyecciones'!C229,'Stock - ETA'!$I$3:I4963)</f>
        <v>24000</v>
      </c>
      <c r="AC229" s="16">
        <f t="shared" si="67"/>
        <v>24000</v>
      </c>
      <c r="AD229" s="4"/>
      <c r="AE229" s="7">
        <f>SUMIF('Stock - ETA'!$F$3:F4963,'Rango proyecciones'!C229,'Stock - ETA'!$T$3:T4963)</f>
        <v>0</v>
      </c>
      <c r="AF229" s="16">
        <f>0.55 * AD229 + AE229</f>
        <v>0</v>
      </c>
      <c r="AG229" s="7">
        <f>SUMIF('Stock - ETA'!$F$3:F4963,'Rango proyecciones'!C229,'Stock - ETA'!$J$3:J4963)</f>
        <v>0</v>
      </c>
      <c r="AH229" s="16">
        <f>0.55 * AD229 + AG229</f>
        <v>0</v>
      </c>
      <c r="AI229" s="4"/>
    </row>
    <row r="230" spans="1:35" x14ac:dyDescent="0.2">
      <c r="A230" s="2"/>
      <c r="B230" s="2" t="s">
        <v>35</v>
      </c>
      <c r="C230" s="2" t="s">
        <v>459</v>
      </c>
      <c r="D230" s="2" t="s">
        <v>389</v>
      </c>
      <c r="E230" s="2">
        <v>1023373</v>
      </c>
      <c r="F230" s="2"/>
      <c r="G230" s="2"/>
      <c r="H230" s="4">
        <v>0</v>
      </c>
      <c r="I230" s="7">
        <v>0</v>
      </c>
      <c r="J230" s="7"/>
      <c r="K230" s="7">
        <v>590.98</v>
      </c>
      <c r="L230" s="4">
        <f t="shared" si="74"/>
        <v>0</v>
      </c>
      <c r="M230" s="7">
        <f>SUMIFS('Stock - ETA'!$R$3:R4963,'Stock - ETA'!$F$3:F4963,'Rango proyecciones'!C230,'Stock - ETA'!$AA$3:AA4963,'Rango proyecciones'!$AJ$5)</f>
        <v>32120</v>
      </c>
      <c r="N230" s="7">
        <f>SUMIF('Stock - Puerto Chile'!$G$2:G973,'Rango proyecciones'!C230,'Stock - Puerto Chile'!$L$2:L973)</f>
        <v>0</v>
      </c>
      <c r="O230" s="7">
        <v>0</v>
      </c>
      <c r="P230" s="7">
        <v>0</v>
      </c>
      <c r="Q230" s="16">
        <f>H230 + P230 + M230</f>
        <v>32120</v>
      </c>
      <c r="R230" s="7">
        <f t="shared" si="75"/>
        <v>0</v>
      </c>
      <c r="S230" s="7">
        <f>SUMIFS('Stock - ETA'!$H$3:H4963,'Stock - ETA'!$F$3:F4963,'Rango proyecciones'!C230,'Stock - ETA'!$Q$3:Q4963,'Rango proyecciones'!$AJ$5)</f>
        <v>32120</v>
      </c>
      <c r="T230" s="7">
        <f>SUMIF('Stock - Puerto Chile'!$G$2:G973,'Rango proyecciones'!C230,'Stock - Puerto Chile'!$N$2:N973)</f>
        <v>0</v>
      </c>
      <c r="U230" s="7">
        <v>0</v>
      </c>
      <c r="V230" s="7">
        <v>0</v>
      </c>
      <c r="W230" s="17">
        <f>H230 + V230 + S230 + U230</f>
        <v>32120</v>
      </c>
      <c r="X230" s="4">
        <v>105760</v>
      </c>
      <c r="Y230" s="7">
        <v>105760</v>
      </c>
      <c r="Z230" s="18">
        <f>SUMIFS('Stock - ETA'!$S$3:S4963,'Stock - ETA'!$F$3:F4963,'Rango proyecciones'!C230,'Stock - ETA'!$AA$3:AA4963,'Rango proyecciones'!$AJ$5) + SUMIFS('Stock - ETA'!$R$3:R4963,'Stock - ETA'!$F$3:F4963,'Rango proyecciones'!C230,'Stock - ETA'!$AA$3:AA4963,'Rango proyecciones'!$AJ$7)</f>
        <v>74990</v>
      </c>
      <c r="AA230" s="13">
        <f t="shared" si="66"/>
        <v>180750</v>
      </c>
      <c r="AB230" s="7">
        <f>SUMIFS('Stock - ETA'!$I$3:I4963,'Stock - ETA'!$F$3:F4963,'Rango proyecciones'!C230,'Stock - ETA'!$Q$3:Q4963,'Rango proyecciones'!$AJ$5) + SUMIFS('Stock - ETA'!$H$3:H4963,'Stock - ETA'!$F$3:F4963,'Rango proyecciones'!C230,'Stock - ETA'!$Q$3:Q4963,'Rango proyecciones'!$AJ$7)</f>
        <v>74990</v>
      </c>
      <c r="AC230" s="16">
        <f t="shared" si="67"/>
        <v>180750</v>
      </c>
      <c r="AD230" s="4">
        <v>125326</v>
      </c>
      <c r="AE230" s="7">
        <f>SUMIFS('Stock - ETA'!$T$3:T4963,'Stock - ETA'!$F$3:F4963,'Rango proyecciones'!C230,'Stock - ETA'!$AA$3:AA4963,'Rango proyecciones'!$AJ$5) + SUMIFS('Stock - ETA'!$S$3:S4963,'Stock - ETA'!$F$3:F4963,'Rango proyecciones'!C230,'Stock - ETA'!$AA$3:AA4963,'Rango proyecciones'!$AJ$8)</f>
        <v>0</v>
      </c>
      <c r="AF230" s="16">
        <f>0.6 * AD230 + AE230</f>
        <v>75195.599999999991</v>
      </c>
      <c r="AG230" s="7">
        <f>SUMIFS('Stock - ETA'!$J$3:J4963,'Stock - ETA'!$F$3:F4963,'Rango proyecciones'!C230,'Stock - ETA'!$Q$3:Q4963,'Rango proyecciones'!$AJ$5) + SUMIFS('Stock - ETA'!$I$3:I4963,'Stock - ETA'!$F$3:F4963,'Rango proyecciones'!C230,'Stock - ETA'!$Q$3:Q4963,'Rango proyecciones'!$AJ$8)</f>
        <v>0</v>
      </c>
      <c r="AH230" s="16">
        <f>0.6 * AD230 + AG230</f>
        <v>75195.599999999991</v>
      </c>
      <c r="AI230" s="4"/>
    </row>
    <row r="231" spans="1:35" x14ac:dyDescent="0.2">
      <c r="A231" s="2"/>
      <c r="B231" s="2" t="s">
        <v>35</v>
      </c>
      <c r="C231" s="2" t="s">
        <v>460</v>
      </c>
      <c r="D231" s="2" t="s">
        <v>391</v>
      </c>
      <c r="E231" s="2">
        <v>1022914</v>
      </c>
      <c r="F231" s="2"/>
      <c r="G231" s="2"/>
      <c r="H231" s="4">
        <v>0</v>
      </c>
      <c r="I231" s="7">
        <v>0</v>
      </c>
      <c r="J231" s="7">
        <v>0</v>
      </c>
      <c r="K231" s="7">
        <v>0</v>
      </c>
      <c r="L231" s="4">
        <f t="shared" si="74"/>
        <v>0</v>
      </c>
      <c r="M231" s="7">
        <f>SUMIFS('Stock - ETA'!$R$3:R4963,'Stock - ETA'!$F$3:F4963,'Rango proyecciones'!C231,'Stock - ETA'!$AA$3:AA4963,'Rango proyecciones'!$AJ$5)</f>
        <v>48000</v>
      </c>
      <c r="N231" s="7">
        <f>SUMIF('Stock - Puerto Chile'!$G$2:G973,'Rango proyecciones'!C231,'Stock - Puerto Chile'!$L$2:L973)</f>
        <v>0</v>
      </c>
      <c r="O231" s="7">
        <v>0</v>
      </c>
      <c r="P231" s="7">
        <v>0</v>
      </c>
      <c r="Q231" s="16">
        <f>H231 + P231 + M231</f>
        <v>48000</v>
      </c>
      <c r="R231" s="7">
        <f t="shared" si="75"/>
        <v>0</v>
      </c>
      <c r="S231" s="7">
        <f>SUMIFS('Stock - ETA'!$H$3:H4963,'Stock - ETA'!$F$3:F4963,'Rango proyecciones'!C231,'Stock - ETA'!$Q$3:Q4963,'Rango proyecciones'!$AJ$5)</f>
        <v>48000</v>
      </c>
      <c r="T231" s="7">
        <f>SUMIF('Stock - Puerto Chile'!$G$2:G973,'Rango proyecciones'!C231,'Stock - Puerto Chile'!$N$2:N973)</f>
        <v>0</v>
      </c>
      <c r="U231" s="7">
        <v>0</v>
      </c>
      <c r="V231" s="7">
        <v>0</v>
      </c>
      <c r="W231" s="17">
        <f>H231 + V231 + S231 + U231</f>
        <v>48000</v>
      </c>
      <c r="X231" s="4">
        <v>49267</v>
      </c>
      <c r="Y231" s="7">
        <v>49267</v>
      </c>
      <c r="Z231" s="18">
        <f>SUMIFS('Stock - ETA'!$S$3:S4963,'Stock - ETA'!$F$3:F4963,'Rango proyecciones'!C231,'Stock - ETA'!$AA$3:AA4963,'Rango proyecciones'!$AJ$5) + SUMIFS('Stock - ETA'!$R$3:R4963,'Stock - ETA'!$F$3:F4963,'Rango proyecciones'!C231,'Stock - ETA'!$AA$3:AA4963,'Rango proyecciones'!$AJ$7)</f>
        <v>0</v>
      </c>
      <c r="AA231" s="13">
        <f t="shared" si="66"/>
        <v>49267</v>
      </c>
      <c r="AB231" s="7">
        <f>SUMIFS('Stock - ETA'!$I$3:I4963,'Stock - ETA'!$F$3:F4963,'Rango proyecciones'!C231,'Stock - ETA'!$Q$3:Q4963,'Rango proyecciones'!$AJ$5) + SUMIFS('Stock - ETA'!$H$3:H4963,'Stock - ETA'!$F$3:F4963,'Rango proyecciones'!C231,'Stock - ETA'!$Q$3:Q4963,'Rango proyecciones'!$AJ$7)</f>
        <v>0</v>
      </c>
      <c r="AC231" s="16">
        <f t="shared" si="67"/>
        <v>49267</v>
      </c>
      <c r="AD231" s="4">
        <v>58382</v>
      </c>
      <c r="AE231" s="7">
        <f>SUMIFS('Stock - ETA'!$T$3:T4963,'Stock - ETA'!$F$3:F4963,'Rango proyecciones'!C231,'Stock - ETA'!$AA$3:AA4963,'Rango proyecciones'!$AJ$5) + SUMIFS('Stock - ETA'!$S$3:S4963,'Stock - ETA'!$F$3:F4963,'Rango proyecciones'!C231,'Stock - ETA'!$AA$3:AA4963,'Rango proyecciones'!$AJ$8)</f>
        <v>0</v>
      </c>
      <c r="AF231" s="16">
        <f t="shared" ref="AF231:AF236" si="76">0.7 * AD231 + AE231</f>
        <v>40867.399999999994</v>
      </c>
      <c r="AG231" s="7">
        <f>SUMIFS('Stock - ETA'!$J$3:J4963,'Stock - ETA'!$F$3:F4963,'Rango proyecciones'!C231,'Stock - ETA'!$Q$3:Q4963,'Rango proyecciones'!$AJ$5) + SUMIFS('Stock - ETA'!$I$3:I4963,'Stock - ETA'!$F$3:F4963,'Rango proyecciones'!C231,'Stock - ETA'!$Q$3:Q4963,'Rango proyecciones'!$AJ$8)</f>
        <v>0</v>
      </c>
      <c r="AH231" s="16">
        <f t="shared" ref="AH231:AH236" si="77">0.7 * AD231 + AG231</f>
        <v>40867.399999999994</v>
      </c>
      <c r="AI231" s="4"/>
    </row>
    <row r="232" spans="1:35" x14ac:dyDescent="0.2">
      <c r="A232" s="2"/>
      <c r="B232" s="2" t="s">
        <v>35</v>
      </c>
      <c r="C232" s="2" t="s">
        <v>461</v>
      </c>
      <c r="D232" s="2" t="s">
        <v>386</v>
      </c>
      <c r="E232" s="2">
        <v>1030279</v>
      </c>
      <c r="F232" s="2"/>
      <c r="G232" s="2"/>
      <c r="H232" s="4">
        <v>0</v>
      </c>
      <c r="I232" s="7">
        <v>0</v>
      </c>
      <c r="J232" s="7">
        <v>4400</v>
      </c>
      <c r="K232" s="7"/>
      <c r="L232" s="4">
        <f t="shared" si="74"/>
        <v>6600</v>
      </c>
      <c r="M232" s="7">
        <f>SUMIFS('Stock - ETA'!$R$3:R4963,'Stock - ETA'!$F$3:F4963,'Rango proyecciones'!C232,'Stock - ETA'!$AA$3:AA4963,'Rango proyecciones'!$AJ$5)</f>
        <v>21600</v>
      </c>
      <c r="N232" s="7">
        <f>SUMIF('Stock - Puerto Chile'!$G$2:G973,'Rango proyecciones'!C232,'Stock - Puerto Chile'!$L$2:L973)</f>
        <v>116640</v>
      </c>
      <c r="O232" s="7">
        <v>0</v>
      </c>
      <c r="P232" s="7">
        <v>0</v>
      </c>
      <c r="Q232" s="16">
        <f>H232 + P232 + M232</f>
        <v>21600</v>
      </c>
      <c r="R232" s="7">
        <f t="shared" si="75"/>
        <v>11314.285714285716</v>
      </c>
      <c r="S232" s="7">
        <f>SUMIFS('Stock - ETA'!$H$3:H4963,'Stock - ETA'!$F$3:F4963,'Rango proyecciones'!C232,'Stock - ETA'!$Q$3:Q4963,'Rango proyecciones'!$AJ$5)</f>
        <v>21600</v>
      </c>
      <c r="T232" s="7">
        <f>SUMIF('Stock - Puerto Chile'!$G$2:G973,'Rango proyecciones'!C232,'Stock - Puerto Chile'!$N$2:N973)</f>
        <v>139968</v>
      </c>
      <c r="U232" s="7">
        <v>0</v>
      </c>
      <c r="V232" s="7">
        <v>0</v>
      </c>
      <c r="W232" s="17">
        <f>H232 + V232 + S232 + U232</f>
        <v>21600</v>
      </c>
      <c r="X232" s="4">
        <v>113743</v>
      </c>
      <c r="Y232" s="7">
        <v>113743</v>
      </c>
      <c r="Z232" s="18">
        <f>SUMIFS('Stock - ETA'!$S$3:S4963,'Stock - ETA'!$F$3:F4963,'Rango proyecciones'!C232,'Stock - ETA'!$AA$3:AA4963,'Rango proyecciones'!$AJ$5) + SUMIFS('Stock - ETA'!$R$3:R4963,'Stock - ETA'!$F$3:F4963,'Rango proyecciones'!C232,'Stock - ETA'!$AA$3:AA4963,'Rango proyecciones'!$AJ$7)</f>
        <v>0</v>
      </c>
      <c r="AA232" s="13">
        <f t="shared" si="66"/>
        <v>113743</v>
      </c>
      <c r="AB232" s="7">
        <f>SUMIFS('Stock - ETA'!$I$3:I4963,'Stock - ETA'!$F$3:F4963,'Rango proyecciones'!C232,'Stock - ETA'!$Q$3:Q4963,'Rango proyecciones'!$AJ$5) + SUMIFS('Stock - ETA'!$H$3:H4963,'Stock - ETA'!$F$3:F4963,'Rango proyecciones'!C232,'Stock - ETA'!$Q$3:Q4963,'Rango proyecciones'!$AJ$7)</f>
        <v>0</v>
      </c>
      <c r="AC232" s="16">
        <f t="shared" si="67"/>
        <v>113743</v>
      </c>
      <c r="AD232" s="4">
        <v>142813</v>
      </c>
      <c r="AE232" s="7">
        <f>SUMIFS('Stock - ETA'!$T$3:T4963,'Stock - ETA'!$F$3:F4963,'Rango proyecciones'!C232,'Stock - ETA'!$AA$3:AA4963,'Rango proyecciones'!$AJ$5) + SUMIFS('Stock - ETA'!$S$3:S4963,'Stock - ETA'!$F$3:F4963,'Rango proyecciones'!C232,'Stock - ETA'!$AA$3:AA4963,'Rango proyecciones'!$AJ$8)</f>
        <v>0</v>
      </c>
      <c r="AF232" s="16">
        <f t="shared" si="76"/>
        <v>99969.099999999991</v>
      </c>
      <c r="AG232" s="7">
        <f>SUMIFS('Stock - ETA'!$J$3:J4963,'Stock - ETA'!$F$3:F4963,'Rango proyecciones'!C232,'Stock - ETA'!$Q$3:Q4963,'Rango proyecciones'!$AJ$5) + SUMIFS('Stock - ETA'!$I$3:I4963,'Stock - ETA'!$F$3:F4963,'Rango proyecciones'!C232,'Stock - ETA'!$Q$3:Q4963,'Rango proyecciones'!$AJ$8)</f>
        <v>0</v>
      </c>
      <c r="AH232" s="16">
        <f t="shared" si="77"/>
        <v>99969.099999999991</v>
      </c>
      <c r="AI232" s="4"/>
    </row>
    <row r="233" spans="1:35" x14ac:dyDescent="0.2">
      <c r="A233" s="2"/>
      <c r="B233" s="2" t="s">
        <v>35</v>
      </c>
      <c r="C233" s="2" t="s">
        <v>462</v>
      </c>
      <c r="D233" s="2" t="s">
        <v>391</v>
      </c>
      <c r="E233" s="2">
        <v>1011948</v>
      </c>
      <c r="F233" s="2"/>
      <c r="G233" s="2"/>
      <c r="H233" s="4">
        <v>0</v>
      </c>
      <c r="I233" s="7">
        <v>0</v>
      </c>
      <c r="J233" s="7">
        <v>0</v>
      </c>
      <c r="K233" s="7">
        <v>0</v>
      </c>
      <c r="L233" s="4">
        <f t="shared" si="74"/>
        <v>0</v>
      </c>
      <c r="M233" s="7">
        <f>SUMIFS('Stock - ETA'!$R$3:R4963,'Stock - ETA'!$F$3:F4963,'Rango proyecciones'!C233,'Stock - ETA'!$AA$3:AA4963,'Rango proyecciones'!$AJ$5)</f>
        <v>1008</v>
      </c>
      <c r="N233" s="7">
        <f>SUMIF('Stock - Puerto Chile'!$G$2:G973,'Rango proyecciones'!C233,'Stock - Puerto Chile'!$L$2:L973)</f>
        <v>0</v>
      </c>
      <c r="O233" s="7">
        <v>0</v>
      </c>
      <c r="P233" s="7">
        <v>0</v>
      </c>
      <c r="Q233" s="16">
        <f>H233 + P233 + M233</f>
        <v>1008</v>
      </c>
      <c r="R233" s="7">
        <f t="shared" si="75"/>
        <v>0</v>
      </c>
      <c r="S233" s="7">
        <f>SUMIFS('Stock - ETA'!$H$3:H4963,'Stock - ETA'!$F$3:F4963,'Rango proyecciones'!C233,'Stock - ETA'!$Q$3:Q4963,'Rango proyecciones'!$AJ$5)</f>
        <v>1008</v>
      </c>
      <c r="T233" s="7">
        <f>SUMIF('Stock - Puerto Chile'!$G$2:G973,'Rango proyecciones'!C233,'Stock - Puerto Chile'!$N$2:N973)</f>
        <v>0</v>
      </c>
      <c r="U233" s="7">
        <v>0</v>
      </c>
      <c r="V233" s="7">
        <v>0</v>
      </c>
      <c r="W233" s="17">
        <f>H233 + V233 + S233 + U233</f>
        <v>1008</v>
      </c>
      <c r="X233" s="4">
        <v>1000</v>
      </c>
      <c r="Y233" s="7">
        <v>1000</v>
      </c>
      <c r="Z233" s="18">
        <f>SUMIFS('Stock - ETA'!$S$3:S4963,'Stock - ETA'!$F$3:F4963,'Rango proyecciones'!C233,'Stock - ETA'!$AA$3:AA4963,'Rango proyecciones'!$AJ$5) + SUMIFS('Stock - ETA'!$R$3:R4963,'Stock - ETA'!$F$3:F4963,'Rango proyecciones'!C233,'Stock - ETA'!$AA$3:AA4963,'Rango proyecciones'!$AJ$7)</f>
        <v>0</v>
      </c>
      <c r="AA233" s="13">
        <f t="shared" si="66"/>
        <v>1000</v>
      </c>
      <c r="AB233" s="7">
        <f>SUMIFS('Stock - ETA'!$I$3:I4963,'Stock - ETA'!$F$3:F4963,'Rango proyecciones'!C233,'Stock - ETA'!$Q$3:Q4963,'Rango proyecciones'!$AJ$5) + SUMIFS('Stock - ETA'!$H$3:H4963,'Stock - ETA'!$F$3:F4963,'Rango proyecciones'!C233,'Stock - ETA'!$Q$3:Q4963,'Rango proyecciones'!$AJ$7)</f>
        <v>0</v>
      </c>
      <c r="AC233" s="16">
        <f t="shared" si="67"/>
        <v>1000</v>
      </c>
      <c r="AD233" s="4">
        <v>1000</v>
      </c>
      <c r="AE233" s="7">
        <f>SUMIFS('Stock - ETA'!$T$3:T4963,'Stock - ETA'!$F$3:F4963,'Rango proyecciones'!C233,'Stock - ETA'!$AA$3:AA4963,'Rango proyecciones'!$AJ$5) + SUMIFS('Stock - ETA'!$S$3:S4963,'Stock - ETA'!$F$3:F4963,'Rango proyecciones'!C233,'Stock - ETA'!$AA$3:AA4963,'Rango proyecciones'!$AJ$8)</f>
        <v>0</v>
      </c>
      <c r="AF233" s="16">
        <f t="shared" si="76"/>
        <v>700</v>
      </c>
      <c r="AG233" s="7">
        <f>SUMIFS('Stock - ETA'!$J$3:J4963,'Stock - ETA'!$F$3:F4963,'Rango proyecciones'!C233,'Stock - ETA'!$Q$3:Q4963,'Rango proyecciones'!$AJ$5) + SUMIFS('Stock - ETA'!$I$3:I4963,'Stock - ETA'!$F$3:F4963,'Rango proyecciones'!C233,'Stock - ETA'!$Q$3:Q4963,'Rango proyecciones'!$AJ$8)</f>
        <v>0</v>
      </c>
      <c r="AH233" s="16">
        <f t="shared" si="77"/>
        <v>700</v>
      </c>
      <c r="AI233" s="4"/>
    </row>
    <row r="234" spans="1:35" x14ac:dyDescent="0.2">
      <c r="A234" s="2"/>
      <c r="B234" s="2" t="s">
        <v>394</v>
      </c>
      <c r="C234" s="2" t="s">
        <v>463</v>
      </c>
      <c r="D234" s="2" t="s">
        <v>396</v>
      </c>
      <c r="E234" s="2">
        <v>1023397</v>
      </c>
      <c r="F234" s="2"/>
      <c r="G234" s="2"/>
      <c r="H234" s="4">
        <v>0</v>
      </c>
      <c r="I234" s="7">
        <v>0</v>
      </c>
      <c r="J234" s="7">
        <v>0</v>
      </c>
      <c r="K234" s="7">
        <v>0</v>
      </c>
      <c r="L234" s="4">
        <f t="shared" si="74"/>
        <v>0</v>
      </c>
      <c r="M234" s="7">
        <f>SUMIF('Stock - ETA'!$F$3:F4963,'Rango proyecciones'!C234,'Stock - ETA'!$R$3:R4963)</f>
        <v>44931.48</v>
      </c>
      <c r="N234" s="7">
        <f>SUMIF('Stock - Puerto Chile'!$G$2:G973,'Rango proyecciones'!C234,'Stock - Puerto Chile'!$L$2:L973)</f>
        <v>0</v>
      </c>
      <c r="O234" s="7">
        <v>0</v>
      </c>
      <c r="P234" s="7">
        <v>0</v>
      </c>
      <c r="Q234" s="16">
        <f>H234 + M234 + N234 + L234</f>
        <v>44931.48</v>
      </c>
      <c r="R234" s="7">
        <f t="shared" si="75"/>
        <v>0</v>
      </c>
      <c r="S234" s="7">
        <f>SUMIF('Stock - ETA'!$F$3:F4963,'Rango proyecciones'!C234,'Stock - ETA'!$H$3:H4963)</f>
        <v>44931.48</v>
      </c>
      <c r="T234" s="7">
        <f>SUMIF('Stock - Puerto Chile'!$G$2:G973,'Rango proyecciones'!C234,'Stock - Puerto Chile'!$N$2:N973)</f>
        <v>0</v>
      </c>
      <c r="U234" s="7">
        <v>0</v>
      </c>
      <c r="V234" s="7">
        <v>0</v>
      </c>
      <c r="W234" s="16">
        <f>H234 + S234 + R234 + T234</f>
        <v>44931.48</v>
      </c>
      <c r="X234" s="4"/>
      <c r="Y234" s="7"/>
      <c r="Z234" s="18">
        <f>SUMIF('Stock - ETA'!$F$3:F4963,'Rango proyecciones'!C234,'Stock - ETA'!$S$3:S4963)</f>
        <v>0</v>
      </c>
      <c r="AA234" s="13">
        <f t="shared" si="66"/>
        <v>0</v>
      </c>
      <c r="AB234" s="7">
        <f>SUMIF('Stock - ETA'!$F$3:F4963,'Rango proyecciones'!C234,'Stock - ETA'!$I$3:I4963)</f>
        <v>0</v>
      </c>
      <c r="AC234" s="16">
        <f t="shared" si="67"/>
        <v>0</v>
      </c>
      <c r="AD234" s="4"/>
      <c r="AE234" s="7">
        <f>SUMIF('Stock - ETA'!$F$3:F4963,'Rango proyecciones'!C234,'Stock - ETA'!$T$3:T4963)</f>
        <v>0</v>
      </c>
      <c r="AF234" s="16">
        <f t="shared" si="76"/>
        <v>0</v>
      </c>
      <c r="AG234" s="7">
        <f>SUMIF('Stock - ETA'!$F$3:F4963,'Rango proyecciones'!C234,'Stock - ETA'!$J$3:J4963)</f>
        <v>0</v>
      </c>
      <c r="AH234" s="16">
        <f t="shared" si="77"/>
        <v>0</v>
      </c>
      <c r="AI234" s="4"/>
    </row>
    <row r="235" spans="1:35" x14ac:dyDescent="0.2">
      <c r="A235" s="2"/>
      <c r="B235" s="2" t="s">
        <v>35</v>
      </c>
      <c r="C235" s="2" t="s">
        <v>464</v>
      </c>
      <c r="D235" s="2" t="s">
        <v>386</v>
      </c>
      <c r="E235" s="2">
        <v>1012207</v>
      </c>
      <c r="F235" s="2"/>
      <c r="G235" s="2"/>
      <c r="H235" s="4">
        <v>0</v>
      </c>
      <c r="I235" s="7">
        <v>0</v>
      </c>
      <c r="J235" s="7">
        <v>10000</v>
      </c>
      <c r="K235" s="7"/>
      <c r="L235" s="4">
        <f t="shared" si="74"/>
        <v>15000</v>
      </c>
      <c r="M235" s="7">
        <f>SUMIFS('Stock - ETA'!$R$3:R4963,'Stock - ETA'!$F$3:F4963,'Rango proyecciones'!C235,'Stock - ETA'!$AA$3:AA4963,'Rango proyecciones'!$AJ$5)</f>
        <v>24000</v>
      </c>
      <c r="N235" s="7">
        <f>SUMIF('Stock - Puerto Chile'!$G$2:G973,'Rango proyecciones'!C235,'Stock - Puerto Chile'!$L$2:L973)</f>
        <v>0</v>
      </c>
      <c r="O235" s="7">
        <v>0</v>
      </c>
      <c r="P235" s="7">
        <v>0</v>
      </c>
      <c r="Q235" s="16">
        <f>H235 + P235 + M235</f>
        <v>24000</v>
      </c>
      <c r="R235" s="7">
        <f t="shared" si="75"/>
        <v>25714.285714285717</v>
      </c>
      <c r="S235" s="7">
        <f>SUMIFS('Stock - ETA'!$H$3:H4963,'Stock - ETA'!$F$3:F4963,'Rango proyecciones'!C235,'Stock - ETA'!$Q$3:Q4963,'Rango proyecciones'!$AJ$5)</f>
        <v>24000</v>
      </c>
      <c r="T235" s="7">
        <f>SUMIF('Stock - Puerto Chile'!$G$2:G973,'Rango proyecciones'!C235,'Stock - Puerto Chile'!$N$2:N973)</f>
        <v>0</v>
      </c>
      <c r="U235" s="7">
        <v>0</v>
      </c>
      <c r="V235" s="7">
        <v>0</v>
      </c>
      <c r="W235" s="17">
        <f>H235 + V235 + S235 + U235</f>
        <v>24000</v>
      </c>
      <c r="X235" s="4">
        <v>48000</v>
      </c>
      <c r="Y235" s="7">
        <v>48000</v>
      </c>
      <c r="Z235" s="18">
        <f>SUMIFS('Stock - ETA'!$S$3:S4963,'Stock - ETA'!$F$3:F4963,'Rango proyecciones'!C235,'Stock - ETA'!$AA$3:AA4963,'Rango proyecciones'!$AJ$5) + SUMIFS('Stock - ETA'!$R$3:R4963,'Stock - ETA'!$F$3:F4963,'Rango proyecciones'!C235,'Stock - ETA'!$AA$3:AA4963,'Rango proyecciones'!$AJ$7)</f>
        <v>0</v>
      </c>
      <c r="AA235" s="13">
        <f t="shared" si="66"/>
        <v>48000</v>
      </c>
      <c r="AB235" s="7">
        <f>SUMIFS('Stock - ETA'!$I$3:I4963,'Stock - ETA'!$F$3:F4963,'Rango proyecciones'!C235,'Stock - ETA'!$Q$3:Q4963,'Rango proyecciones'!$AJ$5) + SUMIFS('Stock - ETA'!$H$3:H4963,'Stock - ETA'!$F$3:F4963,'Rango proyecciones'!C235,'Stock - ETA'!$Q$3:Q4963,'Rango proyecciones'!$AJ$7)</f>
        <v>0</v>
      </c>
      <c r="AC235" s="16">
        <f t="shared" si="67"/>
        <v>48000</v>
      </c>
      <c r="AD235" s="4">
        <v>48000</v>
      </c>
      <c r="AE235" s="7">
        <f>SUMIFS('Stock - ETA'!$T$3:T4963,'Stock - ETA'!$F$3:F4963,'Rango proyecciones'!C235,'Stock - ETA'!$AA$3:AA4963,'Rango proyecciones'!$AJ$5) + SUMIFS('Stock - ETA'!$S$3:S4963,'Stock - ETA'!$F$3:F4963,'Rango proyecciones'!C235,'Stock - ETA'!$AA$3:AA4963,'Rango proyecciones'!$AJ$8)</f>
        <v>48000</v>
      </c>
      <c r="AF235" s="16">
        <f t="shared" si="76"/>
        <v>81600</v>
      </c>
      <c r="AG235" s="7">
        <f>SUMIFS('Stock - ETA'!$J$3:J4963,'Stock - ETA'!$F$3:F4963,'Rango proyecciones'!C235,'Stock - ETA'!$Q$3:Q4963,'Rango proyecciones'!$AJ$5) + SUMIFS('Stock - ETA'!$I$3:I4963,'Stock - ETA'!$F$3:F4963,'Rango proyecciones'!C235,'Stock - ETA'!$Q$3:Q4963,'Rango proyecciones'!$AJ$8)</f>
        <v>48000</v>
      </c>
      <c r="AH235" s="16">
        <f t="shared" si="77"/>
        <v>81600</v>
      </c>
      <c r="AI235" s="4"/>
    </row>
    <row r="236" spans="1:35" x14ac:dyDescent="0.2">
      <c r="A236" s="2"/>
      <c r="B236" s="2" t="s">
        <v>35</v>
      </c>
      <c r="C236" s="2" t="s">
        <v>465</v>
      </c>
      <c r="D236" s="2" t="s">
        <v>391</v>
      </c>
      <c r="E236" s="2">
        <v>1022767</v>
      </c>
      <c r="F236" s="2"/>
      <c r="G236" s="2"/>
      <c r="H236" s="4">
        <v>0</v>
      </c>
      <c r="I236" s="7">
        <v>0</v>
      </c>
      <c r="J236" s="7">
        <v>3200</v>
      </c>
      <c r="K236" s="7">
        <v>241.72</v>
      </c>
      <c r="L236" s="4">
        <f t="shared" si="74"/>
        <v>4437.42</v>
      </c>
      <c r="M236" s="7">
        <f>SUMIFS('Stock - ETA'!$R$3:R4963,'Stock - ETA'!$F$3:F4963,'Rango proyecciones'!C236,'Stock - ETA'!$AA$3:AA4963,'Rango proyecciones'!$AJ$5)</f>
        <v>24000</v>
      </c>
      <c r="N236" s="7">
        <f>SUMIF('Stock - Puerto Chile'!$G$2:G973,'Rango proyecciones'!C236,'Stock - Puerto Chile'!$L$2:L973)</f>
        <v>100800</v>
      </c>
      <c r="O236" s="7">
        <v>0</v>
      </c>
      <c r="P236" s="7">
        <v>0</v>
      </c>
      <c r="Q236" s="16">
        <f>H236 + P236 + M236</f>
        <v>24000</v>
      </c>
      <c r="R236" s="7">
        <f t="shared" si="75"/>
        <v>7607.0057142857149</v>
      </c>
      <c r="S236" s="7">
        <f>SUMIFS('Stock - ETA'!$H$3:H4963,'Stock - ETA'!$F$3:F4963,'Rango proyecciones'!C236,'Stock - ETA'!$Q$3:Q4963,'Rango proyecciones'!$AJ$5)</f>
        <v>24000</v>
      </c>
      <c r="T236" s="7">
        <f>SUMIF('Stock - Puerto Chile'!$G$2:G973,'Rango proyecciones'!C236,'Stock - Puerto Chile'!$N$2:N973)</f>
        <v>120960</v>
      </c>
      <c r="U236" s="7">
        <v>0</v>
      </c>
      <c r="V236" s="7">
        <v>0</v>
      </c>
      <c r="W236" s="17">
        <f>H236 + V236 + S236 + U236</f>
        <v>24000</v>
      </c>
      <c r="X236" s="4">
        <v>41987</v>
      </c>
      <c r="Y236" s="7">
        <v>41987</v>
      </c>
      <c r="Z236" s="18">
        <f>SUMIFS('Stock - ETA'!$S$3:S4963,'Stock - ETA'!$F$3:F4963,'Rango proyecciones'!C236,'Stock - ETA'!$AA$3:AA4963,'Rango proyecciones'!$AJ$5) + SUMIFS('Stock - ETA'!$R$3:R4963,'Stock - ETA'!$F$3:F4963,'Rango proyecciones'!C236,'Stock - ETA'!$AA$3:AA4963,'Rango proyecciones'!$AJ$7)</f>
        <v>24000</v>
      </c>
      <c r="AA236" s="13">
        <f t="shared" si="66"/>
        <v>65987</v>
      </c>
      <c r="AB236" s="7">
        <f>SUMIFS('Stock - ETA'!$I$3:I4963,'Stock - ETA'!$F$3:F4963,'Rango proyecciones'!C236,'Stock - ETA'!$Q$3:Q4963,'Rango proyecciones'!$AJ$5) + SUMIFS('Stock - ETA'!$H$3:H4963,'Stock - ETA'!$F$3:F4963,'Rango proyecciones'!C236,'Stock - ETA'!$Q$3:Q4963,'Rango proyecciones'!$AJ$7)</f>
        <v>24000</v>
      </c>
      <c r="AC236" s="16">
        <f t="shared" si="67"/>
        <v>65987</v>
      </c>
      <c r="AD236" s="4">
        <v>41987</v>
      </c>
      <c r="AE236" s="7">
        <f>SUMIFS('Stock - ETA'!$T$3:T4963,'Stock - ETA'!$F$3:F4963,'Rango proyecciones'!C236,'Stock - ETA'!$AA$3:AA4963,'Rango proyecciones'!$AJ$5) + SUMIFS('Stock - ETA'!$S$3:S4963,'Stock - ETA'!$F$3:F4963,'Rango proyecciones'!C236,'Stock - ETA'!$AA$3:AA4963,'Rango proyecciones'!$AJ$8)</f>
        <v>0</v>
      </c>
      <c r="AF236" s="16">
        <f t="shared" si="76"/>
        <v>29390.899999999998</v>
      </c>
      <c r="AG236" s="7">
        <f>SUMIFS('Stock - ETA'!$J$3:J4963,'Stock - ETA'!$F$3:F4963,'Rango proyecciones'!C236,'Stock - ETA'!$Q$3:Q4963,'Rango proyecciones'!$AJ$5) + SUMIFS('Stock - ETA'!$I$3:I4963,'Stock - ETA'!$F$3:F4963,'Rango proyecciones'!C236,'Stock - ETA'!$Q$3:Q4963,'Rango proyecciones'!$AJ$8)</f>
        <v>0</v>
      </c>
      <c r="AH236" s="16">
        <f t="shared" si="77"/>
        <v>29390.899999999998</v>
      </c>
      <c r="AI236" s="4"/>
    </row>
    <row r="237" spans="1:35" x14ac:dyDescent="0.2">
      <c r="A237" s="2"/>
      <c r="B237" s="2" t="s">
        <v>35</v>
      </c>
      <c r="C237" s="2" t="s">
        <v>466</v>
      </c>
      <c r="D237" s="2" t="s">
        <v>389</v>
      </c>
      <c r="E237" s="2">
        <v>1023109</v>
      </c>
      <c r="F237" s="2"/>
      <c r="G237" s="2"/>
      <c r="H237" s="4">
        <v>0</v>
      </c>
      <c r="I237" s="7">
        <v>0</v>
      </c>
      <c r="J237" s="7">
        <v>0</v>
      </c>
      <c r="K237" s="7">
        <v>0</v>
      </c>
      <c r="L237" s="4">
        <f t="shared" si="74"/>
        <v>0</v>
      </c>
      <c r="M237" s="7">
        <f>SUMIFS('Stock - ETA'!$R$3:R4963,'Stock - ETA'!$F$3:F4963,'Rango proyecciones'!C237,'Stock - ETA'!$AA$3:AA4963,'Rango proyecciones'!$AJ$5)</f>
        <v>32600.84</v>
      </c>
      <c r="N237" s="7">
        <f>SUMIF('Stock - Puerto Chile'!$G$2:G973,'Rango proyecciones'!C237,'Stock - Puerto Chile'!$L$2:L973)</f>
        <v>0</v>
      </c>
      <c r="O237" s="7">
        <v>0</v>
      </c>
      <c r="P237" s="7">
        <v>0</v>
      </c>
      <c r="Q237" s="16">
        <f>H237 + P237 + M237</f>
        <v>32600.84</v>
      </c>
      <c r="R237" s="7">
        <f t="shared" si="75"/>
        <v>0</v>
      </c>
      <c r="S237" s="7">
        <f>SUMIFS('Stock - ETA'!$H$3:H4963,'Stock - ETA'!$F$3:F4963,'Rango proyecciones'!C237,'Stock - ETA'!$Q$3:Q4963,'Rango proyecciones'!$AJ$5)</f>
        <v>32600.84</v>
      </c>
      <c r="T237" s="7">
        <f>SUMIF('Stock - Puerto Chile'!$G$2:G973,'Rango proyecciones'!C237,'Stock - Puerto Chile'!$N$2:N973)</f>
        <v>0</v>
      </c>
      <c r="U237" s="7">
        <v>0</v>
      </c>
      <c r="V237" s="7">
        <v>0</v>
      </c>
      <c r="W237" s="17">
        <f>H237 + V237 + S237 + U237</f>
        <v>32600.84</v>
      </c>
      <c r="X237" s="4"/>
      <c r="Y237" s="7"/>
      <c r="Z237" s="18">
        <f>SUMIFS('Stock - ETA'!$S$3:S4963,'Stock - ETA'!$F$3:F4963,'Rango proyecciones'!C237,'Stock - ETA'!$AA$3:AA4963,'Rango proyecciones'!$AJ$5) + SUMIFS('Stock - ETA'!$R$3:R4963,'Stock - ETA'!$F$3:F4963,'Rango proyecciones'!C237,'Stock - ETA'!$AA$3:AA4963,'Rango proyecciones'!$AJ$7)</f>
        <v>0</v>
      </c>
      <c r="AA237" s="13">
        <f t="shared" si="66"/>
        <v>0</v>
      </c>
      <c r="AB237" s="7">
        <f>SUMIFS('Stock - ETA'!$I$3:I4963,'Stock - ETA'!$F$3:F4963,'Rango proyecciones'!C237,'Stock - ETA'!$Q$3:Q4963,'Rango proyecciones'!$AJ$5) + SUMIFS('Stock - ETA'!$H$3:H4963,'Stock - ETA'!$F$3:F4963,'Rango proyecciones'!C237,'Stock - ETA'!$Q$3:Q4963,'Rango proyecciones'!$AJ$7)</f>
        <v>0</v>
      </c>
      <c r="AC237" s="16">
        <f t="shared" si="67"/>
        <v>0</v>
      </c>
      <c r="AD237" s="4">
        <v>2746</v>
      </c>
      <c r="AE237" s="7">
        <f>SUMIFS('Stock - ETA'!$T$3:T4963,'Stock - ETA'!$F$3:F4963,'Rango proyecciones'!C237,'Stock - ETA'!$AA$3:AA4963,'Rango proyecciones'!$AJ$5) + SUMIFS('Stock - ETA'!$S$3:S4963,'Stock - ETA'!$F$3:F4963,'Rango proyecciones'!C237,'Stock - ETA'!$AA$3:AA4963,'Rango proyecciones'!$AJ$8)</f>
        <v>0</v>
      </c>
      <c r="AF237" s="16">
        <f>0.6 * AD237 + AE237</f>
        <v>1647.6</v>
      </c>
      <c r="AG237" s="7">
        <f>SUMIFS('Stock - ETA'!$J$3:J4963,'Stock - ETA'!$F$3:F4963,'Rango proyecciones'!C237,'Stock - ETA'!$Q$3:Q4963,'Rango proyecciones'!$AJ$5) + SUMIFS('Stock - ETA'!$I$3:I4963,'Stock - ETA'!$F$3:F4963,'Rango proyecciones'!C237,'Stock - ETA'!$Q$3:Q4963,'Rango proyecciones'!$AJ$8)</f>
        <v>0</v>
      </c>
      <c r="AH237" s="16">
        <f>0.6 * AD237 + AG237</f>
        <v>1647.6</v>
      </c>
      <c r="AI237" s="4"/>
    </row>
    <row r="238" spans="1:35" x14ac:dyDescent="0.2">
      <c r="A238" s="2"/>
      <c r="B238" s="2" t="s">
        <v>35</v>
      </c>
      <c r="C238" s="2" t="s">
        <v>467</v>
      </c>
      <c r="D238" s="2" t="s">
        <v>389</v>
      </c>
      <c r="E238" s="2">
        <v>1022932</v>
      </c>
      <c r="F238" s="2"/>
      <c r="G238" s="2"/>
      <c r="H238" s="4">
        <v>0</v>
      </c>
      <c r="I238" s="7">
        <v>0</v>
      </c>
      <c r="J238" s="7">
        <v>0</v>
      </c>
      <c r="K238" s="7">
        <v>0</v>
      </c>
      <c r="L238" s="4">
        <f t="shared" si="74"/>
        <v>0</v>
      </c>
      <c r="M238" s="7">
        <f>SUMIFS('Stock - ETA'!$R$3:R4963,'Stock - ETA'!$F$3:F4963,'Rango proyecciones'!C238,'Stock - ETA'!$AA$3:AA4963,'Rango proyecciones'!$AJ$5)</f>
        <v>43560</v>
      </c>
      <c r="N238" s="7">
        <f>SUMIF('Stock - Puerto Chile'!$G$2:G973,'Rango proyecciones'!C238,'Stock - Puerto Chile'!$L$2:L973)</f>
        <v>0</v>
      </c>
      <c r="O238" s="7">
        <v>0</v>
      </c>
      <c r="P238" s="7">
        <v>0</v>
      </c>
      <c r="Q238" s="16">
        <f>H238 + P238 + M238</f>
        <v>43560</v>
      </c>
      <c r="R238" s="7">
        <f t="shared" si="75"/>
        <v>0</v>
      </c>
      <c r="S238" s="7">
        <f>SUMIFS('Stock - ETA'!$H$3:H4963,'Stock - ETA'!$F$3:F4963,'Rango proyecciones'!C238,'Stock - ETA'!$Q$3:Q4963,'Rango proyecciones'!$AJ$5)</f>
        <v>43560</v>
      </c>
      <c r="T238" s="7">
        <f>SUMIF('Stock - Puerto Chile'!$G$2:G973,'Rango proyecciones'!C238,'Stock - Puerto Chile'!$N$2:N973)</f>
        <v>0</v>
      </c>
      <c r="U238" s="7">
        <v>0</v>
      </c>
      <c r="V238" s="7">
        <v>0</v>
      </c>
      <c r="W238" s="17">
        <f>H238 + V238 + S238 + U238</f>
        <v>43560</v>
      </c>
      <c r="X238" s="4"/>
      <c r="Y238" s="7"/>
      <c r="Z238" s="18">
        <f>SUMIFS('Stock - ETA'!$S$3:S4963,'Stock - ETA'!$F$3:F4963,'Rango proyecciones'!C238,'Stock - ETA'!$AA$3:AA4963,'Rango proyecciones'!$AJ$5) + SUMIFS('Stock - ETA'!$R$3:R4963,'Stock - ETA'!$F$3:F4963,'Rango proyecciones'!C238,'Stock - ETA'!$AA$3:AA4963,'Rango proyecciones'!$AJ$7)</f>
        <v>0</v>
      </c>
      <c r="AA238" s="13">
        <f t="shared" si="66"/>
        <v>0</v>
      </c>
      <c r="AB238" s="7">
        <f>SUMIFS('Stock - ETA'!$I$3:I4963,'Stock - ETA'!$F$3:F4963,'Rango proyecciones'!C238,'Stock - ETA'!$Q$3:Q4963,'Rango proyecciones'!$AJ$5) + SUMIFS('Stock - ETA'!$H$3:H4963,'Stock - ETA'!$F$3:F4963,'Rango proyecciones'!C238,'Stock - ETA'!$Q$3:Q4963,'Rango proyecciones'!$AJ$7)</f>
        <v>0</v>
      </c>
      <c r="AC238" s="16">
        <f t="shared" si="67"/>
        <v>0</v>
      </c>
      <c r="AD238" s="4"/>
      <c r="AE238" s="7">
        <f>SUMIFS('Stock - ETA'!$T$3:T4963,'Stock - ETA'!$F$3:F4963,'Rango proyecciones'!C238,'Stock - ETA'!$AA$3:AA4963,'Rango proyecciones'!$AJ$5) + SUMIFS('Stock - ETA'!$S$3:S4963,'Stock - ETA'!$F$3:F4963,'Rango proyecciones'!C238,'Stock - ETA'!$AA$3:AA4963,'Rango proyecciones'!$AJ$8)</f>
        <v>0</v>
      </c>
      <c r="AF238" s="16">
        <f>0.6 * AD238 + AE238</f>
        <v>0</v>
      </c>
      <c r="AG238" s="7">
        <f>SUMIFS('Stock - ETA'!$J$3:J4963,'Stock - ETA'!$F$3:F4963,'Rango proyecciones'!C238,'Stock - ETA'!$Q$3:Q4963,'Rango proyecciones'!$AJ$5) + SUMIFS('Stock - ETA'!$I$3:I4963,'Stock - ETA'!$F$3:F4963,'Rango proyecciones'!C238,'Stock - ETA'!$Q$3:Q4963,'Rango proyecciones'!$AJ$8)</f>
        <v>0</v>
      </c>
      <c r="AH238" s="16">
        <f>0.6 * AD238 + AG238</f>
        <v>0</v>
      </c>
      <c r="AI238" s="4"/>
    </row>
    <row r="239" spans="1:35" x14ac:dyDescent="0.2">
      <c r="A239" s="2"/>
      <c r="B239" s="2" t="s">
        <v>394</v>
      </c>
      <c r="C239" s="2" t="s">
        <v>468</v>
      </c>
      <c r="D239" s="2" t="s">
        <v>396</v>
      </c>
      <c r="E239" s="2">
        <v>1023283</v>
      </c>
      <c r="F239" s="2"/>
      <c r="G239" s="2"/>
      <c r="H239" s="4">
        <v>0</v>
      </c>
      <c r="I239" s="7">
        <v>0</v>
      </c>
      <c r="J239" s="7"/>
      <c r="K239" s="7">
        <v>755.67</v>
      </c>
      <c r="L239" s="4">
        <f t="shared" si="74"/>
        <v>0</v>
      </c>
      <c r="M239" s="7">
        <f>SUMIF('Stock - ETA'!$F$3:F4963,'Rango proyecciones'!C239,'Stock - ETA'!$R$3:R4963)</f>
        <v>24001.8</v>
      </c>
      <c r="N239" s="7">
        <f>SUMIF('Stock - Puerto Chile'!$G$2:G973,'Rango proyecciones'!C239,'Stock - Puerto Chile'!$L$2:L973)</f>
        <v>313413.59279999998</v>
      </c>
      <c r="O239" s="7">
        <v>0</v>
      </c>
      <c r="P239" s="7">
        <v>0</v>
      </c>
      <c r="Q239" s="16">
        <f>H239 + M239 + N239 + L239</f>
        <v>337415.39279999997</v>
      </c>
      <c r="R239" s="7">
        <f t="shared" si="75"/>
        <v>0</v>
      </c>
      <c r="S239" s="7">
        <f>SUMIF('Stock - ETA'!$F$3:F4963,'Rango proyecciones'!C239,'Stock - ETA'!$H$3:H4963)</f>
        <v>24001.8</v>
      </c>
      <c r="T239" s="7">
        <f>SUMIF('Stock - Puerto Chile'!$G$2:G973,'Rango proyecciones'!C239,'Stock - Puerto Chile'!$N$2:N973)</f>
        <v>376096.31135999993</v>
      </c>
      <c r="U239" s="7">
        <v>0</v>
      </c>
      <c r="V239" s="7">
        <v>0</v>
      </c>
      <c r="W239" s="16">
        <f>H239 + S239 + R239 + T239</f>
        <v>400098.11135999992</v>
      </c>
      <c r="X239" s="4"/>
      <c r="Y239" s="7"/>
      <c r="Z239" s="18">
        <f>SUMIF('Stock - ETA'!$F$3:F4963,'Rango proyecciones'!C239,'Stock - ETA'!$S$3:S4963)</f>
        <v>64279.97</v>
      </c>
      <c r="AA239" s="13">
        <f t="shared" si="66"/>
        <v>64279.97</v>
      </c>
      <c r="AB239" s="7">
        <f>SUMIF('Stock - ETA'!$F$3:F4963,'Rango proyecciones'!C239,'Stock - ETA'!$I$3:I4963)</f>
        <v>64279.97</v>
      </c>
      <c r="AC239" s="16">
        <f t="shared" si="67"/>
        <v>64279.97</v>
      </c>
      <c r="AD239" s="4"/>
      <c r="AE239" s="7">
        <f>SUMIF('Stock - ETA'!$F$3:F4963,'Rango proyecciones'!C239,'Stock - ETA'!$T$3:T4963)</f>
        <v>0</v>
      </c>
      <c r="AF239" s="16">
        <f>0.7 * AD239 + AE239</f>
        <v>0</v>
      </c>
      <c r="AG239" s="7">
        <f>SUMIF('Stock - ETA'!$F$3:F4963,'Rango proyecciones'!C239,'Stock - ETA'!$J$3:J4963)</f>
        <v>0</v>
      </c>
      <c r="AH239" s="16">
        <f>0.7 * AD239 + AG239</f>
        <v>0</v>
      </c>
      <c r="AI239" s="4"/>
    </row>
    <row r="240" spans="1:35" x14ac:dyDescent="0.2">
      <c r="A240" s="2"/>
      <c r="B240" s="2" t="s">
        <v>35</v>
      </c>
      <c r="C240" s="2" t="s">
        <v>469</v>
      </c>
      <c r="D240" s="2" t="s">
        <v>391</v>
      </c>
      <c r="E240" s="2">
        <v>1022128</v>
      </c>
      <c r="F240" s="2"/>
      <c r="G240" s="2"/>
      <c r="H240" s="4">
        <v>0</v>
      </c>
      <c r="I240" s="7">
        <v>0</v>
      </c>
      <c r="J240" s="7">
        <v>1195</v>
      </c>
      <c r="K240" s="7">
        <v>533.36</v>
      </c>
      <c r="L240" s="4">
        <f t="shared" si="74"/>
        <v>992.46</v>
      </c>
      <c r="M240" s="7">
        <f>SUMIFS('Stock - ETA'!$R$3:R4963,'Stock - ETA'!$F$3:F4963,'Rango proyecciones'!C240,'Stock - ETA'!$AA$3:AA4963,'Rango proyecciones'!$AJ$5)</f>
        <v>3007.72</v>
      </c>
      <c r="N240" s="7">
        <f>SUMIF('Stock - Puerto Chile'!$G$2:G973,'Rango proyecciones'!C240,'Stock - Puerto Chile'!$L$2:L973)</f>
        <v>0</v>
      </c>
      <c r="O240" s="7">
        <v>0</v>
      </c>
      <c r="P240" s="7">
        <v>0</v>
      </c>
      <c r="Q240" s="16">
        <f>H240 + P240 + M240</f>
        <v>3007.72</v>
      </c>
      <c r="R240" s="7">
        <f t="shared" si="75"/>
        <v>1701.3600000000001</v>
      </c>
      <c r="S240" s="7">
        <f>SUMIFS('Stock - ETA'!$H$3:H4963,'Stock - ETA'!$F$3:F4963,'Rango proyecciones'!C240,'Stock - ETA'!$Q$3:Q4963,'Rango proyecciones'!$AJ$5)</f>
        <v>3007.72</v>
      </c>
      <c r="T240" s="7">
        <f>SUMIF('Stock - Puerto Chile'!$G$2:G973,'Rango proyecciones'!C240,'Stock - Puerto Chile'!$N$2:N973)</f>
        <v>0</v>
      </c>
      <c r="U240" s="7">
        <v>0</v>
      </c>
      <c r="V240" s="7">
        <v>0</v>
      </c>
      <c r="W240" s="17">
        <f>H240 + V240 + S240 + U240</f>
        <v>3007.72</v>
      </c>
      <c r="X240" s="4">
        <v>10000</v>
      </c>
      <c r="Y240" s="7">
        <v>10000</v>
      </c>
      <c r="Z240" s="18">
        <f>SUMIFS('Stock - ETA'!$S$3:S4963,'Stock - ETA'!$F$3:F4963,'Rango proyecciones'!C240,'Stock - ETA'!$AA$3:AA4963,'Rango proyecciones'!$AJ$5) + SUMIFS('Stock - ETA'!$R$3:R4963,'Stock - ETA'!$F$3:F4963,'Rango proyecciones'!C240,'Stock - ETA'!$AA$3:AA4963,'Rango proyecciones'!$AJ$7)</f>
        <v>7473.55</v>
      </c>
      <c r="AA240" s="13">
        <f t="shared" si="66"/>
        <v>17473.55</v>
      </c>
      <c r="AB240" s="7">
        <f>SUMIFS('Stock - ETA'!$I$3:I4963,'Stock - ETA'!$F$3:F4963,'Rango proyecciones'!C240,'Stock - ETA'!$Q$3:Q4963,'Rango proyecciones'!$AJ$5) + SUMIFS('Stock - ETA'!$H$3:H4963,'Stock - ETA'!$F$3:F4963,'Rango proyecciones'!C240,'Stock - ETA'!$Q$3:Q4963,'Rango proyecciones'!$AJ$7)</f>
        <v>7473.55</v>
      </c>
      <c r="AC240" s="16">
        <f t="shared" si="67"/>
        <v>17473.55</v>
      </c>
      <c r="AD240" s="4">
        <v>20000</v>
      </c>
      <c r="AE240" s="7">
        <f>SUMIFS('Stock - ETA'!$T$3:T4963,'Stock - ETA'!$F$3:F4963,'Rango proyecciones'!C240,'Stock - ETA'!$AA$3:AA4963,'Rango proyecciones'!$AJ$5) + SUMIFS('Stock - ETA'!$S$3:S4963,'Stock - ETA'!$F$3:F4963,'Rango proyecciones'!C240,'Stock - ETA'!$AA$3:AA4963,'Rango proyecciones'!$AJ$8)</f>
        <v>0</v>
      </c>
      <c r="AF240" s="16">
        <f>0.7 * AD240 + AE240</f>
        <v>14000</v>
      </c>
      <c r="AG240" s="7">
        <f>SUMIFS('Stock - ETA'!$J$3:J4963,'Stock - ETA'!$F$3:F4963,'Rango proyecciones'!C240,'Stock - ETA'!$Q$3:Q4963,'Rango proyecciones'!$AJ$5) + SUMIFS('Stock - ETA'!$I$3:I4963,'Stock - ETA'!$F$3:F4963,'Rango proyecciones'!C240,'Stock - ETA'!$Q$3:Q4963,'Rango proyecciones'!$AJ$8)</f>
        <v>0</v>
      </c>
      <c r="AH240" s="16">
        <f>0.7 * AD240 + AG240</f>
        <v>14000</v>
      </c>
      <c r="AI240" s="4"/>
    </row>
    <row r="241" spans="1:35" x14ac:dyDescent="0.2">
      <c r="A241" s="2"/>
      <c r="B241" s="2" t="s">
        <v>35</v>
      </c>
      <c r="C241" s="2" t="s">
        <v>470</v>
      </c>
      <c r="D241" s="2" t="s">
        <v>386</v>
      </c>
      <c r="E241" s="2">
        <v>1030635</v>
      </c>
      <c r="F241" s="2"/>
      <c r="G241" s="2"/>
      <c r="H241" s="4">
        <v>0</v>
      </c>
      <c r="I241" s="7">
        <v>0</v>
      </c>
      <c r="J241" s="7">
        <v>13671</v>
      </c>
      <c r="K241" s="7"/>
      <c r="L241" s="4">
        <f t="shared" si="74"/>
        <v>20506.5</v>
      </c>
      <c r="M241" s="7">
        <f>SUMIFS('Stock - ETA'!$R$3:R4963,'Stock - ETA'!$F$3:F4963,'Rango proyecciones'!C241,'Stock - ETA'!$AA$3:AA4963,'Rango proyecciones'!$AJ$5)</f>
        <v>0</v>
      </c>
      <c r="N241" s="7">
        <f>SUMIF('Stock - Puerto Chile'!$G$2:G973,'Rango proyecciones'!C241,'Stock - Puerto Chile'!$L$2:L973)</f>
        <v>0</v>
      </c>
      <c r="O241" s="7">
        <v>0</v>
      </c>
      <c r="P241" s="7">
        <v>0</v>
      </c>
      <c r="Q241" s="16">
        <f>H241 + P241 + M241</f>
        <v>0</v>
      </c>
      <c r="R241" s="7">
        <f t="shared" si="75"/>
        <v>35154</v>
      </c>
      <c r="S241" s="7">
        <f>SUMIFS('Stock - ETA'!$H$3:H4963,'Stock - ETA'!$F$3:F4963,'Rango proyecciones'!C241,'Stock - ETA'!$Q$3:Q4963,'Rango proyecciones'!$AJ$5)</f>
        <v>0</v>
      </c>
      <c r="T241" s="7">
        <f>SUMIF('Stock - Puerto Chile'!$G$2:G973,'Rango proyecciones'!C241,'Stock - Puerto Chile'!$N$2:N973)</f>
        <v>0</v>
      </c>
      <c r="U241" s="7">
        <v>0</v>
      </c>
      <c r="V241" s="7">
        <v>0</v>
      </c>
      <c r="W241" s="17">
        <f>H241 + V241 + S241 + U241</f>
        <v>0</v>
      </c>
      <c r="X241" s="4"/>
      <c r="Y241" s="7"/>
      <c r="Z241" s="18">
        <f>SUMIFS('Stock - ETA'!$S$3:S4963,'Stock - ETA'!$F$3:F4963,'Rango proyecciones'!C241,'Stock - ETA'!$AA$3:AA4963,'Rango proyecciones'!$AJ$5) + SUMIFS('Stock - ETA'!$R$3:R4963,'Stock - ETA'!$F$3:F4963,'Rango proyecciones'!C241,'Stock - ETA'!$AA$3:AA4963,'Rango proyecciones'!$AJ$7)</f>
        <v>0</v>
      </c>
      <c r="AA241" s="13">
        <f t="shared" si="66"/>
        <v>0</v>
      </c>
      <c r="AB241" s="7">
        <f>SUMIFS('Stock - ETA'!$I$3:I4963,'Stock - ETA'!$F$3:F4963,'Rango proyecciones'!C241,'Stock - ETA'!$Q$3:Q4963,'Rango proyecciones'!$AJ$5) + SUMIFS('Stock - ETA'!$H$3:H4963,'Stock - ETA'!$F$3:F4963,'Rango proyecciones'!C241,'Stock - ETA'!$Q$3:Q4963,'Rango proyecciones'!$AJ$7)</f>
        <v>0</v>
      </c>
      <c r="AC241" s="16">
        <f t="shared" si="67"/>
        <v>0</v>
      </c>
      <c r="AD241" s="4"/>
      <c r="AE241" s="7">
        <f>SUMIFS('Stock - ETA'!$T$3:T4963,'Stock - ETA'!$F$3:F4963,'Rango proyecciones'!C241,'Stock - ETA'!$AA$3:AA4963,'Rango proyecciones'!$AJ$5) + SUMIFS('Stock - ETA'!$S$3:S4963,'Stock - ETA'!$F$3:F4963,'Rango proyecciones'!C241,'Stock - ETA'!$AA$3:AA4963,'Rango proyecciones'!$AJ$8)</f>
        <v>11600</v>
      </c>
      <c r="AF241" s="16">
        <f>0.7 * AD241 + AE241</f>
        <v>11600</v>
      </c>
      <c r="AG241" s="7">
        <f>SUMIFS('Stock - ETA'!$J$3:J4963,'Stock - ETA'!$F$3:F4963,'Rango proyecciones'!C241,'Stock - ETA'!$Q$3:Q4963,'Rango proyecciones'!$AJ$5) + SUMIFS('Stock - ETA'!$I$3:I4963,'Stock - ETA'!$F$3:F4963,'Rango proyecciones'!C241,'Stock - ETA'!$Q$3:Q4963,'Rango proyecciones'!$AJ$8)</f>
        <v>11600</v>
      </c>
      <c r="AH241" s="16">
        <f>0.7 * AD241 + AG241</f>
        <v>11600</v>
      </c>
      <c r="AI241" s="4"/>
    </row>
    <row r="242" spans="1:35" x14ac:dyDescent="0.2">
      <c r="A242" s="2"/>
      <c r="B242" s="2" t="s">
        <v>35</v>
      </c>
      <c r="C242" s="2" t="s">
        <v>471</v>
      </c>
      <c r="D242" s="2" t="s">
        <v>386</v>
      </c>
      <c r="E242" s="2">
        <v>1030498</v>
      </c>
      <c r="F242" s="2"/>
      <c r="G242" s="2"/>
      <c r="H242" s="4">
        <v>0</v>
      </c>
      <c r="I242" s="7">
        <v>0</v>
      </c>
      <c r="J242" s="7">
        <v>0</v>
      </c>
      <c r="K242" s="7">
        <v>0</v>
      </c>
      <c r="L242" s="4">
        <f t="shared" si="74"/>
        <v>0</v>
      </c>
      <c r="M242" s="7">
        <f>SUMIFS('Stock - ETA'!$R$3:R4963,'Stock - ETA'!$F$3:F4963,'Rango proyecciones'!C242,'Stock - ETA'!$AA$3:AA4963,'Rango proyecciones'!$AJ$5)</f>
        <v>0</v>
      </c>
      <c r="N242" s="7">
        <f>SUMIF('Stock - Puerto Chile'!$G$2:G973,'Rango proyecciones'!C242,'Stock - Puerto Chile'!$L$2:L973)</f>
        <v>57600</v>
      </c>
      <c r="O242" s="7">
        <v>0</v>
      </c>
      <c r="P242" s="7">
        <v>0</v>
      </c>
      <c r="Q242" s="16">
        <f>H242 + P242 + M242</f>
        <v>0</v>
      </c>
      <c r="R242" s="7">
        <f t="shared" si="75"/>
        <v>0</v>
      </c>
      <c r="S242" s="7">
        <f>SUMIFS('Stock - ETA'!$H$3:H4963,'Stock - ETA'!$F$3:F4963,'Rango proyecciones'!C242,'Stock - ETA'!$Q$3:Q4963,'Rango proyecciones'!$AJ$5)</f>
        <v>0</v>
      </c>
      <c r="T242" s="7">
        <f>SUMIF('Stock - Puerto Chile'!$G$2:G973,'Rango proyecciones'!C242,'Stock - Puerto Chile'!$N$2:N973)</f>
        <v>69120</v>
      </c>
      <c r="U242" s="7">
        <v>0</v>
      </c>
      <c r="V242" s="7">
        <v>0</v>
      </c>
      <c r="W242" s="17">
        <f>H242 + V242 + S242 + U242</f>
        <v>0</v>
      </c>
      <c r="X242" s="4"/>
      <c r="Y242" s="7"/>
      <c r="Z242" s="18">
        <f>SUMIFS('Stock - ETA'!$S$3:S4963,'Stock - ETA'!$F$3:F4963,'Rango proyecciones'!C242,'Stock - ETA'!$AA$3:AA4963,'Rango proyecciones'!$AJ$5) + SUMIFS('Stock - ETA'!$R$3:R4963,'Stock - ETA'!$F$3:F4963,'Rango proyecciones'!C242,'Stock - ETA'!$AA$3:AA4963,'Rango proyecciones'!$AJ$7)</f>
        <v>0</v>
      </c>
      <c r="AA242" s="13">
        <f t="shared" si="66"/>
        <v>0</v>
      </c>
      <c r="AB242" s="7">
        <f>SUMIFS('Stock - ETA'!$I$3:I4963,'Stock - ETA'!$F$3:F4963,'Rango proyecciones'!C242,'Stock - ETA'!$Q$3:Q4963,'Rango proyecciones'!$AJ$5) + SUMIFS('Stock - ETA'!$H$3:H4963,'Stock - ETA'!$F$3:F4963,'Rango proyecciones'!C242,'Stock - ETA'!$Q$3:Q4963,'Rango proyecciones'!$AJ$7)</f>
        <v>0</v>
      </c>
      <c r="AC242" s="16">
        <f t="shared" si="67"/>
        <v>0</v>
      </c>
      <c r="AD242" s="4"/>
      <c r="AE242" s="7">
        <f>SUMIFS('Stock - ETA'!$T$3:T4963,'Stock - ETA'!$F$3:F4963,'Rango proyecciones'!C242,'Stock - ETA'!$AA$3:AA4963,'Rango proyecciones'!$AJ$5) + SUMIFS('Stock - ETA'!$S$3:S4963,'Stock - ETA'!$F$3:F4963,'Rango proyecciones'!C242,'Stock - ETA'!$AA$3:AA4963,'Rango proyecciones'!$AJ$8)</f>
        <v>11420</v>
      </c>
      <c r="AF242" s="16">
        <f>0.7 * AD242 + AE242</f>
        <v>11420</v>
      </c>
      <c r="AG242" s="7">
        <f>SUMIFS('Stock - ETA'!$J$3:J4963,'Stock - ETA'!$F$3:F4963,'Rango proyecciones'!C242,'Stock - ETA'!$Q$3:Q4963,'Rango proyecciones'!$AJ$5) + SUMIFS('Stock - ETA'!$I$3:I4963,'Stock - ETA'!$F$3:F4963,'Rango proyecciones'!C242,'Stock - ETA'!$Q$3:Q4963,'Rango proyecciones'!$AJ$8)</f>
        <v>11420</v>
      </c>
      <c r="AH242" s="16">
        <f>0.7 * AD242 + AG242</f>
        <v>11420</v>
      </c>
      <c r="AI242" s="4"/>
    </row>
    <row r="243" spans="1:35" x14ac:dyDescent="0.2">
      <c r="A243" s="2"/>
      <c r="B243" s="2" t="s">
        <v>35</v>
      </c>
      <c r="C243" s="2" t="s">
        <v>472</v>
      </c>
      <c r="D243" s="2" t="s">
        <v>409</v>
      </c>
      <c r="E243" s="2">
        <v>1100572</v>
      </c>
      <c r="F243" s="2"/>
      <c r="G243" s="2"/>
      <c r="H243" s="4">
        <v>0</v>
      </c>
      <c r="I243" s="7">
        <v>0</v>
      </c>
      <c r="J243" s="7">
        <v>0</v>
      </c>
      <c r="K243" s="7">
        <v>0</v>
      </c>
      <c r="L243" s="4">
        <f t="shared" si="74"/>
        <v>0</v>
      </c>
      <c r="M243" s="7">
        <f>SUMIFS('Stock - ETA'!$R$3:R4963,'Stock - ETA'!$F$3:F4963,'Rango proyecciones'!C243,'Stock - ETA'!$AA$3:AA4963,'Rango proyecciones'!$AJ$5)</f>
        <v>7954.6429039999994</v>
      </c>
      <c r="N243" s="7">
        <f>SUMIF('Stock - Puerto Chile'!$G$2:G973,'Rango proyecciones'!C243,'Stock - Puerto Chile'!$L$2:L973)</f>
        <v>0</v>
      </c>
      <c r="O243" s="7">
        <v>0</v>
      </c>
      <c r="P243" s="7">
        <v>0</v>
      </c>
      <c r="Q243" s="16">
        <f>H243 + P243 + M243</f>
        <v>7954.6429039999994</v>
      </c>
      <c r="R243" s="7">
        <f t="shared" si="75"/>
        <v>0</v>
      </c>
      <c r="S243" s="7">
        <f>SUMIFS('Stock - ETA'!$H$3:H4963,'Stock - ETA'!$F$3:F4963,'Rango proyecciones'!C243,'Stock - ETA'!$Q$3:Q4963,'Rango proyecciones'!$AJ$5)</f>
        <v>7954.6429039999994</v>
      </c>
      <c r="T243" s="7">
        <f>SUMIF('Stock - Puerto Chile'!$G$2:G973,'Rango proyecciones'!C243,'Stock - Puerto Chile'!$N$2:N973)</f>
        <v>0</v>
      </c>
      <c r="U243" s="7">
        <v>0</v>
      </c>
      <c r="V243" s="7">
        <v>0</v>
      </c>
      <c r="W243" s="17">
        <f>H243 + V243 + S243 + U243</f>
        <v>7954.6429039999994</v>
      </c>
      <c r="X243" s="4"/>
      <c r="Y243" s="7"/>
      <c r="Z243" s="18">
        <f>SUMIFS('Stock - ETA'!$S$3:S4963,'Stock - ETA'!$F$3:F4963,'Rango proyecciones'!C243,'Stock - ETA'!$AA$3:AA4963,'Rango proyecciones'!$AJ$5) + SUMIFS('Stock - ETA'!$R$3:R4963,'Stock - ETA'!$F$3:F4963,'Rango proyecciones'!C243,'Stock - ETA'!$AA$3:AA4963,'Rango proyecciones'!$AJ$7)</f>
        <v>7342.7472959999996</v>
      </c>
      <c r="AA243" s="13">
        <f t="shared" si="66"/>
        <v>7342.7472959999996</v>
      </c>
      <c r="AB243" s="7">
        <f>SUMIFS('Stock - ETA'!$I$3:I4963,'Stock - ETA'!$F$3:F4963,'Rango proyecciones'!C243,'Stock - ETA'!$Q$3:Q4963,'Rango proyecciones'!$AJ$5) + SUMIFS('Stock - ETA'!$H$3:H4963,'Stock - ETA'!$F$3:F4963,'Rango proyecciones'!C243,'Stock - ETA'!$Q$3:Q4963,'Rango proyecciones'!$AJ$7)</f>
        <v>7342.7472959999996</v>
      </c>
      <c r="AC243" s="16">
        <f t="shared" si="67"/>
        <v>7342.7472959999996</v>
      </c>
      <c r="AD243" s="4"/>
      <c r="AE243" s="7">
        <f>SUMIFS('Stock - ETA'!$T$3:T4963,'Stock - ETA'!$F$3:F4963,'Rango proyecciones'!C243,'Stock - ETA'!$AA$3:AA4963,'Rango proyecciones'!$AJ$5) + SUMIFS('Stock - ETA'!$S$3:S4963,'Stock - ETA'!$F$3:F4963,'Rango proyecciones'!C243,'Stock - ETA'!$AA$3:AA4963,'Rango proyecciones'!$AJ$8)</f>
        <v>0</v>
      </c>
      <c r="AF243" s="16">
        <f>0.6 * AD243 + AE243</f>
        <v>0</v>
      </c>
      <c r="AG243" s="7">
        <f>SUMIFS('Stock - ETA'!$J$3:J4963,'Stock - ETA'!$F$3:F4963,'Rango proyecciones'!C243,'Stock - ETA'!$Q$3:Q4963,'Rango proyecciones'!$AJ$5) + SUMIFS('Stock - ETA'!$I$3:I4963,'Stock - ETA'!$F$3:F4963,'Rango proyecciones'!C243,'Stock - ETA'!$Q$3:Q4963,'Rango proyecciones'!$AJ$8)</f>
        <v>0</v>
      </c>
      <c r="AH243" s="16">
        <f>0.6 * AD243 + AG243</f>
        <v>0</v>
      </c>
      <c r="AI243" s="4"/>
    </row>
    <row r="244" spans="1:35" x14ac:dyDescent="0.2">
      <c r="A244" s="2"/>
      <c r="B244" s="2" t="s">
        <v>394</v>
      </c>
      <c r="C244" s="2" t="s">
        <v>473</v>
      </c>
      <c r="D244" s="2" t="s">
        <v>396</v>
      </c>
      <c r="E244" s="2">
        <v>1023448</v>
      </c>
      <c r="F244" s="2"/>
      <c r="G244" s="2"/>
      <c r="H244" s="4">
        <v>0</v>
      </c>
      <c r="I244" s="7">
        <v>0</v>
      </c>
      <c r="J244" s="7">
        <v>0</v>
      </c>
      <c r="K244" s="7">
        <v>0</v>
      </c>
      <c r="L244" s="4">
        <f t="shared" si="74"/>
        <v>0</v>
      </c>
      <c r="M244" s="7">
        <f>SUMIF('Stock - ETA'!$F$3:F4963,'Rango proyecciones'!C244,'Stock - ETA'!$R$3:R4963)</f>
        <v>35170.300000000003</v>
      </c>
      <c r="N244" s="7">
        <f>SUMIF('Stock - Puerto Chile'!$G$2:G973,'Rango proyecciones'!C244,'Stock - Puerto Chile'!$L$2:L973)</f>
        <v>0</v>
      </c>
      <c r="O244" s="7">
        <v>0</v>
      </c>
      <c r="P244" s="7">
        <v>0</v>
      </c>
      <c r="Q244" s="16">
        <f>H244 + M244 + N244 + L244</f>
        <v>35170.300000000003</v>
      </c>
      <c r="R244" s="7">
        <f t="shared" si="75"/>
        <v>0</v>
      </c>
      <c r="S244" s="7">
        <f>SUMIF('Stock - ETA'!$F$3:F4963,'Rango proyecciones'!C244,'Stock - ETA'!$H$3:H4963)</f>
        <v>35170.300000000003</v>
      </c>
      <c r="T244" s="7">
        <f>SUMIF('Stock - Puerto Chile'!$G$2:G973,'Rango proyecciones'!C244,'Stock - Puerto Chile'!$N$2:N973)</f>
        <v>0</v>
      </c>
      <c r="U244" s="7">
        <v>0</v>
      </c>
      <c r="V244" s="7">
        <v>0</v>
      </c>
      <c r="W244" s="16">
        <f>H244 + S244 + R244 + T244</f>
        <v>35170.300000000003</v>
      </c>
      <c r="X244" s="4"/>
      <c r="Y244" s="7"/>
      <c r="Z244" s="18">
        <f>SUMIF('Stock - ETA'!$F$3:F4963,'Rango proyecciones'!C244,'Stock - ETA'!$S$3:S4963)</f>
        <v>0</v>
      </c>
      <c r="AA244" s="13">
        <f t="shared" si="66"/>
        <v>0</v>
      </c>
      <c r="AB244" s="7">
        <f>SUMIF('Stock - ETA'!$F$3:F4963,'Rango proyecciones'!C244,'Stock - ETA'!$I$3:I4963)</f>
        <v>0</v>
      </c>
      <c r="AC244" s="16">
        <f t="shared" si="67"/>
        <v>0</v>
      </c>
      <c r="AD244" s="4"/>
      <c r="AE244" s="7">
        <f>SUMIF('Stock - ETA'!$F$3:F4963,'Rango proyecciones'!C244,'Stock - ETA'!$T$3:T4963)</f>
        <v>0</v>
      </c>
      <c r="AF244" s="16">
        <f>0.7 * AD244 + AE244</f>
        <v>0</v>
      </c>
      <c r="AG244" s="7">
        <f>SUMIF('Stock - ETA'!$F$3:F4963,'Rango proyecciones'!C244,'Stock - ETA'!$J$3:J4963)</f>
        <v>0</v>
      </c>
      <c r="AH244" s="16">
        <f>0.7 * AD244 + AG244</f>
        <v>0</v>
      </c>
      <c r="AI244" s="4"/>
    </row>
    <row r="245" spans="1:35" x14ac:dyDescent="0.2">
      <c r="A245" s="2"/>
      <c r="B245" s="2" t="s">
        <v>394</v>
      </c>
      <c r="C245" s="2" t="s">
        <v>474</v>
      </c>
      <c r="D245" s="2" t="s">
        <v>396</v>
      </c>
      <c r="E245" s="2">
        <v>1020904</v>
      </c>
      <c r="F245" s="2"/>
      <c r="G245" s="2"/>
      <c r="H245" s="4">
        <v>0</v>
      </c>
      <c r="I245" s="7">
        <v>0</v>
      </c>
      <c r="J245" s="7">
        <v>0</v>
      </c>
      <c r="K245" s="7">
        <v>0</v>
      </c>
      <c r="L245" s="4">
        <f t="shared" si="74"/>
        <v>0</v>
      </c>
      <c r="M245" s="7">
        <f>SUMIF('Stock - ETA'!$F$3:F4963,'Rango proyecciones'!C245,'Stock - ETA'!$R$3:R4963)</f>
        <v>47062.19</v>
      </c>
      <c r="N245" s="7">
        <f>SUMIF('Stock - Puerto Chile'!$G$2:G973,'Rango proyecciones'!C245,'Stock - Puerto Chile'!$L$2:L973)</f>
        <v>92382.292799999996</v>
      </c>
      <c r="O245" s="7">
        <v>0</v>
      </c>
      <c r="P245" s="7">
        <v>0</v>
      </c>
      <c r="Q245" s="16">
        <f>H245 + M245 + N245 + L245</f>
        <v>139444.4828</v>
      </c>
      <c r="R245" s="7">
        <f t="shared" si="75"/>
        <v>0</v>
      </c>
      <c r="S245" s="7">
        <f>SUMIF('Stock - ETA'!$F$3:F4963,'Rango proyecciones'!C245,'Stock - ETA'!$H$3:H4963)</f>
        <v>47062.19</v>
      </c>
      <c r="T245" s="7">
        <f>SUMIF('Stock - Puerto Chile'!$G$2:G973,'Rango proyecciones'!C245,'Stock - Puerto Chile'!$N$2:N973)</f>
        <v>110858.75135999999</v>
      </c>
      <c r="U245" s="7">
        <v>0</v>
      </c>
      <c r="V245" s="7">
        <v>0</v>
      </c>
      <c r="W245" s="16">
        <f>H245 + S245 + R245 + T245</f>
        <v>157920.94136</v>
      </c>
      <c r="X245" s="4"/>
      <c r="Y245" s="7"/>
      <c r="Z245" s="18">
        <f>SUMIF('Stock - ETA'!$F$3:F4963,'Rango proyecciones'!C245,'Stock - ETA'!$S$3:S4963)</f>
        <v>0</v>
      </c>
      <c r="AA245" s="13">
        <f t="shared" si="66"/>
        <v>0</v>
      </c>
      <c r="AB245" s="7">
        <f>SUMIF('Stock - ETA'!$F$3:F4963,'Rango proyecciones'!C245,'Stock - ETA'!$I$3:I4963)</f>
        <v>0</v>
      </c>
      <c r="AC245" s="16">
        <f t="shared" si="67"/>
        <v>0</v>
      </c>
      <c r="AD245" s="4"/>
      <c r="AE245" s="7">
        <f>SUMIF('Stock - ETA'!$F$3:F4963,'Rango proyecciones'!C245,'Stock - ETA'!$T$3:T4963)</f>
        <v>0</v>
      </c>
      <c r="AF245" s="16">
        <f>0.7 * AD245 + AE245</f>
        <v>0</v>
      </c>
      <c r="AG245" s="7">
        <f>SUMIF('Stock - ETA'!$F$3:F4963,'Rango proyecciones'!C245,'Stock - ETA'!$J$3:J4963)</f>
        <v>0</v>
      </c>
      <c r="AH245" s="16">
        <f>0.7 * AD245 + AG245</f>
        <v>0</v>
      </c>
      <c r="AI245" s="4"/>
    </row>
    <row r="246" spans="1:35" x14ac:dyDescent="0.2">
      <c r="A246" s="2"/>
      <c r="B246" s="2" t="s">
        <v>394</v>
      </c>
      <c r="C246" s="2" t="s">
        <v>475</v>
      </c>
      <c r="D246" s="2" t="s">
        <v>396</v>
      </c>
      <c r="E246" s="2">
        <v>1023435</v>
      </c>
      <c r="F246" s="2"/>
      <c r="G246" s="2"/>
      <c r="H246" s="4">
        <v>0</v>
      </c>
      <c r="I246" s="7">
        <v>0</v>
      </c>
      <c r="J246" s="7">
        <v>0</v>
      </c>
      <c r="K246" s="7">
        <v>0</v>
      </c>
      <c r="L246" s="4">
        <f t="shared" si="74"/>
        <v>0</v>
      </c>
      <c r="M246" s="7">
        <f>SUMIF('Stock - ETA'!$F$3:F4963,'Rango proyecciones'!C246,'Stock - ETA'!$R$3:R4963)</f>
        <v>23514.11</v>
      </c>
      <c r="N246" s="7">
        <f>SUMIF('Stock - Puerto Chile'!$G$2:G973,'Rango proyecciones'!C246,'Stock - Puerto Chile'!$L$2:L973)</f>
        <v>0</v>
      </c>
      <c r="O246" s="7">
        <v>0</v>
      </c>
      <c r="P246" s="7">
        <v>0</v>
      </c>
      <c r="Q246" s="16">
        <f>H246 + M246 + N246 + L246</f>
        <v>23514.11</v>
      </c>
      <c r="R246" s="7">
        <f t="shared" si="75"/>
        <v>0</v>
      </c>
      <c r="S246" s="7">
        <f>SUMIF('Stock - ETA'!$F$3:F4963,'Rango proyecciones'!C246,'Stock - ETA'!$H$3:H4963)</f>
        <v>23514.11</v>
      </c>
      <c r="T246" s="7">
        <f>SUMIF('Stock - Puerto Chile'!$G$2:G973,'Rango proyecciones'!C246,'Stock - Puerto Chile'!$N$2:N973)</f>
        <v>0</v>
      </c>
      <c r="U246" s="7">
        <v>0</v>
      </c>
      <c r="V246" s="7">
        <v>0</v>
      </c>
      <c r="W246" s="16">
        <f>H246 + S246 + R246 + T246</f>
        <v>23514.11</v>
      </c>
      <c r="X246" s="4"/>
      <c r="Y246" s="7"/>
      <c r="Z246" s="18">
        <f>SUMIF('Stock - ETA'!$F$3:F4963,'Rango proyecciones'!C246,'Stock - ETA'!$S$3:S4963)</f>
        <v>0</v>
      </c>
      <c r="AA246" s="13">
        <f t="shared" si="66"/>
        <v>0</v>
      </c>
      <c r="AB246" s="7">
        <f>SUMIF('Stock - ETA'!$F$3:F4963,'Rango proyecciones'!C246,'Stock - ETA'!$I$3:I4963)</f>
        <v>0</v>
      </c>
      <c r="AC246" s="16">
        <f t="shared" si="67"/>
        <v>0</v>
      </c>
      <c r="AD246" s="4"/>
      <c r="AE246" s="7">
        <f>SUMIF('Stock - ETA'!$F$3:F4963,'Rango proyecciones'!C246,'Stock - ETA'!$T$3:T4963)</f>
        <v>0</v>
      </c>
      <c r="AF246" s="16">
        <f>0.7 * AD246 + AE246</f>
        <v>0</v>
      </c>
      <c r="AG246" s="7">
        <f>SUMIF('Stock - ETA'!$F$3:F4963,'Rango proyecciones'!C246,'Stock - ETA'!$J$3:J4963)</f>
        <v>0</v>
      </c>
      <c r="AH246" s="16">
        <f>0.7 * AD246 + AG246</f>
        <v>0</v>
      </c>
      <c r="AI246" s="4"/>
    </row>
    <row r="247" spans="1:35" x14ac:dyDescent="0.2">
      <c r="A247" s="2"/>
      <c r="B247" s="2" t="s">
        <v>35</v>
      </c>
      <c r="C247" s="2" t="s">
        <v>476</v>
      </c>
      <c r="D247" s="2" t="s">
        <v>391</v>
      </c>
      <c r="E247" s="2">
        <v>1022570</v>
      </c>
      <c r="F247" s="2"/>
      <c r="G247" s="2"/>
      <c r="H247" s="4">
        <v>0</v>
      </c>
      <c r="I247" s="7">
        <v>0</v>
      </c>
      <c r="J247" s="7">
        <v>8509.34</v>
      </c>
      <c r="K247" s="7"/>
      <c r="L247" s="4">
        <f t="shared" si="74"/>
        <v>12764.01</v>
      </c>
      <c r="M247" s="7">
        <f>SUMIFS('Stock - ETA'!$R$3:R4963,'Stock - ETA'!$F$3:F4963,'Rango proyecciones'!C247,'Stock - ETA'!$AA$3:AA4963,'Rango proyecciones'!$AJ$5)</f>
        <v>2030.73</v>
      </c>
      <c r="N247" s="7">
        <f>SUMIF('Stock - Puerto Chile'!$G$2:G973,'Rango proyecciones'!C247,'Stock - Puerto Chile'!$L$2:L973)</f>
        <v>0</v>
      </c>
      <c r="O247" s="7">
        <v>0</v>
      </c>
      <c r="P247" s="7">
        <v>0</v>
      </c>
      <c r="Q247" s="16">
        <f>H247 + P247 + M247</f>
        <v>2030.73</v>
      </c>
      <c r="R247" s="7">
        <f t="shared" si="75"/>
        <v>21881.160000000003</v>
      </c>
      <c r="S247" s="7">
        <f>SUMIFS('Stock - ETA'!$H$3:H4963,'Stock - ETA'!$F$3:F4963,'Rango proyecciones'!C247,'Stock - ETA'!$Q$3:Q4963,'Rango proyecciones'!$AJ$5)</f>
        <v>2030.73</v>
      </c>
      <c r="T247" s="7">
        <f>SUMIF('Stock - Puerto Chile'!$G$2:G973,'Rango proyecciones'!C247,'Stock - Puerto Chile'!$N$2:N973)</f>
        <v>0</v>
      </c>
      <c r="U247" s="7">
        <v>0</v>
      </c>
      <c r="V247" s="7">
        <v>0</v>
      </c>
      <c r="W247" s="17">
        <f>H247 + V247 + S247 + U247</f>
        <v>2030.73</v>
      </c>
      <c r="X247" s="4">
        <v>2000</v>
      </c>
      <c r="Y247" s="7">
        <v>2000</v>
      </c>
      <c r="Z247" s="18">
        <f>SUMIFS('Stock - ETA'!$S$3:S4963,'Stock - ETA'!$F$3:F4963,'Rango proyecciones'!C247,'Stock - ETA'!$AA$3:AA4963,'Rango proyecciones'!$AJ$5) + SUMIFS('Stock - ETA'!$R$3:R4963,'Stock - ETA'!$F$3:F4963,'Rango proyecciones'!C247,'Stock - ETA'!$AA$3:AA4963,'Rango proyecciones'!$AJ$7)</f>
        <v>0</v>
      </c>
      <c r="AA247" s="13">
        <f t="shared" si="66"/>
        <v>2000</v>
      </c>
      <c r="AB247" s="7">
        <f>SUMIFS('Stock - ETA'!$I$3:I4963,'Stock - ETA'!$F$3:F4963,'Rango proyecciones'!C247,'Stock - ETA'!$Q$3:Q4963,'Rango proyecciones'!$AJ$5) + SUMIFS('Stock - ETA'!$H$3:H4963,'Stock - ETA'!$F$3:F4963,'Rango proyecciones'!C247,'Stock - ETA'!$Q$3:Q4963,'Rango proyecciones'!$AJ$7)</f>
        <v>0</v>
      </c>
      <c r="AC247" s="16">
        <f t="shared" si="67"/>
        <v>2000</v>
      </c>
      <c r="AD247" s="4">
        <v>2000</v>
      </c>
      <c r="AE247" s="7">
        <f>SUMIFS('Stock - ETA'!$T$3:T4963,'Stock - ETA'!$F$3:F4963,'Rango proyecciones'!C247,'Stock - ETA'!$AA$3:AA4963,'Rango proyecciones'!$AJ$5) + SUMIFS('Stock - ETA'!$S$3:S4963,'Stock - ETA'!$F$3:F4963,'Rango proyecciones'!C247,'Stock - ETA'!$AA$3:AA4963,'Rango proyecciones'!$AJ$8)</f>
        <v>0</v>
      </c>
      <c r="AF247" s="16">
        <f>0.7 * AD247 + AE247</f>
        <v>1400</v>
      </c>
      <c r="AG247" s="7">
        <f>SUMIFS('Stock - ETA'!$J$3:J4963,'Stock - ETA'!$F$3:F4963,'Rango proyecciones'!C247,'Stock - ETA'!$Q$3:Q4963,'Rango proyecciones'!$AJ$5) + SUMIFS('Stock - ETA'!$I$3:I4963,'Stock - ETA'!$F$3:F4963,'Rango proyecciones'!C247,'Stock - ETA'!$Q$3:Q4963,'Rango proyecciones'!$AJ$8)</f>
        <v>0</v>
      </c>
      <c r="AH247" s="16">
        <f>0.7 * AD247 + AG247</f>
        <v>1400</v>
      </c>
      <c r="AI247" s="4"/>
    </row>
    <row r="248" spans="1:35" x14ac:dyDescent="0.2">
      <c r="A248" s="2"/>
      <c r="B248" s="2" t="s">
        <v>35</v>
      </c>
      <c r="C248" s="2" t="s">
        <v>477</v>
      </c>
      <c r="D248" s="2" t="s">
        <v>389</v>
      </c>
      <c r="E248" s="2">
        <v>1022940</v>
      </c>
      <c r="F248" s="2"/>
      <c r="G248" s="2"/>
      <c r="H248" s="4">
        <v>0</v>
      </c>
      <c r="I248" s="7">
        <v>0</v>
      </c>
      <c r="J248" s="7">
        <v>0</v>
      </c>
      <c r="K248" s="7">
        <v>0</v>
      </c>
      <c r="L248" s="4">
        <f t="shared" si="74"/>
        <v>0</v>
      </c>
      <c r="M248" s="7">
        <f>SUMIFS('Stock - ETA'!$R$3:R4963,'Stock - ETA'!$F$3:F4963,'Rango proyecciones'!C248,'Stock - ETA'!$AA$3:AA4963,'Rango proyecciones'!$AJ$5)</f>
        <v>16605</v>
      </c>
      <c r="N248" s="7">
        <f>SUMIF('Stock - Puerto Chile'!$G$2:G973,'Rango proyecciones'!C248,'Stock - Puerto Chile'!$L$2:L973)</f>
        <v>0</v>
      </c>
      <c r="O248" s="7">
        <v>0</v>
      </c>
      <c r="P248" s="7">
        <v>0</v>
      </c>
      <c r="Q248" s="16">
        <f>H248 + P248 + M248</f>
        <v>16605</v>
      </c>
      <c r="R248" s="7">
        <f t="shared" si="75"/>
        <v>0</v>
      </c>
      <c r="S248" s="7">
        <f>SUMIFS('Stock - ETA'!$H$3:H4963,'Stock - ETA'!$F$3:F4963,'Rango proyecciones'!C248,'Stock - ETA'!$Q$3:Q4963,'Rango proyecciones'!$AJ$5)</f>
        <v>16605</v>
      </c>
      <c r="T248" s="7">
        <f>SUMIF('Stock - Puerto Chile'!$G$2:G973,'Rango proyecciones'!C248,'Stock - Puerto Chile'!$N$2:N973)</f>
        <v>0</v>
      </c>
      <c r="U248" s="7">
        <v>0</v>
      </c>
      <c r="V248" s="7">
        <v>0</v>
      </c>
      <c r="W248" s="17">
        <f>H248 + V248 + S248 + U248</f>
        <v>16605</v>
      </c>
      <c r="X248" s="4"/>
      <c r="Y248" s="7"/>
      <c r="Z248" s="18">
        <f>SUMIFS('Stock - ETA'!$S$3:S4963,'Stock - ETA'!$F$3:F4963,'Rango proyecciones'!C248,'Stock - ETA'!$AA$3:AA4963,'Rango proyecciones'!$AJ$5) + SUMIFS('Stock - ETA'!$R$3:R4963,'Stock - ETA'!$F$3:F4963,'Rango proyecciones'!C248,'Stock - ETA'!$AA$3:AA4963,'Rango proyecciones'!$AJ$7)</f>
        <v>0</v>
      </c>
      <c r="AA248" s="13">
        <f t="shared" si="66"/>
        <v>0</v>
      </c>
      <c r="AB248" s="7">
        <f>SUMIFS('Stock - ETA'!$I$3:I4963,'Stock - ETA'!$F$3:F4963,'Rango proyecciones'!C248,'Stock - ETA'!$Q$3:Q4963,'Rango proyecciones'!$AJ$5) + SUMIFS('Stock - ETA'!$H$3:H4963,'Stock - ETA'!$F$3:F4963,'Rango proyecciones'!C248,'Stock - ETA'!$Q$3:Q4963,'Rango proyecciones'!$AJ$7)</f>
        <v>0</v>
      </c>
      <c r="AC248" s="16">
        <f t="shared" si="67"/>
        <v>0</v>
      </c>
      <c r="AD248" s="4"/>
      <c r="AE248" s="7">
        <f>SUMIFS('Stock - ETA'!$T$3:T4963,'Stock - ETA'!$F$3:F4963,'Rango proyecciones'!C248,'Stock - ETA'!$AA$3:AA4963,'Rango proyecciones'!$AJ$5) + SUMIFS('Stock - ETA'!$S$3:S4963,'Stock - ETA'!$F$3:F4963,'Rango proyecciones'!C248,'Stock - ETA'!$AA$3:AA4963,'Rango proyecciones'!$AJ$8)</f>
        <v>0</v>
      </c>
      <c r="AF248" s="16">
        <f>0.6 * AD248 + AE248</f>
        <v>0</v>
      </c>
      <c r="AG248" s="7">
        <f>SUMIFS('Stock - ETA'!$J$3:J4963,'Stock - ETA'!$F$3:F4963,'Rango proyecciones'!C248,'Stock - ETA'!$Q$3:Q4963,'Rango proyecciones'!$AJ$5) + SUMIFS('Stock - ETA'!$I$3:I4963,'Stock - ETA'!$F$3:F4963,'Rango proyecciones'!C248,'Stock - ETA'!$Q$3:Q4963,'Rango proyecciones'!$AJ$8)</f>
        <v>0</v>
      </c>
      <c r="AH248" s="16">
        <f>0.6 * AD248 + AG248</f>
        <v>0</v>
      </c>
      <c r="AI248" s="4"/>
    </row>
    <row r="249" spans="1:35" x14ac:dyDescent="0.2">
      <c r="A249" s="2"/>
      <c r="B249" s="2" t="s">
        <v>35</v>
      </c>
      <c r="C249" s="2" t="s">
        <v>478</v>
      </c>
      <c r="D249" s="2" t="s">
        <v>391</v>
      </c>
      <c r="E249" s="2">
        <v>1023247</v>
      </c>
      <c r="F249" s="2"/>
      <c r="G249" s="2"/>
      <c r="H249" s="4">
        <v>0</v>
      </c>
      <c r="I249" s="7">
        <v>0</v>
      </c>
      <c r="J249" s="7">
        <v>1201</v>
      </c>
      <c r="K249" s="7"/>
      <c r="L249" s="4">
        <f t="shared" si="74"/>
        <v>1801.5</v>
      </c>
      <c r="M249" s="7">
        <f>SUMIFS('Stock - ETA'!$R$3:R4963,'Stock - ETA'!$F$3:F4963,'Rango proyecciones'!C249,'Stock - ETA'!$AA$3:AA4963,'Rango proyecciones'!$AJ$5)</f>
        <v>1000</v>
      </c>
      <c r="N249" s="7">
        <f>SUMIF('Stock - Puerto Chile'!$G$2:G973,'Rango proyecciones'!C249,'Stock - Puerto Chile'!$L$2:L973)</f>
        <v>8400</v>
      </c>
      <c r="O249" s="7">
        <v>0</v>
      </c>
      <c r="P249" s="7">
        <v>0</v>
      </c>
      <c r="Q249" s="16">
        <f>H249 + P249 + M249</f>
        <v>1000</v>
      </c>
      <c r="R249" s="7">
        <f t="shared" si="75"/>
        <v>3088.2857142857147</v>
      </c>
      <c r="S249" s="7">
        <f>SUMIFS('Stock - ETA'!$H$3:H4963,'Stock - ETA'!$F$3:F4963,'Rango proyecciones'!C249,'Stock - ETA'!$Q$3:Q4963,'Rango proyecciones'!$AJ$5)</f>
        <v>1000</v>
      </c>
      <c r="T249" s="7">
        <f>SUMIF('Stock - Puerto Chile'!$G$2:G973,'Rango proyecciones'!C249,'Stock - Puerto Chile'!$N$2:N973)</f>
        <v>10080</v>
      </c>
      <c r="U249" s="7">
        <v>0</v>
      </c>
      <c r="V249" s="7">
        <v>0</v>
      </c>
      <c r="W249" s="17">
        <f>H249 + V249 + S249 + U249</f>
        <v>1000</v>
      </c>
      <c r="X249" s="4"/>
      <c r="Y249" s="7"/>
      <c r="Z249" s="18">
        <f>SUMIFS('Stock - ETA'!$S$3:S4963,'Stock - ETA'!$F$3:F4963,'Rango proyecciones'!C249,'Stock - ETA'!$AA$3:AA4963,'Rango proyecciones'!$AJ$5) + SUMIFS('Stock - ETA'!$R$3:R4963,'Stock - ETA'!$F$3:F4963,'Rango proyecciones'!C249,'Stock - ETA'!$AA$3:AA4963,'Rango proyecciones'!$AJ$7)</f>
        <v>0</v>
      </c>
      <c r="AA249" s="13">
        <f t="shared" si="66"/>
        <v>0</v>
      </c>
      <c r="AB249" s="7">
        <f>SUMIFS('Stock - ETA'!$I$3:I4963,'Stock - ETA'!$F$3:F4963,'Rango proyecciones'!C249,'Stock - ETA'!$Q$3:Q4963,'Rango proyecciones'!$AJ$5) + SUMIFS('Stock - ETA'!$H$3:H4963,'Stock - ETA'!$F$3:F4963,'Rango proyecciones'!C249,'Stock - ETA'!$Q$3:Q4963,'Rango proyecciones'!$AJ$7)</f>
        <v>0</v>
      </c>
      <c r="AC249" s="16">
        <f t="shared" si="67"/>
        <v>0</v>
      </c>
      <c r="AD249" s="4"/>
      <c r="AE249" s="7">
        <f>SUMIFS('Stock - ETA'!$T$3:T4963,'Stock - ETA'!$F$3:F4963,'Rango proyecciones'!C249,'Stock - ETA'!$AA$3:AA4963,'Rango proyecciones'!$AJ$5) + SUMIFS('Stock - ETA'!$S$3:S4963,'Stock - ETA'!$F$3:F4963,'Rango proyecciones'!C249,'Stock - ETA'!$AA$3:AA4963,'Rango proyecciones'!$AJ$8)</f>
        <v>0</v>
      </c>
      <c r="AF249" s="16">
        <f>0.7 * AD249 + AE249</f>
        <v>0</v>
      </c>
      <c r="AG249" s="7">
        <f>SUMIFS('Stock - ETA'!$J$3:J4963,'Stock - ETA'!$F$3:F4963,'Rango proyecciones'!C249,'Stock - ETA'!$Q$3:Q4963,'Rango proyecciones'!$AJ$5) + SUMIFS('Stock - ETA'!$I$3:I4963,'Stock - ETA'!$F$3:F4963,'Rango proyecciones'!C249,'Stock - ETA'!$Q$3:Q4963,'Rango proyecciones'!$AJ$8)</f>
        <v>0</v>
      </c>
      <c r="AH249" s="16">
        <f>0.7 * AD249 + AG249</f>
        <v>0</v>
      </c>
      <c r="AI249" s="4"/>
    </row>
    <row r="250" spans="1:35" x14ac:dyDescent="0.2">
      <c r="A250" s="2"/>
      <c r="B250" s="2" t="s">
        <v>394</v>
      </c>
      <c r="C250" s="2" t="s">
        <v>479</v>
      </c>
      <c r="D250" s="2" t="s">
        <v>396</v>
      </c>
      <c r="E250" s="2">
        <v>1023439</v>
      </c>
      <c r="F250" s="2"/>
      <c r="G250" s="2"/>
      <c r="H250" s="4">
        <v>0</v>
      </c>
      <c r="I250" s="7">
        <v>0</v>
      </c>
      <c r="J250" s="7">
        <v>0</v>
      </c>
      <c r="K250" s="7">
        <v>0</v>
      </c>
      <c r="L250" s="4">
        <f t="shared" si="74"/>
        <v>0</v>
      </c>
      <c r="M250" s="7">
        <f>SUMIF('Stock - ETA'!$F$3:F4963,'Rango proyecciones'!C250,'Stock - ETA'!$R$3:R4963)</f>
        <v>13000</v>
      </c>
      <c r="N250" s="7">
        <f>SUMIF('Stock - Puerto Chile'!$G$2:G973,'Rango proyecciones'!C250,'Stock - Puerto Chile'!$L$2:L973)</f>
        <v>0</v>
      </c>
      <c r="O250" s="7">
        <v>0</v>
      </c>
      <c r="P250" s="7">
        <v>0</v>
      </c>
      <c r="Q250" s="16">
        <f>H250 + M250 + N250 + L250</f>
        <v>13000</v>
      </c>
      <c r="R250" s="7">
        <f t="shared" si="75"/>
        <v>0</v>
      </c>
      <c r="S250" s="7">
        <f>SUMIF('Stock - ETA'!$F$3:F4963,'Rango proyecciones'!C250,'Stock - ETA'!$H$3:H4963)</f>
        <v>13000</v>
      </c>
      <c r="T250" s="7">
        <f>SUMIF('Stock - Puerto Chile'!$G$2:G973,'Rango proyecciones'!C250,'Stock - Puerto Chile'!$N$2:N973)</f>
        <v>0</v>
      </c>
      <c r="U250" s="7">
        <v>0</v>
      </c>
      <c r="V250" s="7">
        <v>0</v>
      </c>
      <c r="W250" s="16">
        <f>H250 + S250 + R250 + T250</f>
        <v>13000</v>
      </c>
      <c r="X250" s="4"/>
      <c r="Y250" s="7"/>
      <c r="Z250" s="18">
        <f>SUMIF('Stock - ETA'!$F$3:F4963,'Rango proyecciones'!C250,'Stock - ETA'!$S$3:S4963)</f>
        <v>0</v>
      </c>
      <c r="AA250" s="13">
        <f t="shared" si="66"/>
        <v>0</v>
      </c>
      <c r="AB250" s="7">
        <f>SUMIF('Stock - ETA'!$F$3:F4963,'Rango proyecciones'!C250,'Stock - ETA'!$I$3:I4963)</f>
        <v>0</v>
      </c>
      <c r="AC250" s="16">
        <f t="shared" si="67"/>
        <v>0</v>
      </c>
      <c r="AD250" s="4"/>
      <c r="AE250" s="7">
        <f>SUMIF('Stock - ETA'!$F$3:F4963,'Rango proyecciones'!C250,'Stock - ETA'!$T$3:T4963)</f>
        <v>0</v>
      </c>
      <c r="AF250" s="16">
        <f>0.7 * AD250 + AE250</f>
        <v>0</v>
      </c>
      <c r="AG250" s="7">
        <f>SUMIF('Stock - ETA'!$F$3:F4963,'Rango proyecciones'!C250,'Stock - ETA'!$J$3:J4963)</f>
        <v>0</v>
      </c>
      <c r="AH250" s="16">
        <f>0.7 * AD250 + AG250</f>
        <v>0</v>
      </c>
      <c r="AI250" s="4"/>
    </row>
    <row r="251" spans="1:35" x14ac:dyDescent="0.2">
      <c r="A251" s="2"/>
      <c r="B251" s="2" t="s">
        <v>35</v>
      </c>
      <c r="C251" s="2" t="s">
        <v>480</v>
      </c>
      <c r="D251" s="2" t="s">
        <v>386</v>
      </c>
      <c r="E251" s="2">
        <v>1022145</v>
      </c>
      <c r="F251" s="2"/>
      <c r="G251" s="2"/>
      <c r="H251" s="4">
        <v>0</v>
      </c>
      <c r="I251" s="7">
        <v>0</v>
      </c>
      <c r="J251" s="7">
        <v>3302.2979999999998</v>
      </c>
      <c r="K251" s="7"/>
      <c r="L251" s="4">
        <f t="shared" si="74"/>
        <v>4953.4470000000001</v>
      </c>
      <c r="M251" s="7">
        <f>SUMIFS('Stock - ETA'!$R$3:R4963,'Stock - ETA'!$F$3:F4963,'Rango proyecciones'!C251,'Stock - ETA'!$AA$3:AA4963,'Rango proyecciones'!$AJ$5)</f>
        <v>23102.31</v>
      </c>
      <c r="N251" s="7">
        <f>SUMIF('Stock - Puerto Chile'!$G$2:G973,'Rango proyecciones'!C251,'Stock - Puerto Chile'!$L$2:L973)</f>
        <v>0</v>
      </c>
      <c r="O251" s="7">
        <v>0</v>
      </c>
      <c r="P251" s="7">
        <v>0</v>
      </c>
      <c r="Q251" s="16">
        <f>H251 + P251 + M251</f>
        <v>23102.31</v>
      </c>
      <c r="R251" s="7">
        <f t="shared" si="75"/>
        <v>8491.623428571429</v>
      </c>
      <c r="S251" s="7">
        <f>SUMIFS('Stock - ETA'!$H$3:H4963,'Stock - ETA'!$F$3:F4963,'Rango proyecciones'!C251,'Stock - ETA'!$Q$3:Q4963,'Rango proyecciones'!$AJ$5)</f>
        <v>23102.31</v>
      </c>
      <c r="T251" s="7">
        <f>SUMIF('Stock - Puerto Chile'!$G$2:G973,'Rango proyecciones'!C251,'Stock - Puerto Chile'!$N$2:N973)</f>
        <v>0</v>
      </c>
      <c r="U251" s="7">
        <v>0</v>
      </c>
      <c r="V251" s="7">
        <v>0</v>
      </c>
      <c r="W251" s="17">
        <f>H251 + V251 + S251 + U251</f>
        <v>23102.31</v>
      </c>
      <c r="X251" s="4"/>
      <c r="Y251" s="7"/>
      <c r="Z251" s="18">
        <f>SUMIFS('Stock - ETA'!$S$3:S4963,'Stock - ETA'!$F$3:F4963,'Rango proyecciones'!C251,'Stock - ETA'!$AA$3:AA4963,'Rango proyecciones'!$AJ$5) + SUMIFS('Stock - ETA'!$R$3:R4963,'Stock - ETA'!$F$3:F4963,'Rango proyecciones'!C251,'Stock - ETA'!$AA$3:AA4963,'Rango proyecciones'!$AJ$7)</f>
        <v>0</v>
      </c>
      <c r="AA251" s="13">
        <f t="shared" si="66"/>
        <v>0</v>
      </c>
      <c r="AB251" s="7">
        <f>SUMIFS('Stock - ETA'!$I$3:I4963,'Stock - ETA'!$F$3:F4963,'Rango proyecciones'!C251,'Stock - ETA'!$Q$3:Q4963,'Rango proyecciones'!$AJ$5) + SUMIFS('Stock - ETA'!$H$3:H4963,'Stock - ETA'!$F$3:F4963,'Rango proyecciones'!C251,'Stock - ETA'!$Q$3:Q4963,'Rango proyecciones'!$AJ$7)</f>
        <v>0</v>
      </c>
      <c r="AC251" s="16">
        <f t="shared" si="67"/>
        <v>0</v>
      </c>
      <c r="AD251" s="4">
        <v>22000</v>
      </c>
      <c r="AE251" s="7">
        <f>SUMIFS('Stock - ETA'!$T$3:T4963,'Stock - ETA'!$F$3:F4963,'Rango proyecciones'!C251,'Stock - ETA'!$AA$3:AA4963,'Rango proyecciones'!$AJ$5) + SUMIFS('Stock - ETA'!$S$3:S4963,'Stock - ETA'!$F$3:F4963,'Rango proyecciones'!C251,'Stock - ETA'!$AA$3:AA4963,'Rango proyecciones'!$AJ$8)</f>
        <v>0</v>
      </c>
      <c r="AF251" s="16">
        <f>0.7 * AD251 + AE251</f>
        <v>15399.999999999998</v>
      </c>
      <c r="AG251" s="7">
        <f>SUMIFS('Stock - ETA'!$J$3:J4963,'Stock - ETA'!$F$3:F4963,'Rango proyecciones'!C251,'Stock - ETA'!$Q$3:Q4963,'Rango proyecciones'!$AJ$5) + SUMIFS('Stock - ETA'!$I$3:I4963,'Stock - ETA'!$F$3:F4963,'Rango proyecciones'!C251,'Stock - ETA'!$Q$3:Q4963,'Rango proyecciones'!$AJ$8)</f>
        <v>0</v>
      </c>
      <c r="AH251" s="16">
        <f>0.7 * AD251 + AG251</f>
        <v>15399.999999999998</v>
      </c>
      <c r="AI251" s="4"/>
    </row>
    <row r="252" spans="1:35" x14ac:dyDescent="0.2">
      <c r="A252" s="2"/>
      <c r="B252" s="2" t="s">
        <v>394</v>
      </c>
      <c r="C252" s="2" t="s">
        <v>481</v>
      </c>
      <c r="D252" s="2" t="s">
        <v>396</v>
      </c>
      <c r="E252" s="2">
        <v>1023326</v>
      </c>
      <c r="F252" s="2"/>
      <c r="G252" s="2"/>
      <c r="H252" s="4">
        <v>0</v>
      </c>
      <c r="I252" s="7">
        <v>0</v>
      </c>
      <c r="J252" s="7">
        <v>0</v>
      </c>
      <c r="K252" s="7">
        <v>0</v>
      </c>
      <c r="L252" s="4">
        <f t="shared" si="74"/>
        <v>0</v>
      </c>
      <c r="M252" s="7">
        <f>SUMIF('Stock - ETA'!$F$3:F4963,'Rango proyecciones'!C252,'Stock - ETA'!$R$3:R4963)</f>
        <v>24000.83</v>
      </c>
      <c r="N252" s="7">
        <f>SUMIF('Stock - Puerto Chile'!$G$2:G973,'Rango proyecciones'!C252,'Stock - Puerto Chile'!$L$2:L973)</f>
        <v>0</v>
      </c>
      <c r="O252" s="7">
        <v>0</v>
      </c>
      <c r="P252" s="7">
        <v>0</v>
      </c>
      <c r="Q252" s="16">
        <f>H252 + M252 + N252 + L252</f>
        <v>24000.83</v>
      </c>
      <c r="R252" s="7">
        <f t="shared" si="75"/>
        <v>0</v>
      </c>
      <c r="S252" s="7">
        <f>SUMIF('Stock - ETA'!$F$3:F4963,'Rango proyecciones'!C252,'Stock - ETA'!$H$3:H4963)</f>
        <v>24000.83</v>
      </c>
      <c r="T252" s="7">
        <f>SUMIF('Stock - Puerto Chile'!$G$2:G973,'Rango proyecciones'!C252,'Stock - Puerto Chile'!$N$2:N973)</f>
        <v>0</v>
      </c>
      <c r="U252" s="7">
        <v>0</v>
      </c>
      <c r="V252" s="7">
        <v>0</v>
      </c>
      <c r="W252" s="16">
        <f>H252 + S252 + R252 + T252</f>
        <v>24000.83</v>
      </c>
      <c r="X252" s="4"/>
      <c r="Y252" s="7"/>
      <c r="Z252" s="18">
        <f>SUMIF('Stock - ETA'!$F$3:F4963,'Rango proyecciones'!C252,'Stock - ETA'!$S$3:S4963)</f>
        <v>0</v>
      </c>
      <c r="AA252" s="13">
        <f t="shared" si="66"/>
        <v>0</v>
      </c>
      <c r="AB252" s="7">
        <f>SUMIF('Stock - ETA'!$F$3:F4963,'Rango proyecciones'!C252,'Stock - ETA'!$I$3:I4963)</f>
        <v>0</v>
      </c>
      <c r="AC252" s="16">
        <f t="shared" si="67"/>
        <v>0</v>
      </c>
      <c r="AD252" s="4"/>
      <c r="AE252" s="7">
        <f>SUMIF('Stock - ETA'!$F$3:F4963,'Rango proyecciones'!C252,'Stock - ETA'!$T$3:T4963)</f>
        <v>0</v>
      </c>
      <c r="AF252" s="16">
        <f>0.7 * AD252 + AE252</f>
        <v>0</v>
      </c>
      <c r="AG252" s="7">
        <f>SUMIF('Stock - ETA'!$F$3:F4963,'Rango proyecciones'!C252,'Stock - ETA'!$J$3:J4963)</f>
        <v>0</v>
      </c>
      <c r="AH252" s="16">
        <f>0.7 * AD252 + AG252</f>
        <v>0</v>
      </c>
      <c r="AI252" s="4"/>
    </row>
    <row r="253" spans="1:35" x14ac:dyDescent="0.2">
      <c r="A253" s="2"/>
      <c r="B253" s="2" t="s">
        <v>35</v>
      </c>
      <c r="C253" s="2" t="s">
        <v>482</v>
      </c>
      <c r="D253" s="2" t="s">
        <v>423</v>
      </c>
      <c r="E253" s="2">
        <v>1011748</v>
      </c>
      <c r="F253" s="2"/>
      <c r="G253" s="2"/>
      <c r="H253" s="4">
        <v>0</v>
      </c>
      <c r="I253" s="7">
        <v>0</v>
      </c>
      <c r="J253" s="7">
        <v>0</v>
      </c>
      <c r="K253" s="7">
        <v>0</v>
      </c>
      <c r="L253" s="4">
        <f t="shared" si="74"/>
        <v>0</v>
      </c>
      <c r="M253" s="7">
        <f>SUMIFS('Stock - ETA'!$R$3:R4963,'Stock - ETA'!$F$3:F4963,'Rango proyecciones'!C253,'Stock - ETA'!$AA$3:AA4963,'Rango proyecciones'!$AJ$5)</f>
        <v>224580</v>
      </c>
      <c r="N253" s="7">
        <f>SUMIF('Stock - Puerto Chile'!$G$2:G973,'Rango proyecciones'!C253,'Stock - Puerto Chile'!$L$2:L973)</f>
        <v>0</v>
      </c>
      <c r="O253" s="7">
        <v>0</v>
      </c>
      <c r="P253" s="7">
        <v>0</v>
      </c>
      <c r="Q253" s="16">
        <f>H253 + P253 + M253</f>
        <v>224580</v>
      </c>
      <c r="R253" s="7">
        <f t="shared" si="75"/>
        <v>0</v>
      </c>
      <c r="S253" s="7">
        <f>SUMIFS('Stock - ETA'!$H$3:H4963,'Stock - ETA'!$F$3:F4963,'Rango proyecciones'!C253,'Stock - ETA'!$Q$3:Q4963,'Rango proyecciones'!$AJ$5)</f>
        <v>224580</v>
      </c>
      <c r="T253" s="7">
        <f>SUMIF('Stock - Puerto Chile'!$G$2:G973,'Rango proyecciones'!C253,'Stock - Puerto Chile'!$N$2:N973)</f>
        <v>0</v>
      </c>
      <c r="U253" s="7">
        <v>0</v>
      </c>
      <c r="V253" s="7">
        <v>0</v>
      </c>
      <c r="W253" s="17">
        <f>H253 + V253 + S253 + U253</f>
        <v>224580</v>
      </c>
      <c r="X253" s="4"/>
      <c r="Y253" s="7"/>
      <c r="Z253" s="18">
        <f>SUMIFS('Stock - ETA'!$S$3:S4963,'Stock - ETA'!$F$3:F4963,'Rango proyecciones'!C253,'Stock - ETA'!$AA$3:AA4963,'Rango proyecciones'!$AJ$5) + SUMIFS('Stock - ETA'!$R$3:R4963,'Stock - ETA'!$F$3:F4963,'Rango proyecciones'!C253,'Stock - ETA'!$AA$3:AA4963,'Rango proyecciones'!$AJ$7)</f>
        <v>0</v>
      </c>
      <c r="AA253" s="13">
        <f t="shared" si="66"/>
        <v>0</v>
      </c>
      <c r="AB253" s="7">
        <f>SUMIFS('Stock - ETA'!$I$3:I4963,'Stock - ETA'!$F$3:F4963,'Rango proyecciones'!C253,'Stock - ETA'!$Q$3:Q4963,'Rango proyecciones'!$AJ$5) + SUMIFS('Stock - ETA'!$H$3:H4963,'Stock - ETA'!$F$3:F4963,'Rango proyecciones'!C253,'Stock - ETA'!$Q$3:Q4963,'Rango proyecciones'!$AJ$7)</f>
        <v>0</v>
      </c>
      <c r="AC253" s="16">
        <f t="shared" si="67"/>
        <v>0</v>
      </c>
      <c r="AD253" s="4"/>
      <c r="AE253" s="7">
        <f>SUMIFS('Stock - ETA'!$T$3:T4963,'Stock - ETA'!$F$3:F4963,'Rango proyecciones'!C253,'Stock - ETA'!$AA$3:AA4963,'Rango proyecciones'!$AJ$5) + SUMIFS('Stock - ETA'!$S$3:S4963,'Stock - ETA'!$F$3:F4963,'Rango proyecciones'!C253,'Stock - ETA'!$AA$3:AA4963,'Rango proyecciones'!$AJ$8)</f>
        <v>0</v>
      </c>
      <c r="AF253" s="16">
        <f>0.8 * AD253 + AE253</f>
        <v>0</v>
      </c>
      <c r="AG253" s="7">
        <f>SUMIFS('Stock - ETA'!$J$3:J4963,'Stock - ETA'!$F$3:F4963,'Rango proyecciones'!C253,'Stock - ETA'!$Q$3:Q4963,'Rango proyecciones'!$AJ$5) + SUMIFS('Stock - ETA'!$I$3:I4963,'Stock - ETA'!$F$3:F4963,'Rango proyecciones'!C253,'Stock - ETA'!$Q$3:Q4963,'Rango proyecciones'!$AJ$8)</f>
        <v>0</v>
      </c>
      <c r="AH253" s="16">
        <f>0.8 * AD253 + AG253</f>
        <v>0</v>
      </c>
      <c r="AI253" s="4"/>
    </row>
    <row r="254" spans="1:35" x14ac:dyDescent="0.2">
      <c r="A254" s="2"/>
      <c r="B254" s="2" t="s">
        <v>35</v>
      </c>
      <c r="C254" s="2" t="s">
        <v>483</v>
      </c>
      <c r="D254" s="2" t="s">
        <v>423</v>
      </c>
      <c r="E254" s="2">
        <v>1023343</v>
      </c>
      <c r="F254" s="2"/>
      <c r="G254" s="2"/>
      <c r="H254" s="4">
        <v>0</v>
      </c>
      <c r="I254" s="7">
        <v>0</v>
      </c>
      <c r="J254" s="7">
        <v>3779.451</v>
      </c>
      <c r="K254" s="7"/>
      <c r="L254" s="4">
        <f t="shared" si="74"/>
        <v>5669.1764999999996</v>
      </c>
      <c r="M254" s="7">
        <f>SUMIFS('Stock - ETA'!$R$3:R4963,'Stock - ETA'!$F$3:F4963,'Rango proyecciones'!C254,'Stock - ETA'!$AA$3:AA4963,'Rango proyecciones'!$AJ$5)</f>
        <v>96031.14</v>
      </c>
      <c r="N254" s="7">
        <f>SUMIF('Stock - Puerto Chile'!$G$2:G973,'Rango proyecciones'!C254,'Stock - Puerto Chile'!$L$2:L973)</f>
        <v>67876.537695652165</v>
      </c>
      <c r="O254" s="7">
        <v>0</v>
      </c>
      <c r="P254" s="7">
        <v>0</v>
      </c>
      <c r="Q254" s="16">
        <f>H254 + P254 + M254</f>
        <v>96031.14</v>
      </c>
      <c r="R254" s="7">
        <f t="shared" si="75"/>
        <v>9718.588285714286</v>
      </c>
      <c r="S254" s="7">
        <f>SUMIFS('Stock - ETA'!$H$3:H4963,'Stock - ETA'!$F$3:F4963,'Rango proyecciones'!C254,'Stock - ETA'!$Q$3:Q4963,'Rango proyecciones'!$AJ$5)</f>
        <v>96031.14</v>
      </c>
      <c r="T254" s="7">
        <f>SUMIF('Stock - Puerto Chile'!$G$2:G973,'Rango proyecciones'!C254,'Stock - Puerto Chile'!$N$2:N973)</f>
        <v>83540.354086956519</v>
      </c>
      <c r="U254" s="7">
        <v>0</v>
      </c>
      <c r="V254" s="7">
        <v>0</v>
      </c>
      <c r="W254" s="17">
        <f>H254 + V254 + S254 + U254</f>
        <v>96031.14</v>
      </c>
      <c r="X254" s="4"/>
      <c r="Y254" s="7"/>
      <c r="Z254" s="18">
        <f>SUMIFS('Stock - ETA'!$S$3:S4963,'Stock - ETA'!$F$3:F4963,'Rango proyecciones'!C254,'Stock - ETA'!$AA$3:AA4963,'Rango proyecciones'!$AJ$5) + SUMIFS('Stock - ETA'!$R$3:R4963,'Stock - ETA'!$F$3:F4963,'Rango proyecciones'!C254,'Stock - ETA'!$AA$3:AA4963,'Rango proyecciones'!$AJ$7)</f>
        <v>0</v>
      </c>
      <c r="AA254" s="13">
        <f t="shared" si="66"/>
        <v>0</v>
      </c>
      <c r="AB254" s="7">
        <f>SUMIFS('Stock - ETA'!$I$3:I4963,'Stock - ETA'!$F$3:F4963,'Rango proyecciones'!C254,'Stock - ETA'!$Q$3:Q4963,'Rango proyecciones'!$AJ$5) + SUMIFS('Stock - ETA'!$H$3:H4963,'Stock - ETA'!$F$3:F4963,'Rango proyecciones'!C254,'Stock - ETA'!$Q$3:Q4963,'Rango proyecciones'!$AJ$7)</f>
        <v>0</v>
      </c>
      <c r="AC254" s="16">
        <f t="shared" si="67"/>
        <v>0</v>
      </c>
      <c r="AD254" s="4"/>
      <c r="AE254" s="7">
        <f>SUMIFS('Stock - ETA'!$T$3:T4963,'Stock - ETA'!$F$3:F4963,'Rango proyecciones'!C254,'Stock - ETA'!$AA$3:AA4963,'Rango proyecciones'!$AJ$5) + SUMIFS('Stock - ETA'!$S$3:S4963,'Stock - ETA'!$F$3:F4963,'Rango proyecciones'!C254,'Stock - ETA'!$AA$3:AA4963,'Rango proyecciones'!$AJ$8)</f>
        <v>0</v>
      </c>
      <c r="AF254" s="16">
        <f>0.8 * AD254 + AE254</f>
        <v>0</v>
      </c>
      <c r="AG254" s="7">
        <f>SUMIFS('Stock - ETA'!$J$3:J4963,'Stock - ETA'!$F$3:F4963,'Rango proyecciones'!C254,'Stock - ETA'!$Q$3:Q4963,'Rango proyecciones'!$AJ$5) + SUMIFS('Stock - ETA'!$I$3:I4963,'Stock - ETA'!$F$3:F4963,'Rango proyecciones'!C254,'Stock - ETA'!$Q$3:Q4963,'Rango proyecciones'!$AJ$8)</f>
        <v>0</v>
      </c>
      <c r="AH254" s="16">
        <f>0.8 * AD254 + AG254</f>
        <v>0</v>
      </c>
      <c r="AI254" s="4"/>
    </row>
    <row r="255" spans="1:35" x14ac:dyDescent="0.2">
      <c r="A255" s="2"/>
      <c r="B255" s="2" t="s">
        <v>394</v>
      </c>
      <c r="C255" s="2" t="s">
        <v>484</v>
      </c>
      <c r="D255" s="2" t="s">
        <v>485</v>
      </c>
      <c r="E255" s="2">
        <v>1011421</v>
      </c>
      <c r="F255" s="2"/>
      <c r="G255" s="2"/>
      <c r="H255" s="4">
        <v>0</v>
      </c>
      <c r="I255" s="7">
        <v>0</v>
      </c>
      <c r="J255" s="7">
        <v>160000</v>
      </c>
      <c r="K255" s="7">
        <v>12997.53</v>
      </c>
      <c r="L255" s="4">
        <f t="shared" si="74"/>
        <v>220503.70500000002</v>
      </c>
      <c r="M255" s="7">
        <f>SUMIF('Stock - ETA'!$F$3:F4963,'Rango proyecciones'!C255,'Stock - ETA'!$R$3:R4963)</f>
        <v>575395.21000000008</v>
      </c>
      <c r="N255" s="7">
        <f>SUMIF('Stock - Puerto Chile'!$G$2:G973,'Rango proyecciones'!C255,'Stock - Puerto Chile'!$L$2:L973)</f>
        <v>1626624.8081999999</v>
      </c>
      <c r="O255" s="7">
        <v>0</v>
      </c>
      <c r="P255" s="7">
        <v>0</v>
      </c>
      <c r="Q255" s="16">
        <f>H255 + M255 + N255 + L255</f>
        <v>2422523.7231999999</v>
      </c>
      <c r="R255" s="7">
        <f t="shared" si="75"/>
        <v>378006.35142857145</v>
      </c>
      <c r="S255" s="7">
        <f>SUMIF('Stock - ETA'!$F$3:F4963,'Rango proyecciones'!C255,'Stock - ETA'!$H$3:H4963)</f>
        <v>575395.21000000008</v>
      </c>
      <c r="T255" s="7">
        <f>SUMIF('Stock - Puerto Chile'!$G$2:G973,'Rango proyecciones'!C255,'Stock - Puerto Chile'!$N$2:N973)</f>
        <v>1951949.7698399997</v>
      </c>
      <c r="U255" s="7">
        <v>0</v>
      </c>
      <c r="V255" s="7">
        <v>0</v>
      </c>
      <c r="W255" s="16">
        <f>H255 + S255 + R255 + T255</f>
        <v>2905351.3312685713</v>
      </c>
      <c r="X255" s="4">
        <v>552000</v>
      </c>
      <c r="Y255" s="7">
        <v>552000</v>
      </c>
      <c r="Z255" s="18">
        <f>SUMIF('Stock - ETA'!$F$3:F4963,'Rango proyecciones'!C255,'Stock - ETA'!$S$3:S4963)</f>
        <v>0</v>
      </c>
      <c r="AA255" s="13">
        <f t="shared" si="66"/>
        <v>552000</v>
      </c>
      <c r="AB255" s="7">
        <f>SUMIF('Stock - ETA'!$F$3:F4963,'Rango proyecciones'!C255,'Stock - ETA'!$I$3:I4963)</f>
        <v>0</v>
      </c>
      <c r="AC255" s="16">
        <f t="shared" si="67"/>
        <v>552000</v>
      </c>
      <c r="AD255" s="4">
        <v>840000</v>
      </c>
      <c r="AE255" s="7">
        <f>SUMIF('Stock - ETA'!$F$3:F4963,'Rango proyecciones'!C255,'Stock - ETA'!$T$3:T4963)</f>
        <v>23991.040000000001</v>
      </c>
      <c r="AF255" s="16">
        <f>0.6 * AD255 + AE255</f>
        <v>527991.04000000004</v>
      </c>
      <c r="AG255" s="7">
        <f>SUMIF('Stock - ETA'!$F$3:F4963,'Rango proyecciones'!C255,'Stock - ETA'!$J$3:J4963)</f>
        <v>23991.040000000001</v>
      </c>
      <c r="AH255" s="16">
        <f>0.6 * AD255 + AG255</f>
        <v>527991.04000000004</v>
      </c>
      <c r="AI255" s="4"/>
    </row>
    <row r="256" spans="1:35" x14ac:dyDescent="0.2">
      <c r="A256" s="2"/>
      <c r="B256" s="2" t="s">
        <v>394</v>
      </c>
      <c r="C256" s="2" t="s">
        <v>486</v>
      </c>
      <c r="D256" s="2" t="s">
        <v>485</v>
      </c>
      <c r="E256" s="2">
        <v>1020412</v>
      </c>
      <c r="F256" s="2"/>
      <c r="G256" s="2"/>
      <c r="H256" s="4">
        <v>0</v>
      </c>
      <c r="I256" s="7">
        <v>0</v>
      </c>
      <c r="J256" s="7">
        <v>31092.47</v>
      </c>
      <c r="K256" s="7">
        <v>2595.12</v>
      </c>
      <c r="L256" s="4">
        <f t="shared" ref="L256:L287" si="78">MAX(J256 - K256, 0) * MAX((25 - 10)/(10), 0)</f>
        <v>42746.025000000001</v>
      </c>
      <c r="M256" s="7">
        <f>SUMIF('Stock - ETA'!$F$3:F4963,'Rango proyecciones'!C256,'Stock - ETA'!$R$3:R4963)</f>
        <v>167807.37000000002</v>
      </c>
      <c r="N256" s="7">
        <f>SUMIF('Stock - Puerto Chile'!$G$2:G973,'Rango proyecciones'!C256,'Stock - Puerto Chile'!$L$2:L973)</f>
        <v>57614.7</v>
      </c>
      <c r="O256" s="7">
        <v>0</v>
      </c>
      <c r="P256" s="7">
        <v>0</v>
      </c>
      <c r="Q256" s="16">
        <f>H256 + M256 + N256 + L256</f>
        <v>268168.09500000003</v>
      </c>
      <c r="R256" s="7">
        <f t="shared" ref="R256:R287" si="79">MAX(J256 - K256, 0) * MAX((25 - 7)/(7), 0)</f>
        <v>73278.900000000009</v>
      </c>
      <c r="S256" s="7">
        <f>SUMIF('Stock - ETA'!$F$3:F4963,'Rango proyecciones'!C256,'Stock - ETA'!$H$3:H4963)</f>
        <v>167807.37000000002</v>
      </c>
      <c r="T256" s="7">
        <f>SUMIF('Stock - Puerto Chile'!$G$2:G973,'Rango proyecciones'!C256,'Stock - Puerto Chile'!$N$2:N973)</f>
        <v>69137.64</v>
      </c>
      <c r="U256" s="7">
        <v>0</v>
      </c>
      <c r="V256" s="7">
        <v>0</v>
      </c>
      <c r="W256" s="16">
        <f>H256 + S256 + R256 + T256</f>
        <v>310223.91000000003</v>
      </c>
      <c r="X256" s="4">
        <v>216000</v>
      </c>
      <c r="Y256" s="7">
        <v>216000</v>
      </c>
      <c r="Z256" s="18">
        <f>SUMIF('Stock - ETA'!$F$3:F4963,'Rango proyecciones'!C256,'Stock - ETA'!$S$3:S4963)</f>
        <v>0</v>
      </c>
      <c r="AA256" s="13">
        <f t="shared" si="66"/>
        <v>216000</v>
      </c>
      <c r="AB256" s="7">
        <f>SUMIF('Stock - ETA'!$F$3:F4963,'Rango proyecciones'!C256,'Stock - ETA'!$I$3:I4963)</f>
        <v>0</v>
      </c>
      <c r="AC256" s="16">
        <f t="shared" si="67"/>
        <v>216000</v>
      </c>
      <c r="AD256" s="4">
        <v>216000</v>
      </c>
      <c r="AE256" s="7">
        <f>SUMIF('Stock - ETA'!$F$3:F4963,'Rango proyecciones'!C256,'Stock - ETA'!$T$3:T4963)</f>
        <v>0</v>
      </c>
      <c r="AF256" s="16">
        <f>0.6 * AD256 + AE256</f>
        <v>129600</v>
      </c>
      <c r="AG256" s="7">
        <f>SUMIF('Stock - ETA'!$F$3:F4963,'Rango proyecciones'!C256,'Stock - ETA'!$J$3:J4963)</f>
        <v>0</v>
      </c>
      <c r="AH256" s="16">
        <f>0.6 * AD256 + AG256</f>
        <v>129600</v>
      </c>
      <c r="AI256" s="4"/>
    </row>
    <row r="257" spans="1:35" x14ac:dyDescent="0.2">
      <c r="A257" s="2"/>
      <c r="B257" s="2" t="s">
        <v>35</v>
      </c>
      <c r="C257" s="2" t="s">
        <v>487</v>
      </c>
      <c r="D257" s="2" t="s">
        <v>423</v>
      </c>
      <c r="E257" s="2">
        <v>1011614</v>
      </c>
      <c r="F257" s="2"/>
      <c r="G257" s="2"/>
      <c r="H257" s="4">
        <v>0</v>
      </c>
      <c r="I257" s="7">
        <v>0</v>
      </c>
      <c r="J257" s="7">
        <v>0</v>
      </c>
      <c r="K257" s="7">
        <v>0</v>
      </c>
      <c r="L257" s="4">
        <f t="shared" si="78"/>
        <v>0</v>
      </c>
      <c r="M257" s="7">
        <f>SUMIFS('Stock - ETA'!$R$3:R4963,'Stock - ETA'!$F$3:F4963,'Rango proyecciones'!C257,'Stock - ETA'!$AA$3:AA4963,'Rango proyecciones'!$AJ$5)</f>
        <v>59862</v>
      </c>
      <c r="N257" s="7">
        <f>SUMIF('Stock - Puerto Chile'!$G$2:G973,'Rango proyecciones'!C257,'Stock - Puerto Chile'!$L$2:L973)</f>
        <v>157896.86956521738</v>
      </c>
      <c r="O257" s="7">
        <v>0</v>
      </c>
      <c r="P257" s="7">
        <v>0</v>
      </c>
      <c r="Q257" s="16">
        <f>H257 + P257 + M257</f>
        <v>59862</v>
      </c>
      <c r="R257" s="7">
        <f t="shared" si="79"/>
        <v>0</v>
      </c>
      <c r="S257" s="7">
        <f>SUMIFS('Stock - ETA'!$H$3:H4963,'Stock - ETA'!$F$3:F4963,'Rango proyecciones'!C257,'Stock - ETA'!$Q$3:Q4963,'Rango proyecciones'!$AJ$5)</f>
        <v>59862</v>
      </c>
      <c r="T257" s="7">
        <f>SUMIF('Stock - Puerto Chile'!$G$2:G973,'Rango proyecciones'!C257,'Stock - Puerto Chile'!$N$2:N973)</f>
        <v>194334.60869565216</v>
      </c>
      <c r="U257" s="7">
        <v>0</v>
      </c>
      <c r="V257" s="7">
        <v>0</v>
      </c>
      <c r="W257" s="17">
        <f>H257 + V257 + S257 + U257</f>
        <v>59862</v>
      </c>
      <c r="X257" s="4"/>
      <c r="Y257" s="7"/>
      <c r="Z257" s="18">
        <f>SUMIFS('Stock - ETA'!$S$3:S4963,'Stock - ETA'!$F$3:F4963,'Rango proyecciones'!C257,'Stock - ETA'!$AA$3:AA4963,'Rango proyecciones'!$AJ$5) + SUMIFS('Stock - ETA'!$R$3:R4963,'Stock - ETA'!$F$3:F4963,'Rango proyecciones'!C257,'Stock - ETA'!$AA$3:AA4963,'Rango proyecciones'!$AJ$7)</f>
        <v>0</v>
      </c>
      <c r="AA257" s="13">
        <f t="shared" si="66"/>
        <v>0</v>
      </c>
      <c r="AB257" s="7">
        <f>SUMIFS('Stock - ETA'!$I$3:I4963,'Stock - ETA'!$F$3:F4963,'Rango proyecciones'!C257,'Stock - ETA'!$Q$3:Q4963,'Rango proyecciones'!$AJ$5) + SUMIFS('Stock - ETA'!$H$3:H4963,'Stock - ETA'!$F$3:F4963,'Rango proyecciones'!C257,'Stock - ETA'!$Q$3:Q4963,'Rango proyecciones'!$AJ$7)</f>
        <v>0</v>
      </c>
      <c r="AC257" s="16">
        <f t="shared" si="67"/>
        <v>0</v>
      </c>
      <c r="AD257" s="4"/>
      <c r="AE257" s="7">
        <f>SUMIFS('Stock - ETA'!$T$3:T4963,'Stock - ETA'!$F$3:F4963,'Rango proyecciones'!C257,'Stock - ETA'!$AA$3:AA4963,'Rango proyecciones'!$AJ$5) + SUMIFS('Stock - ETA'!$S$3:S4963,'Stock - ETA'!$F$3:F4963,'Rango proyecciones'!C257,'Stock - ETA'!$AA$3:AA4963,'Rango proyecciones'!$AJ$8)</f>
        <v>0</v>
      </c>
      <c r="AF257" s="16">
        <f>0.8 * AD257 + AE257</f>
        <v>0</v>
      </c>
      <c r="AG257" s="7">
        <f>SUMIFS('Stock - ETA'!$J$3:J4963,'Stock - ETA'!$F$3:F4963,'Rango proyecciones'!C257,'Stock - ETA'!$Q$3:Q4963,'Rango proyecciones'!$AJ$5) + SUMIFS('Stock - ETA'!$I$3:I4963,'Stock - ETA'!$F$3:F4963,'Rango proyecciones'!C257,'Stock - ETA'!$Q$3:Q4963,'Rango proyecciones'!$AJ$8)</f>
        <v>0</v>
      </c>
      <c r="AH257" s="16">
        <f>0.8 * AD257 + AG257</f>
        <v>0</v>
      </c>
      <c r="AI257" s="4"/>
    </row>
    <row r="258" spans="1:35" x14ac:dyDescent="0.2">
      <c r="A258" s="2"/>
      <c r="B258" s="2" t="s">
        <v>35</v>
      </c>
      <c r="C258" s="2" t="s">
        <v>488</v>
      </c>
      <c r="D258" s="2" t="s">
        <v>409</v>
      </c>
      <c r="E258" s="2">
        <v>1012334</v>
      </c>
      <c r="F258" s="2"/>
      <c r="G258" s="2"/>
      <c r="H258" s="4">
        <v>0</v>
      </c>
      <c r="I258" s="7">
        <v>0</v>
      </c>
      <c r="J258" s="7">
        <v>0</v>
      </c>
      <c r="K258" s="7">
        <v>0</v>
      </c>
      <c r="L258" s="4">
        <f t="shared" si="78"/>
        <v>0</v>
      </c>
      <c r="M258" s="7">
        <f>SUMIFS('Stock - ETA'!$R$3:R4963,'Stock - ETA'!$F$3:F4963,'Rango proyecciones'!C258,'Stock - ETA'!$AA$3:AA4963,'Rango proyecciones'!$AJ$5)</f>
        <v>0</v>
      </c>
      <c r="N258" s="7">
        <f>SUMIF('Stock - Puerto Chile'!$G$2:G973,'Rango proyecciones'!C258,'Stock - Puerto Chile'!$L$2:L973)</f>
        <v>371226.24</v>
      </c>
      <c r="O258" s="7">
        <v>0</v>
      </c>
      <c r="P258" s="7">
        <v>0</v>
      </c>
      <c r="Q258" s="16">
        <f>H258 + P258 + M258</f>
        <v>0</v>
      </c>
      <c r="R258" s="7">
        <f t="shared" si="79"/>
        <v>0</v>
      </c>
      <c r="S258" s="7">
        <f>SUMIFS('Stock - ETA'!$H$3:H4963,'Stock - ETA'!$F$3:F4963,'Rango proyecciones'!C258,'Stock - ETA'!$Q$3:Q4963,'Rango proyecciones'!$AJ$5)</f>
        <v>0</v>
      </c>
      <c r="T258" s="7">
        <f>SUMIF('Stock - Puerto Chile'!$G$2:G973,'Rango proyecciones'!C258,'Stock - Puerto Chile'!$N$2:N973)</f>
        <v>445471.48800000001</v>
      </c>
      <c r="U258" s="7">
        <v>0</v>
      </c>
      <c r="V258" s="7">
        <v>0</v>
      </c>
      <c r="W258" s="17">
        <f>H258 + V258 + S258 + U258</f>
        <v>0</v>
      </c>
      <c r="X258" s="4"/>
      <c r="Y258" s="7"/>
      <c r="Z258" s="18">
        <f>SUMIFS('Stock - ETA'!$S$3:S4963,'Stock - ETA'!$F$3:F4963,'Rango proyecciones'!C258,'Stock - ETA'!$AA$3:AA4963,'Rango proyecciones'!$AJ$5) + SUMIFS('Stock - ETA'!$R$3:R4963,'Stock - ETA'!$F$3:F4963,'Rango proyecciones'!C258,'Stock - ETA'!$AA$3:AA4963,'Rango proyecciones'!$AJ$7)</f>
        <v>39916.095999999998</v>
      </c>
      <c r="AA258" s="13">
        <f t="shared" si="66"/>
        <v>39916.095999999998</v>
      </c>
      <c r="AB258" s="7">
        <f>SUMIFS('Stock - ETA'!$I$3:I4963,'Stock - ETA'!$F$3:F4963,'Rango proyecciones'!C258,'Stock - ETA'!$Q$3:Q4963,'Rango proyecciones'!$AJ$5) + SUMIFS('Stock - ETA'!$H$3:H4963,'Stock - ETA'!$F$3:F4963,'Rango proyecciones'!C258,'Stock - ETA'!$Q$3:Q4963,'Rango proyecciones'!$AJ$7)</f>
        <v>39916.095999999998</v>
      </c>
      <c r="AC258" s="16">
        <f t="shared" si="67"/>
        <v>39916.095999999998</v>
      </c>
      <c r="AD258" s="4"/>
      <c r="AE258" s="7">
        <f>SUMIFS('Stock - ETA'!$T$3:T4963,'Stock - ETA'!$F$3:F4963,'Rango proyecciones'!C258,'Stock - ETA'!$AA$3:AA4963,'Rango proyecciones'!$AJ$5) + SUMIFS('Stock - ETA'!$S$3:S4963,'Stock - ETA'!$F$3:F4963,'Rango proyecciones'!C258,'Stock - ETA'!$AA$3:AA4963,'Rango proyecciones'!$AJ$8)</f>
        <v>0</v>
      </c>
      <c r="AF258" s="16">
        <f>0.6 * AD258 + AE258</f>
        <v>0</v>
      </c>
      <c r="AG258" s="7">
        <f>SUMIFS('Stock - ETA'!$J$3:J4963,'Stock - ETA'!$F$3:F4963,'Rango proyecciones'!C258,'Stock - ETA'!$Q$3:Q4963,'Rango proyecciones'!$AJ$5) + SUMIFS('Stock - ETA'!$I$3:I4963,'Stock - ETA'!$F$3:F4963,'Rango proyecciones'!C258,'Stock - ETA'!$Q$3:Q4963,'Rango proyecciones'!$AJ$8)</f>
        <v>0</v>
      </c>
      <c r="AH258" s="16">
        <f>0.6 * AD258 + AG258</f>
        <v>0</v>
      </c>
      <c r="AI258" s="4"/>
    </row>
    <row r="259" spans="1:35" x14ac:dyDescent="0.2">
      <c r="A259" s="2"/>
      <c r="B259" s="2" t="s">
        <v>394</v>
      </c>
      <c r="C259" s="2" t="s">
        <v>489</v>
      </c>
      <c r="D259" s="2" t="s">
        <v>485</v>
      </c>
      <c r="E259" s="2">
        <v>1012556</v>
      </c>
      <c r="F259" s="2"/>
      <c r="G259" s="2"/>
      <c r="H259" s="4">
        <v>0</v>
      </c>
      <c r="I259" s="7">
        <v>0</v>
      </c>
      <c r="J259" s="7">
        <v>0</v>
      </c>
      <c r="K259" s="7">
        <v>0</v>
      </c>
      <c r="L259" s="4">
        <f t="shared" si="78"/>
        <v>0</v>
      </c>
      <c r="M259" s="7">
        <f>SUMIF('Stock - ETA'!$F$3:F4963,'Rango proyecciones'!C259,'Stock - ETA'!$R$3:R4963)</f>
        <v>48008.68</v>
      </c>
      <c r="N259" s="7">
        <f>SUMIF('Stock - Puerto Chile'!$G$2:G973,'Rango proyecciones'!C259,'Stock - Puerto Chile'!$L$2:L973)</f>
        <v>115218.51359999999</v>
      </c>
      <c r="O259" s="7">
        <v>0</v>
      </c>
      <c r="P259" s="7">
        <v>0</v>
      </c>
      <c r="Q259" s="16">
        <f>H259 + M259 + N259 + L259</f>
        <v>163227.1936</v>
      </c>
      <c r="R259" s="7">
        <f t="shared" si="79"/>
        <v>0</v>
      </c>
      <c r="S259" s="7">
        <f>SUMIF('Stock - ETA'!$F$3:F4963,'Rango proyecciones'!C259,'Stock - ETA'!$H$3:H4963)</f>
        <v>48008.68</v>
      </c>
      <c r="T259" s="7">
        <f>SUMIF('Stock - Puerto Chile'!$G$2:G973,'Rango proyecciones'!C259,'Stock - Puerto Chile'!$N$2:N973)</f>
        <v>138262.21632000001</v>
      </c>
      <c r="U259" s="7">
        <v>0</v>
      </c>
      <c r="V259" s="7">
        <v>0</v>
      </c>
      <c r="W259" s="16">
        <f>H259 + S259 + R259 + T259</f>
        <v>186270.89632</v>
      </c>
      <c r="X259" s="4">
        <v>175528</v>
      </c>
      <c r="Y259" s="7">
        <v>175528</v>
      </c>
      <c r="Z259" s="18">
        <f>SUMIF('Stock - ETA'!$F$3:F4963,'Rango proyecciones'!C259,'Stock - ETA'!$S$3:S4963)</f>
        <v>0</v>
      </c>
      <c r="AA259" s="13">
        <f t="shared" ref="AA259:AA322" si="80">Z259 + X259</f>
        <v>175528</v>
      </c>
      <c r="AB259" s="7">
        <f>SUMIF('Stock - ETA'!$F$3:F4963,'Rango proyecciones'!C259,'Stock - ETA'!$I$3:I4963)</f>
        <v>0</v>
      </c>
      <c r="AC259" s="16">
        <f t="shared" ref="AC259:AC322" si="81">AB259 + X259</f>
        <v>175528</v>
      </c>
      <c r="AD259" s="4">
        <v>216000</v>
      </c>
      <c r="AE259" s="7">
        <f>SUMIF('Stock - ETA'!$F$3:F4963,'Rango proyecciones'!C259,'Stock - ETA'!$T$3:T4963)</f>
        <v>0</v>
      </c>
      <c r="AF259" s="16">
        <f>0.6 * AD259 + AE259</f>
        <v>129600</v>
      </c>
      <c r="AG259" s="7">
        <f>SUMIF('Stock - ETA'!$F$3:F4963,'Rango proyecciones'!C259,'Stock - ETA'!$J$3:J4963)</f>
        <v>0</v>
      </c>
      <c r="AH259" s="16">
        <f>0.6 * AD259 + AG259</f>
        <v>129600</v>
      </c>
      <c r="AI259" s="4"/>
    </row>
    <row r="260" spans="1:35" x14ac:dyDescent="0.2">
      <c r="A260" s="2"/>
      <c r="B260" s="2" t="s">
        <v>394</v>
      </c>
      <c r="C260" s="2" t="s">
        <v>490</v>
      </c>
      <c r="D260" s="2" t="s">
        <v>485</v>
      </c>
      <c r="E260" s="2">
        <v>1023433</v>
      </c>
      <c r="F260" s="2"/>
      <c r="G260" s="2"/>
      <c r="H260" s="4">
        <v>0</v>
      </c>
      <c r="I260" s="7">
        <v>0</v>
      </c>
      <c r="J260" s="7">
        <v>37151.300000000003</v>
      </c>
      <c r="K260" s="7">
        <v>1302.5</v>
      </c>
      <c r="L260" s="4">
        <f t="shared" si="78"/>
        <v>53773.200000000004</v>
      </c>
      <c r="M260" s="7">
        <f>SUMIF('Stock - ETA'!$F$3:F4963,'Rango proyecciones'!C260,'Stock - ETA'!$R$3:R4963)</f>
        <v>119156.65</v>
      </c>
      <c r="N260" s="7">
        <f>SUMIF('Stock - Puerto Chile'!$G$2:G973,'Rango proyecciones'!C260,'Stock - Puerto Chile'!$L$2:L973)</f>
        <v>195883.28640000001</v>
      </c>
      <c r="O260" s="7">
        <v>0</v>
      </c>
      <c r="P260" s="7">
        <v>0</v>
      </c>
      <c r="Q260" s="16">
        <f>H260 + M260 + N260 + L260</f>
        <v>368813.13640000002</v>
      </c>
      <c r="R260" s="7">
        <f t="shared" si="79"/>
        <v>92182.628571428591</v>
      </c>
      <c r="S260" s="7">
        <f>SUMIF('Stock - ETA'!$F$3:F4963,'Rango proyecciones'!C260,'Stock - ETA'!$H$3:H4963)</f>
        <v>119156.65</v>
      </c>
      <c r="T260" s="7">
        <f>SUMIF('Stock - Puerto Chile'!$G$2:G973,'Rango proyecciones'!C260,'Stock - Puerto Chile'!$N$2:N973)</f>
        <v>235059.94368000003</v>
      </c>
      <c r="U260" s="7">
        <v>0</v>
      </c>
      <c r="V260" s="7">
        <v>0</v>
      </c>
      <c r="W260" s="16">
        <f>H260 + S260 + R260 + T260</f>
        <v>446399.22225142864</v>
      </c>
      <c r="X260" s="4">
        <v>254926</v>
      </c>
      <c r="Y260" s="7">
        <v>254926</v>
      </c>
      <c r="Z260" s="18">
        <f>SUMIF('Stock - ETA'!$F$3:F4963,'Rango proyecciones'!C260,'Stock - ETA'!$S$3:S4963)</f>
        <v>0</v>
      </c>
      <c r="AA260" s="13">
        <f t="shared" si="80"/>
        <v>254926</v>
      </c>
      <c r="AB260" s="7">
        <f>SUMIF('Stock - ETA'!$F$3:F4963,'Rango proyecciones'!C260,'Stock - ETA'!$I$3:I4963)</f>
        <v>0</v>
      </c>
      <c r="AC260" s="16">
        <f t="shared" si="81"/>
        <v>254926</v>
      </c>
      <c r="AD260" s="4">
        <v>260050</v>
      </c>
      <c r="AE260" s="7">
        <f>SUMIF('Stock - ETA'!$F$3:F4963,'Rango proyecciones'!C260,'Stock - ETA'!$T$3:T4963)</f>
        <v>24005.19</v>
      </c>
      <c r="AF260" s="16">
        <f>0.6 * AD260 + AE260</f>
        <v>180035.19</v>
      </c>
      <c r="AG260" s="7">
        <f>SUMIF('Stock - ETA'!$F$3:F4963,'Rango proyecciones'!C260,'Stock - ETA'!$J$3:J4963)</f>
        <v>24005.19</v>
      </c>
      <c r="AH260" s="16">
        <f>0.6 * AD260 + AG260</f>
        <v>180035.19</v>
      </c>
      <c r="AI260" s="4"/>
    </row>
    <row r="261" spans="1:35" x14ac:dyDescent="0.2">
      <c r="A261" s="2"/>
      <c r="B261" s="2" t="s">
        <v>35</v>
      </c>
      <c r="C261" s="2" t="s">
        <v>491</v>
      </c>
      <c r="D261" s="2" t="s">
        <v>423</v>
      </c>
      <c r="E261" s="2">
        <v>1012764</v>
      </c>
      <c r="F261" s="2"/>
      <c r="G261" s="2"/>
      <c r="H261" s="4">
        <v>0</v>
      </c>
      <c r="I261" s="7">
        <v>0</v>
      </c>
      <c r="J261" s="7">
        <v>0</v>
      </c>
      <c r="K261" s="7">
        <v>0</v>
      </c>
      <c r="L261" s="4">
        <f t="shared" si="78"/>
        <v>0</v>
      </c>
      <c r="M261" s="7">
        <f>SUMIFS('Stock - ETA'!$R$3:R4963,'Stock - ETA'!$F$3:F4963,'Rango proyecciones'!C261,'Stock - ETA'!$AA$3:AA4963,'Rango proyecciones'!$AJ$5)</f>
        <v>96028.52</v>
      </c>
      <c r="N261" s="7">
        <f>SUMIF('Stock - Puerto Chile'!$G$2:G973,'Rango proyecciones'!C261,'Stock - Puerto Chile'!$L$2:L973)</f>
        <v>38845.727869565213</v>
      </c>
      <c r="O261" s="7">
        <v>0</v>
      </c>
      <c r="P261" s="7">
        <v>0</v>
      </c>
      <c r="Q261" s="16">
        <f>H261 + P261 + M261</f>
        <v>96028.52</v>
      </c>
      <c r="R261" s="7">
        <f t="shared" si="79"/>
        <v>0</v>
      </c>
      <c r="S261" s="7">
        <f>SUMIFS('Stock - ETA'!$H$3:H4963,'Stock - ETA'!$F$3:F4963,'Rango proyecciones'!C261,'Stock - ETA'!$Q$3:Q4963,'Rango proyecciones'!$AJ$5)</f>
        <v>96028.52</v>
      </c>
      <c r="T261" s="7">
        <f>SUMIF('Stock - Puerto Chile'!$G$2:G973,'Rango proyecciones'!C261,'Stock - Puerto Chile'!$N$2:N973)</f>
        <v>47810.126608695653</v>
      </c>
      <c r="U261" s="7">
        <v>0</v>
      </c>
      <c r="V261" s="7">
        <v>0</v>
      </c>
      <c r="W261" s="17">
        <f>H261 + V261 + S261 + U261</f>
        <v>96028.52</v>
      </c>
      <c r="X261" s="4"/>
      <c r="Y261" s="7"/>
      <c r="Z261" s="18">
        <f>SUMIFS('Stock - ETA'!$S$3:S4963,'Stock - ETA'!$F$3:F4963,'Rango proyecciones'!C261,'Stock - ETA'!$AA$3:AA4963,'Rango proyecciones'!$AJ$5) + SUMIFS('Stock - ETA'!$R$3:R4963,'Stock - ETA'!$F$3:F4963,'Rango proyecciones'!C261,'Stock - ETA'!$AA$3:AA4963,'Rango proyecciones'!$AJ$7)</f>
        <v>0</v>
      </c>
      <c r="AA261" s="13">
        <f t="shared" si="80"/>
        <v>0</v>
      </c>
      <c r="AB261" s="7">
        <f>SUMIFS('Stock - ETA'!$I$3:I4963,'Stock - ETA'!$F$3:F4963,'Rango proyecciones'!C261,'Stock - ETA'!$Q$3:Q4963,'Rango proyecciones'!$AJ$5) + SUMIFS('Stock - ETA'!$H$3:H4963,'Stock - ETA'!$F$3:F4963,'Rango proyecciones'!C261,'Stock - ETA'!$Q$3:Q4963,'Rango proyecciones'!$AJ$7)</f>
        <v>0</v>
      </c>
      <c r="AC261" s="16">
        <f t="shared" si="81"/>
        <v>0</v>
      </c>
      <c r="AD261" s="4"/>
      <c r="AE261" s="7">
        <f>SUMIFS('Stock - ETA'!$T$3:T4963,'Stock - ETA'!$F$3:F4963,'Rango proyecciones'!C261,'Stock - ETA'!$AA$3:AA4963,'Rango proyecciones'!$AJ$5) + SUMIFS('Stock - ETA'!$S$3:S4963,'Stock - ETA'!$F$3:F4963,'Rango proyecciones'!C261,'Stock - ETA'!$AA$3:AA4963,'Rango proyecciones'!$AJ$8)</f>
        <v>0</v>
      </c>
      <c r="AF261" s="16">
        <f>0.8 * AD261 + AE261</f>
        <v>0</v>
      </c>
      <c r="AG261" s="7">
        <f>SUMIFS('Stock - ETA'!$J$3:J4963,'Stock - ETA'!$F$3:F4963,'Rango proyecciones'!C261,'Stock - ETA'!$Q$3:Q4963,'Rango proyecciones'!$AJ$5) + SUMIFS('Stock - ETA'!$I$3:I4963,'Stock - ETA'!$F$3:F4963,'Rango proyecciones'!C261,'Stock - ETA'!$Q$3:Q4963,'Rango proyecciones'!$AJ$8)</f>
        <v>0</v>
      </c>
      <c r="AH261" s="16">
        <f>0.8 * AD261 + AG261</f>
        <v>0</v>
      </c>
      <c r="AI261" s="4"/>
    </row>
    <row r="262" spans="1:35" x14ac:dyDescent="0.2">
      <c r="A262" s="2"/>
      <c r="B262" s="2" t="s">
        <v>35</v>
      </c>
      <c r="C262" s="2" t="s">
        <v>492</v>
      </c>
      <c r="D262" s="2" t="s">
        <v>423</v>
      </c>
      <c r="E262" s="2">
        <v>1030802</v>
      </c>
      <c r="F262" s="2"/>
      <c r="G262" s="2"/>
      <c r="H262" s="4">
        <v>0</v>
      </c>
      <c r="I262" s="7">
        <v>0</v>
      </c>
      <c r="J262" s="7">
        <v>18000</v>
      </c>
      <c r="K262" s="7"/>
      <c r="L262" s="4">
        <f t="shared" si="78"/>
        <v>27000</v>
      </c>
      <c r="M262" s="7">
        <f>SUMIFS('Stock - ETA'!$R$3:R4963,'Stock - ETA'!$F$3:F4963,'Rango proyecciones'!C262,'Stock - ETA'!$AA$3:AA4963,'Rango proyecciones'!$AJ$5)</f>
        <v>120003.41200000001</v>
      </c>
      <c r="N262" s="7">
        <f>SUMIF('Stock - Puerto Chile'!$G$2:G973,'Rango proyecciones'!C262,'Stock - Puerto Chile'!$L$2:L973)</f>
        <v>338584.14765217388</v>
      </c>
      <c r="O262" s="7">
        <v>0</v>
      </c>
      <c r="P262" s="7">
        <v>0</v>
      </c>
      <c r="Q262" s="16">
        <f>H262 + P262 + M262</f>
        <v>120003.41200000001</v>
      </c>
      <c r="R262" s="7">
        <f t="shared" si="79"/>
        <v>46285.71428571429</v>
      </c>
      <c r="S262" s="7">
        <f>SUMIFS('Stock - ETA'!$H$3:H4963,'Stock - ETA'!$F$3:F4963,'Rango proyecciones'!C262,'Stock - ETA'!$Q$3:Q4963,'Rango proyecciones'!$AJ$5)</f>
        <v>120003.41200000001</v>
      </c>
      <c r="T262" s="7">
        <f>SUMIF('Stock - Puerto Chile'!$G$2:G973,'Rango proyecciones'!C262,'Stock - Puerto Chile'!$N$2:N973)</f>
        <v>416718.95095652179</v>
      </c>
      <c r="U262" s="7">
        <v>0</v>
      </c>
      <c r="V262" s="7">
        <v>0</v>
      </c>
      <c r="W262" s="17">
        <f>H262 + V262 + S262 + U262</f>
        <v>120003.41200000001</v>
      </c>
      <c r="X262" s="4">
        <v>144000</v>
      </c>
      <c r="Y262" s="7">
        <v>144000</v>
      </c>
      <c r="Z262" s="18">
        <f>SUMIFS('Stock - ETA'!$S$3:S4963,'Stock - ETA'!$F$3:F4963,'Rango proyecciones'!C262,'Stock - ETA'!$AA$3:AA4963,'Rango proyecciones'!$AJ$5) + SUMIFS('Stock - ETA'!$R$3:R4963,'Stock - ETA'!$F$3:F4963,'Rango proyecciones'!C262,'Stock - ETA'!$AA$3:AA4963,'Rango proyecciones'!$AJ$7)</f>
        <v>0</v>
      </c>
      <c r="AA262" s="13">
        <f t="shared" si="80"/>
        <v>144000</v>
      </c>
      <c r="AB262" s="7">
        <f>SUMIFS('Stock - ETA'!$I$3:I4963,'Stock - ETA'!$F$3:F4963,'Rango proyecciones'!C262,'Stock - ETA'!$Q$3:Q4963,'Rango proyecciones'!$AJ$5) + SUMIFS('Stock - ETA'!$H$3:H4963,'Stock - ETA'!$F$3:F4963,'Rango proyecciones'!C262,'Stock - ETA'!$Q$3:Q4963,'Rango proyecciones'!$AJ$7)</f>
        <v>0</v>
      </c>
      <c r="AC262" s="16">
        <f t="shared" si="81"/>
        <v>144000</v>
      </c>
      <c r="AD262" s="4">
        <v>168000</v>
      </c>
      <c r="AE262" s="7">
        <f>SUMIFS('Stock - ETA'!$T$3:T4963,'Stock - ETA'!$F$3:F4963,'Rango proyecciones'!C262,'Stock - ETA'!$AA$3:AA4963,'Rango proyecciones'!$AJ$5) + SUMIFS('Stock - ETA'!$S$3:S4963,'Stock - ETA'!$F$3:F4963,'Rango proyecciones'!C262,'Stock - ETA'!$AA$3:AA4963,'Rango proyecciones'!$AJ$8)</f>
        <v>0</v>
      </c>
      <c r="AF262" s="16">
        <f>0.8 * AD262 + AE262</f>
        <v>134400</v>
      </c>
      <c r="AG262" s="7">
        <f>SUMIFS('Stock - ETA'!$J$3:J4963,'Stock - ETA'!$F$3:F4963,'Rango proyecciones'!C262,'Stock - ETA'!$Q$3:Q4963,'Rango proyecciones'!$AJ$5) + SUMIFS('Stock - ETA'!$I$3:I4963,'Stock - ETA'!$F$3:F4963,'Rango proyecciones'!C262,'Stock - ETA'!$Q$3:Q4963,'Rango proyecciones'!$AJ$8)</f>
        <v>0</v>
      </c>
      <c r="AH262" s="16">
        <f>0.8 * AD262 + AG262</f>
        <v>134400</v>
      </c>
      <c r="AI262" s="4"/>
    </row>
    <row r="263" spans="1:35" x14ac:dyDescent="0.2">
      <c r="A263" s="2"/>
      <c r="B263" s="2" t="s">
        <v>394</v>
      </c>
      <c r="C263" s="2" t="s">
        <v>493</v>
      </c>
      <c r="D263" s="2" t="s">
        <v>485</v>
      </c>
      <c r="E263" s="2">
        <v>1022709</v>
      </c>
      <c r="F263" s="2"/>
      <c r="G263" s="2"/>
      <c r="H263" s="4">
        <v>0</v>
      </c>
      <c r="I263" s="7">
        <v>0</v>
      </c>
      <c r="J263" s="7">
        <v>0</v>
      </c>
      <c r="K263" s="7">
        <v>0</v>
      </c>
      <c r="L263" s="4">
        <f t="shared" si="78"/>
        <v>0</v>
      </c>
      <c r="M263" s="7">
        <f>SUMIF('Stock - ETA'!$F$3:F4963,'Rango proyecciones'!C263,'Stock - ETA'!$R$3:R4963)</f>
        <v>291803.28000000003</v>
      </c>
      <c r="N263" s="7">
        <f>SUMIF('Stock - Puerto Chile'!$G$2:G973,'Rango proyecciones'!C263,'Stock - Puerto Chile'!$L$2:L973)</f>
        <v>171843.01620000001</v>
      </c>
      <c r="O263" s="7">
        <v>0</v>
      </c>
      <c r="P263" s="7">
        <v>0</v>
      </c>
      <c r="Q263" s="16">
        <f>H263 + M263 + N263 + L263</f>
        <v>463646.29620000004</v>
      </c>
      <c r="R263" s="7">
        <f t="shared" si="79"/>
        <v>0</v>
      </c>
      <c r="S263" s="7">
        <f>SUMIF('Stock - ETA'!$F$3:F4963,'Rango proyecciones'!C263,'Stock - ETA'!$H$3:H4963)</f>
        <v>291803.28000000003</v>
      </c>
      <c r="T263" s="7">
        <f>SUMIF('Stock - Puerto Chile'!$G$2:G973,'Rango proyecciones'!C263,'Stock - Puerto Chile'!$N$2:N973)</f>
        <v>206211.61943999998</v>
      </c>
      <c r="U263" s="7">
        <v>0</v>
      </c>
      <c r="V263" s="7">
        <v>0</v>
      </c>
      <c r="W263" s="16">
        <f>H263 + S263 + R263 + T263</f>
        <v>498014.89944000001</v>
      </c>
      <c r="X263" s="4">
        <v>216000</v>
      </c>
      <c r="Y263" s="7">
        <v>216000</v>
      </c>
      <c r="Z263" s="18">
        <f>SUMIF('Stock - ETA'!$F$3:F4963,'Rango proyecciones'!C263,'Stock - ETA'!$S$3:S4963)</f>
        <v>0</v>
      </c>
      <c r="AA263" s="13">
        <f t="shared" si="80"/>
        <v>216000</v>
      </c>
      <c r="AB263" s="7">
        <f>SUMIF('Stock - ETA'!$F$3:F4963,'Rango proyecciones'!C263,'Stock - ETA'!$I$3:I4963)</f>
        <v>0</v>
      </c>
      <c r="AC263" s="16">
        <f t="shared" si="81"/>
        <v>216000</v>
      </c>
      <c r="AD263" s="4">
        <v>216000</v>
      </c>
      <c r="AE263" s="7">
        <f>SUMIF('Stock - ETA'!$F$3:F4963,'Rango proyecciones'!C263,'Stock - ETA'!$T$3:T4963)</f>
        <v>0</v>
      </c>
      <c r="AF263" s="16">
        <f>0.6 * AD263 + AE263</f>
        <v>129600</v>
      </c>
      <c r="AG263" s="7">
        <f>SUMIF('Stock - ETA'!$F$3:F4963,'Rango proyecciones'!C263,'Stock - ETA'!$J$3:J4963)</f>
        <v>0</v>
      </c>
      <c r="AH263" s="16">
        <f>0.6 * AD263 + AG263</f>
        <v>129600</v>
      </c>
      <c r="AI263" s="4"/>
    </row>
    <row r="264" spans="1:35" x14ac:dyDescent="0.2">
      <c r="A264" s="2"/>
      <c r="B264" s="2" t="s">
        <v>394</v>
      </c>
      <c r="C264" s="2" t="s">
        <v>494</v>
      </c>
      <c r="D264" s="2" t="s">
        <v>485</v>
      </c>
      <c r="E264" s="2">
        <v>1020925</v>
      </c>
      <c r="F264" s="2"/>
      <c r="G264" s="2"/>
      <c r="H264" s="4">
        <v>0</v>
      </c>
      <c r="I264" s="7">
        <v>0</v>
      </c>
      <c r="J264" s="7">
        <v>0</v>
      </c>
      <c r="K264" s="7">
        <v>0</v>
      </c>
      <c r="L264" s="4">
        <f t="shared" si="78"/>
        <v>0</v>
      </c>
      <c r="M264" s="7">
        <f>SUMIF('Stock - ETA'!$F$3:F4963,'Rango proyecciones'!C264,'Stock - ETA'!$R$3:R4963)</f>
        <v>35320.04</v>
      </c>
      <c r="N264" s="7">
        <f>SUMIF('Stock - Puerto Chile'!$G$2:G973,'Rango proyecciones'!C264,'Stock - Puerto Chile'!$L$2:L973)</f>
        <v>0</v>
      </c>
      <c r="O264" s="7">
        <v>0</v>
      </c>
      <c r="P264" s="7">
        <v>0</v>
      </c>
      <c r="Q264" s="16">
        <f>H264 + M264 + N264 + L264</f>
        <v>35320.04</v>
      </c>
      <c r="R264" s="7">
        <f t="shared" si="79"/>
        <v>0</v>
      </c>
      <c r="S264" s="7">
        <f>SUMIF('Stock - ETA'!$F$3:F4963,'Rango proyecciones'!C264,'Stock - ETA'!$H$3:H4963)</f>
        <v>35320.04</v>
      </c>
      <c r="T264" s="7">
        <f>SUMIF('Stock - Puerto Chile'!$G$2:G973,'Rango proyecciones'!C264,'Stock - Puerto Chile'!$N$2:N973)</f>
        <v>0</v>
      </c>
      <c r="U264" s="7">
        <v>0</v>
      </c>
      <c r="V264" s="7">
        <v>0</v>
      </c>
      <c r="W264" s="16">
        <f>H264 + S264 + R264 + T264</f>
        <v>35320.04</v>
      </c>
      <c r="X264" s="4"/>
      <c r="Y264" s="7"/>
      <c r="Z264" s="18">
        <f>SUMIF('Stock - ETA'!$F$3:F4963,'Rango proyecciones'!C264,'Stock - ETA'!$S$3:S4963)</f>
        <v>0</v>
      </c>
      <c r="AA264" s="13">
        <f t="shared" si="80"/>
        <v>0</v>
      </c>
      <c r="AB264" s="7">
        <f>SUMIF('Stock - ETA'!$F$3:F4963,'Rango proyecciones'!C264,'Stock - ETA'!$I$3:I4963)</f>
        <v>0</v>
      </c>
      <c r="AC264" s="16">
        <f t="shared" si="81"/>
        <v>0</v>
      </c>
      <c r="AD264" s="4"/>
      <c r="AE264" s="7">
        <f>SUMIF('Stock - ETA'!$F$3:F4963,'Rango proyecciones'!C264,'Stock - ETA'!$T$3:T4963)</f>
        <v>0</v>
      </c>
      <c r="AF264" s="16">
        <f>0.6 * AD264 + AE264</f>
        <v>0</v>
      </c>
      <c r="AG264" s="7">
        <f>SUMIF('Stock - ETA'!$F$3:F4963,'Rango proyecciones'!C264,'Stock - ETA'!$J$3:J4963)</f>
        <v>0</v>
      </c>
      <c r="AH264" s="16">
        <f>0.6 * AD264 + AG264</f>
        <v>0</v>
      </c>
      <c r="AI264" s="4"/>
    </row>
    <row r="265" spans="1:35" x14ac:dyDescent="0.2">
      <c r="A265" s="2"/>
      <c r="B265" s="2" t="s">
        <v>394</v>
      </c>
      <c r="C265" s="2" t="s">
        <v>495</v>
      </c>
      <c r="D265" s="2" t="s">
        <v>485</v>
      </c>
      <c r="E265" s="2">
        <v>1021385</v>
      </c>
      <c r="F265" s="2"/>
      <c r="G265" s="2"/>
      <c r="H265" s="4">
        <v>0</v>
      </c>
      <c r="I265" s="7">
        <v>0</v>
      </c>
      <c r="J265" s="7">
        <v>0</v>
      </c>
      <c r="K265" s="7">
        <v>0</v>
      </c>
      <c r="L265" s="4">
        <f t="shared" si="78"/>
        <v>0</v>
      </c>
      <c r="M265" s="7">
        <f>SUMIF('Stock - ETA'!$F$3:F4963,'Rango proyecciones'!C265,'Stock - ETA'!$R$3:R4963)</f>
        <v>61030.31</v>
      </c>
      <c r="N265" s="7">
        <f>SUMIF('Stock - Puerto Chile'!$G$2:G973,'Rango proyecciones'!C265,'Stock - Puerto Chile'!$L$2:L973)</f>
        <v>57559.999199999998</v>
      </c>
      <c r="O265" s="7">
        <v>0</v>
      </c>
      <c r="P265" s="7">
        <v>0</v>
      </c>
      <c r="Q265" s="16">
        <f>H265 + M265 + N265 + L265</f>
        <v>118590.30919999999</v>
      </c>
      <c r="R265" s="7">
        <f t="shared" si="79"/>
        <v>0</v>
      </c>
      <c r="S265" s="7">
        <f>SUMIF('Stock - ETA'!$F$3:F4963,'Rango proyecciones'!C265,'Stock - ETA'!$H$3:H4963)</f>
        <v>61030.31</v>
      </c>
      <c r="T265" s="7">
        <f>SUMIF('Stock - Puerto Chile'!$G$2:G973,'Rango proyecciones'!C265,'Stock - Puerto Chile'!$N$2:N973)</f>
        <v>69071.999039999995</v>
      </c>
      <c r="U265" s="7">
        <v>0</v>
      </c>
      <c r="V265" s="7">
        <v>0</v>
      </c>
      <c r="W265" s="16">
        <f>H265 + S265 + R265 + T265</f>
        <v>130102.30903999999</v>
      </c>
      <c r="X265" s="4">
        <v>240000</v>
      </c>
      <c r="Y265" s="7">
        <v>240000</v>
      </c>
      <c r="Z265" s="18">
        <f>SUMIF('Stock - ETA'!$F$3:F4963,'Rango proyecciones'!C265,'Stock - ETA'!$S$3:S4963)</f>
        <v>0</v>
      </c>
      <c r="AA265" s="13">
        <f t="shared" si="80"/>
        <v>240000</v>
      </c>
      <c r="AB265" s="7">
        <f>SUMIF('Stock - ETA'!$F$3:F4963,'Rango proyecciones'!C265,'Stock - ETA'!$I$3:I4963)</f>
        <v>0</v>
      </c>
      <c r="AC265" s="16">
        <f t="shared" si="81"/>
        <v>240000</v>
      </c>
      <c r="AD265" s="4">
        <v>240000</v>
      </c>
      <c r="AE265" s="7">
        <f>SUMIF('Stock - ETA'!$F$3:F4963,'Rango proyecciones'!C265,'Stock - ETA'!$T$3:T4963)</f>
        <v>0</v>
      </c>
      <c r="AF265" s="16">
        <f>0.6 * AD265 + AE265</f>
        <v>144000</v>
      </c>
      <c r="AG265" s="7">
        <f>SUMIF('Stock - ETA'!$F$3:F4963,'Rango proyecciones'!C265,'Stock - ETA'!$J$3:J4963)</f>
        <v>0</v>
      </c>
      <c r="AH265" s="16">
        <f>0.6 * AD265 + AG265</f>
        <v>144000</v>
      </c>
      <c r="AI265" s="4"/>
    </row>
    <row r="266" spans="1:35" x14ac:dyDescent="0.2">
      <c r="A266" s="2"/>
      <c r="B266" s="2" t="s">
        <v>35</v>
      </c>
      <c r="C266" s="2" t="s">
        <v>496</v>
      </c>
      <c r="D266" s="2" t="s">
        <v>423</v>
      </c>
      <c r="E266" s="2">
        <v>1020845</v>
      </c>
      <c r="F266" s="2"/>
      <c r="G266" s="2"/>
      <c r="H266" s="4">
        <v>0</v>
      </c>
      <c r="I266" s="7">
        <v>0</v>
      </c>
      <c r="J266" s="7">
        <v>2373.6990000000001</v>
      </c>
      <c r="K266" s="7"/>
      <c r="L266" s="4">
        <f t="shared" si="78"/>
        <v>3560.5484999999999</v>
      </c>
      <c r="M266" s="7">
        <f>SUMIFS('Stock - ETA'!$R$3:R4963,'Stock - ETA'!$F$3:F4963,'Rango proyecciones'!C266,'Stock - ETA'!$AA$3:AA4963,'Rango proyecciones'!$AJ$5)</f>
        <v>24018.02</v>
      </c>
      <c r="N266" s="7">
        <f>SUMIF('Stock - Puerto Chile'!$G$2:G973,'Rango proyecciones'!C266,'Stock - Puerto Chile'!$L$2:L973)</f>
        <v>0</v>
      </c>
      <c r="O266" s="7">
        <v>0</v>
      </c>
      <c r="P266" s="7">
        <v>0</v>
      </c>
      <c r="Q266" s="16">
        <f>H266 + P266 + M266</f>
        <v>24018.02</v>
      </c>
      <c r="R266" s="7">
        <f t="shared" si="79"/>
        <v>6103.797428571429</v>
      </c>
      <c r="S266" s="7">
        <f>SUMIFS('Stock - ETA'!$H$3:H4963,'Stock - ETA'!$F$3:F4963,'Rango proyecciones'!C266,'Stock - ETA'!$Q$3:Q4963,'Rango proyecciones'!$AJ$5)</f>
        <v>24018.02</v>
      </c>
      <c r="T266" s="7">
        <f>SUMIF('Stock - Puerto Chile'!$G$2:G973,'Rango proyecciones'!C266,'Stock - Puerto Chile'!$N$2:N973)</f>
        <v>0</v>
      </c>
      <c r="U266" s="7">
        <v>0</v>
      </c>
      <c r="V266" s="7">
        <v>0</v>
      </c>
      <c r="W266" s="17">
        <f>H266 + V266 + S266 + U266</f>
        <v>24018.02</v>
      </c>
      <c r="X266" s="4"/>
      <c r="Y266" s="7"/>
      <c r="Z266" s="18">
        <f>SUMIFS('Stock - ETA'!$S$3:S4963,'Stock - ETA'!$F$3:F4963,'Rango proyecciones'!C266,'Stock - ETA'!$AA$3:AA4963,'Rango proyecciones'!$AJ$5) + SUMIFS('Stock - ETA'!$R$3:R4963,'Stock - ETA'!$F$3:F4963,'Rango proyecciones'!C266,'Stock - ETA'!$AA$3:AA4963,'Rango proyecciones'!$AJ$7)</f>
        <v>0</v>
      </c>
      <c r="AA266" s="13">
        <f t="shared" si="80"/>
        <v>0</v>
      </c>
      <c r="AB266" s="7">
        <f>SUMIFS('Stock - ETA'!$I$3:I4963,'Stock - ETA'!$F$3:F4963,'Rango proyecciones'!C266,'Stock - ETA'!$Q$3:Q4963,'Rango proyecciones'!$AJ$5) + SUMIFS('Stock - ETA'!$H$3:H4963,'Stock - ETA'!$F$3:F4963,'Rango proyecciones'!C266,'Stock - ETA'!$Q$3:Q4963,'Rango proyecciones'!$AJ$7)</f>
        <v>0</v>
      </c>
      <c r="AC266" s="16">
        <f t="shared" si="81"/>
        <v>0</v>
      </c>
      <c r="AD266" s="4"/>
      <c r="AE266" s="7">
        <f>SUMIFS('Stock - ETA'!$T$3:T4963,'Stock - ETA'!$F$3:F4963,'Rango proyecciones'!C266,'Stock - ETA'!$AA$3:AA4963,'Rango proyecciones'!$AJ$5) + SUMIFS('Stock - ETA'!$S$3:S4963,'Stock - ETA'!$F$3:F4963,'Rango proyecciones'!C266,'Stock - ETA'!$AA$3:AA4963,'Rango proyecciones'!$AJ$8)</f>
        <v>0</v>
      </c>
      <c r="AF266" s="16">
        <f>0.8 * AD266 + AE266</f>
        <v>0</v>
      </c>
      <c r="AG266" s="7">
        <f>SUMIFS('Stock - ETA'!$J$3:J4963,'Stock - ETA'!$F$3:F4963,'Rango proyecciones'!C266,'Stock - ETA'!$Q$3:Q4963,'Rango proyecciones'!$AJ$5) + SUMIFS('Stock - ETA'!$I$3:I4963,'Stock - ETA'!$F$3:F4963,'Rango proyecciones'!C266,'Stock - ETA'!$Q$3:Q4963,'Rango proyecciones'!$AJ$8)</f>
        <v>0</v>
      </c>
      <c r="AH266" s="16">
        <f>0.8 * AD266 + AG266</f>
        <v>0</v>
      </c>
      <c r="AI266" s="4"/>
    </row>
    <row r="267" spans="1:35" x14ac:dyDescent="0.2">
      <c r="A267" s="2"/>
      <c r="B267" s="2" t="s">
        <v>35</v>
      </c>
      <c r="C267" s="2" t="s">
        <v>497</v>
      </c>
      <c r="D267" s="2" t="s">
        <v>386</v>
      </c>
      <c r="E267" s="2">
        <v>1020660</v>
      </c>
      <c r="F267" s="2"/>
      <c r="G267" s="2"/>
      <c r="H267" s="4">
        <v>0</v>
      </c>
      <c r="I267" s="7">
        <v>0</v>
      </c>
      <c r="J267" s="7">
        <v>0</v>
      </c>
      <c r="K267" s="7">
        <v>0</v>
      </c>
      <c r="L267" s="4">
        <f t="shared" si="78"/>
        <v>0</v>
      </c>
      <c r="M267" s="7">
        <f>SUMIFS('Stock - ETA'!$R$3:R4963,'Stock - ETA'!$F$3:F4963,'Rango proyecciones'!C267,'Stock - ETA'!$AA$3:AA4963,'Rango proyecciones'!$AJ$5)</f>
        <v>0</v>
      </c>
      <c r="N267" s="7">
        <f>SUMIF('Stock - Puerto Chile'!$G$2:G973,'Rango proyecciones'!C267,'Stock - Puerto Chile'!$L$2:L973)</f>
        <v>0</v>
      </c>
      <c r="O267" s="7">
        <v>0</v>
      </c>
      <c r="P267" s="7">
        <v>0</v>
      </c>
      <c r="Q267" s="16">
        <f>H267 + P267 + M267</f>
        <v>0</v>
      </c>
      <c r="R267" s="7">
        <f t="shared" si="79"/>
        <v>0</v>
      </c>
      <c r="S267" s="7">
        <f>SUMIFS('Stock - ETA'!$H$3:H4963,'Stock - ETA'!$F$3:F4963,'Rango proyecciones'!C267,'Stock - ETA'!$Q$3:Q4963,'Rango proyecciones'!$AJ$5)</f>
        <v>0</v>
      </c>
      <c r="T267" s="7">
        <f>SUMIF('Stock - Puerto Chile'!$G$2:G973,'Rango proyecciones'!C267,'Stock - Puerto Chile'!$N$2:N973)</f>
        <v>0</v>
      </c>
      <c r="U267" s="7">
        <v>0</v>
      </c>
      <c r="V267" s="7">
        <v>0</v>
      </c>
      <c r="W267" s="17">
        <f>H267 + V267 + S267 + U267</f>
        <v>0</v>
      </c>
      <c r="X267" s="4"/>
      <c r="Y267" s="7"/>
      <c r="Z267" s="18">
        <f>SUMIFS('Stock - ETA'!$S$3:S4963,'Stock - ETA'!$F$3:F4963,'Rango proyecciones'!C267,'Stock - ETA'!$AA$3:AA4963,'Rango proyecciones'!$AJ$5) + SUMIFS('Stock - ETA'!$R$3:R4963,'Stock - ETA'!$F$3:F4963,'Rango proyecciones'!C267,'Stock - ETA'!$AA$3:AA4963,'Rango proyecciones'!$AJ$7)</f>
        <v>23996.98</v>
      </c>
      <c r="AA267" s="13">
        <f t="shared" si="80"/>
        <v>23996.98</v>
      </c>
      <c r="AB267" s="7">
        <f>SUMIFS('Stock - ETA'!$I$3:I4963,'Stock - ETA'!$F$3:F4963,'Rango proyecciones'!C267,'Stock - ETA'!$Q$3:Q4963,'Rango proyecciones'!$AJ$5) + SUMIFS('Stock - ETA'!$H$3:H4963,'Stock - ETA'!$F$3:F4963,'Rango proyecciones'!C267,'Stock - ETA'!$Q$3:Q4963,'Rango proyecciones'!$AJ$7)</f>
        <v>23996.98</v>
      </c>
      <c r="AC267" s="16">
        <f t="shared" si="81"/>
        <v>23996.98</v>
      </c>
      <c r="AD267" s="4"/>
      <c r="AE267" s="7">
        <f>SUMIFS('Stock - ETA'!$T$3:T4963,'Stock - ETA'!$F$3:F4963,'Rango proyecciones'!C267,'Stock - ETA'!$AA$3:AA4963,'Rango proyecciones'!$AJ$5) + SUMIFS('Stock - ETA'!$S$3:S4963,'Stock - ETA'!$F$3:F4963,'Rango proyecciones'!C267,'Stock - ETA'!$AA$3:AA4963,'Rango proyecciones'!$AJ$8)</f>
        <v>0</v>
      </c>
      <c r="AF267" s="16">
        <f>0.7 * AD267 + AE267</f>
        <v>0</v>
      </c>
      <c r="AG267" s="7">
        <f>SUMIFS('Stock - ETA'!$J$3:J4963,'Stock - ETA'!$F$3:F4963,'Rango proyecciones'!C267,'Stock - ETA'!$Q$3:Q4963,'Rango proyecciones'!$AJ$5) + SUMIFS('Stock - ETA'!$I$3:I4963,'Stock - ETA'!$F$3:F4963,'Rango proyecciones'!C267,'Stock - ETA'!$Q$3:Q4963,'Rango proyecciones'!$AJ$8)</f>
        <v>0</v>
      </c>
      <c r="AH267" s="16">
        <f>0.7 * AD267 + AG267</f>
        <v>0</v>
      </c>
      <c r="AI267" s="4"/>
    </row>
    <row r="268" spans="1:35" x14ac:dyDescent="0.2">
      <c r="A268" s="2"/>
      <c r="B268" s="2" t="s">
        <v>394</v>
      </c>
      <c r="C268" s="2" t="s">
        <v>498</v>
      </c>
      <c r="D268" s="2" t="s">
        <v>485</v>
      </c>
      <c r="E268" s="2">
        <v>1020944</v>
      </c>
      <c r="F268" s="2"/>
      <c r="G268" s="2"/>
      <c r="H268" s="4">
        <v>0</v>
      </c>
      <c r="I268" s="7">
        <v>0</v>
      </c>
      <c r="J268" s="7">
        <v>92996.15</v>
      </c>
      <c r="K268" s="7">
        <v>10738.17</v>
      </c>
      <c r="L268" s="4">
        <f t="shared" si="78"/>
        <v>123386.97</v>
      </c>
      <c r="M268" s="7">
        <f>SUMIF('Stock - ETA'!$F$3:F4963,'Rango proyecciones'!C268,'Stock - ETA'!$R$3:R4963)</f>
        <v>299209.27999999997</v>
      </c>
      <c r="N268" s="7">
        <f>SUMIF('Stock - Puerto Chile'!$G$2:G973,'Rango proyecciones'!C268,'Stock - Puerto Chile'!$L$2:L973)</f>
        <v>676461.13979999989</v>
      </c>
      <c r="O268" s="7">
        <v>0</v>
      </c>
      <c r="P268" s="7">
        <v>0</v>
      </c>
      <c r="Q268" s="16">
        <f>H268 + M268 + N268 + L268</f>
        <v>1099057.3897999998</v>
      </c>
      <c r="R268" s="7">
        <f t="shared" si="79"/>
        <v>211520.52000000002</v>
      </c>
      <c r="S268" s="7">
        <f>SUMIF('Stock - ETA'!$F$3:F4963,'Rango proyecciones'!C268,'Stock - ETA'!$H$3:H4963)</f>
        <v>299209.27999999997</v>
      </c>
      <c r="T268" s="7">
        <f>SUMIF('Stock - Puerto Chile'!$G$2:G973,'Rango proyecciones'!C268,'Stock - Puerto Chile'!$N$2:N973)</f>
        <v>811753.36776000005</v>
      </c>
      <c r="U268" s="7">
        <v>0</v>
      </c>
      <c r="V268" s="7">
        <v>0</v>
      </c>
      <c r="W268" s="16">
        <f>H268 + S268 + R268 + T268</f>
        <v>1322483.1677600001</v>
      </c>
      <c r="X268" s="4">
        <v>408000</v>
      </c>
      <c r="Y268" s="7">
        <v>408000</v>
      </c>
      <c r="Z268" s="18">
        <f>SUMIF('Stock - ETA'!$F$3:F4963,'Rango proyecciones'!C268,'Stock - ETA'!$S$3:S4963)</f>
        <v>0</v>
      </c>
      <c r="AA268" s="13">
        <f t="shared" si="80"/>
        <v>408000</v>
      </c>
      <c r="AB268" s="7">
        <f>SUMIF('Stock - ETA'!$F$3:F4963,'Rango proyecciones'!C268,'Stock - ETA'!$I$3:I4963)</f>
        <v>0</v>
      </c>
      <c r="AC268" s="16">
        <f t="shared" si="81"/>
        <v>408000</v>
      </c>
      <c r="AD268" s="4">
        <v>408000</v>
      </c>
      <c r="AE268" s="7">
        <f>SUMIF('Stock - ETA'!$F$3:F4963,'Rango proyecciones'!C268,'Stock - ETA'!$T$3:T4963)</f>
        <v>0</v>
      </c>
      <c r="AF268" s="16">
        <f>0.6 * AD268 + AE268</f>
        <v>244800</v>
      </c>
      <c r="AG268" s="7">
        <f>SUMIF('Stock - ETA'!$F$3:F4963,'Rango proyecciones'!C268,'Stock - ETA'!$J$3:J4963)</f>
        <v>0</v>
      </c>
      <c r="AH268" s="16">
        <f>0.6 * AD268 + AG268</f>
        <v>244800</v>
      </c>
      <c r="AI268" s="4"/>
    </row>
    <row r="269" spans="1:35" x14ac:dyDescent="0.2">
      <c r="A269" s="2"/>
      <c r="B269" s="2" t="s">
        <v>394</v>
      </c>
      <c r="C269" s="2" t="s">
        <v>499</v>
      </c>
      <c r="D269" s="2" t="s">
        <v>485</v>
      </c>
      <c r="E269" s="2">
        <v>1021105</v>
      </c>
      <c r="F269" s="2"/>
      <c r="G269" s="2"/>
      <c r="H269" s="4">
        <v>0</v>
      </c>
      <c r="I269" s="7">
        <v>0</v>
      </c>
      <c r="J269" s="7">
        <v>5003</v>
      </c>
      <c r="K269" s="7">
        <v>664.55</v>
      </c>
      <c r="L269" s="4">
        <f t="shared" si="78"/>
        <v>6507.6749999999993</v>
      </c>
      <c r="M269" s="7">
        <f>SUMIF('Stock - ETA'!$F$3:F4963,'Rango proyecciones'!C269,'Stock - ETA'!$R$3:R4963)</f>
        <v>23874.95</v>
      </c>
      <c r="N269" s="7">
        <f>SUMIF('Stock - Puerto Chile'!$G$2:G973,'Rango proyecciones'!C269,'Stock - Puerto Chile'!$L$2:L973)</f>
        <v>9596.786399999999</v>
      </c>
      <c r="O269" s="7">
        <v>0</v>
      </c>
      <c r="P269" s="7">
        <v>0</v>
      </c>
      <c r="Q269" s="16">
        <f>H269 + M269 + N269 + L269</f>
        <v>39979.411399999997</v>
      </c>
      <c r="R269" s="7">
        <f t="shared" si="79"/>
        <v>11156.014285714286</v>
      </c>
      <c r="S269" s="7">
        <f>SUMIF('Stock - ETA'!$F$3:F4963,'Rango proyecciones'!C269,'Stock - ETA'!$H$3:H4963)</f>
        <v>23874.95</v>
      </c>
      <c r="T269" s="7">
        <f>SUMIF('Stock - Puerto Chile'!$G$2:G973,'Rango proyecciones'!C269,'Stock - Puerto Chile'!$N$2:N973)</f>
        <v>11516.143679999999</v>
      </c>
      <c r="U269" s="7">
        <v>0</v>
      </c>
      <c r="V269" s="7">
        <v>0</v>
      </c>
      <c r="W269" s="16">
        <f>H269 + S269 + R269 + T269</f>
        <v>46547.107965714291</v>
      </c>
      <c r="X269" s="4">
        <v>49267</v>
      </c>
      <c r="Y269" s="7">
        <v>49267</v>
      </c>
      <c r="Z269" s="18">
        <f>SUMIF('Stock - ETA'!$F$3:F4963,'Rango proyecciones'!C269,'Stock - ETA'!$S$3:S4963)</f>
        <v>0</v>
      </c>
      <c r="AA269" s="13">
        <f t="shared" si="80"/>
        <v>49267</v>
      </c>
      <c r="AB269" s="7">
        <f>SUMIF('Stock - ETA'!$F$3:F4963,'Rango proyecciones'!C269,'Stock - ETA'!$I$3:I4963)</f>
        <v>0</v>
      </c>
      <c r="AC269" s="16">
        <f t="shared" si="81"/>
        <v>49267</v>
      </c>
      <c r="AD269" s="4">
        <v>58382</v>
      </c>
      <c r="AE269" s="7">
        <f>SUMIF('Stock - ETA'!$F$3:F4963,'Rango proyecciones'!C269,'Stock - ETA'!$T$3:T4963)</f>
        <v>0</v>
      </c>
      <c r="AF269" s="16">
        <f>0.6 * AD269 + AE269</f>
        <v>35029.199999999997</v>
      </c>
      <c r="AG269" s="7">
        <f>SUMIF('Stock - ETA'!$F$3:F4963,'Rango proyecciones'!C269,'Stock - ETA'!$J$3:J4963)</f>
        <v>0</v>
      </c>
      <c r="AH269" s="16">
        <f>0.6 * AD269 + AG269</f>
        <v>35029.199999999997</v>
      </c>
      <c r="AI269" s="4"/>
    </row>
    <row r="270" spans="1:35" x14ac:dyDescent="0.2">
      <c r="A270" s="2"/>
      <c r="B270" s="2" t="s">
        <v>394</v>
      </c>
      <c r="C270" s="2" t="s">
        <v>500</v>
      </c>
      <c r="D270" s="2" t="s">
        <v>485</v>
      </c>
      <c r="E270" s="2">
        <v>1022150</v>
      </c>
      <c r="F270" s="2"/>
      <c r="G270" s="2"/>
      <c r="H270" s="4">
        <v>0</v>
      </c>
      <c r="I270" s="7">
        <v>0</v>
      </c>
      <c r="J270" s="7">
        <v>0</v>
      </c>
      <c r="K270" s="7">
        <v>0</v>
      </c>
      <c r="L270" s="4">
        <f t="shared" si="78"/>
        <v>0</v>
      </c>
      <c r="M270" s="7">
        <f>SUMIF('Stock - ETA'!$F$3:F4963,'Rango proyecciones'!C270,'Stock - ETA'!$R$3:R4963)</f>
        <v>132527.54999999999</v>
      </c>
      <c r="N270" s="7">
        <f>SUMIF('Stock - Puerto Chile'!$G$2:G973,'Rango proyecciones'!C270,'Stock - Puerto Chile'!$L$2:L973)</f>
        <v>218181.56760000001</v>
      </c>
      <c r="O270" s="7">
        <v>0</v>
      </c>
      <c r="P270" s="7">
        <v>0</v>
      </c>
      <c r="Q270" s="16">
        <f>H270 + M270 + N270 + L270</f>
        <v>350709.1176</v>
      </c>
      <c r="R270" s="7">
        <f t="shared" si="79"/>
        <v>0</v>
      </c>
      <c r="S270" s="7">
        <f>SUMIF('Stock - ETA'!$F$3:F4963,'Rango proyecciones'!C270,'Stock - ETA'!$H$3:H4963)</f>
        <v>132527.54999999999</v>
      </c>
      <c r="T270" s="7">
        <f>SUMIF('Stock - Puerto Chile'!$G$2:G973,'Rango proyecciones'!C270,'Stock - Puerto Chile'!$N$2:N973)</f>
        <v>261817.88111999998</v>
      </c>
      <c r="U270" s="7">
        <v>0</v>
      </c>
      <c r="V270" s="7">
        <v>0</v>
      </c>
      <c r="W270" s="16">
        <f>H270 + S270 + R270 + T270</f>
        <v>394345.43111999996</v>
      </c>
      <c r="X270" s="4">
        <v>288000</v>
      </c>
      <c r="Y270" s="7">
        <v>288000</v>
      </c>
      <c r="Z270" s="18">
        <f>SUMIF('Stock - ETA'!$F$3:F4963,'Rango proyecciones'!C270,'Stock - ETA'!$S$3:S4963)</f>
        <v>0</v>
      </c>
      <c r="AA270" s="13">
        <f t="shared" si="80"/>
        <v>288000</v>
      </c>
      <c r="AB270" s="7">
        <f>SUMIF('Stock - ETA'!$F$3:F4963,'Rango proyecciones'!C270,'Stock - ETA'!$I$3:I4963)</f>
        <v>0</v>
      </c>
      <c r="AC270" s="16">
        <f t="shared" si="81"/>
        <v>288000</v>
      </c>
      <c r="AD270" s="4">
        <v>288000</v>
      </c>
      <c r="AE270" s="7">
        <f>SUMIF('Stock - ETA'!$F$3:F4963,'Rango proyecciones'!C270,'Stock - ETA'!$T$3:T4963)</f>
        <v>0</v>
      </c>
      <c r="AF270" s="16">
        <f>0.6 * AD270 + AE270</f>
        <v>172800</v>
      </c>
      <c r="AG270" s="7">
        <f>SUMIF('Stock - ETA'!$F$3:F4963,'Rango proyecciones'!C270,'Stock - ETA'!$J$3:J4963)</f>
        <v>0</v>
      </c>
      <c r="AH270" s="16">
        <f>0.6 * AD270 + AG270</f>
        <v>172800</v>
      </c>
      <c r="AI270" s="4"/>
    </row>
    <row r="271" spans="1:35" x14ac:dyDescent="0.2">
      <c r="A271" s="2"/>
      <c r="B271" s="2" t="s">
        <v>35</v>
      </c>
      <c r="C271" s="2" t="s">
        <v>501</v>
      </c>
      <c r="D271" s="2" t="s">
        <v>391</v>
      </c>
      <c r="E271" s="2">
        <v>1022791</v>
      </c>
      <c r="F271" s="2"/>
      <c r="G271" s="2"/>
      <c r="H271" s="4">
        <v>0</v>
      </c>
      <c r="I271" s="7">
        <v>0</v>
      </c>
      <c r="J271" s="7">
        <v>0</v>
      </c>
      <c r="K271" s="7">
        <v>0</v>
      </c>
      <c r="L271" s="4">
        <f t="shared" si="78"/>
        <v>0</v>
      </c>
      <c r="M271" s="7">
        <f>SUMIFS('Stock - ETA'!$R$3:R4963,'Stock - ETA'!$F$3:F4963,'Rango proyecciones'!C271,'Stock - ETA'!$AA$3:AA4963,'Rango proyecciones'!$AJ$5)</f>
        <v>0</v>
      </c>
      <c r="N271" s="7">
        <f>SUMIF('Stock - Puerto Chile'!$G$2:G973,'Rango proyecciones'!C271,'Stock - Puerto Chile'!$L$2:L973)</f>
        <v>0</v>
      </c>
      <c r="O271" s="7">
        <v>0</v>
      </c>
      <c r="P271" s="7">
        <v>0</v>
      </c>
      <c r="Q271" s="16">
        <f>H271 + P271 + M271</f>
        <v>0</v>
      </c>
      <c r="R271" s="7">
        <f t="shared" si="79"/>
        <v>0</v>
      </c>
      <c r="S271" s="7">
        <f>SUMIFS('Stock - ETA'!$H$3:H4963,'Stock - ETA'!$F$3:F4963,'Rango proyecciones'!C271,'Stock - ETA'!$Q$3:Q4963,'Rango proyecciones'!$AJ$5)</f>
        <v>0</v>
      </c>
      <c r="T271" s="7">
        <f>SUMIF('Stock - Puerto Chile'!$G$2:G973,'Rango proyecciones'!C271,'Stock - Puerto Chile'!$N$2:N973)</f>
        <v>0</v>
      </c>
      <c r="U271" s="7">
        <v>0</v>
      </c>
      <c r="V271" s="7">
        <v>0</v>
      </c>
      <c r="W271" s="17">
        <f>H271 + V271 + S271 + U271</f>
        <v>0</v>
      </c>
      <c r="X271" s="4"/>
      <c r="Y271" s="7"/>
      <c r="Z271" s="18">
        <f>SUMIFS('Stock - ETA'!$S$3:S4963,'Stock - ETA'!$F$3:F4963,'Rango proyecciones'!C271,'Stock - ETA'!$AA$3:AA4963,'Rango proyecciones'!$AJ$5) + SUMIFS('Stock - ETA'!$R$3:R4963,'Stock - ETA'!$F$3:F4963,'Rango proyecciones'!C271,'Stock - ETA'!$AA$3:AA4963,'Rango proyecciones'!$AJ$7)</f>
        <v>86.12</v>
      </c>
      <c r="AA271" s="13">
        <f t="shared" si="80"/>
        <v>86.12</v>
      </c>
      <c r="AB271" s="7">
        <f>SUMIFS('Stock - ETA'!$I$3:I4963,'Stock - ETA'!$F$3:F4963,'Rango proyecciones'!C271,'Stock - ETA'!$Q$3:Q4963,'Rango proyecciones'!$AJ$5) + SUMIFS('Stock - ETA'!$H$3:H4963,'Stock - ETA'!$F$3:F4963,'Rango proyecciones'!C271,'Stock - ETA'!$Q$3:Q4963,'Rango proyecciones'!$AJ$7)</f>
        <v>86.12</v>
      </c>
      <c r="AC271" s="16">
        <f t="shared" si="81"/>
        <v>86.12</v>
      </c>
      <c r="AD271" s="4"/>
      <c r="AE271" s="7">
        <f>SUMIFS('Stock - ETA'!$T$3:T4963,'Stock - ETA'!$F$3:F4963,'Rango proyecciones'!C271,'Stock - ETA'!$AA$3:AA4963,'Rango proyecciones'!$AJ$5) + SUMIFS('Stock - ETA'!$S$3:S4963,'Stock - ETA'!$F$3:F4963,'Rango proyecciones'!C271,'Stock - ETA'!$AA$3:AA4963,'Rango proyecciones'!$AJ$8)</f>
        <v>0</v>
      </c>
      <c r="AF271" s="16">
        <f>0.7 * AD271 + AE271</f>
        <v>0</v>
      </c>
      <c r="AG271" s="7">
        <f>SUMIFS('Stock - ETA'!$J$3:J4963,'Stock - ETA'!$F$3:F4963,'Rango proyecciones'!C271,'Stock - ETA'!$Q$3:Q4963,'Rango proyecciones'!$AJ$5) + SUMIFS('Stock - ETA'!$I$3:I4963,'Stock - ETA'!$F$3:F4963,'Rango proyecciones'!C271,'Stock - ETA'!$Q$3:Q4963,'Rango proyecciones'!$AJ$8)</f>
        <v>0</v>
      </c>
      <c r="AH271" s="16">
        <f>0.7 * AD271 + AG271</f>
        <v>0</v>
      </c>
      <c r="AI271" s="4"/>
    </row>
    <row r="272" spans="1:35" x14ac:dyDescent="0.2">
      <c r="A272" s="2"/>
      <c r="B272" s="2" t="s">
        <v>394</v>
      </c>
      <c r="C272" s="2" t="s">
        <v>502</v>
      </c>
      <c r="D272" s="2" t="s">
        <v>485</v>
      </c>
      <c r="E272" s="2">
        <v>1010877</v>
      </c>
      <c r="F272" s="2"/>
      <c r="G272" s="2"/>
      <c r="H272" s="4">
        <v>0</v>
      </c>
      <c r="I272" s="7">
        <v>0</v>
      </c>
      <c r="J272" s="7">
        <v>6200</v>
      </c>
      <c r="K272" s="7">
        <v>2079.2199999999998</v>
      </c>
      <c r="L272" s="4">
        <f t="shared" si="78"/>
        <v>6181.170000000001</v>
      </c>
      <c r="M272" s="7">
        <f>SUMIF('Stock - ETA'!$F$3:F4963,'Rango proyecciones'!C272,'Stock - ETA'!$R$3:R4963)</f>
        <v>25000</v>
      </c>
      <c r="N272" s="7">
        <f>SUMIF('Stock - Puerto Chile'!$G$2:G973,'Rango proyecciones'!C272,'Stock - Puerto Chile'!$L$2:L973)</f>
        <v>0</v>
      </c>
      <c r="O272" s="7">
        <v>0</v>
      </c>
      <c r="P272" s="7">
        <v>0</v>
      </c>
      <c r="Q272" s="16">
        <f>H272 + M272 + N272 + L272</f>
        <v>31181.170000000002</v>
      </c>
      <c r="R272" s="7">
        <f t="shared" si="79"/>
        <v>10596.291428571431</v>
      </c>
      <c r="S272" s="7">
        <f>SUMIF('Stock - ETA'!$F$3:F4963,'Rango proyecciones'!C272,'Stock - ETA'!$H$3:H4963)</f>
        <v>25000</v>
      </c>
      <c r="T272" s="7">
        <f>SUMIF('Stock - Puerto Chile'!$G$2:G973,'Rango proyecciones'!C272,'Stock - Puerto Chile'!$N$2:N973)</f>
        <v>0</v>
      </c>
      <c r="U272" s="7">
        <v>0</v>
      </c>
      <c r="V272" s="7">
        <v>0</v>
      </c>
      <c r="W272" s="16">
        <f>H272 + S272 + R272 + T272</f>
        <v>35596.291428571429</v>
      </c>
      <c r="X272" s="4"/>
      <c r="Y272" s="7"/>
      <c r="Z272" s="18">
        <f>SUMIF('Stock - ETA'!$F$3:F4963,'Rango proyecciones'!C272,'Stock - ETA'!$S$3:S4963)</f>
        <v>0</v>
      </c>
      <c r="AA272" s="13">
        <f t="shared" si="80"/>
        <v>0</v>
      </c>
      <c r="AB272" s="7">
        <f>SUMIF('Stock - ETA'!$F$3:F4963,'Rango proyecciones'!C272,'Stock - ETA'!$I$3:I4963)</f>
        <v>0</v>
      </c>
      <c r="AC272" s="16">
        <f t="shared" si="81"/>
        <v>0</v>
      </c>
      <c r="AD272" s="4"/>
      <c r="AE272" s="7">
        <f>SUMIF('Stock - ETA'!$F$3:F4963,'Rango proyecciones'!C272,'Stock - ETA'!$T$3:T4963)</f>
        <v>0</v>
      </c>
      <c r="AF272" s="16">
        <f>0.6 * AD272 + AE272</f>
        <v>0</v>
      </c>
      <c r="AG272" s="7">
        <f>SUMIF('Stock - ETA'!$F$3:F4963,'Rango proyecciones'!C272,'Stock - ETA'!$J$3:J4963)</f>
        <v>0</v>
      </c>
      <c r="AH272" s="16">
        <f>0.6 * AD272 + AG272</f>
        <v>0</v>
      </c>
      <c r="AI272" s="4"/>
    </row>
    <row r="273" spans="1:35" x14ac:dyDescent="0.2">
      <c r="A273" s="2"/>
      <c r="B273" s="2" t="s">
        <v>394</v>
      </c>
      <c r="C273" s="2" t="s">
        <v>503</v>
      </c>
      <c r="D273" s="2" t="s">
        <v>485</v>
      </c>
      <c r="E273" s="2">
        <v>1020848</v>
      </c>
      <c r="F273" s="2"/>
      <c r="G273" s="2"/>
      <c r="H273" s="4">
        <v>0</v>
      </c>
      <c r="I273" s="7">
        <v>0</v>
      </c>
      <c r="J273" s="7">
        <v>0</v>
      </c>
      <c r="K273" s="7">
        <v>0</v>
      </c>
      <c r="L273" s="4">
        <f t="shared" si="78"/>
        <v>0</v>
      </c>
      <c r="M273" s="7">
        <f>SUMIF('Stock - ETA'!$F$3:F4963,'Rango proyecciones'!C273,'Stock - ETA'!$R$3:R4963)</f>
        <v>74465.61</v>
      </c>
      <c r="N273" s="7">
        <f>SUMIF('Stock - Puerto Chile'!$G$2:G973,'Rango proyecciones'!C273,'Stock - Puerto Chile'!$L$2:L973)</f>
        <v>201603.44099999999</v>
      </c>
      <c r="O273" s="7">
        <v>0</v>
      </c>
      <c r="P273" s="7">
        <v>0</v>
      </c>
      <c r="Q273" s="16">
        <f>H273 + M273 + N273 + L273</f>
        <v>276069.05099999998</v>
      </c>
      <c r="R273" s="7">
        <f t="shared" si="79"/>
        <v>0</v>
      </c>
      <c r="S273" s="7">
        <f>SUMIF('Stock - ETA'!$F$3:F4963,'Rango proyecciones'!C273,'Stock - ETA'!$H$3:H4963)</f>
        <v>74465.61</v>
      </c>
      <c r="T273" s="7">
        <f>SUMIF('Stock - Puerto Chile'!$G$2:G973,'Rango proyecciones'!C273,'Stock - Puerto Chile'!$N$2:N973)</f>
        <v>241924.12920000002</v>
      </c>
      <c r="U273" s="7">
        <v>0</v>
      </c>
      <c r="V273" s="7">
        <v>0</v>
      </c>
      <c r="W273" s="16">
        <f>H273 + S273 + R273 + T273</f>
        <v>316389.73920000001</v>
      </c>
      <c r="X273" s="4">
        <v>168000</v>
      </c>
      <c r="Y273" s="7">
        <v>168000</v>
      </c>
      <c r="Z273" s="18">
        <f>SUMIF('Stock - ETA'!$F$3:F4963,'Rango proyecciones'!C273,'Stock - ETA'!$S$3:S4963)</f>
        <v>0</v>
      </c>
      <c r="AA273" s="13">
        <f t="shared" si="80"/>
        <v>168000</v>
      </c>
      <c r="AB273" s="7">
        <f>SUMIF('Stock - ETA'!$F$3:F4963,'Rango proyecciones'!C273,'Stock - ETA'!$I$3:I4963)</f>
        <v>0</v>
      </c>
      <c r="AC273" s="16">
        <f t="shared" si="81"/>
        <v>168000</v>
      </c>
      <c r="AD273" s="4">
        <v>168000</v>
      </c>
      <c r="AE273" s="7">
        <f>SUMIF('Stock - ETA'!$F$3:F4963,'Rango proyecciones'!C273,'Stock - ETA'!$T$3:T4963)</f>
        <v>0</v>
      </c>
      <c r="AF273" s="16">
        <f>0.6 * AD273 + AE273</f>
        <v>100800</v>
      </c>
      <c r="AG273" s="7">
        <f>SUMIF('Stock - ETA'!$F$3:F4963,'Rango proyecciones'!C273,'Stock - ETA'!$J$3:J4963)</f>
        <v>0</v>
      </c>
      <c r="AH273" s="16">
        <f>0.6 * AD273 + AG273</f>
        <v>100800</v>
      </c>
      <c r="AI273" s="4"/>
    </row>
    <row r="274" spans="1:35" x14ac:dyDescent="0.2">
      <c r="A274" s="2"/>
      <c r="B274" s="2" t="s">
        <v>394</v>
      </c>
      <c r="C274" s="2" t="s">
        <v>504</v>
      </c>
      <c r="D274" s="2" t="s">
        <v>485</v>
      </c>
      <c r="E274" s="2">
        <v>1030817</v>
      </c>
      <c r="F274" s="2"/>
      <c r="G274" s="2"/>
      <c r="H274" s="4">
        <v>0</v>
      </c>
      <c r="I274" s="7">
        <v>0</v>
      </c>
      <c r="J274" s="7">
        <v>0</v>
      </c>
      <c r="K274" s="7">
        <v>0</v>
      </c>
      <c r="L274" s="4">
        <f t="shared" si="78"/>
        <v>0</v>
      </c>
      <c r="M274" s="7">
        <f>SUMIF('Stock - ETA'!$F$3:F4963,'Rango proyecciones'!C274,'Stock - ETA'!$R$3:R4963)</f>
        <v>72023.709999999992</v>
      </c>
      <c r="N274" s="7">
        <f>SUMIF('Stock - Puerto Chile'!$G$2:G973,'Rango proyecciones'!C274,'Stock - Puerto Chile'!$L$2:L973)</f>
        <v>115224.95999999999</v>
      </c>
      <c r="O274" s="7">
        <v>0</v>
      </c>
      <c r="P274" s="7">
        <v>0</v>
      </c>
      <c r="Q274" s="16">
        <f>H274 + M274 + N274 + L274</f>
        <v>187248.66999999998</v>
      </c>
      <c r="R274" s="7">
        <f t="shared" si="79"/>
        <v>0</v>
      </c>
      <c r="S274" s="7">
        <f>SUMIF('Stock - ETA'!$F$3:F4963,'Rango proyecciones'!C274,'Stock - ETA'!$H$3:H4963)</f>
        <v>72023.709999999992</v>
      </c>
      <c r="T274" s="7">
        <f>SUMIF('Stock - Puerto Chile'!$G$2:G973,'Rango proyecciones'!C274,'Stock - Puerto Chile'!$N$2:N973)</f>
        <v>138269.95199999999</v>
      </c>
      <c r="U274" s="7">
        <v>0</v>
      </c>
      <c r="V274" s="7">
        <v>0</v>
      </c>
      <c r="W274" s="16">
        <f>H274 + S274 + R274 + T274</f>
        <v>210293.66199999998</v>
      </c>
      <c r="X274" s="4">
        <v>168000</v>
      </c>
      <c r="Y274" s="7">
        <v>168000</v>
      </c>
      <c r="Z274" s="18">
        <f>SUMIF('Stock - ETA'!$F$3:F4963,'Rango proyecciones'!C274,'Stock - ETA'!$S$3:S4963)</f>
        <v>0</v>
      </c>
      <c r="AA274" s="13">
        <f t="shared" si="80"/>
        <v>168000</v>
      </c>
      <c r="AB274" s="7">
        <f>SUMIF('Stock - ETA'!$F$3:F4963,'Rango proyecciones'!C274,'Stock - ETA'!$I$3:I4963)</f>
        <v>0</v>
      </c>
      <c r="AC274" s="16">
        <f t="shared" si="81"/>
        <v>168000</v>
      </c>
      <c r="AD274" s="4">
        <v>168000</v>
      </c>
      <c r="AE274" s="7">
        <f>SUMIF('Stock - ETA'!$F$3:F4963,'Rango proyecciones'!C274,'Stock - ETA'!$T$3:T4963)</f>
        <v>0</v>
      </c>
      <c r="AF274" s="16">
        <f>0.6 * AD274 + AE274</f>
        <v>100800</v>
      </c>
      <c r="AG274" s="7">
        <f>SUMIF('Stock - ETA'!$F$3:F4963,'Rango proyecciones'!C274,'Stock - ETA'!$J$3:J4963)</f>
        <v>0</v>
      </c>
      <c r="AH274" s="16">
        <f>0.6 * AD274 + AG274</f>
        <v>100800</v>
      </c>
      <c r="AI274" s="4"/>
    </row>
    <row r="275" spans="1:35" x14ac:dyDescent="0.2">
      <c r="A275" s="2"/>
      <c r="B275" s="2" t="s">
        <v>35</v>
      </c>
      <c r="C275" s="2" t="s">
        <v>505</v>
      </c>
      <c r="D275" s="2" t="s">
        <v>389</v>
      </c>
      <c r="E275" s="2">
        <v>1022939</v>
      </c>
      <c r="F275" s="2"/>
      <c r="G275" s="2"/>
      <c r="H275" s="4">
        <v>0</v>
      </c>
      <c r="I275" s="7">
        <v>0</v>
      </c>
      <c r="J275" s="7">
        <v>0</v>
      </c>
      <c r="K275" s="7">
        <v>0</v>
      </c>
      <c r="L275" s="4">
        <f t="shared" si="78"/>
        <v>0</v>
      </c>
      <c r="M275" s="7">
        <f>SUMIFS('Stock - ETA'!$R$3:R4963,'Stock - ETA'!$F$3:F4963,'Rango proyecciones'!C275,'Stock - ETA'!$AA$3:AA4963,'Rango proyecciones'!$AJ$5)</f>
        <v>0</v>
      </c>
      <c r="N275" s="7">
        <f>SUMIF('Stock - Puerto Chile'!$G$2:G973,'Rango proyecciones'!C275,'Stock - Puerto Chile'!$L$2:L973)</f>
        <v>161976</v>
      </c>
      <c r="O275" s="7">
        <v>0</v>
      </c>
      <c r="P275" s="7">
        <v>0</v>
      </c>
      <c r="Q275" s="16">
        <f>H275 + P275 + M275</f>
        <v>0</v>
      </c>
      <c r="R275" s="7">
        <f t="shared" si="79"/>
        <v>0</v>
      </c>
      <c r="S275" s="7">
        <f>SUMIFS('Stock - ETA'!$H$3:H4963,'Stock - ETA'!$F$3:F4963,'Rango proyecciones'!C275,'Stock - ETA'!$Q$3:Q4963,'Rango proyecciones'!$AJ$5)</f>
        <v>0</v>
      </c>
      <c r="T275" s="7">
        <f>SUMIF('Stock - Puerto Chile'!$G$2:G973,'Rango proyecciones'!C275,'Stock - Puerto Chile'!$N$2:N973)</f>
        <v>194371.19999999998</v>
      </c>
      <c r="U275" s="7">
        <v>0</v>
      </c>
      <c r="V275" s="7">
        <v>0</v>
      </c>
      <c r="W275" s="17">
        <f>H275 + V275 + S275 + U275</f>
        <v>0</v>
      </c>
      <c r="X275" s="4">
        <v>75872</v>
      </c>
      <c r="Y275" s="7">
        <v>75872</v>
      </c>
      <c r="Z275" s="18">
        <f>SUMIFS('Stock - ETA'!$S$3:S4963,'Stock - ETA'!$F$3:F4963,'Rango proyecciones'!C275,'Stock - ETA'!$AA$3:AA4963,'Rango proyecciones'!$AJ$5) + SUMIFS('Stock - ETA'!$R$3:R4963,'Stock - ETA'!$F$3:F4963,'Rango proyecciones'!C275,'Stock - ETA'!$AA$3:AA4963,'Rango proyecciones'!$AJ$7)</f>
        <v>115900</v>
      </c>
      <c r="AA275" s="13">
        <f t="shared" si="80"/>
        <v>191772</v>
      </c>
      <c r="AB275" s="7">
        <f>SUMIFS('Stock - ETA'!$I$3:I4963,'Stock - ETA'!$F$3:F4963,'Rango proyecciones'!C275,'Stock - ETA'!$Q$3:Q4963,'Rango proyecciones'!$AJ$5) + SUMIFS('Stock - ETA'!$H$3:H4963,'Stock - ETA'!$F$3:F4963,'Rango proyecciones'!C275,'Stock - ETA'!$Q$3:Q4963,'Rango proyecciones'!$AJ$7)</f>
        <v>115900</v>
      </c>
      <c r="AC275" s="16">
        <f t="shared" si="81"/>
        <v>191772</v>
      </c>
      <c r="AD275" s="4">
        <v>89908</v>
      </c>
      <c r="AE275" s="7">
        <f>SUMIFS('Stock - ETA'!$T$3:T4963,'Stock - ETA'!$F$3:F4963,'Rango proyecciones'!C275,'Stock - ETA'!$AA$3:AA4963,'Rango proyecciones'!$AJ$5) + SUMIFS('Stock - ETA'!$S$3:S4963,'Stock - ETA'!$F$3:F4963,'Rango proyecciones'!C275,'Stock - ETA'!$AA$3:AA4963,'Rango proyecciones'!$AJ$8)</f>
        <v>0</v>
      </c>
      <c r="AF275" s="16">
        <f>0.6 * AD275 + AE275</f>
        <v>53944.799999999996</v>
      </c>
      <c r="AG275" s="7">
        <f>SUMIFS('Stock - ETA'!$J$3:J4963,'Stock - ETA'!$F$3:F4963,'Rango proyecciones'!C275,'Stock - ETA'!$Q$3:Q4963,'Rango proyecciones'!$AJ$5) + SUMIFS('Stock - ETA'!$I$3:I4963,'Stock - ETA'!$F$3:F4963,'Rango proyecciones'!C275,'Stock - ETA'!$Q$3:Q4963,'Rango proyecciones'!$AJ$8)</f>
        <v>0</v>
      </c>
      <c r="AH275" s="16">
        <f>0.6 * AD275 + AG275</f>
        <v>53944.799999999996</v>
      </c>
      <c r="AI275" s="4"/>
    </row>
    <row r="276" spans="1:35" x14ac:dyDescent="0.2">
      <c r="A276" s="2"/>
      <c r="B276" s="2" t="s">
        <v>35</v>
      </c>
      <c r="C276" s="2" t="s">
        <v>506</v>
      </c>
      <c r="D276" s="2" t="s">
        <v>389</v>
      </c>
      <c r="E276" s="2">
        <v>1030506</v>
      </c>
      <c r="F276" s="2"/>
      <c r="G276" s="2"/>
      <c r="H276" s="4">
        <v>0</v>
      </c>
      <c r="I276" s="7">
        <v>0</v>
      </c>
      <c r="J276" s="7">
        <v>0</v>
      </c>
      <c r="K276" s="7">
        <v>0</v>
      </c>
      <c r="L276" s="4">
        <f t="shared" si="78"/>
        <v>0</v>
      </c>
      <c r="M276" s="7">
        <f>SUMIFS('Stock - ETA'!$R$3:R4963,'Stock - ETA'!$F$3:F4963,'Rango proyecciones'!C276,'Stock - ETA'!$AA$3:AA4963,'Rango proyecciones'!$AJ$5)</f>
        <v>0</v>
      </c>
      <c r="N276" s="7">
        <f>SUMIF('Stock - Puerto Chile'!$G$2:G973,'Rango proyecciones'!C276,'Stock - Puerto Chile'!$L$2:L973)</f>
        <v>216000</v>
      </c>
      <c r="O276" s="7">
        <v>0</v>
      </c>
      <c r="P276" s="7">
        <v>0</v>
      </c>
      <c r="Q276" s="16">
        <f>H276 + P276 + M276</f>
        <v>0</v>
      </c>
      <c r="R276" s="7">
        <f t="shared" si="79"/>
        <v>0</v>
      </c>
      <c r="S276" s="7">
        <f>SUMIFS('Stock - ETA'!$H$3:H4963,'Stock - ETA'!$F$3:F4963,'Rango proyecciones'!C276,'Stock - ETA'!$Q$3:Q4963,'Rango proyecciones'!$AJ$5)</f>
        <v>0</v>
      </c>
      <c r="T276" s="7">
        <f>SUMIF('Stock - Puerto Chile'!$G$2:G973,'Rango proyecciones'!C276,'Stock - Puerto Chile'!$N$2:N973)</f>
        <v>259200</v>
      </c>
      <c r="U276" s="7">
        <v>0</v>
      </c>
      <c r="V276" s="7">
        <v>0</v>
      </c>
      <c r="W276" s="17">
        <f>H276 + V276 + S276 + U276</f>
        <v>0</v>
      </c>
      <c r="X276" s="4">
        <v>24000</v>
      </c>
      <c r="Y276" s="7">
        <v>24000</v>
      </c>
      <c r="Z276" s="18">
        <f>SUMIFS('Stock - ETA'!$S$3:S4963,'Stock - ETA'!$F$3:F4963,'Rango proyecciones'!C276,'Stock - ETA'!$AA$3:AA4963,'Rango proyecciones'!$AJ$5) + SUMIFS('Stock - ETA'!$R$3:R4963,'Stock - ETA'!$F$3:F4963,'Rango proyecciones'!C276,'Stock - ETA'!$AA$3:AA4963,'Rango proyecciones'!$AJ$7)</f>
        <v>48000</v>
      </c>
      <c r="AA276" s="13">
        <f t="shared" si="80"/>
        <v>72000</v>
      </c>
      <c r="AB276" s="7">
        <f>SUMIFS('Stock - ETA'!$I$3:I4963,'Stock - ETA'!$F$3:F4963,'Rango proyecciones'!C276,'Stock - ETA'!$Q$3:Q4963,'Rango proyecciones'!$AJ$5) + SUMIFS('Stock - ETA'!$H$3:H4963,'Stock - ETA'!$F$3:F4963,'Rango proyecciones'!C276,'Stock - ETA'!$Q$3:Q4963,'Rango proyecciones'!$AJ$7)</f>
        <v>48000</v>
      </c>
      <c r="AC276" s="16">
        <f t="shared" si="81"/>
        <v>72000</v>
      </c>
      <c r="AD276" s="4"/>
      <c r="AE276" s="7">
        <f>SUMIFS('Stock - ETA'!$T$3:T4963,'Stock - ETA'!$F$3:F4963,'Rango proyecciones'!C276,'Stock - ETA'!$AA$3:AA4963,'Rango proyecciones'!$AJ$5) + SUMIFS('Stock - ETA'!$S$3:S4963,'Stock - ETA'!$F$3:F4963,'Rango proyecciones'!C276,'Stock - ETA'!$AA$3:AA4963,'Rango proyecciones'!$AJ$8)</f>
        <v>24000</v>
      </c>
      <c r="AF276" s="16">
        <f>0.6 * AD276 + AE276</f>
        <v>24000</v>
      </c>
      <c r="AG276" s="7">
        <f>SUMIFS('Stock - ETA'!$J$3:J4963,'Stock - ETA'!$F$3:F4963,'Rango proyecciones'!C276,'Stock - ETA'!$Q$3:Q4963,'Rango proyecciones'!$AJ$5) + SUMIFS('Stock - ETA'!$I$3:I4963,'Stock - ETA'!$F$3:F4963,'Rango proyecciones'!C276,'Stock - ETA'!$Q$3:Q4963,'Rango proyecciones'!$AJ$8)</f>
        <v>24000</v>
      </c>
      <c r="AH276" s="16">
        <f>0.6 * AD276 + AG276</f>
        <v>24000</v>
      </c>
      <c r="AI276" s="4"/>
    </row>
    <row r="277" spans="1:35" x14ac:dyDescent="0.2">
      <c r="A277" s="2"/>
      <c r="B277" s="2" t="s">
        <v>394</v>
      </c>
      <c r="C277" s="2" t="s">
        <v>507</v>
      </c>
      <c r="D277" s="2" t="s">
        <v>396</v>
      </c>
      <c r="E277" s="2">
        <v>1023490</v>
      </c>
      <c r="F277" s="2"/>
      <c r="G277" s="2"/>
      <c r="H277" s="4">
        <v>0</v>
      </c>
      <c r="I277" s="7">
        <v>0</v>
      </c>
      <c r="J277" s="7">
        <v>0</v>
      </c>
      <c r="K277" s="7">
        <v>0</v>
      </c>
      <c r="L277" s="4">
        <f t="shared" si="78"/>
        <v>0</v>
      </c>
      <c r="M277" s="7">
        <f>SUMIF('Stock - ETA'!$F$3:F4963,'Rango proyecciones'!C277,'Stock - ETA'!$R$3:R4963)</f>
        <v>0</v>
      </c>
      <c r="N277" s="7">
        <f>SUMIF('Stock - Puerto Chile'!$G$2:G973,'Rango proyecciones'!C277,'Stock - Puerto Chile'!$L$2:L973)</f>
        <v>0</v>
      </c>
      <c r="O277" s="7">
        <v>0</v>
      </c>
      <c r="P277" s="7">
        <v>0</v>
      </c>
      <c r="Q277" s="16">
        <f t="shared" ref="Q277:Q283" si="82">H277 + M277 + N277 + L277</f>
        <v>0</v>
      </c>
      <c r="R277" s="7">
        <f t="shared" si="79"/>
        <v>0</v>
      </c>
      <c r="S277" s="7">
        <f>SUMIF('Stock - ETA'!$F$3:F4963,'Rango proyecciones'!C277,'Stock - ETA'!$H$3:H4963)</f>
        <v>0</v>
      </c>
      <c r="T277" s="7">
        <f>SUMIF('Stock - Puerto Chile'!$G$2:G973,'Rango proyecciones'!C277,'Stock - Puerto Chile'!$N$2:N973)</f>
        <v>0</v>
      </c>
      <c r="U277" s="7">
        <v>0</v>
      </c>
      <c r="V277" s="7">
        <v>0</v>
      </c>
      <c r="W277" s="16">
        <f t="shared" ref="W277:W283" si="83">H277 + S277 + R277 + T277</f>
        <v>0</v>
      </c>
      <c r="X277" s="4"/>
      <c r="Y277" s="7"/>
      <c r="Z277" s="18">
        <f>SUMIF('Stock - ETA'!$F$3:F4963,'Rango proyecciones'!C277,'Stock - ETA'!$S$3:S4963)</f>
        <v>48000</v>
      </c>
      <c r="AA277" s="13">
        <f t="shared" si="80"/>
        <v>48000</v>
      </c>
      <c r="AB277" s="7">
        <f>SUMIF('Stock - ETA'!$F$3:F4963,'Rango proyecciones'!C277,'Stock - ETA'!$I$3:I4963)</f>
        <v>48000</v>
      </c>
      <c r="AC277" s="16">
        <f t="shared" si="81"/>
        <v>48000</v>
      </c>
      <c r="AD277" s="4"/>
      <c r="AE277" s="7">
        <f>SUMIF('Stock - ETA'!$F$3:F4963,'Rango proyecciones'!C277,'Stock - ETA'!$T$3:T4963)</f>
        <v>0</v>
      </c>
      <c r="AF277" s="16">
        <f>0.7 * AD277 + AE277</f>
        <v>0</v>
      </c>
      <c r="AG277" s="7">
        <f>SUMIF('Stock - ETA'!$F$3:F4963,'Rango proyecciones'!C277,'Stock - ETA'!$J$3:J4963)</f>
        <v>0</v>
      </c>
      <c r="AH277" s="16">
        <f>0.7 * AD277 + AG277</f>
        <v>0</v>
      </c>
      <c r="AI277" s="4"/>
    </row>
    <row r="278" spans="1:35" x14ac:dyDescent="0.2">
      <c r="A278" s="2"/>
      <c r="B278" s="2" t="s">
        <v>394</v>
      </c>
      <c r="C278" s="2" t="s">
        <v>508</v>
      </c>
      <c r="D278" s="2" t="s">
        <v>485</v>
      </c>
      <c r="E278" s="2">
        <v>1021023</v>
      </c>
      <c r="F278" s="2"/>
      <c r="G278" s="2"/>
      <c r="H278" s="4">
        <v>0</v>
      </c>
      <c r="I278" s="7">
        <v>0</v>
      </c>
      <c r="J278" s="7">
        <v>11800</v>
      </c>
      <c r="K278" s="7">
        <v>1157.54</v>
      </c>
      <c r="L278" s="4">
        <f t="shared" si="78"/>
        <v>15963.689999999999</v>
      </c>
      <c r="M278" s="7">
        <f>SUMIF('Stock - ETA'!$F$3:F4963,'Rango proyecciones'!C278,'Stock - ETA'!$R$3:R4963)</f>
        <v>115888.73</v>
      </c>
      <c r="N278" s="7">
        <f>SUMIF('Stock - Puerto Chile'!$G$2:G973,'Rango proyecciones'!C278,'Stock - Puerto Chile'!$L$2:L973)</f>
        <v>0</v>
      </c>
      <c r="O278" s="7">
        <v>0</v>
      </c>
      <c r="P278" s="7">
        <v>0</v>
      </c>
      <c r="Q278" s="16">
        <f t="shared" si="82"/>
        <v>131852.41999999998</v>
      </c>
      <c r="R278" s="7">
        <f t="shared" si="79"/>
        <v>27366.325714285715</v>
      </c>
      <c r="S278" s="7">
        <f>SUMIF('Stock - ETA'!$F$3:F4963,'Rango proyecciones'!C278,'Stock - ETA'!$H$3:H4963)</f>
        <v>115888.73</v>
      </c>
      <c r="T278" s="7">
        <f>SUMIF('Stock - Puerto Chile'!$G$2:G973,'Rango proyecciones'!C278,'Stock - Puerto Chile'!$N$2:N973)</f>
        <v>0</v>
      </c>
      <c r="U278" s="7">
        <v>0</v>
      </c>
      <c r="V278" s="7">
        <v>0</v>
      </c>
      <c r="W278" s="16">
        <f t="shared" si="83"/>
        <v>143255.0557142857</v>
      </c>
      <c r="X278" s="4">
        <v>141540</v>
      </c>
      <c r="Y278" s="7">
        <v>141540</v>
      </c>
      <c r="Z278" s="18">
        <f>SUMIF('Stock - ETA'!$F$3:F4963,'Rango proyecciones'!C278,'Stock - ETA'!$S$3:S4963)</f>
        <v>0</v>
      </c>
      <c r="AA278" s="13">
        <f t="shared" si="80"/>
        <v>141540</v>
      </c>
      <c r="AB278" s="7">
        <f>SUMIF('Stock - ETA'!$F$3:F4963,'Rango proyecciones'!C278,'Stock - ETA'!$I$3:I4963)</f>
        <v>0</v>
      </c>
      <c r="AC278" s="16">
        <f t="shared" si="81"/>
        <v>141540</v>
      </c>
      <c r="AD278" s="4">
        <v>144000</v>
      </c>
      <c r="AE278" s="7">
        <f>SUMIF('Stock - ETA'!$F$3:F4963,'Rango proyecciones'!C278,'Stock - ETA'!$T$3:T4963)</f>
        <v>0</v>
      </c>
      <c r="AF278" s="16">
        <f t="shared" ref="AF278:AF283" si="84">0.6 * AD278 + AE278</f>
        <v>86400</v>
      </c>
      <c r="AG278" s="7">
        <f>SUMIF('Stock - ETA'!$F$3:F4963,'Rango proyecciones'!C278,'Stock - ETA'!$J$3:J4963)</f>
        <v>0</v>
      </c>
      <c r="AH278" s="16">
        <f t="shared" ref="AH278:AH283" si="85">0.6 * AD278 + AG278</f>
        <v>86400</v>
      </c>
      <c r="AI278" s="4"/>
    </row>
    <row r="279" spans="1:35" x14ac:dyDescent="0.2">
      <c r="A279" s="2"/>
      <c r="B279" s="2" t="s">
        <v>394</v>
      </c>
      <c r="C279" s="2" t="s">
        <v>509</v>
      </c>
      <c r="D279" s="2" t="s">
        <v>485</v>
      </c>
      <c r="E279" s="2">
        <v>1021868</v>
      </c>
      <c r="F279" s="2"/>
      <c r="G279" s="2"/>
      <c r="H279" s="4">
        <v>0</v>
      </c>
      <c r="I279" s="7">
        <v>0</v>
      </c>
      <c r="J279" s="7">
        <v>0</v>
      </c>
      <c r="K279" s="7">
        <v>0</v>
      </c>
      <c r="L279" s="4">
        <f t="shared" si="78"/>
        <v>0</v>
      </c>
      <c r="M279" s="7">
        <f>SUMIF('Stock - ETA'!$F$3:F4963,'Rango proyecciones'!C279,'Stock - ETA'!$R$3:R4963)</f>
        <v>95631.47</v>
      </c>
      <c r="N279" s="7">
        <f>SUMIF('Stock - Puerto Chile'!$G$2:G973,'Rango proyecciones'!C279,'Stock - Puerto Chile'!$L$2:L973)</f>
        <v>0</v>
      </c>
      <c r="O279" s="7">
        <v>0</v>
      </c>
      <c r="P279" s="7">
        <v>0</v>
      </c>
      <c r="Q279" s="16">
        <f t="shared" si="82"/>
        <v>95631.47</v>
      </c>
      <c r="R279" s="7">
        <f t="shared" si="79"/>
        <v>0</v>
      </c>
      <c r="S279" s="7">
        <f>SUMIF('Stock - ETA'!$F$3:F4963,'Rango proyecciones'!C279,'Stock - ETA'!$H$3:H4963)</f>
        <v>95631.47</v>
      </c>
      <c r="T279" s="7">
        <f>SUMIF('Stock - Puerto Chile'!$G$2:G973,'Rango proyecciones'!C279,'Stock - Puerto Chile'!$N$2:N973)</f>
        <v>0</v>
      </c>
      <c r="U279" s="7">
        <v>0</v>
      </c>
      <c r="V279" s="7">
        <v>0</v>
      </c>
      <c r="W279" s="16">
        <f t="shared" si="83"/>
        <v>95631.47</v>
      </c>
      <c r="X279" s="4">
        <v>24000</v>
      </c>
      <c r="Y279" s="7">
        <v>24000</v>
      </c>
      <c r="Z279" s="18">
        <f>SUMIF('Stock - ETA'!$F$3:F4963,'Rango proyecciones'!C279,'Stock - ETA'!$S$3:S4963)</f>
        <v>0</v>
      </c>
      <c r="AA279" s="13">
        <f t="shared" si="80"/>
        <v>24000</v>
      </c>
      <c r="AB279" s="7">
        <f>SUMIF('Stock - ETA'!$F$3:F4963,'Rango proyecciones'!C279,'Stock - ETA'!$I$3:I4963)</f>
        <v>0</v>
      </c>
      <c r="AC279" s="16">
        <f t="shared" si="81"/>
        <v>24000</v>
      </c>
      <c r="AD279" s="4">
        <v>24000</v>
      </c>
      <c r="AE279" s="7">
        <f>SUMIF('Stock - ETA'!$F$3:F4963,'Rango proyecciones'!C279,'Stock - ETA'!$T$3:T4963)</f>
        <v>0</v>
      </c>
      <c r="AF279" s="16">
        <f t="shared" si="84"/>
        <v>14400</v>
      </c>
      <c r="AG279" s="7">
        <f>SUMIF('Stock - ETA'!$F$3:F4963,'Rango proyecciones'!C279,'Stock - ETA'!$J$3:J4963)</f>
        <v>0</v>
      </c>
      <c r="AH279" s="16">
        <f t="shared" si="85"/>
        <v>14400</v>
      </c>
      <c r="AI279" s="4"/>
    </row>
    <row r="280" spans="1:35" x14ac:dyDescent="0.2">
      <c r="A280" s="2"/>
      <c r="B280" s="2" t="s">
        <v>394</v>
      </c>
      <c r="C280" s="2" t="s">
        <v>510</v>
      </c>
      <c r="D280" s="2" t="s">
        <v>485</v>
      </c>
      <c r="E280" s="2">
        <v>1011042</v>
      </c>
      <c r="F280" s="2"/>
      <c r="G280" s="2"/>
      <c r="H280" s="4">
        <v>0</v>
      </c>
      <c r="I280" s="7">
        <v>0</v>
      </c>
      <c r="J280" s="7">
        <v>10000</v>
      </c>
      <c r="K280" s="7">
        <v>1309.71</v>
      </c>
      <c r="L280" s="4">
        <f t="shared" si="78"/>
        <v>13035.435000000001</v>
      </c>
      <c r="M280" s="7">
        <f>SUMIF('Stock - ETA'!$F$3:F4963,'Rango proyecciones'!C280,'Stock - ETA'!$R$3:R4963)</f>
        <v>22800</v>
      </c>
      <c r="N280" s="7">
        <f>SUMIF('Stock - Puerto Chile'!$G$2:G973,'Rango proyecciones'!C280,'Stock - Puerto Chile'!$L$2:L973)</f>
        <v>0</v>
      </c>
      <c r="O280" s="7">
        <v>0</v>
      </c>
      <c r="P280" s="7">
        <v>0</v>
      </c>
      <c r="Q280" s="16">
        <f t="shared" si="82"/>
        <v>35835.434999999998</v>
      </c>
      <c r="R280" s="7">
        <f t="shared" si="79"/>
        <v>22346.460000000003</v>
      </c>
      <c r="S280" s="7">
        <f>SUMIF('Stock - ETA'!$F$3:F4963,'Rango proyecciones'!C280,'Stock - ETA'!$H$3:H4963)</f>
        <v>22800</v>
      </c>
      <c r="T280" s="7">
        <f>SUMIF('Stock - Puerto Chile'!$G$2:G973,'Rango proyecciones'!C280,'Stock - Puerto Chile'!$N$2:N973)</f>
        <v>0</v>
      </c>
      <c r="U280" s="7">
        <v>0</v>
      </c>
      <c r="V280" s="7">
        <v>0</v>
      </c>
      <c r="W280" s="16">
        <f t="shared" si="83"/>
        <v>45146.460000000006</v>
      </c>
      <c r="X280" s="4"/>
      <c r="Y280" s="7"/>
      <c r="Z280" s="18">
        <f>SUMIF('Stock - ETA'!$F$3:F4963,'Rango proyecciones'!C280,'Stock - ETA'!$S$3:S4963)</f>
        <v>0</v>
      </c>
      <c r="AA280" s="13">
        <f t="shared" si="80"/>
        <v>0</v>
      </c>
      <c r="AB280" s="7">
        <f>SUMIF('Stock - ETA'!$F$3:F4963,'Rango proyecciones'!C280,'Stock - ETA'!$I$3:I4963)</f>
        <v>0</v>
      </c>
      <c r="AC280" s="16">
        <f t="shared" si="81"/>
        <v>0</v>
      </c>
      <c r="AD280" s="4"/>
      <c r="AE280" s="7">
        <f>SUMIF('Stock - ETA'!$F$3:F4963,'Rango proyecciones'!C280,'Stock - ETA'!$T$3:T4963)</f>
        <v>22800</v>
      </c>
      <c r="AF280" s="16">
        <f t="shared" si="84"/>
        <v>22800</v>
      </c>
      <c r="AG280" s="7">
        <f>SUMIF('Stock - ETA'!$F$3:F4963,'Rango proyecciones'!C280,'Stock - ETA'!$J$3:J4963)</f>
        <v>22800</v>
      </c>
      <c r="AH280" s="16">
        <f t="shared" si="85"/>
        <v>22800</v>
      </c>
      <c r="AI280" s="4"/>
    </row>
    <row r="281" spans="1:35" x14ac:dyDescent="0.2">
      <c r="A281" s="2"/>
      <c r="B281" s="2" t="s">
        <v>394</v>
      </c>
      <c r="C281" s="2" t="s">
        <v>511</v>
      </c>
      <c r="D281" s="2" t="s">
        <v>485</v>
      </c>
      <c r="E281" s="2">
        <v>1021085</v>
      </c>
      <c r="F281" s="2"/>
      <c r="G281" s="2"/>
      <c r="H281" s="4">
        <v>0</v>
      </c>
      <c r="I281" s="7">
        <v>0</v>
      </c>
      <c r="J281" s="7">
        <v>0</v>
      </c>
      <c r="K281" s="7">
        <v>0</v>
      </c>
      <c r="L281" s="4">
        <f t="shared" si="78"/>
        <v>0</v>
      </c>
      <c r="M281" s="7">
        <f>SUMIF('Stock - ETA'!$F$3:F4963,'Rango proyecciones'!C281,'Stock - ETA'!$R$3:R4963)</f>
        <v>24012</v>
      </c>
      <c r="N281" s="7">
        <f>SUMIF('Stock - Puerto Chile'!$G$2:G973,'Rango proyecciones'!C281,'Stock - Puerto Chile'!$L$2:L973)</f>
        <v>0</v>
      </c>
      <c r="O281" s="7">
        <v>0</v>
      </c>
      <c r="P281" s="7">
        <v>0</v>
      </c>
      <c r="Q281" s="16">
        <f t="shared" si="82"/>
        <v>24012</v>
      </c>
      <c r="R281" s="7">
        <f t="shared" si="79"/>
        <v>0</v>
      </c>
      <c r="S281" s="7">
        <f>SUMIF('Stock - ETA'!$F$3:F4963,'Rango proyecciones'!C281,'Stock - ETA'!$H$3:H4963)</f>
        <v>24012</v>
      </c>
      <c r="T281" s="7">
        <f>SUMIF('Stock - Puerto Chile'!$G$2:G973,'Rango proyecciones'!C281,'Stock - Puerto Chile'!$N$2:N973)</f>
        <v>0</v>
      </c>
      <c r="U281" s="7">
        <v>0</v>
      </c>
      <c r="V281" s="7">
        <v>0</v>
      </c>
      <c r="W281" s="16">
        <f t="shared" si="83"/>
        <v>24012</v>
      </c>
      <c r="X281" s="4">
        <v>24000</v>
      </c>
      <c r="Y281" s="7">
        <v>24000</v>
      </c>
      <c r="Z281" s="18">
        <f>SUMIF('Stock - ETA'!$F$3:F4963,'Rango proyecciones'!C281,'Stock - ETA'!$S$3:S4963)</f>
        <v>0</v>
      </c>
      <c r="AA281" s="13">
        <f t="shared" si="80"/>
        <v>24000</v>
      </c>
      <c r="AB281" s="7">
        <f>SUMIF('Stock - ETA'!$F$3:F4963,'Rango proyecciones'!C281,'Stock - ETA'!$I$3:I4963)</f>
        <v>0</v>
      </c>
      <c r="AC281" s="16">
        <f t="shared" si="81"/>
        <v>24000</v>
      </c>
      <c r="AD281" s="4">
        <v>24000</v>
      </c>
      <c r="AE281" s="7">
        <f>SUMIF('Stock - ETA'!$F$3:F4963,'Rango proyecciones'!C281,'Stock - ETA'!$T$3:T4963)</f>
        <v>0</v>
      </c>
      <c r="AF281" s="16">
        <f t="shared" si="84"/>
        <v>14400</v>
      </c>
      <c r="AG281" s="7">
        <f>SUMIF('Stock - ETA'!$F$3:F4963,'Rango proyecciones'!C281,'Stock - ETA'!$J$3:J4963)</f>
        <v>0</v>
      </c>
      <c r="AH281" s="16">
        <f t="shared" si="85"/>
        <v>14400</v>
      </c>
      <c r="AI281" s="4"/>
    </row>
    <row r="282" spans="1:35" x14ac:dyDescent="0.2">
      <c r="A282" s="2"/>
      <c r="B282" s="2" t="s">
        <v>394</v>
      </c>
      <c r="C282" s="2" t="s">
        <v>512</v>
      </c>
      <c r="D282" s="2" t="s">
        <v>485</v>
      </c>
      <c r="E282" s="2">
        <v>1021976</v>
      </c>
      <c r="F282" s="2"/>
      <c r="G282" s="2"/>
      <c r="H282" s="4">
        <v>0</v>
      </c>
      <c r="I282" s="7">
        <v>0</v>
      </c>
      <c r="J282" s="7"/>
      <c r="K282" s="7">
        <v>307.02999999999997</v>
      </c>
      <c r="L282" s="4">
        <f t="shared" si="78"/>
        <v>0</v>
      </c>
      <c r="M282" s="7">
        <f>SUMIF('Stock - ETA'!$F$3:F4963,'Rango proyecciones'!C282,'Stock - ETA'!$R$3:R4963)</f>
        <v>60029.570000000007</v>
      </c>
      <c r="N282" s="7">
        <f>SUMIF('Stock - Puerto Chile'!$G$2:G973,'Rango proyecciones'!C282,'Stock - Puerto Chile'!$L$2:L973)</f>
        <v>310524.39359999995</v>
      </c>
      <c r="O282" s="7">
        <v>0</v>
      </c>
      <c r="P282" s="7">
        <v>0</v>
      </c>
      <c r="Q282" s="16">
        <f t="shared" si="82"/>
        <v>370553.96359999996</v>
      </c>
      <c r="R282" s="7">
        <f t="shared" si="79"/>
        <v>0</v>
      </c>
      <c r="S282" s="7">
        <f>SUMIF('Stock - ETA'!$F$3:F4963,'Rango proyecciones'!C282,'Stock - ETA'!$H$3:H4963)</f>
        <v>60029.570000000007</v>
      </c>
      <c r="T282" s="7">
        <f>SUMIF('Stock - Puerto Chile'!$G$2:G973,'Rango proyecciones'!C282,'Stock - Puerto Chile'!$N$2:N973)</f>
        <v>372629.27231999993</v>
      </c>
      <c r="U282" s="7">
        <v>0</v>
      </c>
      <c r="V282" s="7">
        <v>0</v>
      </c>
      <c r="W282" s="16">
        <f t="shared" si="83"/>
        <v>432658.84231999994</v>
      </c>
      <c r="X282" s="4">
        <v>11005</v>
      </c>
      <c r="Y282" s="7">
        <v>11005</v>
      </c>
      <c r="Z282" s="18">
        <f>SUMIF('Stock - ETA'!$F$3:F4963,'Rango proyecciones'!C282,'Stock - ETA'!$S$3:S4963)</f>
        <v>0</v>
      </c>
      <c r="AA282" s="13">
        <f t="shared" si="80"/>
        <v>11005</v>
      </c>
      <c r="AB282" s="7">
        <f>SUMIF('Stock - ETA'!$F$3:F4963,'Rango proyecciones'!C282,'Stock - ETA'!$I$3:I4963)</f>
        <v>0</v>
      </c>
      <c r="AC282" s="16">
        <f t="shared" si="81"/>
        <v>11005</v>
      </c>
      <c r="AD282" s="4">
        <v>24250</v>
      </c>
      <c r="AE282" s="7">
        <f>SUMIF('Stock - ETA'!$F$3:F4963,'Rango proyecciones'!C282,'Stock - ETA'!$T$3:T4963)</f>
        <v>0</v>
      </c>
      <c r="AF282" s="16">
        <f t="shared" si="84"/>
        <v>14550</v>
      </c>
      <c r="AG282" s="7">
        <f>SUMIF('Stock - ETA'!$F$3:F4963,'Rango proyecciones'!C282,'Stock - ETA'!$J$3:J4963)</f>
        <v>0</v>
      </c>
      <c r="AH282" s="16">
        <f t="shared" si="85"/>
        <v>14550</v>
      </c>
      <c r="AI282" s="4"/>
    </row>
    <row r="283" spans="1:35" x14ac:dyDescent="0.2">
      <c r="A283" s="2"/>
      <c r="B283" s="2" t="s">
        <v>394</v>
      </c>
      <c r="C283" s="2" t="s">
        <v>513</v>
      </c>
      <c r="D283" s="2" t="s">
        <v>485</v>
      </c>
      <c r="E283" s="2">
        <v>1030792</v>
      </c>
      <c r="F283" s="2"/>
      <c r="G283" s="2"/>
      <c r="H283" s="4">
        <v>0</v>
      </c>
      <c r="I283" s="7">
        <v>0</v>
      </c>
      <c r="J283" s="7">
        <v>0</v>
      </c>
      <c r="K283" s="7">
        <v>0</v>
      </c>
      <c r="L283" s="4">
        <f t="shared" si="78"/>
        <v>0</v>
      </c>
      <c r="M283" s="7">
        <f>SUMIF('Stock - ETA'!$F$3:F4963,'Rango proyecciones'!C283,'Stock - ETA'!$R$3:R4963)</f>
        <v>24000</v>
      </c>
      <c r="N283" s="7">
        <f>SUMIF('Stock - Puerto Chile'!$G$2:G973,'Rango proyecciones'!C283,'Stock - Puerto Chile'!$L$2:L973)</f>
        <v>0</v>
      </c>
      <c r="O283" s="7">
        <v>0</v>
      </c>
      <c r="P283" s="7">
        <v>0</v>
      </c>
      <c r="Q283" s="16">
        <f t="shared" si="82"/>
        <v>24000</v>
      </c>
      <c r="R283" s="7">
        <f t="shared" si="79"/>
        <v>0</v>
      </c>
      <c r="S283" s="7">
        <f>SUMIF('Stock - ETA'!$F$3:F4963,'Rango proyecciones'!C283,'Stock - ETA'!$H$3:H4963)</f>
        <v>24000</v>
      </c>
      <c r="T283" s="7">
        <f>SUMIF('Stock - Puerto Chile'!$G$2:G973,'Rango proyecciones'!C283,'Stock - Puerto Chile'!$N$2:N973)</f>
        <v>0</v>
      </c>
      <c r="U283" s="7">
        <v>0</v>
      </c>
      <c r="V283" s="7">
        <v>0</v>
      </c>
      <c r="W283" s="16">
        <f t="shared" si="83"/>
        <v>24000</v>
      </c>
      <c r="X283" s="4">
        <v>30000</v>
      </c>
      <c r="Y283" s="7">
        <v>30000</v>
      </c>
      <c r="Z283" s="18">
        <f>SUMIF('Stock - ETA'!$F$3:F4963,'Rango proyecciones'!C283,'Stock - ETA'!$S$3:S4963)</f>
        <v>0</v>
      </c>
      <c r="AA283" s="13">
        <f t="shared" si="80"/>
        <v>30000</v>
      </c>
      <c r="AB283" s="7">
        <f>SUMIF('Stock - ETA'!$F$3:F4963,'Rango proyecciones'!C283,'Stock - ETA'!$I$3:I4963)</f>
        <v>0</v>
      </c>
      <c r="AC283" s="16">
        <f t="shared" si="81"/>
        <v>30000</v>
      </c>
      <c r="AD283" s="4">
        <v>16000</v>
      </c>
      <c r="AE283" s="7">
        <f>SUMIF('Stock - ETA'!$F$3:F4963,'Rango proyecciones'!C283,'Stock - ETA'!$T$3:T4963)</f>
        <v>0</v>
      </c>
      <c r="AF283" s="16">
        <f t="shared" si="84"/>
        <v>9600</v>
      </c>
      <c r="AG283" s="7">
        <f>SUMIF('Stock - ETA'!$F$3:F4963,'Rango proyecciones'!C283,'Stock - ETA'!$J$3:J4963)</f>
        <v>0</v>
      </c>
      <c r="AH283" s="16">
        <f t="shared" si="85"/>
        <v>9600</v>
      </c>
      <c r="AI283" s="4"/>
    </row>
    <row r="284" spans="1:35" x14ac:dyDescent="0.2">
      <c r="A284" s="2"/>
      <c r="B284" s="2" t="s">
        <v>35</v>
      </c>
      <c r="C284" s="2" t="s">
        <v>514</v>
      </c>
      <c r="D284" s="2" t="s">
        <v>423</v>
      </c>
      <c r="E284" s="2">
        <v>1021874</v>
      </c>
      <c r="F284" s="2"/>
      <c r="G284" s="2"/>
      <c r="H284" s="4">
        <v>0</v>
      </c>
      <c r="I284" s="7">
        <v>0</v>
      </c>
      <c r="J284" s="7">
        <v>82915.600000000006</v>
      </c>
      <c r="K284" s="7">
        <v>2136.36</v>
      </c>
      <c r="L284" s="4">
        <f t="shared" si="78"/>
        <v>121168.86000000002</v>
      </c>
      <c r="M284" s="7">
        <f>SUMIFS('Stock - ETA'!$R$3:R4963,'Stock - ETA'!$F$3:F4963,'Rango proyecciones'!C284,'Stock - ETA'!$AA$3:AA4963,'Rango proyecciones'!$AJ$5)</f>
        <v>351455.16999999993</v>
      </c>
      <c r="N284" s="7">
        <f>SUMIF('Stock - Puerto Chile'!$G$2:G973,'Rango proyecciones'!C284,'Stock - Puerto Chile'!$L$2:L973)</f>
        <v>1120101.1408260867</v>
      </c>
      <c r="O284" s="7">
        <v>0</v>
      </c>
      <c r="P284" s="7">
        <v>0</v>
      </c>
      <c r="Q284" s="16">
        <f>H284 + P284 + M284</f>
        <v>351455.16999999993</v>
      </c>
      <c r="R284" s="7">
        <f t="shared" si="79"/>
        <v>207718.04571428575</v>
      </c>
      <c r="S284" s="7">
        <f>SUMIFS('Stock - ETA'!$H$3:H4963,'Stock - ETA'!$F$3:F4963,'Rango proyecciones'!C284,'Stock - ETA'!$Q$3:Q4963,'Rango proyecciones'!$AJ$5)</f>
        <v>351455.16999999993</v>
      </c>
      <c r="T284" s="7">
        <f>SUMIF('Stock - Puerto Chile'!$G$2:G973,'Rango proyecciones'!C284,'Stock - Puerto Chile'!$N$2:N973)</f>
        <v>1378586.019478261</v>
      </c>
      <c r="U284" s="7">
        <v>0</v>
      </c>
      <c r="V284" s="7">
        <v>0</v>
      </c>
      <c r="W284" s="17">
        <f>H284 + V284 + S284 + U284</f>
        <v>351455.16999999993</v>
      </c>
      <c r="X284" s="4"/>
      <c r="Y284" s="7"/>
      <c r="Z284" s="18">
        <f>SUMIFS('Stock - ETA'!$S$3:S4963,'Stock - ETA'!$F$3:F4963,'Rango proyecciones'!C284,'Stock - ETA'!$AA$3:AA4963,'Rango proyecciones'!$AJ$5) + SUMIFS('Stock - ETA'!$R$3:R4963,'Stock - ETA'!$F$3:F4963,'Rango proyecciones'!C284,'Stock - ETA'!$AA$3:AA4963,'Rango proyecciones'!$AJ$7)</f>
        <v>0</v>
      </c>
      <c r="AA284" s="13">
        <f t="shared" si="80"/>
        <v>0</v>
      </c>
      <c r="AB284" s="7">
        <f>SUMIFS('Stock - ETA'!$I$3:I4963,'Stock - ETA'!$F$3:F4963,'Rango proyecciones'!C284,'Stock - ETA'!$Q$3:Q4963,'Rango proyecciones'!$AJ$5) + SUMIFS('Stock - ETA'!$H$3:H4963,'Stock - ETA'!$F$3:F4963,'Rango proyecciones'!C284,'Stock - ETA'!$Q$3:Q4963,'Rango proyecciones'!$AJ$7)</f>
        <v>0</v>
      </c>
      <c r="AC284" s="16">
        <f t="shared" si="81"/>
        <v>0</v>
      </c>
      <c r="AD284" s="4"/>
      <c r="AE284" s="7">
        <f>SUMIFS('Stock - ETA'!$T$3:T4963,'Stock - ETA'!$F$3:F4963,'Rango proyecciones'!C284,'Stock - ETA'!$AA$3:AA4963,'Rango proyecciones'!$AJ$5) + SUMIFS('Stock - ETA'!$S$3:S4963,'Stock - ETA'!$F$3:F4963,'Rango proyecciones'!C284,'Stock - ETA'!$AA$3:AA4963,'Rango proyecciones'!$AJ$8)</f>
        <v>0</v>
      </c>
      <c r="AF284" s="16">
        <f>0.8 * AD284 + AE284</f>
        <v>0</v>
      </c>
      <c r="AG284" s="7">
        <f>SUMIFS('Stock - ETA'!$J$3:J4963,'Stock - ETA'!$F$3:F4963,'Rango proyecciones'!C284,'Stock - ETA'!$Q$3:Q4963,'Rango proyecciones'!$AJ$5) + SUMIFS('Stock - ETA'!$I$3:I4963,'Stock - ETA'!$F$3:F4963,'Rango proyecciones'!C284,'Stock - ETA'!$Q$3:Q4963,'Rango proyecciones'!$AJ$8)</f>
        <v>0</v>
      </c>
      <c r="AH284" s="16">
        <f>0.8 * AD284 + AG284</f>
        <v>0</v>
      </c>
      <c r="AI284" s="4"/>
    </row>
    <row r="285" spans="1:35" x14ac:dyDescent="0.2">
      <c r="A285" s="2"/>
      <c r="B285" s="2" t="s">
        <v>394</v>
      </c>
      <c r="C285" s="2" t="s">
        <v>515</v>
      </c>
      <c r="D285" s="2" t="s">
        <v>396</v>
      </c>
      <c r="E285" s="2">
        <v>1021156</v>
      </c>
      <c r="F285" s="2"/>
      <c r="G285" s="2"/>
      <c r="H285" s="4">
        <v>0</v>
      </c>
      <c r="I285" s="7">
        <v>0</v>
      </c>
      <c r="J285" s="7">
        <v>3920.28</v>
      </c>
      <c r="K285" s="7">
        <v>575.67999999999995</v>
      </c>
      <c r="L285" s="4">
        <f t="shared" si="78"/>
        <v>5016.9000000000005</v>
      </c>
      <c r="M285" s="7">
        <f>SUMIF('Stock - ETA'!$F$3:F4963,'Rango proyecciones'!C285,'Stock - ETA'!$R$3:R4963)</f>
        <v>24000</v>
      </c>
      <c r="N285" s="7">
        <f>SUMIF('Stock - Puerto Chile'!$G$2:G973,'Rango proyecciones'!C285,'Stock - Puerto Chile'!$L$2:L973)</f>
        <v>158400</v>
      </c>
      <c r="O285" s="7">
        <v>0</v>
      </c>
      <c r="P285" s="7">
        <v>0</v>
      </c>
      <c r="Q285" s="16">
        <f>H285 + M285 + N285 + L285</f>
        <v>187416.9</v>
      </c>
      <c r="R285" s="7">
        <f t="shared" si="79"/>
        <v>8600.4000000000015</v>
      </c>
      <c r="S285" s="7">
        <f>SUMIF('Stock - ETA'!$F$3:F4963,'Rango proyecciones'!C285,'Stock - ETA'!$H$3:H4963)</f>
        <v>24000</v>
      </c>
      <c r="T285" s="7">
        <f>SUMIF('Stock - Puerto Chile'!$G$2:G973,'Rango proyecciones'!C285,'Stock - Puerto Chile'!$N$2:N973)</f>
        <v>190080</v>
      </c>
      <c r="U285" s="7">
        <v>0</v>
      </c>
      <c r="V285" s="7">
        <v>0</v>
      </c>
      <c r="W285" s="16">
        <f>H285 + S285 + R285 + T285</f>
        <v>222680.4</v>
      </c>
      <c r="X285" s="4"/>
      <c r="Y285" s="7"/>
      <c r="Z285" s="18">
        <f>SUMIF('Stock - ETA'!$F$3:F4963,'Rango proyecciones'!C285,'Stock - ETA'!$S$3:S4963)</f>
        <v>24000</v>
      </c>
      <c r="AA285" s="13">
        <f t="shared" si="80"/>
        <v>24000</v>
      </c>
      <c r="AB285" s="7">
        <f>SUMIF('Stock - ETA'!$F$3:F4963,'Rango proyecciones'!C285,'Stock - ETA'!$I$3:I4963)</f>
        <v>24000</v>
      </c>
      <c r="AC285" s="16">
        <f t="shared" si="81"/>
        <v>24000</v>
      </c>
      <c r="AD285" s="4"/>
      <c r="AE285" s="7">
        <f>SUMIF('Stock - ETA'!$F$3:F4963,'Rango proyecciones'!C285,'Stock - ETA'!$T$3:T4963)</f>
        <v>0</v>
      </c>
      <c r="AF285" s="16">
        <f>0.7 * AD285 + AE285</f>
        <v>0</v>
      </c>
      <c r="AG285" s="7">
        <f>SUMIF('Stock - ETA'!$F$3:F4963,'Rango proyecciones'!C285,'Stock - ETA'!$J$3:J4963)</f>
        <v>0</v>
      </c>
      <c r="AH285" s="16">
        <f>0.7 * AD285 + AG285</f>
        <v>0</v>
      </c>
      <c r="AI285" s="4"/>
    </row>
    <row r="286" spans="1:35" x14ac:dyDescent="0.2">
      <c r="A286" s="2"/>
      <c r="B286" s="2" t="s">
        <v>35</v>
      </c>
      <c r="C286" s="2" t="s">
        <v>516</v>
      </c>
      <c r="D286" s="2" t="s">
        <v>409</v>
      </c>
      <c r="E286" s="2">
        <v>1030838</v>
      </c>
      <c r="F286" s="2"/>
      <c r="G286" s="2"/>
      <c r="H286" s="4">
        <v>0</v>
      </c>
      <c r="I286" s="7">
        <v>0</v>
      </c>
      <c r="J286" s="7">
        <v>0</v>
      </c>
      <c r="K286" s="7">
        <v>0</v>
      </c>
      <c r="L286" s="4">
        <f t="shared" si="78"/>
        <v>0</v>
      </c>
      <c r="M286" s="7">
        <f>SUMIFS('Stock - ETA'!$R$3:R4963,'Stock - ETA'!$F$3:F4963,'Rango proyecciones'!C286,'Stock - ETA'!$AA$3:AA4963,'Rango proyecciones'!$AJ$5)</f>
        <v>23999.915590000001</v>
      </c>
      <c r="N286" s="7">
        <f>SUMIF('Stock - Puerto Chile'!$G$2:G973,'Rango proyecciones'!C286,'Stock - Puerto Chile'!$L$2:L973)</f>
        <v>0</v>
      </c>
      <c r="O286" s="7">
        <v>0</v>
      </c>
      <c r="P286" s="7">
        <v>0</v>
      </c>
      <c r="Q286" s="16">
        <f>H286 + P286 + M286</f>
        <v>23999.915590000001</v>
      </c>
      <c r="R286" s="7">
        <f t="shared" si="79"/>
        <v>0</v>
      </c>
      <c r="S286" s="7">
        <f>SUMIFS('Stock - ETA'!$H$3:H4963,'Stock - ETA'!$F$3:F4963,'Rango proyecciones'!C286,'Stock - ETA'!$Q$3:Q4963,'Rango proyecciones'!$AJ$5)</f>
        <v>23999.915590000001</v>
      </c>
      <c r="T286" s="7">
        <f>SUMIF('Stock - Puerto Chile'!$G$2:G973,'Rango proyecciones'!C286,'Stock - Puerto Chile'!$N$2:N973)</f>
        <v>0</v>
      </c>
      <c r="U286" s="7">
        <v>0</v>
      </c>
      <c r="V286" s="7">
        <v>0</v>
      </c>
      <c r="W286" s="17">
        <f>H286 + V286 + S286 + U286</f>
        <v>23999.915590000001</v>
      </c>
      <c r="X286" s="4"/>
      <c r="Y286" s="7"/>
      <c r="Z286" s="18">
        <f>SUMIFS('Stock - ETA'!$S$3:S4963,'Stock - ETA'!$F$3:F4963,'Rango proyecciones'!C286,'Stock - ETA'!$AA$3:AA4963,'Rango proyecciones'!$AJ$5) + SUMIFS('Stock - ETA'!$R$3:R4963,'Stock - ETA'!$F$3:F4963,'Rango proyecciones'!C286,'Stock - ETA'!$AA$3:AA4963,'Rango proyecciones'!$AJ$7)</f>
        <v>21599.924029999998</v>
      </c>
      <c r="AA286" s="13">
        <f t="shared" si="80"/>
        <v>21599.924029999998</v>
      </c>
      <c r="AB286" s="7">
        <f>SUMIFS('Stock - ETA'!$I$3:I4963,'Stock - ETA'!$F$3:F4963,'Rango proyecciones'!C286,'Stock - ETA'!$Q$3:Q4963,'Rango proyecciones'!$AJ$5) + SUMIFS('Stock - ETA'!$H$3:H4963,'Stock - ETA'!$F$3:F4963,'Rango proyecciones'!C286,'Stock - ETA'!$Q$3:Q4963,'Rango proyecciones'!$AJ$7)</f>
        <v>21599.924029999998</v>
      </c>
      <c r="AC286" s="16">
        <f t="shared" si="81"/>
        <v>21599.924029999998</v>
      </c>
      <c r="AD286" s="4"/>
      <c r="AE286" s="7">
        <f>SUMIFS('Stock - ETA'!$T$3:T4963,'Stock - ETA'!$F$3:F4963,'Rango proyecciones'!C286,'Stock - ETA'!$AA$3:AA4963,'Rango proyecciones'!$AJ$5) + SUMIFS('Stock - ETA'!$S$3:S4963,'Stock - ETA'!$F$3:F4963,'Rango proyecciones'!C286,'Stock - ETA'!$AA$3:AA4963,'Rango proyecciones'!$AJ$8)</f>
        <v>0</v>
      </c>
      <c r="AF286" s="16">
        <f>0.6 * AD286 + AE286</f>
        <v>0</v>
      </c>
      <c r="AG286" s="7">
        <f>SUMIFS('Stock - ETA'!$J$3:J4963,'Stock - ETA'!$F$3:F4963,'Rango proyecciones'!C286,'Stock - ETA'!$Q$3:Q4963,'Rango proyecciones'!$AJ$5) + SUMIFS('Stock - ETA'!$I$3:I4963,'Stock - ETA'!$F$3:F4963,'Rango proyecciones'!C286,'Stock - ETA'!$Q$3:Q4963,'Rango proyecciones'!$AJ$8)</f>
        <v>0</v>
      </c>
      <c r="AH286" s="16">
        <f>0.6 * AD286 + AG286</f>
        <v>0</v>
      </c>
      <c r="AI286" s="4"/>
    </row>
    <row r="287" spans="1:35" x14ac:dyDescent="0.2">
      <c r="A287" s="2"/>
      <c r="B287" s="2" t="s">
        <v>394</v>
      </c>
      <c r="C287" s="2" t="s">
        <v>517</v>
      </c>
      <c r="D287" s="2" t="s">
        <v>396</v>
      </c>
      <c r="E287" s="2">
        <v>1023090</v>
      </c>
      <c r="F287" s="2"/>
      <c r="G287" s="2"/>
      <c r="H287" s="4">
        <v>0</v>
      </c>
      <c r="I287" s="7">
        <v>0</v>
      </c>
      <c r="J287" s="7">
        <v>2518</v>
      </c>
      <c r="K287" s="7"/>
      <c r="L287" s="4">
        <f t="shared" si="78"/>
        <v>3777</v>
      </c>
      <c r="M287" s="7">
        <f>SUMIF('Stock - ETA'!$F$3:F4963,'Rango proyecciones'!C287,'Stock - ETA'!$R$3:R4963)</f>
        <v>22016.57</v>
      </c>
      <c r="N287" s="7">
        <f>SUMIF('Stock - Puerto Chile'!$G$2:G973,'Rango proyecciones'!C287,'Stock - Puerto Chile'!$L$2:L973)</f>
        <v>0</v>
      </c>
      <c r="O287" s="7">
        <v>0</v>
      </c>
      <c r="P287" s="7">
        <v>0</v>
      </c>
      <c r="Q287" s="16">
        <f>H287 + M287 + N287 + L287</f>
        <v>25793.57</v>
      </c>
      <c r="R287" s="7">
        <f t="shared" si="79"/>
        <v>6474.8571428571431</v>
      </c>
      <c r="S287" s="7">
        <f>SUMIF('Stock - ETA'!$F$3:F4963,'Rango proyecciones'!C287,'Stock - ETA'!$H$3:H4963)</f>
        <v>22016.57</v>
      </c>
      <c r="T287" s="7">
        <f>SUMIF('Stock - Puerto Chile'!$G$2:G973,'Rango proyecciones'!C287,'Stock - Puerto Chile'!$N$2:N973)</f>
        <v>0</v>
      </c>
      <c r="U287" s="7">
        <v>0</v>
      </c>
      <c r="V287" s="7">
        <v>0</v>
      </c>
      <c r="W287" s="16">
        <f>H287 + S287 + R287 + T287</f>
        <v>28491.427142857145</v>
      </c>
      <c r="X287" s="4">
        <v>22000</v>
      </c>
      <c r="Y287" s="7">
        <v>22000</v>
      </c>
      <c r="Z287" s="18">
        <f>SUMIF('Stock - ETA'!$F$3:F4963,'Rango proyecciones'!C287,'Stock - ETA'!$S$3:S4963)</f>
        <v>0</v>
      </c>
      <c r="AA287" s="13">
        <f t="shared" si="80"/>
        <v>22000</v>
      </c>
      <c r="AB287" s="7">
        <f>SUMIF('Stock - ETA'!$F$3:F4963,'Rango proyecciones'!C287,'Stock - ETA'!$I$3:I4963)</f>
        <v>0</v>
      </c>
      <c r="AC287" s="16">
        <f t="shared" si="81"/>
        <v>22000</v>
      </c>
      <c r="AD287" s="4">
        <v>22000</v>
      </c>
      <c r="AE287" s="7">
        <f>SUMIF('Stock - ETA'!$F$3:F4963,'Rango proyecciones'!C287,'Stock - ETA'!$T$3:T4963)</f>
        <v>0</v>
      </c>
      <c r="AF287" s="16">
        <f>0.7 * AD287 + AE287</f>
        <v>15399.999999999998</v>
      </c>
      <c r="AG287" s="7">
        <f>SUMIF('Stock - ETA'!$F$3:F4963,'Rango proyecciones'!C287,'Stock - ETA'!$J$3:J4963)</f>
        <v>0</v>
      </c>
      <c r="AH287" s="16">
        <f>0.7 * AD287 + AG287</f>
        <v>15399.999999999998</v>
      </c>
      <c r="AI287" s="4"/>
    </row>
    <row r="288" spans="1:35" x14ac:dyDescent="0.2">
      <c r="A288" s="2"/>
      <c r="B288" s="2" t="s">
        <v>394</v>
      </c>
      <c r="C288" s="2" t="s">
        <v>518</v>
      </c>
      <c r="D288" s="2" t="s">
        <v>396</v>
      </c>
      <c r="E288" s="2">
        <v>1022283</v>
      </c>
      <c r="F288" s="2"/>
      <c r="G288" s="2"/>
      <c r="H288" s="4">
        <v>0</v>
      </c>
      <c r="I288" s="7">
        <v>0</v>
      </c>
      <c r="J288" s="7">
        <v>1401</v>
      </c>
      <c r="K288" s="7">
        <v>28.84</v>
      </c>
      <c r="L288" s="4">
        <f t="shared" ref="L288:L319" si="86">MAX(J288 - K288, 0) * MAX((25 - 10)/(10), 0)</f>
        <v>2058.2400000000002</v>
      </c>
      <c r="M288" s="7">
        <f>SUMIF('Stock - ETA'!$F$3:F4963,'Rango proyecciones'!C288,'Stock - ETA'!$R$3:R4963)</f>
        <v>17000.759999999998</v>
      </c>
      <c r="N288" s="7">
        <f>SUMIF('Stock - Puerto Chile'!$G$2:G973,'Rango proyecciones'!C288,'Stock - Puerto Chile'!$L$2:L973)</f>
        <v>0</v>
      </c>
      <c r="O288" s="7">
        <v>0</v>
      </c>
      <c r="P288" s="7">
        <v>0</v>
      </c>
      <c r="Q288" s="16">
        <f>H288 + M288 + N288 + L288</f>
        <v>19059</v>
      </c>
      <c r="R288" s="7">
        <f t="shared" ref="R288:R319" si="87">MAX(J288 - K288, 0) * MAX((25 - 7)/(7), 0)</f>
        <v>3528.411428571429</v>
      </c>
      <c r="S288" s="7">
        <f>SUMIF('Stock - ETA'!$F$3:F4963,'Rango proyecciones'!C288,'Stock - ETA'!$H$3:H4963)</f>
        <v>17000.759999999998</v>
      </c>
      <c r="T288" s="7">
        <f>SUMIF('Stock - Puerto Chile'!$G$2:G973,'Rango proyecciones'!C288,'Stock - Puerto Chile'!$N$2:N973)</f>
        <v>0</v>
      </c>
      <c r="U288" s="7">
        <v>0</v>
      </c>
      <c r="V288" s="7">
        <v>0</v>
      </c>
      <c r="W288" s="16">
        <f>H288 + S288 + R288 + T288</f>
        <v>20529.171428571426</v>
      </c>
      <c r="X288" s="4">
        <v>13795</v>
      </c>
      <c r="Y288" s="7">
        <v>13795</v>
      </c>
      <c r="Z288" s="18">
        <f>SUMIF('Stock - ETA'!$F$3:F4963,'Rango proyecciones'!C288,'Stock - ETA'!$S$3:S4963)</f>
        <v>0</v>
      </c>
      <c r="AA288" s="13">
        <f t="shared" si="80"/>
        <v>13795</v>
      </c>
      <c r="AB288" s="7">
        <f>SUMIF('Stock - ETA'!$F$3:F4963,'Rango proyecciones'!C288,'Stock - ETA'!$I$3:I4963)</f>
        <v>0</v>
      </c>
      <c r="AC288" s="16">
        <f t="shared" si="81"/>
        <v>13795</v>
      </c>
      <c r="AD288" s="4">
        <v>16347</v>
      </c>
      <c r="AE288" s="7">
        <f>SUMIF('Stock - ETA'!$F$3:F4963,'Rango proyecciones'!C288,'Stock - ETA'!$T$3:T4963)</f>
        <v>0</v>
      </c>
      <c r="AF288" s="16">
        <f>0.7 * AD288 + AE288</f>
        <v>11442.9</v>
      </c>
      <c r="AG288" s="7">
        <f>SUMIF('Stock - ETA'!$F$3:F4963,'Rango proyecciones'!C288,'Stock - ETA'!$J$3:J4963)</f>
        <v>0</v>
      </c>
      <c r="AH288" s="16">
        <f>0.7 * AD288 + AG288</f>
        <v>11442.9</v>
      </c>
      <c r="AI288" s="4"/>
    </row>
    <row r="289" spans="1:35" x14ac:dyDescent="0.2">
      <c r="A289" s="2"/>
      <c r="B289" s="2" t="s">
        <v>394</v>
      </c>
      <c r="C289" s="2" t="s">
        <v>519</v>
      </c>
      <c r="D289" s="2" t="s">
        <v>396</v>
      </c>
      <c r="E289" s="2">
        <v>1022182</v>
      </c>
      <c r="F289" s="2"/>
      <c r="G289" s="2"/>
      <c r="H289" s="4">
        <v>0</v>
      </c>
      <c r="I289" s="7">
        <v>0</v>
      </c>
      <c r="J289" s="7">
        <v>1777</v>
      </c>
      <c r="K289" s="7">
        <v>80.19</v>
      </c>
      <c r="L289" s="4">
        <f t="shared" si="86"/>
        <v>2545.2150000000001</v>
      </c>
      <c r="M289" s="7">
        <f>SUMIF('Stock - ETA'!$F$3:F4963,'Rango proyecciones'!C289,'Stock - ETA'!$R$3:R4963)</f>
        <v>82920</v>
      </c>
      <c r="N289" s="7">
        <f>SUMIF('Stock - Puerto Chile'!$G$2:G973,'Rango proyecciones'!C289,'Stock - Puerto Chile'!$L$2:L973)</f>
        <v>145116</v>
      </c>
      <c r="O289" s="7">
        <v>0</v>
      </c>
      <c r="P289" s="7">
        <v>0</v>
      </c>
      <c r="Q289" s="16">
        <f>H289 + M289 + N289 + L289</f>
        <v>230581.215</v>
      </c>
      <c r="R289" s="7">
        <f t="shared" si="87"/>
        <v>4363.2257142857143</v>
      </c>
      <c r="S289" s="7">
        <f>SUMIF('Stock - ETA'!$F$3:F4963,'Rango proyecciones'!C289,'Stock - ETA'!$H$3:H4963)</f>
        <v>82920</v>
      </c>
      <c r="T289" s="7">
        <f>SUMIF('Stock - Puerto Chile'!$G$2:G973,'Rango proyecciones'!C289,'Stock - Puerto Chile'!$N$2:N973)</f>
        <v>174139.19999999998</v>
      </c>
      <c r="U289" s="7">
        <v>0</v>
      </c>
      <c r="V289" s="7">
        <v>0</v>
      </c>
      <c r="W289" s="16">
        <f>H289 + S289 + R289 + T289</f>
        <v>261422.42571428569</v>
      </c>
      <c r="X289" s="4">
        <v>44000</v>
      </c>
      <c r="Y289" s="7">
        <v>44000</v>
      </c>
      <c r="Z289" s="18">
        <f>SUMIF('Stock - ETA'!$F$3:F4963,'Rango proyecciones'!C289,'Stock - ETA'!$S$3:S4963)</f>
        <v>0</v>
      </c>
      <c r="AA289" s="13">
        <f t="shared" si="80"/>
        <v>44000</v>
      </c>
      <c r="AB289" s="7">
        <f>SUMIF('Stock - ETA'!$F$3:F4963,'Rango proyecciones'!C289,'Stock - ETA'!$I$3:I4963)</f>
        <v>0</v>
      </c>
      <c r="AC289" s="16">
        <f t="shared" si="81"/>
        <v>44000</v>
      </c>
      <c r="AD289" s="4">
        <v>44000</v>
      </c>
      <c r="AE289" s="7">
        <f>SUMIF('Stock - ETA'!$F$3:F4963,'Rango proyecciones'!C289,'Stock - ETA'!$T$3:T4963)</f>
        <v>0</v>
      </c>
      <c r="AF289" s="16">
        <f>0.7 * AD289 + AE289</f>
        <v>30799.999999999996</v>
      </c>
      <c r="AG289" s="7">
        <f>SUMIF('Stock - ETA'!$F$3:F4963,'Rango proyecciones'!C289,'Stock - ETA'!$J$3:J4963)</f>
        <v>0</v>
      </c>
      <c r="AH289" s="16">
        <f>0.7 * AD289 + AG289</f>
        <v>30799.999999999996</v>
      </c>
      <c r="AI289" s="4"/>
    </row>
    <row r="290" spans="1:35" x14ac:dyDescent="0.2">
      <c r="A290" s="2"/>
      <c r="B290" s="2" t="s">
        <v>394</v>
      </c>
      <c r="C290" s="2" t="s">
        <v>520</v>
      </c>
      <c r="D290" s="2" t="s">
        <v>485</v>
      </c>
      <c r="E290" s="2">
        <v>1012362</v>
      </c>
      <c r="F290" s="2"/>
      <c r="G290" s="2"/>
      <c r="H290" s="4">
        <v>0</v>
      </c>
      <c r="I290" s="7">
        <v>0</v>
      </c>
      <c r="J290" s="7">
        <v>0</v>
      </c>
      <c r="K290" s="7">
        <v>0</v>
      </c>
      <c r="L290" s="4">
        <f t="shared" si="86"/>
        <v>0</v>
      </c>
      <c r="M290" s="7">
        <f>SUMIF('Stock - ETA'!$F$3:F4963,'Rango proyecciones'!C290,'Stock - ETA'!$R$3:R4963)</f>
        <v>2088</v>
      </c>
      <c r="N290" s="7">
        <f>SUMIF('Stock - Puerto Chile'!$G$2:G973,'Rango proyecciones'!C290,'Stock - Puerto Chile'!$L$2:L973)</f>
        <v>0</v>
      </c>
      <c r="O290" s="7">
        <v>0</v>
      </c>
      <c r="P290" s="7">
        <v>0</v>
      </c>
      <c r="Q290" s="16">
        <f>H290 + M290 + N290 + L290</f>
        <v>2088</v>
      </c>
      <c r="R290" s="7">
        <f t="shared" si="87"/>
        <v>0</v>
      </c>
      <c r="S290" s="7">
        <f>SUMIF('Stock - ETA'!$F$3:F4963,'Rango proyecciones'!C290,'Stock - ETA'!$H$3:H4963)</f>
        <v>2088</v>
      </c>
      <c r="T290" s="7">
        <f>SUMIF('Stock - Puerto Chile'!$G$2:G973,'Rango proyecciones'!C290,'Stock - Puerto Chile'!$N$2:N973)</f>
        <v>0</v>
      </c>
      <c r="U290" s="7">
        <v>0</v>
      </c>
      <c r="V290" s="7">
        <v>0</v>
      </c>
      <c r="W290" s="16">
        <f>H290 + S290 + R290 + T290</f>
        <v>2088</v>
      </c>
      <c r="X290" s="4"/>
      <c r="Y290" s="7"/>
      <c r="Z290" s="18">
        <f>SUMIF('Stock - ETA'!$F$3:F4963,'Rango proyecciones'!C290,'Stock - ETA'!$S$3:S4963)</f>
        <v>0</v>
      </c>
      <c r="AA290" s="13">
        <f t="shared" si="80"/>
        <v>0</v>
      </c>
      <c r="AB290" s="7">
        <f>SUMIF('Stock - ETA'!$F$3:F4963,'Rango proyecciones'!C290,'Stock - ETA'!$I$3:I4963)</f>
        <v>0</v>
      </c>
      <c r="AC290" s="16">
        <f t="shared" si="81"/>
        <v>0</v>
      </c>
      <c r="AD290" s="4"/>
      <c r="AE290" s="7">
        <f>SUMIF('Stock - ETA'!$F$3:F4963,'Rango proyecciones'!C290,'Stock - ETA'!$T$3:T4963)</f>
        <v>0</v>
      </c>
      <c r="AF290" s="16">
        <f>0.6 * AD290 + AE290</f>
        <v>0</v>
      </c>
      <c r="AG290" s="7">
        <f>SUMIF('Stock - ETA'!$F$3:F4963,'Rango proyecciones'!C290,'Stock - ETA'!$J$3:J4963)</f>
        <v>0</v>
      </c>
      <c r="AH290" s="16">
        <f>0.6 * AD290 + AG290</f>
        <v>0</v>
      </c>
      <c r="AI290" s="4"/>
    </row>
    <row r="291" spans="1:35" x14ac:dyDescent="0.2">
      <c r="A291" s="2"/>
      <c r="B291" s="2" t="s">
        <v>394</v>
      </c>
      <c r="C291" s="2" t="s">
        <v>521</v>
      </c>
      <c r="D291" s="2" t="s">
        <v>485</v>
      </c>
      <c r="E291" s="2">
        <v>1011560</v>
      </c>
      <c r="F291" s="2"/>
      <c r="G291" s="2"/>
      <c r="H291" s="4">
        <v>0</v>
      </c>
      <c r="I291" s="7">
        <v>0</v>
      </c>
      <c r="J291" s="7">
        <v>0</v>
      </c>
      <c r="K291" s="7">
        <v>0</v>
      </c>
      <c r="L291" s="4">
        <f t="shared" si="86"/>
        <v>0</v>
      </c>
      <c r="M291" s="7">
        <f>SUMIF('Stock - ETA'!$F$3:F4963,'Rango proyecciones'!C291,'Stock - ETA'!$R$3:R4963)</f>
        <v>21906</v>
      </c>
      <c r="N291" s="7">
        <f>SUMIF('Stock - Puerto Chile'!$G$2:G973,'Rango proyecciones'!C291,'Stock - Puerto Chile'!$L$2:L973)</f>
        <v>0</v>
      </c>
      <c r="O291" s="7">
        <v>0</v>
      </c>
      <c r="P291" s="7">
        <v>0</v>
      </c>
      <c r="Q291" s="16">
        <f>H291 + M291 + N291 + L291</f>
        <v>21906</v>
      </c>
      <c r="R291" s="7">
        <f t="shared" si="87"/>
        <v>0</v>
      </c>
      <c r="S291" s="7">
        <f>SUMIF('Stock - ETA'!$F$3:F4963,'Rango proyecciones'!C291,'Stock - ETA'!$H$3:H4963)</f>
        <v>21906</v>
      </c>
      <c r="T291" s="7">
        <f>SUMIF('Stock - Puerto Chile'!$G$2:G973,'Rango proyecciones'!C291,'Stock - Puerto Chile'!$N$2:N973)</f>
        <v>0</v>
      </c>
      <c r="U291" s="7">
        <v>0</v>
      </c>
      <c r="V291" s="7">
        <v>0</v>
      </c>
      <c r="W291" s="16">
        <f>H291 + S291 + R291 + T291</f>
        <v>21906</v>
      </c>
      <c r="X291" s="4"/>
      <c r="Y291" s="7"/>
      <c r="Z291" s="18">
        <f>SUMIF('Stock - ETA'!$F$3:F4963,'Rango proyecciones'!C291,'Stock - ETA'!$S$3:S4963)</f>
        <v>0</v>
      </c>
      <c r="AA291" s="13">
        <f t="shared" si="80"/>
        <v>0</v>
      </c>
      <c r="AB291" s="7">
        <f>SUMIF('Stock - ETA'!$F$3:F4963,'Rango proyecciones'!C291,'Stock - ETA'!$I$3:I4963)</f>
        <v>0</v>
      </c>
      <c r="AC291" s="16">
        <f t="shared" si="81"/>
        <v>0</v>
      </c>
      <c r="AD291" s="4"/>
      <c r="AE291" s="7">
        <f>SUMIF('Stock - ETA'!$F$3:F4963,'Rango proyecciones'!C291,'Stock - ETA'!$T$3:T4963)</f>
        <v>0</v>
      </c>
      <c r="AF291" s="16">
        <f>0.6 * AD291 + AE291</f>
        <v>0</v>
      </c>
      <c r="AG291" s="7">
        <f>SUMIF('Stock - ETA'!$F$3:F4963,'Rango proyecciones'!C291,'Stock - ETA'!$J$3:J4963)</f>
        <v>0</v>
      </c>
      <c r="AH291" s="16">
        <f>0.6 * AD291 + AG291</f>
        <v>0</v>
      </c>
      <c r="AI291" s="4"/>
    </row>
    <row r="292" spans="1:35" x14ac:dyDescent="0.2">
      <c r="A292" s="2"/>
      <c r="B292" s="2" t="s">
        <v>35</v>
      </c>
      <c r="C292" s="2" t="s">
        <v>522</v>
      </c>
      <c r="D292" s="2" t="s">
        <v>389</v>
      </c>
      <c r="E292" s="2">
        <v>1012823</v>
      </c>
      <c r="F292" s="2"/>
      <c r="G292" s="2"/>
      <c r="H292" s="4">
        <v>0</v>
      </c>
      <c r="I292" s="7">
        <v>0</v>
      </c>
      <c r="J292" s="7">
        <v>1000</v>
      </c>
      <c r="K292" s="7"/>
      <c r="L292" s="4">
        <f t="shared" si="86"/>
        <v>1500</v>
      </c>
      <c r="M292" s="7">
        <f>SUMIFS('Stock - ETA'!$R$3:R4963,'Stock - ETA'!$F$3:F4963,'Rango proyecciones'!C292,'Stock - ETA'!$AA$3:AA4963,'Rango proyecciones'!$AJ$5)</f>
        <v>0</v>
      </c>
      <c r="N292" s="7">
        <f>SUMIF('Stock - Puerto Chile'!$G$2:G973,'Rango proyecciones'!C292,'Stock - Puerto Chile'!$L$2:L973)</f>
        <v>0</v>
      </c>
      <c r="O292" s="7">
        <v>0</v>
      </c>
      <c r="P292" s="7">
        <v>0</v>
      </c>
      <c r="Q292" s="16">
        <f>H292 + P292 + M292</f>
        <v>0</v>
      </c>
      <c r="R292" s="7">
        <f t="shared" si="87"/>
        <v>2571.4285714285716</v>
      </c>
      <c r="S292" s="7">
        <f>SUMIFS('Stock - ETA'!$H$3:H4963,'Stock - ETA'!$F$3:F4963,'Rango proyecciones'!C292,'Stock - ETA'!$Q$3:Q4963,'Rango proyecciones'!$AJ$5)</f>
        <v>0</v>
      </c>
      <c r="T292" s="7">
        <f>SUMIF('Stock - Puerto Chile'!$G$2:G973,'Rango proyecciones'!C292,'Stock - Puerto Chile'!$N$2:N973)</f>
        <v>0</v>
      </c>
      <c r="U292" s="7">
        <v>0</v>
      </c>
      <c r="V292" s="7">
        <v>0</v>
      </c>
      <c r="W292" s="17">
        <f>H292 + V292 + S292 + U292</f>
        <v>0</v>
      </c>
      <c r="X292" s="4">
        <v>63947</v>
      </c>
      <c r="Y292" s="7">
        <v>63947</v>
      </c>
      <c r="Z292" s="18">
        <f>SUMIFS('Stock - ETA'!$S$3:S4963,'Stock - ETA'!$F$3:F4963,'Rango proyecciones'!C292,'Stock - ETA'!$AA$3:AA4963,'Rango proyecciones'!$AJ$5) + SUMIFS('Stock - ETA'!$R$3:R4963,'Stock - ETA'!$F$3:F4963,'Rango proyecciones'!C292,'Stock - ETA'!$AA$3:AA4963,'Rango proyecciones'!$AJ$7)</f>
        <v>23038.416000000001</v>
      </c>
      <c r="AA292" s="13">
        <f t="shared" si="80"/>
        <v>86985.415999999997</v>
      </c>
      <c r="AB292" s="7">
        <f>SUMIFS('Stock - ETA'!$I$3:I4963,'Stock - ETA'!$F$3:F4963,'Rango proyecciones'!C292,'Stock - ETA'!$Q$3:Q4963,'Rango proyecciones'!$AJ$5) + SUMIFS('Stock - ETA'!$H$3:H4963,'Stock - ETA'!$F$3:F4963,'Rango proyecciones'!C292,'Stock - ETA'!$Q$3:Q4963,'Rango proyecciones'!$AJ$7)</f>
        <v>23038.416000000001</v>
      </c>
      <c r="AC292" s="16">
        <f t="shared" si="81"/>
        <v>86985.415999999997</v>
      </c>
      <c r="AD292" s="4">
        <v>81208</v>
      </c>
      <c r="AE292" s="7">
        <f>SUMIFS('Stock - ETA'!$T$3:T4963,'Stock - ETA'!$F$3:F4963,'Rango proyecciones'!C292,'Stock - ETA'!$AA$3:AA4963,'Rango proyecciones'!$AJ$5) + SUMIFS('Stock - ETA'!$S$3:S4963,'Stock - ETA'!$F$3:F4963,'Rango proyecciones'!C292,'Stock - ETA'!$AA$3:AA4963,'Rango proyecciones'!$AJ$8)</f>
        <v>0</v>
      </c>
      <c r="AF292" s="16">
        <f>0.6 * AD292 + AE292</f>
        <v>48724.799999999996</v>
      </c>
      <c r="AG292" s="7">
        <f>SUMIFS('Stock - ETA'!$J$3:J4963,'Stock - ETA'!$F$3:F4963,'Rango proyecciones'!C292,'Stock - ETA'!$Q$3:Q4963,'Rango proyecciones'!$AJ$5) + SUMIFS('Stock - ETA'!$I$3:I4963,'Stock - ETA'!$F$3:F4963,'Rango proyecciones'!C292,'Stock - ETA'!$Q$3:Q4963,'Rango proyecciones'!$AJ$8)</f>
        <v>0</v>
      </c>
      <c r="AH292" s="16">
        <f>0.6 * AD292 + AG292</f>
        <v>48724.799999999996</v>
      </c>
      <c r="AI292" s="4"/>
    </row>
    <row r="293" spans="1:35" x14ac:dyDescent="0.2">
      <c r="A293" s="2"/>
      <c r="B293" s="2" t="s">
        <v>35</v>
      </c>
      <c r="C293" s="2" t="s">
        <v>523</v>
      </c>
      <c r="D293" s="2" t="s">
        <v>423</v>
      </c>
      <c r="E293" s="2">
        <v>1012796</v>
      </c>
      <c r="F293" s="2"/>
      <c r="G293" s="2"/>
      <c r="H293" s="4">
        <v>0</v>
      </c>
      <c r="I293" s="7">
        <v>0</v>
      </c>
      <c r="J293" s="7">
        <v>6000</v>
      </c>
      <c r="K293" s="7"/>
      <c r="L293" s="4">
        <f t="shared" si="86"/>
        <v>9000</v>
      </c>
      <c r="M293" s="7">
        <f>SUMIFS('Stock - ETA'!$R$3:R4963,'Stock - ETA'!$F$3:F4963,'Rango proyecciones'!C293,'Stock - ETA'!$AA$3:AA4963,'Rango proyecciones'!$AJ$5)</f>
        <v>59983.83</v>
      </c>
      <c r="N293" s="7">
        <f>SUMIF('Stock - Puerto Chile'!$G$2:G973,'Rango proyecciones'!C293,'Stock - Puerto Chile'!$L$2:L973)</f>
        <v>45201.481565217386</v>
      </c>
      <c r="O293" s="7">
        <v>0</v>
      </c>
      <c r="P293" s="7">
        <v>0</v>
      </c>
      <c r="Q293" s="16">
        <f>H293 + P293 + M293</f>
        <v>59983.83</v>
      </c>
      <c r="R293" s="7">
        <f t="shared" si="87"/>
        <v>15428.571428571429</v>
      </c>
      <c r="S293" s="7">
        <f>SUMIFS('Stock - ETA'!$H$3:H4963,'Stock - ETA'!$F$3:F4963,'Rango proyecciones'!C293,'Stock - ETA'!$Q$3:Q4963,'Rango proyecciones'!$AJ$5)</f>
        <v>59983.83</v>
      </c>
      <c r="T293" s="7">
        <f>SUMIF('Stock - Puerto Chile'!$G$2:G973,'Rango proyecciones'!C293,'Stock - Puerto Chile'!$N$2:N973)</f>
        <v>55632.592695652173</v>
      </c>
      <c r="U293" s="7">
        <v>0</v>
      </c>
      <c r="V293" s="7">
        <v>0</v>
      </c>
      <c r="W293" s="17">
        <f>H293 + V293 + S293 + U293</f>
        <v>59983.83</v>
      </c>
      <c r="X293" s="4"/>
      <c r="Y293" s="7"/>
      <c r="Z293" s="18">
        <f>SUMIFS('Stock - ETA'!$S$3:S4963,'Stock - ETA'!$F$3:F4963,'Rango proyecciones'!C293,'Stock - ETA'!$AA$3:AA4963,'Rango proyecciones'!$AJ$5) + SUMIFS('Stock - ETA'!$R$3:R4963,'Stock - ETA'!$F$3:F4963,'Rango proyecciones'!C293,'Stock - ETA'!$AA$3:AA4963,'Rango proyecciones'!$AJ$7)</f>
        <v>0</v>
      </c>
      <c r="AA293" s="13">
        <f t="shared" si="80"/>
        <v>0</v>
      </c>
      <c r="AB293" s="7">
        <f>SUMIFS('Stock - ETA'!$I$3:I4963,'Stock - ETA'!$F$3:F4963,'Rango proyecciones'!C293,'Stock - ETA'!$Q$3:Q4963,'Rango proyecciones'!$AJ$5) + SUMIFS('Stock - ETA'!$H$3:H4963,'Stock - ETA'!$F$3:F4963,'Rango proyecciones'!C293,'Stock - ETA'!$Q$3:Q4963,'Rango proyecciones'!$AJ$7)</f>
        <v>0</v>
      </c>
      <c r="AC293" s="16">
        <f t="shared" si="81"/>
        <v>0</v>
      </c>
      <c r="AD293" s="4"/>
      <c r="AE293" s="7">
        <f>SUMIFS('Stock - ETA'!$T$3:T4963,'Stock - ETA'!$F$3:F4963,'Rango proyecciones'!C293,'Stock - ETA'!$AA$3:AA4963,'Rango proyecciones'!$AJ$5) + SUMIFS('Stock - ETA'!$S$3:S4963,'Stock - ETA'!$F$3:F4963,'Rango proyecciones'!C293,'Stock - ETA'!$AA$3:AA4963,'Rango proyecciones'!$AJ$8)</f>
        <v>0</v>
      </c>
      <c r="AF293" s="16">
        <f>0.8 * AD293 + AE293</f>
        <v>0</v>
      </c>
      <c r="AG293" s="7">
        <f>SUMIFS('Stock - ETA'!$J$3:J4963,'Stock - ETA'!$F$3:F4963,'Rango proyecciones'!C293,'Stock - ETA'!$Q$3:Q4963,'Rango proyecciones'!$AJ$5) + SUMIFS('Stock - ETA'!$I$3:I4963,'Stock - ETA'!$F$3:F4963,'Rango proyecciones'!C293,'Stock - ETA'!$Q$3:Q4963,'Rango proyecciones'!$AJ$8)</f>
        <v>0</v>
      </c>
      <c r="AH293" s="16">
        <f>0.8 * AD293 + AG293</f>
        <v>0</v>
      </c>
      <c r="AI293" s="4"/>
    </row>
    <row r="294" spans="1:35" x14ac:dyDescent="0.2">
      <c r="A294" s="2"/>
      <c r="B294" s="2" t="s">
        <v>394</v>
      </c>
      <c r="C294" s="2" t="s">
        <v>524</v>
      </c>
      <c r="D294" s="2" t="s">
        <v>485</v>
      </c>
      <c r="E294" s="2">
        <v>1020017</v>
      </c>
      <c r="F294" s="2"/>
      <c r="G294" s="2"/>
      <c r="H294" s="4">
        <v>0</v>
      </c>
      <c r="I294" s="7">
        <v>0</v>
      </c>
      <c r="J294" s="7">
        <v>0</v>
      </c>
      <c r="K294" s="7">
        <v>0</v>
      </c>
      <c r="L294" s="4">
        <f t="shared" si="86"/>
        <v>0</v>
      </c>
      <c r="M294" s="7">
        <f>SUMIF('Stock - ETA'!$F$3:F4963,'Rango proyecciones'!C294,'Stock - ETA'!$R$3:R4963)</f>
        <v>65274.16</v>
      </c>
      <c r="N294" s="7">
        <f>SUMIF('Stock - Puerto Chile'!$G$2:G973,'Rango proyecciones'!C294,'Stock - Puerto Chile'!$L$2:L973)</f>
        <v>14397.273599999999</v>
      </c>
      <c r="O294" s="7">
        <v>0</v>
      </c>
      <c r="P294" s="7">
        <v>0</v>
      </c>
      <c r="Q294" s="16">
        <f>H294 + M294 + N294 + L294</f>
        <v>79671.433600000004</v>
      </c>
      <c r="R294" s="7">
        <f t="shared" si="87"/>
        <v>0</v>
      </c>
      <c r="S294" s="7">
        <f>SUMIF('Stock - ETA'!$F$3:F4963,'Rango proyecciones'!C294,'Stock - ETA'!$H$3:H4963)</f>
        <v>65274.16</v>
      </c>
      <c r="T294" s="7">
        <f>SUMIF('Stock - Puerto Chile'!$G$2:G973,'Rango proyecciones'!C294,'Stock - Puerto Chile'!$N$2:N973)</f>
        <v>17276.728319999998</v>
      </c>
      <c r="U294" s="7">
        <v>0</v>
      </c>
      <c r="V294" s="7">
        <v>0</v>
      </c>
      <c r="W294" s="16">
        <f>H294 + S294 + R294 + T294</f>
        <v>82550.888319999998</v>
      </c>
      <c r="X294" s="4">
        <v>216000</v>
      </c>
      <c r="Y294" s="7">
        <v>216000</v>
      </c>
      <c r="Z294" s="18">
        <f>SUMIF('Stock - ETA'!$F$3:F4963,'Rango proyecciones'!C294,'Stock - ETA'!$S$3:S4963)</f>
        <v>0</v>
      </c>
      <c r="AA294" s="13">
        <f t="shared" si="80"/>
        <v>216000</v>
      </c>
      <c r="AB294" s="7">
        <f>SUMIF('Stock - ETA'!$F$3:F4963,'Rango proyecciones'!C294,'Stock - ETA'!$I$3:I4963)</f>
        <v>0</v>
      </c>
      <c r="AC294" s="16">
        <f t="shared" si="81"/>
        <v>216000</v>
      </c>
      <c r="AD294" s="4">
        <v>216000</v>
      </c>
      <c r="AE294" s="7">
        <f>SUMIF('Stock - ETA'!$F$3:F4963,'Rango proyecciones'!C294,'Stock - ETA'!$T$3:T4963)</f>
        <v>0</v>
      </c>
      <c r="AF294" s="16">
        <f>0.6 * AD294 + AE294</f>
        <v>129600</v>
      </c>
      <c r="AG294" s="7">
        <f>SUMIF('Stock - ETA'!$F$3:F4963,'Rango proyecciones'!C294,'Stock - ETA'!$J$3:J4963)</f>
        <v>0</v>
      </c>
      <c r="AH294" s="16">
        <f>0.6 * AD294 + AG294</f>
        <v>129600</v>
      </c>
      <c r="AI294" s="4"/>
    </row>
    <row r="295" spans="1:35" x14ac:dyDescent="0.2">
      <c r="A295" s="2"/>
      <c r="B295" s="2" t="s">
        <v>394</v>
      </c>
      <c r="C295" s="2" t="s">
        <v>525</v>
      </c>
      <c r="D295" s="2" t="s">
        <v>485</v>
      </c>
      <c r="E295" s="2">
        <v>1021092</v>
      </c>
      <c r="F295" s="2"/>
      <c r="G295" s="2"/>
      <c r="H295" s="4">
        <v>0</v>
      </c>
      <c r="I295" s="7">
        <v>0</v>
      </c>
      <c r="J295" s="7"/>
      <c r="K295" s="7">
        <v>687.73</v>
      </c>
      <c r="L295" s="4">
        <f t="shared" si="86"/>
        <v>0</v>
      </c>
      <c r="M295" s="7">
        <f>SUMIF('Stock - ETA'!$F$3:F4963,'Rango proyecciones'!C295,'Stock - ETA'!$R$3:R4963)</f>
        <v>35975.229999999996</v>
      </c>
      <c r="N295" s="7">
        <f>SUMIF('Stock - Puerto Chile'!$G$2:G973,'Rango proyecciones'!C295,'Stock - Puerto Chile'!$L$2:L973)</f>
        <v>100785.6612</v>
      </c>
      <c r="O295" s="7">
        <v>0</v>
      </c>
      <c r="P295" s="7">
        <v>0</v>
      </c>
      <c r="Q295" s="16">
        <f>H295 + M295 + N295 + L295</f>
        <v>136760.89120000001</v>
      </c>
      <c r="R295" s="7">
        <f t="shared" si="87"/>
        <v>0</v>
      </c>
      <c r="S295" s="7">
        <f>SUMIF('Stock - ETA'!$F$3:F4963,'Rango proyecciones'!C295,'Stock - ETA'!$H$3:H4963)</f>
        <v>35975.229999999996</v>
      </c>
      <c r="T295" s="7">
        <f>SUMIF('Stock - Puerto Chile'!$G$2:G973,'Rango proyecciones'!C295,'Stock - Puerto Chile'!$N$2:N973)</f>
        <v>120942.79344000001</v>
      </c>
      <c r="U295" s="7">
        <v>0</v>
      </c>
      <c r="V295" s="7">
        <v>0</v>
      </c>
      <c r="W295" s="16">
        <f>H295 + S295 + R295 + T295</f>
        <v>156918.02344000002</v>
      </c>
      <c r="X295" s="4">
        <v>51174</v>
      </c>
      <c r="Y295" s="7">
        <v>51174</v>
      </c>
      <c r="Z295" s="18">
        <f>SUMIF('Stock - ETA'!$F$3:F4963,'Rango proyecciones'!C295,'Stock - ETA'!$S$3:S4963)</f>
        <v>0</v>
      </c>
      <c r="AA295" s="13">
        <f t="shared" si="80"/>
        <v>51174</v>
      </c>
      <c r="AB295" s="7">
        <f>SUMIF('Stock - ETA'!$F$3:F4963,'Rango proyecciones'!C295,'Stock - ETA'!$I$3:I4963)</f>
        <v>0</v>
      </c>
      <c r="AC295" s="16">
        <f t="shared" si="81"/>
        <v>51174</v>
      </c>
      <c r="AD295" s="4">
        <v>53053</v>
      </c>
      <c r="AE295" s="7">
        <f>SUMIF('Stock - ETA'!$F$3:F4963,'Rango proyecciones'!C295,'Stock - ETA'!$T$3:T4963)</f>
        <v>0</v>
      </c>
      <c r="AF295" s="16">
        <f>0.6 * AD295 + AE295</f>
        <v>31831.8</v>
      </c>
      <c r="AG295" s="7">
        <f>SUMIF('Stock - ETA'!$F$3:F4963,'Rango proyecciones'!C295,'Stock - ETA'!$J$3:J4963)</f>
        <v>0</v>
      </c>
      <c r="AH295" s="16">
        <f>0.6 * AD295 + AG295</f>
        <v>31831.8</v>
      </c>
      <c r="AI295" s="4"/>
    </row>
    <row r="296" spans="1:35" x14ac:dyDescent="0.2">
      <c r="A296" s="2"/>
      <c r="B296" s="2" t="s">
        <v>394</v>
      </c>
      <c r="C296" s="2" t="s">
        <v>526</v>
      </c>
      <c r="D296" s="2" t="s">
        <v>485</v>
      </c>
      <c r="E296" s="2">
        <v>1020086</v>
      </c>
      <c r="F296" s="2"/>
      <c r="G296" s="2"/>
      <c r="H296" s="4">
        <v>0</v>
      </c>
      <c r="I296" s="7">
        <v>0</v>
      </c>
      <c r="J296" s="7">
        <v>0</v>
      </c>
      <c r="K296" s="7">
        <v>0</v>
      </c>
      <c r="L296" s="4">
        <f t="shared" si="86"/>
        <v>0</v>
      </c>
      <c r="M296" s="7">
        <f>SUMIF('Stock - ETA'!$F$3:F4963,'Rango proyecciones'!C296,'Stock - ETA'!$R$3:R4963)</f>
        <v>23918.89</v>
      </c>
      <c r="N296" s="7">
        <f>SUMIF('Stock - Puerto Chile'!$G$2:G973,'Rango proyecciones'!C296,'Stock - Puerto Chile'!$L$2:L973)</f>
        <v>0</v>
      </c>
      <c r="O296" s="7">
        <v>0</v>
      </c>
      <c r="P296" s="7">
        <v>0</v>
      </c>
      <c r="Q296" s="16">
        <f>H296 + M296 + N296 + L296</f>
        <v>23918.89</v>
      </c>
      <c r="R296" s="7">
        <f t="shared" si="87"/>
        <v>0</v>
      </c>
      <c r="S296" s="7">
        <f>SUMIF('Stock - ETA'!$F$3:F4963,'Rango proyecciones'!C296,'Stock - ETA'!$H$3:H4963)</f>
        <v>23918.89</v>
      </c>
      <c r="T296" s="7">
        <f>SUMIF('Stock - Puerto Chile'!$G$2:G973,'Rango proyecciones'!C296,'Stock - Puerto Chile'!$N$2:N973)</f>
        <v>0</v>
      </c>
      <c r="U296" s="7">
        <v>0</v>
      </c>
      <c r="V296" s="7">
        <v>0</v>
      </c>
      <c r="W296" s="16">
        <f>H296 + S296 + R296 + T296</f>
        <v>23918.89</v>
      </c>
      <c r="X296" s="4"/>
      <c r="Y296" s="7"/>
      <c r="Z296" s="18">
        <f>SUMIF('Stock - ETA'!$F$3:F4963,'Rango proyecciones'!C296,'Stock - ETA'!$S$3:S4963)</f>
        <v>0</v>
      </c>
      <c r="AA296" s="13">
        <f t="shared" si="80"/>
        <v>0</v>
      </c>
      <c r="AB296" s="7">
        <f>SUMIF('Stock - ETA'!$F$3:F4963,'Rango proyecciones'!C296,'Stock - ETA'!$I$3:I4963)</f>
        <v>0</v>
      </c>
      <c r="AC296" s="16">
        <f t="shared" si="81"/>
        <v>0</v>
      </c>
      <c r="AD296" s="4"/>
      <c r="AE296" s="7">
        <f>SUMIF('Stock - ETA'!$F$3:F4963,'Rango proyecciones'!C296,'Stock - ETA'!$T$3:T4963)</f>
        <v>0</v>
      </c>
      <c r="AF296" s="16">
        <f>0.6 * AD296 + AE296</f>
        <v>0</v>
      </c>
      <c r="AG296" s="7">
        <f>SUMIF('Stock - ETA'!$F$3:F4963,'Rango proyecciones'!C296,'Stock - ETA'!$J$3:J4963)</f>
        <v>0</v>
      </c>
      <c r="AH296" s="16">
        <f>0.6 * AD296 + AG296</f>
        <v>0</v>
      </c>
      <c r="AI296" s="4"/>
    </row>
    <row r="297" spans="1:35" x14ac:dyDescent="0.2">
      <c r="A297" s="2"/>
      <c r="B297" s="2" t="s">
        <v>35</v>
      </c>
      <c r="C297" s="2" t="s">
        <v>527</v>
      </c>
      <c r="D297" s="2" t="s">
        <v>386</v>
      </c>
      <c r="E297" s="2">
        <v>1030224</v>
      </c>
      <c r="F297" s="2"/>
      <c r="G297" s="2"/>
      <c r="H297" s="4">
        <v>0</v>
      </c>
      <c r="I297" s="7">
        <v>0</v>
      </c>
      <c r="J297" s="7">
        <v>0</v>
      </c>
      <c r="K297" s="7">
        <v>0</v>
      </c>
      <c r="L297" s="4">
        <f t="shared" si="86"/>
        <v>0</v>
      </c>
      <c r="M297" s="7">
        <f>SUMIFS('Stock - ETA'!$R$3:R4963,'Stock - ETA'!$F$3:F4963,'Rango proyecciones'!C297,'Stock - ETA'!$AA$3:AA4963,'Rango proyecciones'!$AJ$5)</f>
        <v>0</v>
      </c>
      <c r="N297" s="7">
        <f>SUMIF('Stock - Puerto Chile'!$G$2:G973,'Rango proyecciones'!C297,'Stock - Puerto Chile'!$L$2:L973)</f>
        <v>329265.00839999993</v>
      </c>
      <c r="O297" s="7">
        <v>0</v>
      </c>
      <c r="P297" s="7">
        <v>0</v>
      </c>
      <c r="Q297" s="16">
        <f t="shared" ref="Q297:Q304" si="88">H297 + P297 + M297</f>
        <v>0</v>
      </c>
      <c r="R297" s="7">
        <f t="shared" si="87"/>
        <v>0</v>
      </c>
      <c r="S297" s="7">
        <f>SUMIFS('Stock - ETA'!$H$3:H4963,'Stock - ETA'!$F$3:F4963,'Rango proyecciones'!C297,'Stock - ETA'!$Q$3:Q4963,'Rango proyecciones'!$AJ$5)</f>
        <v>0</v>
      </c>
      <c r="T297" s="7">
        <f>SUMIF('Stock - Puerto Chile'!$G$2:G973,'Rango proyecciones'!C297,'Stock - Puerto Chile'!$N$2:N973)</f>
        <v>395118.01007999998</v>
      </c>
      <c r="U297" s="7">
        <v>0</v>
      </c>
      <c r="V297" s="7">
        <v>0</v>
      </c>
      <c r="W297" s="17">
        <f t="shared" ref="W297:W304" si="89">H297 + V297 + S297 + U297</f>
        <v>0</v>
      </c>
      <c r="X297" s="4"/>
      <c r="Y297" s="7"/>
      <c r="Z297" s="18">
        <f>SUMIFS('Stock - ETA'!$S$3:S4963,'Stock - ETA'!$F$3:F4963,'Rango proyecciones'!C297,'Stock - ETA'!$AA$3:AA4963,'Rango proyecciones'!$AJ$5) + SUMIFS('Stock - ETA'!$R$3:R4963,'Stock - ETA'!$F$3:F4963,'Rango proyecciones'!C297,'Stock - ETA'!$AA$3:AA4963,'Rango proyecciones'!$AJ$7)</f>
        <v>0</v>
      </c>
      <c r="AA297" s="13">
        <f t="shared" si="80"/>
        <v>0</v>
      </c>
      <c r="AB297" s="7">
        <f>SUMIFS('Stock - ETA'!$I$3:I4963,'Stock - ETA'!$F$3:F4963,'Rango proyecciones'!C297,'Stock - ETA'!$Q$3:Q4963,'Rango proyecciones'!$AJ$5) + SUMIFS('Stock - ETA'!$H$3:H4963,'Stock - ETA'!$F$3:F4963,'Rango proyecciones'!C297,'Stock - ETA'!$Q$3:Q4963,'Rango proyecciones'!$AJ$7)</f>
        <v>0</v>
      </c>
      <c r="AC297" s="16">
        <f t="shared" si="81"/>
        <v>0</v>
      </c>
      <c r="AD297" s="4"/>
      <c r="AE297" s="7">
        <f>SUMIFS('Stock - ETA'!$T$3:T4963,'Stock - ETA'!$F$3:F4963,'Rango proyecciones'!C297,'Stock - ETA'!$AA$3:AA4963,'Rango proyecciones'!$AJ$5) + SUMIFS('Stock - ETA'!$S$3:S4963,'Stock - ETA'!$F$3:F4963,'Rango proyecciones'!C297,'Stock - ETA'!$AA$3:AA4963,'Rango proyecciones'!$AJ$8)</f>
        <v>84017.72</v>
      </c>
      <c r="AF297" s="16">
        <f>0.7 * AD297 + AE297</f>
        <v>84017.72</v>
      </c>
      <c r="AG297" s="7">
        <f>SUMIFS('Stock - ETA'!$J$3:J4963,'Stock - ETA'!$F$3:F4963,'Rango proyecciones'!C297,'Stock - ETA'!$Q$3:Q4963,'Rango proyecciones'!$AJ$5) + SUMIFS('Stock - ETA'!$I$3:I4963,'Stock - ETA'!$F$3:F4963,'Rango proyecciones'!C297,'Stock - ETA'!$Q$3:Q4963,'Rango proyecciones'!$AJ$8)</f>
        <v>84017.72</v>
      </c>
      <c r="AH297" s="16">
        <f>0.7 * AD297 + AG297</f>
        <v>84017.72</v>
      </c>
      <c r="AI297" s="4"/>
    </row>
    <row r="298" spans="1:35" x14ac:dyDescent="0.2">
      <c r="A298" s="2"/>
      <c r="B298" s="2" t="s">
        <v>35</v>
      </c>
      <c r="C298" s="2" t="s">
        <v>528</v>
      </c>
      <c r="D298" s="2" t="s">
        <v>386</v>
      </c>
      <c r="E298" s="2">
        <v>1030332</v>
      </c>
      <c r="F298" s="2"/>
      <c r="G298" s="2"/>
      <c r="H298" s="4">
        <v>0</v>
      </c>
      <c r="I298" s="7">
        <v>0</v>
      </c>
      <c r="J298" s="7">
        <v>0</v>
      </c>
      <c r="K298" s="7">
        <v>0</v>
      </c>
      <c r="L298" s="4">
        <f t="shared" si="86"/>
        <v>0</v>
      </c>
      <c r="M298" s="7">
        <f>SUMIFS('Stock - ETA'!$R$3:R4963,'Stock - ETA'!$F$3:F4963,'Rango proyecciones'!C298,'Stock - ETA'!$AA$3:AA4963,'Rango proyecciones'!$AJ$5)</f>
        <v>0</v>
      </c>
      <c r="N298" s="7">
        <f>SUMIF('Stock - Puerto Chile'!$G$2:G973,'Rango proyecciones'!C298,'Stock - Puerto Chile'!$L$2:L973)</f>
        <v>0</v>
      </c>
      <c r="O298" s="7">
        <v>0</v>
      </c>
      <c r="P298" s="7">
        <v>0</v>
      </c>
      <c r="Q298" s="16">
        <f t="shared" si="88"/>
        <v>0</v>
      </c>
      <c r="R298" s="7">
        <f t="shared" si="87"/>
        <v>0</v>
      </c>
      <c r="S298" s="7">
        <f>SUMIFS('Stock - ETA'!$H$3:H4963,'Stock - ETA'!$F$3:F4963,'Rango proyecciones'!C298,'Stock - ETA'!$Q$3:Q4963,'Rango proyecciones'!$AJ$5)</f>
        <v>0</v>
      </c>
      <c r="T298" s="7">
        <f>SUMIF('Stock - Puerto Chile'!$G$2:G973,'Rango proyecciones'!C298,'Stock - Puerto Chile'!$N$2:N973)</f>
        <v>0</v>
      </c>
      <c r="U298" s="7">
        <v>0</v>
      </c>
      <c r="V298" s="7">
        <v>0</v>
      </c>
      <c r="W298" s="17">
        <f t="shared" si="89"/>
        <v>0</v>
      </c>
      <c r="X298" s="4"/>
      <c r="Y298" s="7"/>
      <c r="Z298" s="18">
        <f>SUMIFS('Stock - ETA'!$S$3:S4963,'Stock - ETA'!$F$3:F4963,'Rango proyecciones'!C298,'Stock - ETA'!$AA$3:AA4963,'Rango proyecciones'!$AJ$5) + SUMIFS('Stock - ETA'!$R$3:R4963,'Stock - ETA'!$F$3:F4963,'Rango proyecciones'!C298,'Stock - ETA'!$AA$3:AA4963,'Rango proyecciones'!$AJ$7)</f>
        <v>0</v>
      </c>
      <c r="AA298" s="13">
        <f t="shared" si="80"/>
        <v>0</v>
      </c>
      <c r="AB298" s="7">
        <f>SUMIFS('Stock - ETA'!$I$3:I4963,'Stock - ETA'!$F$3:F4963,'Rango proyecciones'!C298,'Stock - ETA'!$Q$3:Q4963,'Rango proyecciones'!$AJ$5) + SUMIFS('Stock - ETA'!$H$3:H4963,'Stock - ETA'!$F$3:F4963,'Rango proyecciones'!C298,'Stock - ETA'!$Q$3:Q4963,'Rango proyecciones'!$AJ$7)</f>
        <v>0</v>
      </c>
      <c r="AC298" s="16">
        <f t="shared" si="81"/>
        <v>0</v>
      </c>
      <c r="AD298" s="4"/>
      <c r="AE298" s="7">
        <f>SUMIFS('Stock - ETA'!$T$3:T4963,'Stock - ETA'!$F$3:F4963,'Rango proyecciones'!C298,'Stock - ETA'!$AA$3:AA4963,'Rango proyecciones'!$AJ$5) + SUMIFS('Stock - ETA'!$S$3:S4963,'Stock - ETA'!$F$3:F4963,'Rango proyecciones'!C298,'Stock - ETA'!$AA$3:AA4963,'Rango proyecciones'!$AJ$8)</f>
        <v>24000</v>
      </c>
      <c r="AF298" s="16">
        <f>0.7 * AD298 + AE298</f>
        <v>24000</v>
      </c>
      <c r="AG298" s="7">
        <f>SUMIFS('Stock - ETA'!$J$3:J4963,'Stock - ETA'!$F$3:F4963,'Rango proyecciones'!C298,'Stock - ETA'!$Q$3:Q4963,'Rango proyecciones'!$AJ$5) + SUMIFS('Stock - ETA'!$I$3:I4963,'Stock - ETA'!$F$3:F4963,'Rango proyecciones'!C298,'Stock - ETA'!$Q$3:Q4963,'Rango proyecciones'!$AJ$8)</f>
        <v>24000</v>
      </c>
      <c r="AH298" s="16">
        <f>0.7 * AD298 + AG298</f>
        <v>24000</v>
      </c>
      <c r="AI298" s="4"/>
    </row>
    <row r="299" spans="1:35" x14ac:dyDescent="0.2">
      <c r="A299" s="2"/>
      <c r="B299" s="2" t="s">
        <v>35</v>
      </c>
      <c r="C299" s="2" t="s">
        <v>529</v>
      </c>
      <c r="D299" s="2" t="s">
        <v>389</v>
      </c>
      <c r="E299" s="2">
        <v>1023066</v>
      </c>
      <c r="F299" s="2"/>
      <c r="G299" s="2"/>
      <c r="H299" s="4">
        <v>0</v>
      </c>
      <c r="I299" s="7">
        <v>0</v>
      </c>
      <c r="J299" s="7"/>
      <c r="K299" s="7">
        <v>199.13</v>
      </c>
      <c r="L299" s="4">
        <f t="shared" si="86"/>
        <v>0</v>
      </c>
      <c r="M299" s="7">
        <f>SUMIFS('Stock - ETA'!$R$3:R4963,'Stock - ETA'!$F$3:F4963,'Rango proyecciones'!C299,'Stock - ETA'!$AA$3:AA4963,'Rango proyecciones'!$AJ$5)</f>
        <v>0</v>
      </c>
      <c r="N299" s="7">
        <f>SUMIF('Stock - Puerto Chile'!$G$2:G973,'Rango proyecciones'!C299,'Stock - Puerto Chile'!$L$2:L973)</f>
        <v>0</v>
      </c>
      <c r="O299" s="7">
        <v>0</v>
      </c>
      <c r="P299" s="7">
        <v>0</v>
      </c>
      <c r="Q299" s="16">
        <f t="shared" si="88"/>
        <v>0</v>
      </c>
      <c r="R299" s="7">
        <f t="shared" si="87"/>
        <v>0</v>
      </c>
      <c r="S299" s="7">
        <f>SUMIFS('Stock - ETA'!$H$3:H4963,'Stock - ETA'!$F$3:F4963,'Rango proyecciones'!C299,'Stock - ETA'!$Q$3:Q4963,'Rango proyecciones'!$AJ$5)</f>
        <v>0</v>
      </c>
      <c r="T299" s="7">
        <f>SUMIF('Stock - Puerto Chile'!$G$2:G973,'Rango proyecciones'!C299,'Stock - Puerto Chile'!$N$2:N973)</f>
        <v>0</v>
      </c>
      <c r="U299" s="7">
        <v>0</v>
      </c>
      <c r="V299" s="7">
        <v>0</v>
      </c>
      <c r="W299" s="17">
        <f t="shared" si="89"/>
        <v>0</v>
      </c>
      <c r="X299" s="4">
        <v>12000</v>
      </c>
      <c r="Y299" s="7">
        <v>12000</v>
      </c>
      <c r="Z299" s="18">
        <f>SUMIFS('Stock - ETA'!$S$3:S4963,'Stock - ETA'!$F$3:F4963,'Rango proyecciones'!C299,'Stock - ETA'!$AA$3:AA4963,'Rango proyecciones'!$AJ$5) + SUMIFS('Stock - ETA'!$R$3:R4963,'Stock - ETA'!$F$3:F4963,'Rango proyecciones'!C299,'Stock - ETA'!$AA$3:AA4963,'Rango proyecciones'!$AJ$7)</f>
        <v>23100</v>
      </c>
      <c r="AA299" s="13">
        <f t="shared" si="80"/>
        <v>35100</v>
      </c>
      <c r="AB299" s="7">
        <f>SUMIFS('Stock - ETA'!$I$3:I4963,'Stock - ETA'!$F$3:F4963,'Rango proyecciones'!C299,'Stock - ETA'!$Q$3:Q4963,'Rango proyecciones'!$AJ$5) + SUMIFS('Stock - ETA'!$H$3:H4963,'Stock - ETA'!$F$3:F4963,'Rango proyecciones'!C299,'Stock - ETA'!$Q$3:Q4963,'Rango proyecciones'!$AJ$7)</f>
        <v>23100</v>
      </c>
      <c r="AC299" s="16">
        <f t="shared" si="81"/>
        <v>35100</v>
      </c>
      <c r="AD299" s="4">
        <v>24000</v>
      </c>
      <c r="AE299" s="7">
        <f>SUMIFS('Stock - ETA'!$T$3:T4963,'Stock - ETA'!$F$3:F4963,'Rango proyecciones'!C299,'Stock - ETA'!$AA$3:AA4963,'Rango proyecciones'!$AJ$5) + SUMIFS('Stock - ETA'!$S$3:S4963,'Stock - ETA'!$F$3:F4963,'Rango proyecciones'!C299,'Stock - ETA'!$AA$3:AA4963,'Rango proyecciones'!$AJ$8)</f>
        <v>0</v>
      </c>
      <c r="AF299" s="16">
        <f>0.6 * AD299 + AE299</f>
        <v>14400</v>
      </c>
      <c r="AG299" s="7">
        <f>SUMIFS('Stock - ETA'!$J$3:J4963,'Stock - ETA'!$F$3:F4963,'Rango proyecciones'!C299,'Stock - ETA'!$Q$3:Q4963,'Rango proyecciones'!$AJ$5) + SUMIFS('Stock - ETA'!$I$3:I4963,'Stock - ETA'!$F$3:F4963,'Rango proyecciones'!C299,'Stock - ETA'!$Q$3:Q4963,'Rango proyecciones'!$AJ$8)</f>
        <v>0</v>
      </c>
      <c r="AH299" s="16">
        <f>0.6 * AD299 + AG299</f>
        <v>14400</v>
      </c>
      <c r="AI299" s="4"/>
    </row>
    <row r="300" spans="1:35" x14ac:dyDescent="0.2">
      <c r="A300" s="2"/>
      <c r="B300" s="2" t="s">
        <v>35</v>
      </c>
      <c r="C300" s="2" t="s">
        <v>530</v>
      </c>
      <c r="D300" s="2" t="s">
        <v>389</v>
      </c>
      <c r="E300" s="2">
        <v>1023291</v>
      </c>
      <c r="F300" s="2"/>
      <c r="G300" s="2"/>
      <c r="H300" s="4">
        <v>0</v>
      </c>
      <c r="I300" s="7">
        <v>0</v>
      </c>
      <c r="J300" s="7"/>
      <c r="K300" s="7">
        <v>406.39</v>
      </c>
      <c r="L300" s="4">
        <f t="shared" si="86"/>
        <v>0</v>
      </c>
      <c r="M300" s="7">
        <f>SUMIFS('Stock - ETA'!$R$3:R4963,'Stock - ETA'!$F$3:F4963,'Rango proyecciones'!C300,'Stock - ETA'!$AA$3:AA4963,'Rango proyecciones'!$AJ$5)</f>
        <v>24000</v>
      </c>
      <c r="N300" s="7">
        <f>SUMIF('Stock - Puerto Chile'!$G$2:G973,'Rango proyecciones'!C300,'Stock - Puerto Chile'!$L$2:L973)</f>
        <v>57600</v>
      </c>
      <c r="O300" s="7">
        <v>0</v>
      </c>
      <c r="P300" s="7">
        <v>0</v>
      </c>
      <c r="Q300" s="16">
        <f t="shared" si="88"/>
        <v>24000</v>
      </c>
      <c r="R300" s="7">
        <f t="shared" si="87"/>
        <v>0</v>
      </c>
      <c r="S300" s="7">
        <f>SUMIFS('Stock - ETA'!$H$3:H4963,'Stock - ETA'!$F$3:F4963,'Rango proyecciones'!C300,'Stock - ETA'!$Q$3:Q4963,'Rango proyecciones'!$AJ$5)</f>
        <v>24000</v>
      </c>
      <c r="T300" s="7">
        <f>SUMIF('Stock - Puerto Chile'!$G$2:G973,'Rango proyecciones'!C300,'Stock - Puerto Chile'!$N$2:N973)</f>
        <v>69120</v>
      </c>
      <c r="U300" s="7">
        <v>0</v>
      </c>
      <c r="V300" s="7">
        <v>0</v>
      </c>
      <c r="W300" s="17">
        <f t="shared" si="89"/>
        <v>24000</v>
      </c>
      <c r="X300" s="4"/>
      <c r="Y300" s="7"/>
      <c r="Z300" s="18">
        <f>SUMIFS('Stock - ETA'!$S$3:S4963,'Stock - ETA'!$F$3:F4963,'Rango proyecciones'!C300,'Stock - ETA'!$AA$3:AA4963,'Rango proyecciones'!$AJ$5) + SUMIFS('Stock - ETA'!$R$3:R4963,'Stock - ETA'!$F$3:F4963,'Rango proyecciones'!C300,'Stock - ETA'!$AA$3:AA4963,'Rango proyecciones'!$AJ$7)</f>
        <v>24280</v>
      </c>
      <c r="AA300" s="13">
        <f t="shared" si="80"/>
        <v>24280</v>
      </c>
      <c r="AB300" s="7">
        <f>SUMIFS('Stock - ETA'!$I$3:I4963,'Stock - ETA'!$F$3:F4963,'Rango proyecciones'!C300,'Stock - ETA'!$Q$3:Q4963,'Rango proyecciones'!$AJ$5) + SUMIFS('Stock - ETA'!$H$3:H4963,'Stock - ETA'!$F$3:F4963,'Rango proyecciones'!C300,'Stock - ETA'!$Q$3:Q4963,'Rango proyecciones'!$AJ$7)</f>
        <v>24280</v>
      </c>
      <c r="AC300" s="16">
        <f t="shared" si="81"/>
        <v>24280</v>
      </c>
      <c r="AD300" s="4"/>
      <c r="AE300" s="7">
        <f>SUMIFS('Stock - ETA'!$T$3:T4963,'Stock - ETA'!$F$3:F4963,'Rango proyecciones'!C300,'Stock - ETA'!$AA$3:AA4963,'Rango proyecciones'!$AJ$5) + SUMIFS('Stock - ETA'!$S$3:S4963,'Stock - ETA'!$F$3:F4963,'Rango proyecciones'!C300,'Stock - ETA'!$AA$3:AA4963,'Rango proyecciones'!$AJ$8)</f>
        <v>0</v>
      </c>
      <c r="AF300" s="16">
        <f>0.6 * AD300 + AE300</f>
        <v>0</v>
      </c>
      <c r="AG300" s="7">
        <f>SUMIFS('Stock - ETA'!$J$3:J4963,'Stock - ETA'!$F$3:F4963,'Rango proyecciones'!C300,'Stock - ETA'!$Q$3:Q4963,'Rango proyecciones'!$AJ$5) + SUMIFS('Stock - ETA'!$I$3:I4963,'Stock - ETA'!$F$3:F4963,'Rango proyecciones'!C300,'Stock - ETA'!$Q$3:Q4963,'Rango proyecciones'!$AJ$8)</f>
        <v>0</v>
      </c>
      <c r="AH300" s="16">
        <f>0.6 * AD300 + AG300</f>
        <v>0</v>
      </c>
      <c r="AI300" s="4"/>
    </row>
    <row r="301" spans="1:35" x14ac:dyDescent="0.2">
      <c r="A301" s="2"/>
      <c r="B301" s="2" t="s">
        <v>35</v>
      </c>
      <c r="C301" s="2" t="s">
        <v>531</v>
      </c>
      <c r="D301" s="2" t="s">
        <v>389</v>
      </c>
      <c r="E301" s="2">
        <v>1012005</v>
      </c>
      <c r="F301" s="2"/>
      <c r="G301" s="2"/>
      <c r="H301" s="4">
        <v>0</v>
      </c>
      <c r="I301" s="7">
        <v>0</v>
      </c>
      <c r="J301" s="7">
        <v>0</v>
      </c>
      <c r="K301" s="7">
        <v>0</v>
      </c>
      <c r="L301" s="4">
        <f t="shared" si="86"/>
        <v>0</v>
      </c>
      <c r="M301" s="7">
        <f>SUMIFS('Stock - ETA'!$R$3:R4963,'Stock - ETA'!$F$3:F4963,'Rango proyecciones'!C301,'Stock - ETA'!$AA$3:AA4963,'Rango proyecciones'!$AJ$5)</f>
        <v>0</v>
      </c>
      <c r="N301" s="7">
        <f>SUMIF('Stock - Puerto Chile'!$G$2:G973,'Rango proyecciones'!C301,'Stock - Puerto Chile'!$L$2:L973)</f>
        <v>0</v>
      </c>
      <c r="O301" s="7">
        <v>0</v>
      </c>
      <c r="P301" s="7">
        <v>0</v>
      </c>
      <c r="Q301" s="16">
        <f t="shared" si="88"/>
        <v>0</v>
      </c>
      <c r="R301" s="7">
        <f t="shared" si="87"/>
        <v>0</v>
      </c>
      <c r="S301" s="7">
        <f>SUMIFS('Stock - ETA'!$H$3:H4963,'Stock - ETA'!$F$3:F4963,'Rango proyecciones'!C301,'Stock - ETA'!$Q$3:Q4963,'Rango proyecciones'!$AJ$5)</f>
        <v>0</v>
      </c>
      <c r="T301" s="7">
        <f>SUMIF('Stock - Puerto Chile'!$G$2:G973,'Rango proyecciones'!C301,'Stock - Puerto Chile'!$N$2:N973)</f>
        <v>0</v>
      </c>
      <c r="U301" s="7">
        <v>0</v>
      </c>
      <c r="V301" s="7">
        <v>0</v>
      </c>
      <c r="W301" s="17">
        <f t="shared" si="89"/>
        <v>0</v>
      </c>
      <c r="X301" s="4">
        <v>8000</v>
      </c>
      <c r="Y301" s="7">
        <v>8000</v>
      </c>
      <c r="Z301" s="18">
        <f>SUMIFS('Stock - ETA'!$S$3:S4963,'Stock - ETA'!$F$3:F4963,'Rango proyecciones'!C301,'Stock - ETA'!$AA$3:AA4963,'Rango proyecciones'!$AJ$5) + SUMIFS('Stock - ETA'!$R$3:R4963,'Stock - ETA'!$F$3:F4963,'Rango proyecciones'!C301,'Stock - ETA'!$AA$3:AA4963,'Rango proyecciones'!$AJ$7)</f>
        <v>4960</v>
      </c>
      <c r="AA301" s="13">
        <f t="shared" si="80"/>
        <v>12960</v>
      </c>
      <c r="AB301" s="7">
        <f>SUMIFS('Stock - ETA'!$I$3:I4963,'Stock - ETA'!$F$3:F4963,'Rango proyecciones'!C301,'Stock - ETA'!$Q$3:Q4963,'Rango proyecciones'!$AJ$5) + SUMIFS('Stock - ETA'!$H$3:H4963,'Stock - ETA'!$F$3:F4963,'Rango proyecciones'!C301,'Stock - ETA'!$Q$3:Q4963,'Rango proyecciones'!$AJ$7)</f>
        <v>4960</v>
      </c>
      <c r="AC301" s="16">
        <f t="shared" si="81"/>
        <v>12960</v>
      </c>
      <c r="AD301" s="4"/>
      <c r="AE301" s="7">
        <f>SUMIFS('Stock - ETA'!$T$3:T4963,'Stock - ETA'!$F$3:F4963,'Rango proyecciones'!C301,'Stock - ETA'!$AA$3:AA4963,'Rango proyecciones'!$AJ$5) + SUMIFS('Stock - ETA'!$S$3:S4963,'Stock - ETA'!$F$3:F4963,'Rango proyecciones'!C301,'Stock - ETA'!$AA$3:AA4963,'Rango proyecciones'!$AJ$8)</f>
        <v>0</v>
      </c>
      <c r="AF301" s="16">
        <f>0.6 * AD301 + AE301</f>
        <v>0</v>
      </c>
      <c r="AG301" s="7">
        <f>SUMIFS('Stock - ETA'!$J$3:J4963,'Stock - ETA'!$F$3:F4963,'Rango proyecciones'!C301,'Stock - ETA'!$Q$3:Q4963,'Rango proyecciones'!$AJ$5) + SUMIFS('Stock - ETA'!$I$3:I4963,'Stock - ETA'!$F$3:F4963,'Rango proyecciones'!C301,'Stock - ETA'!$Q$3:Q4963,'Rango proyecciones'!$AJ$8)</f>
        <v>0</v>
      </c>
      <c r="AH301" s="16">
        <f>0.6 * AD301 + AG301</f>
        <v>0</v>
      </c>
      <c r="AI301" s="4"/>
    </row>
    <row r="302" spans="1:35" x14ac:dyDescent="0.2">
      <c r="A302" s="2"/>
      <c r="B302" s="2" t="s">
        <v>35</v>
      </c>
      <c r="C302" s="2" t="s">
        <v>532</v>
      </c>
      <c r="D302" s="2" t="s">
        <v>423</v>
      </c>
      <c r="E302" s="2">
        <v>1023450</v>
      </c>
      <c r="F302" s="2"/>
      <c r="G302" s="2"/>
      <c r="H302" s="4">
        <v>0</v>
      </c>
      <c r="I302" s="7">
        <v>0</v>
      </c>
      <c r="J302" s="7">
        <v>8046</v>
      </c>
      <c r="K302" s="7"/>
      <c r="L302" s="4">
        <f t="shared" si="86"/>
        <v>12069</v>
      </c>
      <c r="M302" s="7">
        <f>SUMIFS('Stock - ETA'!$R$3:R4963,'Stock - ETA'!$F$3:F4963,'Rango proyecciones'!C302,'Stock - ETA'!$AA$3:AA4963,'Rango proyecciones'!$AJ$5)</f>
        <v>72081.27</v>
      </c>
      <c r="N302" s="7">
        <f>SUMIF('Stock - Puerto Chile'!$G$2:G973,'Rango proyecciones'!C302,'Stock - Puerto Chile'!$L$2:L973)</f>
        <v>3441.3933478260865</v>
      </c>
      <c r="O302" s="7">
        <v>0</v>
      </c>
      <c r="P302" s="7">
        <v>0</v>
      </c>
      <c r="Q302" s="16">
        <f t="shared" si="88"/>
        <v>72081.27</v>
      </c>
      <c r="R302" s="7">
        <f t="shared" si="87"/>
        <v>20689.714285714286</v>
      </c>
      <c r="S302" s="7">
        <f>SUMIFS('Stock - ETA'!$H$3:H4963,'Stock - ETA'!$F$3:F4963,'Rango proyecciones'!C302,'Stock - ETA'!$Q$3:Q4963,'Rango proyecciones'!$AJ$5)</f>
        <v>72081.27</v>
      </c>
      <c r="T302" s="7">
        <f>SUMIF('Stock - Puerto Chile'!$G$2:G973,'Rango proyecciones'!C302,'Stock - Puerto Chile'!$N$2:N973)</f>
        <v>4235.5610434782602</v>
      </c>
      <c r="U302" s="7">
        <v>0</v>
      </c>
      <c r="V302" s="7">
        <v>0</v>
      </c>
      <c r="W302" s="17">
        <f t="shared" si="89"/>
        <v>72081.27</v>
      </c>
      <c r="X302" s="4">
        <v>24000</v>
      </c>
      <c r="Y302" s="7">
        <v>24000</v>
      </c>
      <c r="Z302" s="18">
        <f>SUMIFS('Stock - ETA'!$S$3:S4963,'Stock - ETA'!$F$3:F4963,'Rango proyecciones'!C302,'Stock - ETA'!$AA$3:AA4963,'Rango proyecciones'!$AJ$5) + SUMIFS('Stock - ETA'!$R$3:R4963,'Stock - ETA'!$F$3:F4963,'Rango proyecciones'!C302,'Stock - ETA'!$AA$3:AA4963,'Rango proyecciones'!$AJ$7)</f>
        <v>0</v>
      </c>
      <c r="AA302" s="13">
        <f t="shared" si="80"/>
        <v>24000</v>
      </c>
      <c r="AB302" s="7">
        <f>SUMIFS('Stock - ETA'!$I$3:I4963,'Stock - ETA'!$F$3:F4963,'Rango proyecciones'!C302,'Stock - ETA'!$Q$3:Q4963,'Rango proyecciones'!$AJ$5) + SUMIFS('Stock - ETA'!$H$3:H4963,'Stock - ETA'!$F$3:F4963,'Rango proyecciones'!C302,'Stock - ETA'!$Q$3:Q4963,'Rango proyecciones'!$AJ$7)</f>
        <v>0</v>
      </c>
      <c r="AC302" s="16">
        <f t="shared" si="81"/>
        <v>24000</v>
      </c>
      <c r="AD302" s="4">
        <v>24000</v>
      </c>
      <c r="AE302" s="7">
        <f>SUMIFS('Stock - ETA'!$T$3:T4963,'Stock - ETA'!$F$3:F4963,'Rango proyecciones'!C302,'Stock - ETA'!$AA$3:AA4963,'Rango proyecciones'!$AJ$5) + SUMIFS('Stock - ETA'!$S$3:S4963,'Stock - ETA'!$F$3:F4963,'Rango proyecciones'!C302,'Stock - ETA'!$AA$3:AA4963,'Rango proyecciones'!$AJ$8)</f>
        <v>0</v>
      </c>
      <c r="AF302" s="16">
        <f>0.8 * AD302 + AE302</f>
        <v>19200</v>
      </c>
      <c r="AG302" s="7">
        <f>SUMIFS('Stock - ETA'!$J$3:J4963,'Stock - ETA'!$F$3:F4963,'Rango proyecciones'!C302,'Stock - ETA'!$Q$3:Q4963,'Rango proyecciones'!$AJ$5) + SUMIFS('Stock - ETA'!$I$3:I4963,'Stock - ETA'!$F$3:F4963,'Rango proyecciones'!C302,'Stock - ETA'!$Q$3:Q4963,'Rango proyecciones'!$AJ$8)</f>
        <v>0</v>
      </c>
      <c r="AH302" s="16">
        <f>0.8 * AD302 + AG302</f>
        <v>19200</v>
      </c>
      <c r="AI302" s="4"/>
    </row>
    <row r="303" spans="1:35" x14ac:dyDescent="0.2">
      <c r="A303" s="2"/>
      <c r="B303" s="2" t="s">
        <v>35</v>
      </c>
      <c r="C303" s="2" t="s">
        <v>533</v>
      </c>
      <c r="D303" s="2" t="s">
        <v>423</v>
      </c>
      <c r="E303" s="2">
        <v>1011611</v>
      </c>
      <c r="F303" s="2"/>
      <c r="G303" s="2"/>
      <c r="H303" s="4">
        <v>0</v>
      </c>
      <c r="I303" s="7">
        <v>0</v>
      </c>
      <c r="J303" s="7">
        <v>0</v>
      </c>
      <c r="K303" s="7">
        <v>0</v>
      </c>
      <c r="L303" s="4">
        <f t="shared" si="86"/>
        <v>0</v>
      </c>
      <c r="M303" s="7">
        <f>SUMIFS('Stock - ETA'!$R$3:R4963,'Stock - ETA'!$F$3:F4963,'Rango proyecciones'!C303,'Stock - ETA'!$AA$3:AA4963,'Rango proyecciones'!$AJ$5)</f>
        <v>19954</v>
      </c>
      <c r="N303" s="7">
        <f>SUMIF('Stock - Puerto Chile'!$G$2:G973,'Rango proyecciones'!C303,'Stock - Puerto Chile'!$L$2:L973)</f>
        <v>0</v>
      </c>
      <c r="O303" s="7">
        <v>0</v>
      </c>
      <c r="P303" s="7">
        <v>0</v>
      </c>
      <c r="Q303" s="16">
        <f t="shared" si="88"/>
        <v>19954</v>
      </c>
      <c r="R303" s="7">
        <f t="shared" si="87"/>
        <v>0</v>
      </c>
      <c r="S303" s="7">
        <f>SUMIFS('Stock - ETA'!$H$3:H4963,'Stock - ETA'!$F$3:F4963,'Rango proyecciones'!C303,'Stock - ETA'!$Q$3:Q4963,'Rango proyecciones'!$AJ$5)</f>
        <v>19954</v>
      </c>
      <c r="T303" s="7">
        <f>SUMIF('Stock - Puerto Chile'!$G$2:G973,'Rango proyecciones'!C303,'Stock - Puerto Chile'!$N$2:N973)</f>
        <v>0</v>
      </c>
      <c r="U303" s="7">
        <v>0</v>
      </c>
      <c r="V303" s="7">
        <v>0</v>
      </c>
      <c r="W303" s="17">
        <f t="shared" si="89"/>
        <v>19954</v>
      </c>
      <c r="X303" s="4"/>
      <c r="Y303" s="7"/>
      <c r="Z303" s="18">
        <f>SUMIFS('Stock - ETA'!$S$3:S4963,'Stock - ETA'!$F$3:F4963,'Rango proyecciones'!C303,'Stock - ETA'!$AA$3:AA4963,'Rango proyecciones'!$AJ$5) + SUMIFS('Stock - ETA'!$R$3:R4963,'Stock - ETA'!$F$3:F4963,'Rango proyecciones'!C303,'Stock - ETA'!$AA$3:AA4963,'Rango proyecciones'!$AJ$7)</f>
        <v>0</v>
      </c>
      <c r="AA303" s="13">
        <f t="shared" si="80"/>
        <v>0</v>
      </c>
      <c r="AB303" s="7">
        <f>SUMIFS('Stock - ETA'!$I$3:I4963,'Stock - ETA'!$F$3:F4963,'Rango proyecciones'!C303,'Stock - ETA'!$Q$3:Q4963,'Rango proyecciones'!$AJ$5) + SUMIFS('Stock - ETA'!$H$3:H4963,'Stock - ETA'!$F$3:F4963,'Rango proyecciones'!C303,'Stock - ETA'!$Q$3:Q4963,'Rango proyecciones'!$AJ$7)</f>
        <v>0</v>
      </c>
      <c r="AC303" s="16">
        <f t="shared" si="81"/>
        <v>0</v>
      </c>
      <c r="AD303" s="4"/>
      <c r="AE303" s="7">
        <f>SUMIFS('Stock - ETA'!$T$3:T4963,'Stock - ETA'!$F$3:F4963,'Rango proyecciones'!C303,'Stock - ETA'!$AA$3:AA4963,'Rango proyecciones'!$AJ$5) + SUMIFS('Stock - ETA'!$S$3:S4963,'Stock - ETA'!$F$3:F4963,'Rango proyecciones'!C303,'Stock - ETA'!$AA$3:AA4963,'Rango proyecciones'!$AJ$8)</f>
        <v>0</v>
      </c>
      <c r="AF303" s="16">
        <f>0.8 * AD303 + AE303</f>
        <v>0</v>
      </c>
      <c r="AG303" s="7">
        <f>SUMIFS('Stock - ETA'!$J$3:J4963,'Stock - ETA'!$F$3:F4963,'Rango proyecciones'!C303,'Stock - ETA'!$Q$3:Q4963,'Rango proyecciones'!$AJ$5) + SUMIFS('Stock - ETA'!$I$3:I4963,'Stock - ETA'!$F$3:F4963,'Rango proyecciones'!C303,'Stock - ETA'!$Q$3:Q4963,'Rango proyecciones'!$AJ$8)</f>
        <v>0</v>
      </c>
      <c r="AH303" s="16">
        <f>0.8 * AD303 + AG303</f>
        <v>0</v>
      </c>
      <c r="AI303" s="4"/>
    </row>
    <row r="304" spans="1:35" x14ac:dyDescent="0.2">
      <c r="A304" s="2"/>
      <c r="B304" s="2" t="s">
        <v>35</v>
      </c>
      <c r="C304" s="2" t="s">
        <v>534</v>
      </c>
      <c r="D304" s="2" t="s">
        <v>423</v>
      </c>
      <c r="E304" s="2">
        <v>1011047</v>
      </c>
      <c r="F304" s="2"/>
      <c r="G304" s="2"/>
      <c r="H304" s="4">
        <v>0</v>
      </c>
      <c r="I304" s="7">
        <v>0</v>
      </c>
      <c r="J304" s="7">
        <v>0</v>
      </c>
      <c r="K304" s="7">
        <v>0</v>
      </c>
      <c r="L304" s="4">
        <f t="shared" si="86"/>
        <v>0</v>
      </c>
      <c r="M304" s="7">
        <f>SUMIFS('Stock - ETA'!$R$3:R4963,'Stock - ETA'!$F$3:F4963,'Rango proyecciones'!C304,'Stock - ETA'!$AA$3:AA4963,'Rango proyecciones'!$AJ$5)</f>
        <v>43200</v>
      </c>
      <c r="N304" s="7">
        <f>SUMIF('Stock - Puerto Chile'!$G$2:G973,'Rango proyecciones'!C304,'Stock - Puerto Chile'!$L$2:L973)</f>
        <v>0</v>
      </c>
      <c r="O304" s="7">
        <v>0</v>
      </c>
      <c r="P304" s="7">
        <v>0</v>
      </c>
      <c r="Q304" s="16">
        <f t="shared" si="88"/>
        <v>43200</v>
      </c>
      <c r="R304" s="7">
        <f t="shared" si="87"/>
        <v>0</v>
      </c>
      <c r="S304" s="7">
        <f>SUMIFS('Stock - ETA'!$H$3:H4963,'Stock - ETA'!$F$3:F4963,'Rango proyecciones'!C304,'Stock - ETA'!$Q$3:Q4963,'Rango proyecciones'!$AJ$5)</f>
        <v>43200</v>
      </c>
      <c r="T304" s="7">
        <f>SUMIF('Stock - Puerto Chile'!$G$2:G973,'Rango proyecciones'!C304,'Stock - Puerto Chile'!$N$2:N973)</f>
        <v>0</v>
      </c>
      <c r="U304" s="7">
        <v>0</v>
      </c>
      <c r="V304" s="7">
        <v>0</v>
      </c>
      <c r="W304" s="17">
        <f t="shared" si="89"/>
        <v>43200</v>
      </c>
      <c r="X304" s="4"/>
      <c r="Y304" s="7"/>
      <c r="Z304" s="18">
        <f>SUMIFS('Stock - ETA'!$S$3:S4963,'Stock - ETA'!$F$3:F4963,'Rango proyecciones'!C304,'Stock - ETA'!$AA$3:AA4963,'Rango proyecciones'!$AJ$5) + SUMIFS('Stock - ETA'!$R$3:R4963,'Stock - ETA'!$F$3:F4963,'Rango proyecciones'!C304,'Stock - ETA'!$AA$3:AA4963,'Rango proyecciones'!$AJ$7)</f>
        <v>0</v>
      </c>
      <c r="AA304" s="13">
        <f t="shared" si="80"/>
        <v>0</v>
      </c>
      <c r="AB304" s="7">
        <f>SUMIFS('Stock - ETA'!$I$3:I4963,'Stock - ETA'!$F$3:F4963,'Rango proyecciones'!C304,'Stock - ETA'!$Q$3:Q4963,'Rango proyecciones'!$AJ$5) + SUMIFS('Stock - ETA'!$H$3:H4963,'Stock - ETA'!$F$3:F4963,'Rango proyecciones'!C304,'Stock - ETA'!$Q$3:Q4963,'Rango proyecciones'!$AJ$7)</f>
        <v>0</v>
      </c>
      <c r="AC304" s="16">
        <f t="shared" si="81"/>
        <v>0</v>
      </c>
      <c r="AD304" s="4"/>
      <c r="AE304" s="7">
        <f>SUMIFS('Stock - ETA'!$T$3:T4963,'Stock - ETA'!$F$3:F4963,'Rango proyecciones'!C304,'Stock - ETA'!$AA$3:AA4963,'Rango proyecciones'!$AJ$5) + SUMIFS('Stock - ETA'!$S$3:S4963,'Stock - ETA'!$F$3:F4963,'Rango proyecciones'!C304,'Stock - ETA'!$AA$3:AA4963,'Rango proyecciones'!$AJ$8)</f>
        <v>0</v>
      </c>
      <c r="AF304" s="16">
        <f>0.8 * AD304 + AE304</f>
        <v>0</v>
      </c>
      <c r="AG304" s="7">
        <f>SUMIFS('Stock - ETA'!$J$3:J4963,'Stock - ETA'!$F$3:F4963,'Rango proyecciones'!C304,'Stock - ETA'!$Q$3:Q4963,'Rango proyecciones'!$AJ$5) + SUMIFS('Stock - ETA'!$I$3:I4963,'Stock - ETA'!$F$3:F4963,'Rango proyecciones'!C304,'Stock - ETA'!$Q$3:Q4963,'Rango proyecciones'!$AJ$8)</f>
        <v>0</v>
      </c>
      <c r="AH304" s="16">
        <f>0.8 * AD304 + AG304</f>
        <v>0</v>
      </c>
      <c r="AI304" s="4"/>
    </row>
    <row r="305" spans="1:35" x14ac:dyDescent="0.2">
      <c r="A305" s="2"/>
      <c r="B305" s="2" t="s">
        <v>394</v>
      </c>
      <c r="C305" s="2" t="s">
        <v>535</v>
      </c>
      <c r="D305" s="2" t="s">
        <v>485</v>
      </c>
      <c r="E305" s="2">
        <v>1030816</v>
      </c>
      <c r="F305" s="2"/>
      <c r="G305" s="2"/>
      <c r="H305" s="4">
        <v>0</v>
      </c>
      <c r="I305" s="7">
        <v>0</v>
      </c>
      <c r="J305" s="7">
        <v>0</v>
      </c>
      <c r="K305" s="7">
        <v>0</v>
      </c>
      <c r="L305" s="4">
        <f t="shared" si="86"/>
        <v>0</v>
      </c>
      <c r="M305" s="7">
        <f>SUMIF('Stock - ETA'!$F$3:F4963,'Rango proyecciones'!C305,'Stock - ETA'!$R$3:R4963)</f>
        <v>48007.6</v>
      </c>
      <c r="N305" s="7">
        <f>SUMIF('Stock - Puerto Chile'!$G$2:G973,'Rango proyecciones'!C305,'Stock - Puerto Chile'!$L$2:L973)</f>
        <v>0</v>
      </c>
      <c r="O305" s="7">
        <v>0</v>
      </c>
      <c r="P305" s="7">
        <v>0</v>
      </c>
      <c r="Q305" s="16">
        <f>H305 + M305 + N305 + L305</f>
        <v>48007.6</v>
      </c>
      <c r="R305" s="7">
        <f t="shared" si="87"/>
        <v>0</v>
      </c>
      <c r="S305" s="7">
        <f>SUMIF('Stock - ETA'!$F$3:F4963,'Rango proyecciones'!C305,'Stock - ETA'!$H$3:H4963)</f>
        <v>48007.6</v>
      </c>
      <c r="T305" s="7">
        <f>SUMIF('Stock - Puerto Chile'!$G$2:G973,'Rango proyecciones'!C305,'Stock - Puerto Chile'!$N$2:N973)</f>
        <v>0</v>
      </c>
      <c r="U305" s="7">
        <v>0</v>
      </c>
      <c r="V305" s="7">
        <v>0</v>
      </c>
      <c r="W305" s="16">
        <f>H305 + S305 + R305 + T305</f>
        <v>48007.6</v>
      </c>
      <c r="X305" s="4"/>
      <c r="Y305" s="7"/>
      <c r="Z305" s="18">
        <f>SUMIF('Stock - ETA'!$F$3:F4963,'Rango proyecciones'!C305,'Stock - ETA'!$S$3:S4963)</f>
        <v>0</v>
      </c>
      <c r="AA305" s="13">
        <f t="shared" si="80"/>
        <v>0</v>
      </c>
      <c r="AB305" s="7">
        <f>SUMIF('Stock - ETA'!$F$3:F4963,'Rango proyecciones'!C305,'Stock - ETA'!$I$3:I4963)</f>
        <v>0</v>
      </c>
      <c r="AC305" s="16">
        <f t="shared" si="81"/>
        <v>0</v>
      </c>
      <c r="AD305" s="4">
        <v>72000</v>
      </c>
      <c r="AE305" s="7">
        <f>SUMIF('Stock - ETA'!$F$3:F4963,'Rango proyecciones'!C305,'Stock - ETA'!$T$3:T4963)</f>
        <v>0</v>
      </c>
      <c r="AF305" s="16">
        <f>0.6 * AD305 + AE305</f>
        <v>43200</v>
      </c>
      <c r="AG305" s="7">
        <f>SUMIF('Stock - ETA'!$F$3:F4963,'Rango proyecciones'!C305,'Stock - ETA'!$J$3:J4963)</f>
        <v>0</v>
      </c>
      <c r="AH305" s="16">
        <f>0.6 * AD305 + AG305</f>
        <v>43200</v>
      </c>
      <c r="AI305" s="4"/>
    </row>
    <row r="306" spans="1:35" x14ac:dyDescent="0.2">
      <c r="A306" s="2"/>
      <c r="B306" s="2" t="s">
        <v>394</v>
      </c>
      <c r="C306" s="2" t="s">
        <v>536</v>
      </c>
      <c r="D306" s="2" t="s">
        <v>485</v>
      </c>
      <c r="E306" s="2">
        <v>1021078</v>
      </c>
      <c r="F306" s="2"/>
      <c r="G306" s="2"/>
      <c r="H306" s="4">
        <v>0</v>
      </c>
      <c r="I306" s="7">
        <v>0</v>
      </c>
      <c r="J306" s="7">
        <v>10734</v>
      </c>
      <c r="K306" s="7">
        <v>558.22</v>
      </c>
      <c r="L306" s="4">
        <f t="shared" si="86"/>
        <v>15263.670000000002</v>
      </c>
      <c r="M306" s="7">
        <f>SUMIF('Stock - ETA'!$F$3:F4963,'Rango proyecciones'!C306,'Stock - ETA'!$R$3:R4963)</f>
        <v>62630.61</v>
      </c>
      <c r="N306" s="7">
        <f>SUMIF('Stock - Puerto Chile'!$G$2:G973,'Rango proyecciones'!C306,'Stock - Puerto Chile'!$L$2:L973)</f>
        <v>0</v>
      </c>
      <c r="O306" s="7">
        <v>0</v>
      </c>
      <c r="P306" s="7">
        <v>0</v>
      </c>
      <c r="Q306" s="16">
        <f>H306 + M306 + N306 + L306</f>
        <v>77894.28</v>
      </c>
      <c r="R306" s="7">
        <f t="shared" si="87"/>
        <v>26166.291428571432</v>
      </c>
      <c r="S306" s="7">
        <f>SUMIF('Stock - ETA'!$F$3:F4963,'Rango proyecciones'!C306,'Stock - ETA'!$H$3:H4963)</f>
        <v>62630.61</v>
      </c>
      <c r="T306" s="7">
        <f>SUMIF('Stock - Puerto Chile'!$G$2:G973,'Rango proyecciones'!C306,'Stock - Puerto Chile'!$N$2:N973)</f>
        <v>0</v>
      </c>
      <c r="U306" s="7">
        <v>0</v>
      </c>
      <c r="V306" s="7">
        <v>0</v>
      </c>
      <c r="W306" s="16">
        <f>H306 + S306 + R306 + T306</f>
        <v>88796.901428571437</v>
      </c>
      <c r="X306" s="4"/>
      <c r="Y306" s="7"/>
      <c r="Z306" s="18">
        <f>SUMIF('Stock - ETA'!$F$3:F4963,'Rango proyecciones'!C306,'Stock - ETA'!$S$3:S4963)</f>
        <v>0</v>
      </c>
      <c r="AA306" s="13">
        <f t="shared" si="80"/>
        <v>0</v>
      </c>
      <c r="AB306" s="7">
        <f>SUMIF('Stock - ETA'!$F$3:F4963,'Rango proyecciones'!C306,'Stock - ETA'!$I$3:I4963)</f>
        <v>0</v>
      </c>
      <c r="AC306" s="16">
        <f t="shared" si="81"/>
        <v>0</v>
      </c>
      <c r="AD306" s="4"/>
      <c r="AE306" s="7">
        <f>SUMIF('Stock - ETA'!$F$3:F4963,'Rango proyecciones'!C306,'Stock - ETA'!$T$3:T4963)</f>
        <v>0</v>
      </c>
      <c r="AF306" s="16">
        <f>0.6 * AD306 + AE306</f>
        <v>0</v>
      </c>
      <c r="AG306" s="7">
        <f>SUMIF('Stock - ETA'!$F$3:F4963,'Rango proyecciones'!C306,'Stock - ETA'!$J$3:J4963)</f>
        <v>0</v>
      </c>
      <c r="AH306" s="16">
        <f>0.6 * AD306 + AG306</f>
        <v>0</v>
      </c>
      <c r="AI306" s="4"/>
    </row>
    <row r="307" spans="1:35" x14ac:dyDescent="0.2">
      <c r="A307" s="2"/>
      <c r="B307" s="2" t="s">
        <v>394</v>
      </c>
      <c r="C307" s="2" t="s">
        <v>537</v>
      </c>
      <c r="D307" s="2" t="s">
        <v>485</v>
      </c>
      <c r="E307" s="2">
        <v>1022149</v>
      </c>
      <c r="F307" s="2"/>
      <c r="G307" s="2"/>
      <c r="H307" s="4">
        <v>0</v>
      </c>
      <c r="I307" s="7">
        <v>0</v>
      </c>
      <c r="J307" s="7">
        <v>0</v>
      </c>
      <c r="K307" s="7">
        <v>0</v>
      </c>
      <c r="L307" s="4">
        <f t="shared" si="86"/>
        <v>0</v>
      </c>
      <c r="M307" s="7">
        <f>SUMIF('Stock - ETA'!$F$3:F4963,'Rango proyecciones'!C307,'Stock - ETA'!$R$3:R4963)</f>
        <v>10979.26</v>
      </c>
      <c r="N307" s="7">
        <f>SUMIF('Stock - Puerto Chile'!$G$2:G973,'Rango proyecciones'!C307,'Stock - Puerto Chile'!$L$2:L973)</f>
        <v>49900.070399999997</v>
      </c>
      <c r="O307" s="7">
        <v>0</v>
      </c>
      <c r="P307" s="7">
        <v>0</v>
      </c>
      <c r="Q307" s="16">
        <f>H307 + M307 + N307 + L307</f>
        <v>60879.330399999999</v>
      </c>
      <c r="R307" s="7">
        <f t="shared" si="87"/>
        <v>0</v>
      </c>
      <c r="S307" s="7">
        <f>SUMIF('Stock - ETA'!$F$3:F4963,'Rango proyecciones'!C307,'Stock - ETA'!$H$3:H4963)</f>
        <v>10979.26</v>
      </c>
      <c r="T307" s="7">
        <f>SUMIF('Stock - Puerto Chile'!$G$2:G973,'Rango proyecciones'!C307,'Stock - Puerto Chile'!$N$2:N973)</f>
        <v>59880.084479999998</v>
      </c>
      <c r="U307" s="7">
        <v>0</v>
      </c>
      <c r="V307" s="7">
        <v>0</v>
      </c>
      <c r="W307" s="16">
        <f>H307 + S307 + R307 + T307</f>
        <v>70859.34448</v>
      </c>
      <c r="X307" s="4">
        <v>95901</v>
      </c>
      <c r="Y307" s="7">
        <v>95901</v>
      </c>
      <c r="Z307" s="18">
        <f>SUMIF('Stock - ETA'!$F$3:F4963,'Rango proyecciones'!C307,'Stock - ETA'!$S$3:S4963)</f>
        <v>0</v>
      </c>
      <c r="AA307" s="13">
        <f t="shared" si="80"/>
        <v>95901</v>
      </c>
      <c r="AB307" s="7">
        <f>SUMIF('Stock - ETA'!$F$3:F4963,'Rango proyecciones'!C307,'Stock - ETA'!$I$3:I4963)</f>
        <v>0</v>
      </c>
      <c r="AC307" s="16">
        <f t="shared" si="81"/>
        <v>95901</v>
      </c>
      <c r="AD307" s="4">
        <v>93957</v>
      </c>
      <c r="AE307" s="7">
        <f>SUMIF('Stock - ETA'!$F$3:F4963,'Rango proyecciones'!C307,'Stock - ETA'!$T$3:T4963)</f>
        <v>0</v>
      </c>
      <c r="AF307" s="16">
        <f>0.6 * AD307 + AE307</f>
        <v>56374.2</v>
      </c>
      <c r="AG307" s="7">
        <f>SUMIF('Stock - ETA'!$F$3:F4963,'Rango proyecciones'!C307,'Stock - ETA'!$J$3:J4963)</f>
        <v>0</v>
      </c>
      <c r="AH307" s="16">
        <f>0.6 * AD307 + AG307</f>
        <v>56374.2</v>
      </c>
      <c r="AI307" s="4"/>
    </row>
    <row r="308" spans="1:35" x14ac:dyDescent="0.2">
      <c r="A308" s="2"/>
      <c r="B308" s="2" t="s">
        <v>35</v>
      </c>
      <c r="C308" s="2" t="s">
        <v>538</v>
      </c>
      <c r="D308" s="2" t="s">
        <v>386</v>
      </c>
      <c r="E308" s="2">
        <v>1022304</v>
      </c>
      <c r="F308" s="2"/>
      <c r="G308" s="2"/>
      <c r="H308" s="4">
        <v>0</v>
      </c>
      <c r="I308" s="7">
        <v>0</v>
      </c>
      <c r="J308" s="7">
        <v>2241</v>
      </c>
      <c r="K308" s="7">
        <v>152.27000000000001</v>
      </c>
      <c r="L308" s="4">
        <f t="shared" si="86"/>
        <v>3133.0950000000003</v>
      </c>
      <c r="M308" s="7">
        <f>SUMIFS('Stock - ETA'!$R$3:R4963,'Stock - ETA'!$F$3:F4963,'Rango proyecciones'!C308,'Stock - ETA'!$AA$3:AA4963,'Rango proyecciones'!$AJ$5)</f>
        <v>27570.799999999999</v>
      </c>
      <c r="N308" s="7">
        <f>SUMIF('Stock - Puerto Chile'!$G$2:G973,'Rango proyecciones'!C308,'Stock - Puerto Chile'!$L$2:L973)</f>
        <v>0</v>
      </c>
      <c r="O308" s="7">
        <v>0</v>
      </c>
      <c r="P308" s="7">
        <v>0</v>
      </c>
      <c r="Q308" s="16">
        <f>H308 + P308 + M308</f>
        <v>27570.799999999999</v>
      </c>
      <c r="R308" s="7">
        <f t="shared" si="87"/>
        <v>5371.02</v>
      </c>
      <c r="S308" s="7">
        <f>SUMIFS('Stock - ETA'!$H$3:H4963,'Stock - ETA'!$F$3:F4963,'Rango proyecciones'!C308,'Stock - ETA'!$Q$3:Q4963,'Rango proyecciones'!$AJ$5)</f>
        <v>27570.799999999999</v>
      </c>
      <c r="T308" s="7">
        <f>SUMIF('Stock - Puerto Chile'!$G$2:G973,'Rango proyecciones'!C308,'Stock - Puerto Chile'!$N$2:N973)</f>
        <v>0</v>
      </c>
      <c r="U308" s="7">
        <v>0</v>
      </c>
      <c r="V308" s="7">
        <v>0</v>
      </c>
      <c r="W308" s="17">
        <f>H308 + V308 + S308 + U308</f>
        <v>27570.799999999999</v>
      </c>
      <c r="X308" s="4">
        <v>15661</v>
      </c>
      <c r="Y308" s="7">
        <v>15661</v>
      </c>
      <c r="Z308" s="18">
        <f>SUMIFS('Stock - ETA'!$S$3:S4963,'Stock - ETA'!$F$3:F4963,'Rango proyecciones'!C308,'Stock - ETA'!$AA$3:AA4963,'Rango proyecciones'!$AJ$5) + SUMIFS('Stock - ETA'!$R$3:R4963,'Stock - ETA'!$F$3:F4963,'Rango proyecciones'!C308,'Stock - ETA'!$AA$3:AA4963,'Rango proyecciones'!$AJ$7)</f>
        <v>0</v>
      </c>
      <c r="AA308" s="13">
        <f t="shared" si="80"/>
        <v>15661</v>
      </c>
      <c r="AB308" s="7">
        <f>SUMIFS('Stock - ETA'!$I$3:I4963,'Stock - ETA'!$F$3:F4963,'Rango proyecciones'!C308,'Stock - ETA'!$Q$3:Q4963,'Rango proyecciones'!$AJ$5) + SUMIFS('Stock - ETA'!$H$3:H4963,'Stock - ETA'!$F$3:F4963,'Rango proyecciones'!C308,'Stock - ETA'!$Q$3:Q4963,'Rango proyecciones'!$AJ$7)</f>
        <v>0</v>
      </c>
      <c r="AC308" s="16">
        <f t="shared" si="81"/>
        <v>15661</v>
      </c>
      <c r="AD308" s="4">
        <v>16359</v>
      </c>
      <c r="AE308" s="7">
        <f>SUMIFS('Stock - ETA'!$T$3:T4963,'Stock - ETA'!$F$3:F4963,'Rango proyecciones'!C308,'Stock - ETA'!$AA$3:AA4963,'Rango proyecciones'!$AJ$5) + SUMIFS('Stock - ETA'!$S$3:S4963,'Stock - ETA'!$F$3:F4963,'Rango proyecciones'!C308,'Stock - ETA'!$AA$3:AA4963,'Rango proyecciones'!$AJ$8)</f>
        <v>0</v>
      </c>
      <c r="AF308" s="16">
        <f>0.7 * AD308 + AE308</f>
        <v>11451.3</v>
      </c>
      <c r="AG308" s="7">
        <f>SUMIFS('Stock - ETA'!$J$3:J4963,'Stock - ETA'!$F$3:F4963,'Rango proyecciones'!C308,'Stock - ETA'!$Q$3:Q4963,'Rango proyecciones'!$AJ$5) + SUMIFS('Stock - ETA'!$I$3:I4963,'Stock - ETA'!$F$3:F4963,'Rango proyecciones'!C308,'Stock - ETA'!$Q$3:Q4963,'Rango proyecciones'!$AJ$8)</f>
        <v>0</v>
      </c>
      <c r="AH308" s="16">
        <f>0.7 * AD308 + AG308</f>
        <v>11451.3</v>
      </c>
      <c r="AI308" s="4"/>
    </row>
    <row r="309" spans="1:35" x14ac:dyDescent="0.2">
      <c r="A309" s="2"/>
      <c r="B309" s="2" t="s">
        <v>35</v>
      </c>
      <c r="C309" s="2" t="s">
        <v>539</v>
      </c>
      <c r="D309" s="2" t="s">
        <v>386</v>
      </c>
      <c r="E309" s="2">
        <v>1023422</v>
      </c>
      <c r="F309" s="2"/>
      <c r="G309" s="2"/>
      <c r="H309" s="4">
        <v>0</v>
      </c>
      <c r="I309" s="7">
        <v>0</v>
      </c>
      <c r="J309" s="7">
        <v>0</v>
      </c>
      <c r="K309" s="7">
        <v>0</v>
      </c>
      <c r="L309" s="4">
        <f t="shared" si="86"/>
        <v>0</v>
      </c>
      <c r="M309" s="7">
        <f>SUMIFS('Stock - ETA'!$R$3:R4963,'Stock - ETA'!$F$3:F4963,'Rango proyecciones'!C309,'Stock - ETA'!$AA$3:AA4963,'Rango proyecciones'!$AJ$5)</f>
        <v>0</v>
      </c>
      <c r="N309" s="7">
        <f>SUMIF('Stock - Puerto Chile'!$G$2:G973,'Rango proyecciones'!C309,'Stock - Puerto Chile'!$L$2:L973)</f>
        <v>0</v>
      </c>
      <c r="O309" s="7">
        <v>0</v>
      </c>
      <c r="P309" s="7">
        <v>0</v>
      </c>
      <c r="Q309" s="16">
        <f>H309 + P309 + M309</f>
        <v>0</v>
      </c>
      <c r="R309" s="7">
        <f t="shared" si="87"/>
        <v>0</v>
      </c>
      <c r="S309" s="7">
        <f>SUMIFS('Stock - ETA'!$H$3:H4963,'Stock - ETA'!$F$3:F4963,'Rango proyecciones'!C309,'Stock - ETA'!$Q$3:Q4963,'Rango proyecciones'!$AJ$5)</f>
        <v>0</v>
      </c>
      <c r="T309" s="7">
        <f>SUMIF('Stock - Puerto Chile'!$G$2:G973,'Rango proyecciones'!C309,'Stock - Puerto Chile'!$N$2:N973)</f>
        <v>0</v>
      </c>
      <c r="U309" s="7">
        <v>0</v>
      </c>
      <c r="V309" s="7">
        <v>0</v>
      </c>
      <c r="W309" s="17">
        <f>H309 + V309 + S309 + U309</f>
        <v>0</v>
      </c>
      <c r="X309" s="4"/>
      <c r="Y309" s="7"/>
      <c r="Z309" s="18">
        <f>SUMIFS('Stock - ETA'!$S$3:S4963,'Stock - ETA'!$F$3:F4963,'Rango proyecciones'!C309,'Stock - ETA'!$AA$3:AA4963,'Rango proyecciones'!$AJ$5) + SUMIFS('Stock - ETA'!$R$3:R4963,'Stock - ETA'!$F$3:F4963,'Rango proyecciones'!C309,'Stock - ETA'!$AA$3:AA4963,'Rango proyecciones'!$AJ$7)</f>
        <v>15498.81818</v>
      </c>
      <c r="AA309" s="13">
        <f t="shared" si="80"/>
        <v>15498.81818</v>
      </c>
      <c r="AB309" s="7">
        <f>SUMIFS('Stock - ETA'!$I$3:I4963,'Stock - ETA'!$F$3:F4963,'Rango proyecciones'!C309,'Stock - ETA'!$Q$3:Q4963,'Rango proyecciones'!$AJ$5) + SUMIFS('Stock - ETA'!$H$3:H4963,'Stock - ETA'!$F$3:F4963,'Rango proyecciones'!C309,'Stock - ETA'!$Q$3:Q4963,'Rango proyecciones'!$AJ$7)</f>
        <v>15498.81818</v>
      </c>
      <c r="AC309" s="16">
        <f t="shared" si="81"/>
        <v>15498.81818</v>
      </c>
      <c r="AD309" s="4"/>
      <c r="AE309" s="7">
        <f>SUMIFS('Stock - ETA'!$T$3:T4963,'Stock - ETA'!$F$3:F4963,'Rango proyecciones'!C309,'Stock - ETA'!$AA$3:AA4963,'Rango proyecciones'!$AJ$5) + SUMIFS('Stock - ETA'!$S$3:S4963,'Stock - ETA'!$F$3:F4963,'Rango proyecciones'!C309,'Stock - ETA'!$AA$3:AA4963,'Rango proyecciones'!$AJ$8)</f>
        <v>0</v>
      </c>
      <c r="AF309" s="16">
        <f>0.7 * AD309 + AE309</f>
        <v>0</v>
      </c>
      <c r="AG309" s="7">
        <f>SUMIFS('Stock - ETA'!$J$3:J4963,'Stock - ETA'!$F$3:F4963,'Rango proyecciones'!C309,'Stock - ETA'!$Q$3:Q4963,'Rango proyecciones'!$AJ$5) + SUMIFS('Stock - ETA'!$I$3:I4963,'Stock - ETA'!$F$3:F4963,'Rango proyecciones'!C309,'Stock - ETA'!$Q$3:Q4963,'Rango proyecciones'!$AJ$8)</f>
        <v>0</v>
      </c>
      <c r="AH309" s="16">
        <f>0.7 * AD309 + AG309</f>
        <v>0</v>
      </c>
      <c r="AI309" s="4"/>
    </row>
    <row r="310" spans="1:35" x14ac:dyDescent="0.2">
      <c r="A310" s="2"/>
      <c r="B310" s="2" t="s">
        <v>35</v>
      </c>
      <c r="C310" s="2" t="s">
        <v>540</v>
      </c>
      <c r="D310" s="2" t="s">
        <v>386</v>
      </c>
      <c r="E310" s="2">
        <v>1011906</v>
      </c>
      <c r="F310" s="2"/>
      <c r="G310" s="2"/>
      <c r="H310" s="4">
        <v>0</v>
      </c>
      <c r="I310" s="7">
        <v>0</v>
      </c>
      <c r="J310" s="7">
        <v>0</v>
      </c>
      <c r="K310" s="7">
        <v>0</v>
      </c>
      <c r="L310" s="4">
        <f t="shared" si="86"/>
        <v>0</v>
      </c>
      <c r="M310" s="7">
        <f>SUMIFS('Stock - ETA'!$R$3:R4963,'Stock - ETA'!$F$3:F4963,'Rango proyecciones'!C310,'Stock - ETA'!$AA$3:AA4963,'Rango proyecciones'!$AJ$5)</f>
        <v>21000</v>
      </c>
      <c r="N310" s="7">
        <f>SUMIF('Stock - Puerto Chile'!$G$2:G973,'Rango proyecciones'!C310,'Stock - Puerto Chile'!$L$2:L973)</f>
        <v>0</v>
      </c>
      <c r="O310" s="7">
        <v>0</v>
      </c>
      <c r="P310" s="7">
        <v>0</v>
      </c>
      <c r="Q310" s="16">
        <f>H310 + P310 + M310</f>
        <v>21000</v>
      </c>
      <c r="R310" s="7">
        <f t="shared" si="87"/>
        <v>0</v>
      </c>
      <c r="S310" s="7">
        <f>SUMIFS('Stock - ETA'!$H$3:H4963,'Stock - ETA'!$F$3:F4963,'Rango proyecciones'!C310,'Stock - ETA'!$Q$3:Q4963,'Rango proyecciones'!$AJ$5)</f>
        <v>21000</v>
      </c>
      <c r="T310" s="7">
        <f>SUMIF('Stock - Puerto Chile'!$G$2:G973,'Rango proyecciones'!C310,'Stock - Puerto Chile'!$N$2:N973)</f>
        <v>0</v>
      </c>
      <c r="U310" s="7">
        <v>0</v>
      </c>
      <c r="V310" s="7">
        <v>0</v>
      </c>
      <c r="W310" s="17">
        <f>H310 + V310 + S310 + U310</f>
        <v>21000</v>
      </c>
      <c r="X310" s="4"/>
      <c r="Y310" s="7"/>
      <c r="Z310" s="18">
        <f>SUMIFS('Stock - ETA'!$S$3:S4963,'Stock - ETA'!$F$3:F4963,'Rango proyecciones'!C310,'Stock - ETA'!$AA$3:AA4963,'Rango proyecciones'!$AJ$5) + SUMIFS('Stock - ETA'!$R$3:R4963,'Stock - ETA'!$F$3:F4963,'Rango proyecciones'!C310,'Stock - ETA'!$AA$3:AA4963,'Rango proyecciones'!$AJ$7)</f>
        <v>0</v>
      </c>
      <c r="AA310" s="13">
        <f t="shared" si="80"/>
        <v>0</v>
      </c>
      <c r="AB310" s="7">
        <f>SUMIFS('Stock - ETA'!$I$3:I4963,'Stock - ETA'!$F$3:F4963,'Rango proyecciones'!C310,'Stock - ETA'!$Q$3:Q4963,'Rango proyecciones'!$AJ$5) + SUMIFS('Stock - ETA'!$H$3:H4963,'Stock - ETA'!$F$3:F4963,'Rango proyecciones'!C310,'Stock - ETA'!$Q$3:Q4963,'Rango proyecciones'!$AJ$7)</f>
        <v>0</v>
      </c>
      <c r="AC310" s="16">
        <f t="shared" si="81"/>
        <v>0</v>
      </c>
      <c r="AD310" s="4"/>
      <c r="AE310" s="7">
        <f>SUMIFS('Stock - ETA'!$T$3:T4963,'Stock - ETA'!$F$3:F4963,'Rango proyecciones'!C310,'Stock - ETA'!$AA$3:AA4963,'Rango proyecciones'!$AJ$5) + SUMIFS('Stock - ETA'!$S$3:S4963,'Stock - ETA'!$F$3:F4963,'Rango proyecciones'!C310,'Stock - ETA'!$AA$3:AA4963,'Rango proyecciones'!$AJ$8)</f>
        <v>0</v>
      </c>
      <c r="AF310" s="16">
        <f>0.7 * AD310 + AE310</f>
        <v>0</v>
      </c>
      <c r="AG310" s="7">
        <f>SUMIFS('Stock - ETA'!$J$3:J4963,'Stock - ETA'!$F$3:F4963,'Rango proyecciones'!C310,'Stock - ETA'!$Q$3:Q4963,'Rango proyecciones'!$AJ$5) + SUMIFS('Stock - ETA'!$I$3:I4963,'Stock - ETA'!$F$3:F4963,'Rango proyecciones'!C310,'Stock - ETA'!$Q$3:Q4963,'Rango proyecciones'!$AJ$8)</f>
        <v>0</v>
      </c>
      <c r="AH310" s="16">
        <f>0.7 * AD310 + AG310</f>
        <v>0</v>
      </c>
      <c r="AI310" s="4"/>
    </row>
    <row r="311" spans="1:35" x14ac:dyDescent="0.2">
      <c r="A311" s="2"/>
      <c r="B311" s="2" t="s">
        <v>394</v>
      </c>
      <c r="C311" s="2" t="s">
        <v>541</v>
      </c>
      <c r="D311" s="2" t="s">
        <v>396</v>
      </c>
      <c r="E311" s="2">
        <v>1022985</v>
      </c>
      <c r="F311" s="2"/>
      <c r="G311" s="2"/>
      <c r="H311" s="4">
        <v>0</v>
      </c>
      <c r="I311" s="7">
        <v>0</v>
      </c>
      <c r="J311" s="7">
        <v>0</v>
      </c>
      <c r="K311" s="7">
        <v>0</v>
      </c>
      <c r="L311" s="4">
        <f t="shared" si="86"/>
        <v>0</v>
      </c>
      <c r="M311" s="7">
        <f>SUMIF('Stock - ETA'!$F$3:F4963,'Rango proyecciones'!C311,'Stock - ETA'!$R$3:R4963)</f>
        <v>4947.0600000000004</v>
      </c>
      <c r="N311" s="7">
        <f>SUMIF('Stock - Puerto Chile'!$G$2:G973,'Rango proyecciones'!C311,'Stock - Puerto Chile'!$L$2:L973)</f>
        <v>0</v>
      </c>
      <c r="O311" s="7">
        <v>0</v>
      </c>
      <c r="P311" s="7">
        <v>0</v>
      </c>
      <c r="Q311" s="16">
        <f>H311 + M311 + N311 + L311</f>
        <v>4947.0600000000004</v>
      </c>
      <c r="R311" s="7">
        <f t="shared" si="87"/>
        <v>0</v>
      </c>
      <c r="S311" s="7">
        <f>SUMIF('Stock - ETA'!$F$3:F4963,'Rango proyecciones'!C311,'Stock - ETA'!$H$3:H4963)</f>
        <v>4947.0600000000004</v>
      </c>
      <c r="T311" s="7">
        <f>SUMIF('Stock - Puerto Chile'!$G$2:G973,'Rango proyecciones'!C311,'Stock - Puerto Chile'!$N$2:N973)</f>
        <v>0</v>
      </c>
      <c r="U311" s="7">
        <v>0</v>
      </c>
      <c r="V311" s="7">
        <v>0</v>
      </c>
      <c r="W311" s="16">
        <f>H311 + S311 + R311 + T311</f>
        <v>4947.0600000000004</v>
      </c>
      <c r="X311" s="4"/>
      <c r="Y311" s="7"/>
      <c r="Z311" s="18">
        <f>SUMIF('Stock - ETA'!$F$3:F4963,'Rango proyecciones'!C311,'Stock - ETA'!$S$3:S4963)</f>
        <v>0</v>
      </c>
      <c r="AA311" s="13">
        <f t="shared" si="80"/>
        <v>0</v>
      </c>
      <c r="AB311" s="7">
        <f>SUMIF('Stock - ETA'!$F$3:F4963,'Rango proyecciones'!C311,'Stock - ETA'!$I$3:I4963)</f>
        <v>0</v>
      </c>
      <c r="AC311" s="16">
        <f t="shared" si="81"/>
        <v>0</v>
      </c>
      <c r="AD311" s="4">
        <v>5000</v>
      </c>
      <c r="AE311" s="7">
        <f>SUMIF('Stock - ETA'!$F$3:F4963,'Rango proyecciones'!C311,'Stock - ETA'!$T$3:T4963)</f>
        <v>0</v>
      </c>
      <c r="AF311" s="16">
        <f>0.7 * AD311 + AE311</f>
        <v>3500</v>
      </c>
      <c r="AG311" s="7">
        <f>SUMIF('Stock - ETA'!$F$3:F4963,'Rango proyecciones'!C311,'Stock - ETA'!$J$3:J4963)</f>
        <v>0</v>
      </c>
      <c r="AH311" s="16">
        <f>0.7 * AD311 + AG311</f>
        <v>3500</v>
      </c>
      <c r="AI311" s="4"/>
    </row>
    <row r="312" spans="1:35" x14ac:dyDescent="0.2">
      <c r="A312" s="2"/>
      <c r="B312" s="2" t="s">
        <v>394</v>
      </c>
      <c r="C312" s="2" t="s">
        <v>542</v>
      </c>
      <c r="D312" s="2" t="s">
        <v>485</v>
      </c>
      <c r="E312" s="2">
        <v>1022786</v>
      </c>
      <c r="F312" s="2"/>
      <c r="G312" s="2"/>
      <c r="H312" s="4">
        <v>0</v>
      </c>
      <c r="I312" s="7">
        <v>0</v>
      </c>
      <c r="J312" s="7">
        <v>0</v>
      </c>
      <c r="K312" s="7">
        <v>0</v>
      </c>
      <c r="L312" s="4">
        <f t="shared" si="86"/>
        <v>0</v>
      </c>
      <c r="M312" s="7">
        <f>SUMIF('Stock - ETA'!$F$3:F4963,'Rango proyecciones'!C312,'Stock - ETA'!$R$3:R4963)</f>
        <v>13988.18182</v>
      </c>
      <c r="N312" s="7">
        <f>SUMIF('Stock - Puerto Chile'!$G$2:G973,'Rango proyecciones'!C312,'Stock - Puerto Chile'!$L$2:L973)</f>
        <v>0</v>
      </c>
      <c r="O312" s="7">
        <v>0</v>
      </c>
      <c r="P312" s="7">
        <v>0</v>
      </c>
      <c r="Q312" s="16">
        <f>H312 + M312 + N312 + L312</f>
        <v>13988.18182</v>
      </c>
      <c r="R312" s="7">
        <f t="shared" si="87"/>
        <v>0</v>
      </c>
      <c r="S312" s="7">
        <f>SUMIF('Stock - ETA'!$F$3:F4963,'Rango proyecciones'!C312,'Stock - ETA'!$H$3:H4963)</f>
        <v>13988.18182</v>
      </c>
      <c r="T312" s="7">
        <f>SUMIF('Stock - Puerto Chile'!$G$2:G973,'Rango proyecciones'!C312,'Stock - Puerto Chile'!$N$2:N973)</f>
        <v>0</v>
      </c>
      <c r="U312" s="7">
        <v>0</v>
      </c>
      <c r="V312" s="7">
        <v>0</v>
      </c>
      <c r="W312" s="16">
        <f>H312 + S312 + R312 + T312</f>
        <v>13988.18182</v>
      </c>
      <c r="X312" s="4">
        <v>13200</v>
      </c>
      <c r="Y312" s="7">
        <v>13200</v>
      </c>
      <c r="Z312" s="18">
        <f>SUMIF('Stock - ETA'!$F$3:F4963,'Rango proyecciones'!C312,'Stock - ETA'!$S$3:S4963)</f>
        <v>0</v>
      </c>
      <c r="AA312" s="13">
        <f t="shared" si="80"/>
        <v>13200</v>
      </c>
      <c r="AB312" s="7">
        <f>SUMIF('Stock - ETA'!$F$3:F4963,'Rango proyecciones'!C312,'Stock - ETA'!$I$3:I4963)</f>
        <v>0</v>
      </c>
      <c r="AC312" s="16">
        <f t="shared" si="81"/>
        <v>13200</v>
      </c>
      <c r="AD312" s="4">
        <v>13200</v>
      </c>
      <c r="AE312" s="7">
        <f>SUMIF('Stock - ETA'!$F$3:F4963,'Rango proyecciones'!C312,'Stock - ETA'!$T$3:T4963)</f>
        <v>0</v>
      </c>
      <c r="AF312" s="16">
        <f>0.6 * AD312 + AE312</f>
        <v>7920</v>
      </c>
      <c r="AG312" s="7">
        <f>SUMIF('Stock - ETA'!$F$3:F4963,'Rango proyecciones'!C312,'Stock - ETA'!$J$3:J4963)</f>
        <v>0</v>
      </c>
      <c r="AH312" s="16">
        <f>0.6 * AD312 + AG312</f>
        <v>7920</v>
      </c>
      <c r="AI312" s="4"/>
    </row>
    <row r="313" spans="1:35" x14ac:dyDescent="0.2">
      <c r="A313" s="2"/>
      <c r="B313" s="2" t="s">
        <v>35</v>
      </c>
      <c r="C313" s="2" t="s">
        <v>543</v>
      </c>
      <c r="D313" s="2" t="s">
        <v>386</v>
      </c>
      <c r="E313" s="2">
        <v>1011749</v>
      </c>
      <c r="F313" s="2"/>
      <c r="G313" s="2"/>
      <c r="H313" s="4">
        <v>0</v>
      </c>
      <c r="I313" s="7">
        <v>0</v>
      </c>
      <c r="J313" s="7">
        <v>0</v>
      </c>
      <c r="K313" s="7">
        <v>0</v>
      </c>
      <c r="L313" s="4">
        <f t="shared" si="86"/>
        <v>0</v>
      </c>
      <c r="M313" s="7">
        <f>SUMIFS('Stock - ETA'!$R$3:R4963,'Stock - ETA'!$F$3:F4963,'Rango proyecciones'!C313,'Stock - ETA'!$AA$3:AA4963,'Rango proyecciones'!$AJ$5)</f>
        <v>64800</v>
      </c>
      <c r="N313" s="7">
        <f>SUMIF('Stock - Puerto Chile'!$G$2:G973,'Rango proyecciones'!C313,'Stock - Puerto Chile'!$L$2:L973)</f>
        <v>0</v>
      </c>
      <c r="O313" s="7">
        <v>0</v>
      </c>
      <c r="P313" s="7">
        <v>0</v>
      </c>
      <c r="Q313" s="16">
        <f>H313 + P313 + M313</f>
        <v>64800</v>
      </c>
      <c r="R313" s="7">
        <f t="shared" si="87"/>
        <v>0</v>
      </c>
      <c r="S313" s="7">
        <f>SUMIFS('Stock - ETA'!$H$3:H4963,'Stock - ETA'!$F$3:F4963,'Rango proyecciones'!C313,'Stock - ETA'!$Q$3:Q4963,'Rango proyecciones'!$AJ$5)</f>
        <v>64800</v>
      </c>
      <c r="T313" s="7">
        <f>SUMIF('Stock - Puerto Chile'!$G$2:G973,'Rango proyecciones'!C313,'Stock - Puerto Chile'!$N$2:N973)</f>
        <v>0</v>
      </c>
      <c r="U313" s="7">
        <v>0</v>
      </c>
      <c r="V313" s="7">
        <v>0</v>
      </c>
      <c r="W313" s="17">
        <f>H313 + V313 + S313 + U313</f>
        <v>64800</v>
      </c>
      <c r="X313" s="4"/>
      <c r="Y313" s="7"/>
      <c r="Z313" s="18">
        <f>SUMIFS('Stock - ETA'!$S$3:S4963,'Stock - ETA'!$F$3:F4963,'Rango proyecciones'!C313,'Stock - ETA'!$AA$3:AA4963,'Rango proyecciones'!$AJ$5) + SUMIFS('Stock - ETA'!$R$3:R4963,'Stock - ETA'!$F$3:F4963,'Rango proyecciones'!C313,'Stock - ETA'!$AA$3:AA4963,'Rango proyecciones'!$AJ$7)</f>
        <v>0</v>
      </c>
      <c r="AA313" s="13">
        <f t="shared" si="80"/>
        <v>0</v>
      </c>
      <c r="AB313" s="7">
        <f>SUMIFS('Stock - ETA'!$I$3:I4963,'Stock - ETA'!$F$3:F4963,'Rango proyecciones'!C313,'Stock - ETA'!$Q$3:Q4963,'Rango proyecciones'!$AJ$5) + SUMIFS('Stock - ETA'!$H$3:H4963,'Stock - ETA'!$F$3:F4963,'Rango proyecciones'!C313,'Stock - ETA'!$Q$3:Q4963,'Rango proyecciones'!$AJ$7)</f>
        <v>0</v>
      </c>
      <c r="AC313" s="16">
        <f t="shared" si="81"/>
        <v>0</v>
      </c>
      <c r="AD313" s="4"/>
      <c r="AE313" s="7">
        <f>SUMIFS('Stock - ETA'!$T$3:T4963,'Stock - ETA'!$F$3:F4963,'Rango proyecciones'!C313,'Stock - ETA'!$AA$3:AA4963,'Rango proyecciones'!$AJ$5) + SUMIFS('Stock - ETA'!$S$3:S4963,'Stock - ETA'!$F$3:F4963,'Rango proyecciones'!C313,'Stock - ETA'!$AA$3:AA4963,'Rango proyecciones'!$AJ$8)</f>
        <v>0</v>
      </c>
      <c r="AF313" s="16">
        <f>0.7 * AD313 + AE313</f>
        <v>0</v>
      </c>
      <c r="AG313" s="7">
        <f>SUMIFS('Stock - ETA'!$J$3:J4963,'Stock - ETA'!$F$3:F4963,'Rango proyecciones'!C313,'Stock - ETA'!$Q$3:Q4963,'Rango proyecciones'!$AJ$5) + SUMIFS('Stock - ETA'!$I$3:I4963,'Stock - ETA'!$F$3:F4963,'Rango proyecciones'!C313,'Stock - ETA'!$Q$3:Q4963,'Rango proyecciones'!$AJ$8)</f>
        <v>0</v>
      </c>
      <c r="AH313" s="16">
        <f>0.7 * AD313 + AG313</f>
        <v>0</v>
      </c>
      <c r="AI313" s="4"/>
    </row>
    <row r="314" spans="1:35" x14ac:dyDescent="0.2">
      <c r="A314" s="2"/>
      <c r="B314" s="2" t="s">
        <v>35</v>
      </c>
      <c r="C314" s="2" t="s">
        <v>544</v>
      </c>
      <c r="D314" s="2" t="s">
        <v>386</v>
      </c>
      <c r="E314" s="2">
        <v>1030711</v>
      </c>
      <c r="F314" s="2"/>
      <c r="G314" s="2"/>
      <c r="H314" s="4">
        <v>0</v>
      </c>
      <c r="I314" s="7">
        <v>0</v>
      </c>
      <c r="J314" s="7">
        <v>2157</v>
      </c>
      <c r="K314" s="7"/>
      <c r="L314" s="4">
        <f t="shared" si="86"/>
        <v>3235.5</v>
      </c>
      <c r="M314" s="7">
        <f>SUMIFS('Stock - ETA'!$R$3:R4963,'Stock - ETA'!$F$3:F4963,'Rango proyecciones'!C314,'Stock - ETA'!$AA$3:AA4963,'Rango proyecciones'!$AJ$5)</f>
        <v>0</v>
      </c>
      <c r="N314" s="7">
        <f>SUMIF('Stock - Puerto Chile'!$G$2:G973,'Rango proyecciones'!C314,'Stock - Puerto Chile'!$L$2:L973)</f>
        <v>0</v>
      </c>
      <c r="O314" s="7">
        <v>0</v>
      </c>
      <c r="P314" s="7">
        <v>0</v>
      </c>
      <c r="Q314" s="16">
        <f>H314 + P314 + M314</f>
        <v>0</v>
      </c>
      <c r="R314" s="7">
        <f t="shared" si="87"/>
        <v>5546.5714285714294</v>
      </c>
      <c r="S314" s="7">
        <f>SUMIFS('Stock - ETA'!$H$3:H4963,'Stock - ETA'!$F$3:F4963,'Rango proyecciones'!C314,'Stock - ETA'!$Q$3:Q4963,'Rango proyecciones'!$AJ$5)</f>
        <v>0</v>
      </c>
      <c r="T314" s="7">
        <f>SUMIF('Stock - Puerto Chile'!$G$2:G973,'Rango proyecciones'!C314,'Stock - Puerto Chile'!$N$2:N973)</f>
        <v>0</v>
      </c>
      <c r="U314" s="7">
        <v>0</v>
      </c>
      <c r="V314" s="7">
        <v>0</v>
      </c>
      <c r="W314" s="17">
        <f>H314 + V314 + S314 + U314</f>
        <v>0</v>
      </c>
      <c r="X314" s="4"/>
      <c r="Y314" s="7"/>
      <c r="Z314" s="18">
        <f>SUMIFS('Stock - ETA'!$S$3:S4963,'Stock - ETA'!$F$3:F4963,'Rango proyecciones'!C314,'Stock - ETA'!$AA$3:AA4963,'Rango proyecciones'!$AJ$5) + SUMIFS('Stock - ETA'!$R$3:R4963,'Stock - ETA'!$F$3:F4963,'Rango proyecciones'!C314,'Stock - ETA'!$AA$3:AA4963,'Rango proyecciones'!$AJ$7)</f>
        <v>21000</v>
      </c>
      <c r="AA314" s="13">
        <f t="shared" si="80"/>
        <v>21000</v>
      </c>
      <c r="AB314" s="7">
        <f>SUMIFS('Stock - ETA'!$I$3:I4963,'Stock - ETA'!$F$3:F4963,'Rango proyecciones'!C314,'Stock - ETA'!$Q$3:Q4963,'Rango proyecciones'!$AJ$5) + SUMIFS('Stock - ETA'!$H$3:H4963,'Stock - ETA'!$F$3:F4963,'Rango proyecciones'!C314,'Stock - ETA'!$Q$3:Q4963,'Rango proyecciones'!$AJ$7)</f>
        <v>21000</v>
      </c>
      <c r="AC314" s="16">
        <f t="shared" si="81"/>
        <v>21000</v>
      </c>
      <c r="AD314" s="4"/>
      <c r="AE314" s="7">
        <f>SUMIFS('Stock - ETA'!$T$3:T4963,'Stock - ETA'!$F$3:F4963,'Rango proyecciones'!C314,'Stock - ETA'!$AA$3:AA4963,'Rango proyecciones'!$AJ$5) + SUMIFS('Stock - ETA'!$S$3:S4963,'Stock - ETA'!$F$3:F4963,'Rango proyecciones'!C314,'Stock - ETA'!$AA$3:AA4963,'Rango proyecciones'!$AJ$8)</f>
        <v>0</v>
      </c>
      <c r="AF314" s="16">
        <f>0.7 * AD314 + AE314</f>
        <v>0</v>
      </c>
      <c r="AG314" s="7">
        <f>SUMIFS('Stock - ETA'!$J$3:J4963,'Stock - ETA'!$F$3:F4963,'Rango proyecciones'!C314,'Stock - ETA'!$Q$3:Q4963,'Rango proyecciones'!$AJ$5) + SUMIFS('Stock - ETA'!$I$3:I4963,'Stock - ETA'!$F$3:F4963,'Rango proyecciones'!C314,'Stock - ETA'!$Q$3:Q4963,'Rango proyecciones'!$AJ$8)</f>
        <v>0</v>
      </c>
      <c r="AH314" s="16">
        <f>0.7 * AD314 + AG314</f>
        <v>0</v>
      </c>
      <c r="AI314" s="4"/>
    </row>
    <row r="315" spans="1:35" x14ac:dyDescent="0.2">
      <c r="A315" s="2"/>
      <c r="B315" s="2" t="s">
        <v>394</v>
      </c>
      <c r="C315" s="2" t="s">
        <v>545</v>
      </c>
      <c r="D315" s="2" t="s">
        <v>485</v>
      </c>
      <c r="E315" s="2">
        <v>1012719</v>
      </c>
      <c r="F315" s="2"/>
      <c r="G315" s="2"/>
      <c r="H315" s="4">
        <v>0</v>
      </c>
      <c r="I315" s="7">
        <v>0</v>
      </c>
      <c r="J315" s="7">
        <v>60000</v>
      </c>
      <c r="K315" s="7">
        <v>4922.51</v>
      </c>
      <c r="L315" s="4">
        <f t="shared" si="86"/>
        <v>82616.235000000001</v>
      </c>
      <c r="M315" s="7">
        <f>SUMIF('Stock - ETA'!$F$3:F4963,'Rango proyecciones'!C315,'Stock - ETA'!$R$3:R4963)</f>
        <v>48013.63</v>
      </c>
      <c r="N315" s="7">
        <f>SUMIF('Stock - Puerto Chile'!$G$2:G973,'Rango proyecciones'!C315,'Stock - Puerto Chile'!$L$2:L973)</f>
        <v>0</v>
      </c>
      <c r="O315" s="7">
        <v>0</v>
      </c>
      <c r="P315" s="7">
        <v>0</v>
      </c>
      <c r="Q315" s="16">
        <f>H315 + M315 + N315 + L315</f>
        <v>130629.86499999999</v>
      </c>
      <c r="R315" s="7">
        <f t="shared" si="87"/>
        <v>141627.83142857143</v>
      </c>
      <c r="S315" s="7">
        <f>SUMIF('Stock - ETA'!$F$3:F4963,'Rango proyecciones'!C315,'Stock - ETA'!$H$3:H4963)</f>
        <v>48013.63</v>
      </c>
      <c r="T315" s="7">
        <f>SUMIF('Stock - Puerto Chile'!$G$2:G973,'Rango proyecciones'!C315,'Stock - Puerto Chile'!$N$2:N973)</f>
        <v>0</v>
      </c>
      <c r="U315" s="7">
        <v>0</v>
      </c>
      <c r="V315" s="7">
        <v>0</v>
      </c>
      <c r="W315" s="16">
        <f>H315 + S315 + R315 + T315</f>
        <v>189641.46142857143</v>
      </c>
      <c r="X315" s="4"/>
      <c r="Y315" s="7"/>
      <c r="Z315" s="18">
        <f>SUMIF('Stock - ETA'!$F$3:F4963,'Rango proyecciones'!C315,'Stock - ETA'!$S$3:S4963)</f>
        <v>48010.81</v>
      </c>
      <c r="AA315" s="13">
        <f t="shared" si="80"/>
        <v>48010.81</v>
      </c>
      <c r="AB315" s="7">
        <f>SUMIF('Stock - ETA'!$F$3:F4963,'Rango proyecciones'!C315,'Stock - ETA'!$I$3:I4963)</f>
        <v>48010.81</v>
      </c>
      <c r="AC315" s="16">
        <f t="shared" si="81"/>
        <v>48010.81</v>
      </c>
      <c r="AD315" s="4">
        <v>480000</v>
      </c>
      <c r="AE315" s="7">
        <f>SUMIF('Stock - ETA'!$F$3:F4963,'Rango proyecciones'!C315,'Stock - ETA'!$T$3:T4963)</f>
        <v>0</v>
      </c>
      <c r="AF315" s="16">
        <f>0.6 * AD315 + AE315</f>
        <v>288000</v>
      </c>
      <c r="AG315" s="7">
        <f>SUMIF('Stock - ETA'!$F$3:F4963,'Rango proyecciones'!C315,'Stock - ETA'!$J$3:J4963)</f>
        <v>0</v>
      </c>
      <c r="AH315" s="16">
        <f>0.6 * AD315 + AG315</f>
        <v>288000</v>
      </c>
      <c r="AI315" s="4"/>
    </row>
    <row r="316" spans="1:35" x14ac:dyDescent="0.2">
      <c r="A316" s="2"/>
      <c r="B316" s="2" t="s">
        <v>394</v>
      </c>
      <c r="C316" s="2" t="s">
        <v>546</v>
      </c>
      <c r="D316" s="2" t="s">
        <v>485</v>
      </c>
      <c r="E316" s="2">
        <v>1030802</v>
      </c>
      <c r="F316" s="2"/>
      <c r="G316" s="2"/>
      <c r="H316" s="4">
        <v>0</v>
      </c>
      <c r="I316" s="7">
        <v>0</v>
      </c>
      <c r="J316" s="7">
        <v>18000</v>
      </c>
      <c r="K316" s="7"/>
      <c r="L316" s="4">
        <f t="shared" si="86"/>
        <v>27000</v>
      </c>
      <c r="M316" s="7">
        <f>SUMIF('Stock - ETA'!$F$3:F4963,'Rango proyecciones'!C316,'Stock - ETA'!$R$3:R4963)</f>
        <v>1999.05</v>
      </c>
      <c r="N316" s="7">
        <f>SUMIF('Stock - Puerto Chile'!$G$2:G973,'Rango proyecciones'!C316,'Stock - Puerto Chile'!$L$2:L973)</f>
        <v>0</v>
      </c>
      <c r="O316" s="7">
        <v>0</v>
      </c>
      <c r="P316" s="7">
        <v>0</v>
      </c>
      <c r="Q316" s="16">
        <f>H316 + M316 + N316 + L316</f>
        <v>28999.05</v>
      </c>
      <c r="R316" s="7">
        <f t="shared" si="87"/>
        <v>46285.71428571429</v>
      </c>
      <c r="S316" s="7">
        <f>SUMIF('Stock - ETA'!$F$3:F4963,'Rango proyecciones'!C316,'Stock - ETA'!$H$3:H4963)</f>
        <v>1999.05</v>
      </c>
      <c r="T316" s="7">
        <f>SUMIF('Stock - Puerto Chile'!$G$2:G973,'Rango proyecciones'!C316,'Stock - Puerto Chile'!$N$2:N973)</f>
        <v>0</v>
      </c>
      <c r="U316" s="7">
        <v>0</v>
      </c>
      <c r="V316" s="7">
        <v>0</v>
      </c>
      <c r="W316" s="16">
        <f>H316 + S316 + R316 + T316</f>
        <v>48284.764285714293</v>
      </c>
      <c r="X316" s="4"/>
      <c r="Y316" s="7"/>
      <c r="Z316" s="18">
        <f>SUMIF('Stock - ETA'!$F$3:F4963,'Rango proyecciones'!C316,'Stock - ETA'!$S$3:S4963)</f>
        <v>0</v>
      </c>
      <c r="AA316" s="13">
        <f t="shared" si="80"/>
        <v>0</v>
      </c>
      <c r="AB316" s="7">
        <f>SUMIF('Stock - ETA'!$F$3:F4963,'Rango proyecciones'!C316,'Stock - ETA'!$I$3:I4963)</f>
        <v>0</v>
      </c>
      <c r="AC316" s="16">
        <f t="shared" si="81"/>
        <v>0</v>
      </c>
      <c r="AD316" s="4"/>
      <c r="AE316" s="7">
        <f>SUMIF('Stock - ETA'!$F$3:F4963,'Rango proyecciones'!C316,'Stock - ETA'!$T$3:T4963)</f>
        <v>0</v>
      </c>
      <c r="AF316" s="16">
        <f>0.6 * AD316 + AE316</f>
        <v>0</v>
      </c>
      <c r="AG316" s="7">
        <f>SUMIF('Stock - ETA'!$F$3:F4963,'Rango proyecciones'!C316,'Stock - ETA'!$J$3:J4963)</f>
        <v>0</v>
      </c>
      <c r="AH316" s="16">
        <f>0.6 * AD316 + AG316</f>
        <v>0</v>
      </c>
      <c r="AI316" s="4"/>
    </row>
    <row r="317" spans="1:35" x14ac:dyDescent="0.2">
      <c r="A317" s="2"/>
      <c r="B317" s="2" t="s">
        <v>394</v>
      </c>
      <c r="C317" s="2" t="s">
        <v>547</v>
      </c>
      <c r="D317" s="2" t="s">
        <v>485</v>
      </c>
      <c r="E317" s="2">
        <v>1023372</v>
      </c>
      <c r="F317" s="2"/>
      <c r="G317" s="2"/>
      <c r="H317" s="4">
        <v>0</v>
      </c>
      <c r="I317" s="7">
        <v>0</v>
      </c>
      <c r="J317" s="7">
        <v>22856</v>
      </c>
      <c r="K317" s="7"/>
      <c r="L317" s="4">
        <f t="shared" si="86"/>
        <v>34284</v>
      </c>
      <c r="M317" s="7">
        <f>SUMIF('Stock - ETA'!$F$3:F4963,'Rango proyecciones'!C317,'Stock - ETA'!$R$3:R4963)</f>
        <v>6469.15</v>
      </c>
      <c r="N317" s="7">
        <f>SUMIF('Stock - Puerto Chile'!$G$2:G973,'Rango proyecciones'!C317,'Stock - Puerto Chile'!$L$2:L973)</f>
        <v>0</v>
      </c>
      <c r="O317" s="7">
        <v>0</v>
      </c>
      <c r="P317" s="7">
        <v>0</v>
      </c>
      <c r="Q317" s="16">
        <f>H317 + M317 + N317 + L317</f>
        <v>40753.15</v>
      </c>
      <c r="R317" s="7">
        <f t="shared" si="87"/>
        <v>58772.571428571435</v>
      </c>
      <c r="S317" s="7">
        <f>SUMIF('Stock - ETA'!$F$3:F4963,'Rango proyecciones'!C317,'Stock - ETA'!$H$3:H4963)</f>
        <v>6469.15</v>
      </c>
      <c r="T317" s="7">
        <f>SUMIF('Stock - Puerto Chile'!$G$2:G973,'Rango proyecciones'!C317,'Stock - Puerto Chile'!$N$2:N973)</f>
        <v>0</v>
      </c>
      <c r="U317" s="7">
        <v>0</v>
      </c>
      <c r="V317" s="7">
        <v>0</v>
      </c>
      <c r="W317" s="16">
        <f>H317 + S317 + R317 + T317</f>
        <v>65241.721428571436</v>
      </c>
      <c r="X317" s="4"/>
      <c r="Y317" s="7"/>
      <c r="Z317" s="18">
        <f>SUMIF('Stock - ETA'!$F$3:F4963,'Rango proyecciones'!C317,'Stock - ETA'!$S$3:S4963)</f>
        <v>0</v>
      </c>
      <c r="AA317" s="13">
        <f t="shared" si="80"/>
        <v>0</v>
      </c>
      <c r="AB317" s="7">
        <f>SUMIF('Stock - ETA'!$F$3:F4963,'Rango proyecciones'!C317,'Stock - ETA'!$I$3:I4963)</f>
        <v>0</v>
      </c>
      <c r="AC317" s="16">
        <f t="shared" si="81"/>
        <v>0</v>
      </c>
      <c r="AD317" s="4"/>
      <c r="AE317" s="7">
        <f>SUMIF('Stock - ETA'!$F$3:F4963,'Rango proyecciones'!C317,'Stock - ETA'!$T$3:T4963)</f>
        <v>0</v>
      </c>
      <c r="AF317" s="16">
        <f>0.6 * AD317 + AE317</f>
        <v>0</v>
      </c>
      <c r="AG317" s="7">
        <f>SUMIF('Stock - ETA'!$F$3:F4963,'Rango proyecciones'!C317,'Stock - ETA'!$J$3:J4963)</f>
        <v>0</v>
      </c>
      <c r="AH317" s="16">
        <f>0.6 * AD317 + AG317</f>
        <v>0</v>
      </c>
      <c r="AI317" s="4"/>
    </row>
    <row r="318" spans="1:35" x14ac:dyDescent="0.2">
      <c r="A318" s="2"/>
      <c r="B318" s="2" t="s">
        <v>394</v>
      </c>
      <c r="C318" s="2" t="s">
        <v>548</v>
      </c>
      <c r="D318" s="2" t="s">
        <v>485</v>
      </c>
      <c r="E318" s="2">
        <v>1022047</v>
      </c>
      <c r="F318" s="2"/>
      <c r="G318" s="2"/>
      <c r="H318" s="4">
        <v>0</v>
      </c>
      <c r="I318" s="7">
        <v>0</v>
      </c>
      <c r="J318" s="7">
        <v>0</v>
      </c>
      <c r="K318" s="7">
        <v>0</v>
      </c>
      <c r="L318" s="4">
        <f t="shared" si="86"/>
        <v>0</v>
      </c>
      <c r="M318" s="7">
        <f>SUMIF('Stock - ETA'!$F$3:F4963,'Rango proyecciones'!C318,'Stock - ETA'!$R$3:R4963)</f>
        <v>5753.02</v>
      </c>
      <c r="N318" s="7">
        <f>SUMIF('Stock - Puerto Chile'!$G$2:G973,'Rango proyecciones'!C318,'Stock - Puerto Chile'!$L$2:L973)</f>
        <v>0</v>
      </c>
      <c r="O318" s="7">
        <v>0</v>
      </c>
      <c r="P318" s="7">
        <v>0</v>
      </c>
      <c r="Q318" s="16">
        <f>H318 + M318 + N318 + L318</f>
        <v>5753.02</v>
      </c>
      <c r="R318" s="7">
        <f t="shared" si="87"/>
        <v>0</v>
      </c>
      <c r="S318" s="7">
        <f>SUMIF('Stock - ETA'!$F$3:F4963,'Rango proyecciones'!C318,'Stock - ETA'!$H$3:H4963)</f>
        <v>5753.02</v>
      </c>
      <c r="T318" s="7">
        <f>SUMIF('Stock - Puerto Chile'!$G$2:G973,'Rango proyecciones'!C318,'Stock - Puerto Chile'!$N$2:N973)</f>
        <v>0</v>
      </c>
      <c r="U318" s="7">
        <v>0</v>
      </c>
      <c r="V318" s="7">
        <v>0</v>
      </c>
      <c r="W318" s="16">
        <f>H318 + S318 + R318 + T318</f>
        <v>5753.02</v>
      </c>
      <c r="X318" s="4"/>
      <c r="Y318" s="7"/>
      <c r="Z318" s="18">
        <f>SUMIF('Stock - ETA'!$F$3:F4963,'Rango proyecciones'!C318,'Stock - ETA'!$S$3:S4963)</f>
        <v>0</v>
      </c>
      <c r="AA318" s="13">
        <f t="shared" si="80"/>
        <v>0</v>
      </c>
      <c r="AB318" s="7">
        <f>SUMIF('Stock - ETA'!$F$3:F4963,'Rango proyecciones'!C318,'Stock - ETA'!$I$3:I4963)</f>
        <v>0</v>
      </c>
      <c r="AC318" s="16">
        <f t="shared" si="81"/>
        <v>0</v>
      </c>
      <c r="AD318" s="4"/>
      <c r="AE318" s="7">
        <f>SUMIF('Stock - ETA'!$F$3:F4963,'Rango proyecciones'!C318,'Stock - ETA'!$T$3:T4963)</f>
        <v>0</v>
      </c>
      <c r="AF318" s="16">
        <f>0.6 * AD318 + AE318</f>
        <v>0</v>
      </c>
      <c r="AG318" s="7">
        <f>SUMIF('Stock - ETA'!$F$3:F4963,'Rango proyecciones'!C318,'Stock - ETA'!$J$3:J4963)</f>
        <v>0</v>
      </c>
      <c r="AH318" s="16">
        <f>0.6 * AD318 + AG318</f>
        <v>0</v>
      </c>
      <c r="AI318" s="4"/>
    </row>
    <row r="319" spans="1:35" x14ac:dyDescent="0.2">
      <c r="A319" s="2"/>
      <c r="B319" s="2" t="s">
        <v>394</v>
      </c>
      <c r="C319" s="2" t="s">
        <v>549</v>
      </c>
      <c r="D319" s="2" t="s">
        <v>485</v>
      </c>
      <c r="E319" s="2">
        <v>1023355</v>
      </c>
      <c r="F319" s="2"/>
      <c r="G319" s="2"/>
      <c r="H319" s="4">
        <v>0</v>
      </c>
      <c r="I319" s="7">
        <v>0</v>
      </c>
      <c r="J319" s="7">
        <v>701</v>
      </c>
      <c r="K319" s="7"/>
      <c r="L319" s="4">
        <f t="shared" si="86"/>
        <v>1051.5</v>
      </c>
      <c r="M319" s="7">
        <f>SUMIF('Stock - ETA'!$F$3:F4963,'Rango proyecciones'!C319,'Stock - ETA'!$R$3:R4963)</f>
        <v>16478.62</v>
      </c>
      <c r="N319" s="7">
        <f>SUMIF('Stock - Puerto Chile'!$G$2:G973,'Rango proyecciones'!C319,'Stock - Puerto Chile'!$L$2:L973)</f>
        <v>0</v>
      </c>
      <c r="O319" s="7">
        <v>0</v>
      </c>
      <c r="P319" s="7">
        <v>0</v>
      </c>
      <c r="Q319" s="16">
        <f>H319 + M319 + N319 + L319</f>
        <v>17530.12</v>
      </c>
      <c r="R319" s="7">
        <f t="shared" si="87"/>
        <v>1802.5714285714287</v>
      </c>
      <c r="S319" s="7">
        <f>SUMIF('Stock - ETA'!$F$3:F4963,'Rango proyecciones'!C319,'Stock - ETA'!$H$3:H4963)</f>
        <v>16478.62</v>
      </c>
      <c r="T319" s="7">
        <f>SUMIF('Stock - Puerto Chile'!$G$2:G973,'Rango proyecciones'!C319,'Stock - Puerto Chile'!$N$2:N973)</f>
        <v>0</v>
      </c>
      <c r="U319" s="7">
        <v>0</v>
      </c>
      <c r="V319" s="7">
        <v>0</v>
      </c>
      <c r="W319" s="16">
        <f>H319 + S319 + R319 + T319</f>
        <v>18281.191428571427</v>
      </c>
      <c r="X319" s="4"/>
      <c r="Y319" s="7"/>
      <c r="Z319" s="18">
        <f>SUMIF('Stock - ETA'!$F$3:F4963,'Rango proyecciones'!C319,'Stock - ETA'!$S$3:S4963)</f>
        <v>0</v>
      </c>
      <c r="AA319" s="13">
        <f t="shared" si="80"/>
        <v>0</v>
      </c>
      <c r="AB319" s="7">
        <f>SUMIF('Stock - ETA'!$F$3:F4963,'Rango proyecciones'!C319,'Stock - ETA'!$I$3:I4963)</f>
        <v>0</v>
      </c>
      <c r="AC319" s="16">
        <f t="shared" si="81"/>
        <v>0</v>
      </c>
      <c r="AD319" s="4"/>
      <c r="AE319" s="7">
        <f>SUMIF('Stock - ETA'!$F$3:F4963,'Rango proyecciones'!C319,'Stock - ETA'!$T$3:T4963)</f>
        <v>0</v>
      </c>
      <c r="AF319" s="16">
        <f>0.6 * AD319 + AE319</f>
        <v>0</v>
      </c>
      <c r="AG319" s="7">
        <f>SUMIF('Stock - ETA'!$F$3:F4963,'Rango proyecciones'!C319,'Stock - ETA'!$J$3:J4963)</f>
        <v>0</v>
      </c>
      <c r="AH319" s="16">
        <f>0.6 * AD319 + AG319</f>
        <v>0</v>
      </c>
      <c r="AI319" s="4"/>
    </row>
    <row r="320" spans="1:35" x14ac:dyDescent="0.2">
      <c r="A320" s="2"/>
      <c r="B320" s="2" t="s">
        <v>35</v>
      </c>
      <c r="C320" s="2" t="s">
        <v>550</v>
      </c>
      <c r="D320" s="2" t="s">
        <v>423</v>
      </c>
      <c r="E320" s="2">
        <v>1022854</v>
      </c>
      <c r="F320" s="2"/>
      <c r="G320" s="2"/>
      <c r="H320" s="4">
        <v>0</v>
      </c>
      <c r="I320" s="7">
        <v>0</v>
      </c>
      <c r="J320" s="7">
        <v>0</v>
      </c>
      <c r="K320" s="7">
        <v>0</v>
      </c>
      <c r="L320" s="4">
        <f t="shared" ref="L320:L351" si="90">MAX(J320 - K320, 0) * MAX((25 - 10)/(10), 0)</f>
        <v>0</v>
      </c>
      <c r="M320" s="7">
        <f>SUMIFS('Stock - ETA'!$R$3:R4963,'Stock - ETA'!$F$3:F4963,'Rango proyecciones'!C320,'Stock - ETA'!$AA$3:AA4963,'Rango proyecciones'!$AJ$5)</f>
        <v>46497.04</v>
      </c>
      <c r="N320" s="7">
        <f>SUMIF('Stock - Puerto Chile'!$G$2:G973,'Rango proyecciones'!C320,'Stock - Puerto Chile'!$L$2:L973)</f>
        <v>0</v>
      </c>
      <c r="O320" s="7">
        <v>0</v>
      </c>
      <c r="P320" s="7">
        <v>0</v>
      </c>
      <c r="Q320" s="16">
        <f>H320 + P320 + M320</f>
        <v>46497.04</v>
      </c>
      <c r="R320" s="7">
        <f t="shared" ref="R320:R341" si="91">MAX(J320 - K320, 0) * MAX((25 - 7)/(7), 0)</f>
        <v>0</v>
      </c>
      <c r="S320" s="7">
        <f>SUMIFS('Stock - ETA'!$H$3:H4963,'Stock - ETA'!$F$3:F4963,'Rango proyecciones'!C320,'Stock - ETA'!$Q$3:Q4963,'Rango proyecciones'!$AJ$5)</f>
        <v>46497.04</v>
      </c>
      <c r="T320" s="7">
        <f>SUMIF('Stock - Puerto Chile'!$G$2:G973,'Rango proyecciones'!C320,'Stock - Puerto Chile'!$N$2:N973)</f>
        <v>0</v>
      </c>
      <c r="U320" s="7">
        <v>0</v>
      </c>
      <c r="V320" s="7">
        <v>0</v>
      </c>
      <c r="W320" s="17">
        <f>H320 + V320 + S320 + U320</f>
        <v>46497.04</v>
      </c>
      <c r="X320" s="4"/>
      <c r="Y320" s="7"/>
      <c r="Z320" s="18">
        <f>SUMIFS('Stock - ETA'!$S$3:S4963,'Stock - ETA'!$F$3:F4963,'Rango proyecciones'!C320,'Stock - ETA'!$AA$3:AA4963,'Rango proyecciones'!$AJ$5) + SUMIFS('Stock - ETA'!$R$3:R4963,'Stock - ETA'!$F$3:F4963,'Rango proyecciones'!C320,'Stock - ETA'!$AA$3:AA4963,'Rango proyecciones'!$AJ$7)</f>
        <v>0</v>
      </c>
      <c r="AA320" s="13">
        <f t="shared" si="80"/>
        <v>0</v>
      </c>
      <c r="AB320" s="7">
        <f>SUMIFS('Stock - ETA'!$I$3:I4963,'Stock - ETA'!$F$3:F4963,'Rango proyecciones'!C320,'Stock - ETA'!$Q$3:Q4963,'Rango proyecciones'!$AJ$5) + SUMIFS('Stock - ETA'!$H$3:H4963,'Stock - ETA'!$F$3:F4963,'Rango proyecciones'!C320,'Stock - ETA'!$Q$3:Q4963,'Rango proyecciones'!$AJ$7)</f>
        <v>0</v>
      </c>
      <c r="AC320" s="16">
        <f t="shared" si="81"/>
        <v>0</v>
      </c>
      <c r="AD320" s="4"/>
      <c r="AE320" s="7">
        <f>SUMIFS('Stock - ETA'!$T$3:T4963,'Stock - ETA'!$F$3:F4963,'Rango proyecciones'!C320,'Stock - ETA'!$AA$3:AA4963,'Rango proyecciones'!$AJ$5) + SUMIFS('Stock - ETA'!$S$3:S4963,'Stock - ETA'!$F$3:F4963,'Rango proyecciones'!C320,'Stock - ETA'!$AA$3:AA4963,'Rango proyecciones'!$AJ$8)</f>
        <v>0</v>
      </c>
      <c r="AF320" s="16">
        <f>0.8 * AD320 + AE320</f>
        <v>0</v>
      </c>
      <c r="AG320" s="7">
        <f>SUMIFS('Stock - ETA'!$J$3:J4963,'Stock - ETA'!$F$3:F4963,'Rango proyecciones'!C320,'Stock - ETA'!$Q$3:Q4963,'Rango proyecciones'!$AJ$5) + SUMIFS('Stock - ETA'!$I$3:I4963,'Stock - ETA'!$F$3:F4963,'Rango proyecciones'!C320,'Stock - ETA'!$Q$3:Q4963,'Rango proyecciones'!$AJ$8)</f>
        <v>0</v>
      </c>
      <c r="AH320" s="16">
        <f>0.8 * AD320 + AG320</f>
        <v>0</v>
      </c>
      <c r="AI320" s="4"/>
    </row>
    <row r="321" spans="1:35" x14ac:dyDescent="0.2">
      <c r="A321" s="2"/>
      <c r="B321" s="2" t="s">
        <v>394</v>
      </c>
      <c r="C321" s="2" t="s">
        <v>551</v>
      </c>
      <c r="D321" s="2" t="s">
        <v>485</v>
      </c>
      <c r="E321" s="2">
        <v>1022406</v>
      </c>
      <c r="F321" s="2"/>
      <c r="G321" s="2"/>
      <c r="H321" s="4">
        <v>0</v>
      </c>
      <c r="I321" s="7">
        <v>0</v>
      </c>
      <c r="J321" s="7">
        <v>0</v>
      </c>
      <c r="K321" s="7">
        <v>0</v>
      </c>
      <c r="L321" s="4">
        <f t="shared" si="90"/>
        <v>0</v>
      </c>
      <c r="M321" s="7">
        <f>SUMIF('Stock - ETA'!$F$3:F4963,'Rango proyecciones'!C321,'Stock - ETA'!$R$3:R4963)</f>
        <v>19975.900000000001</v>
      </c>
      <c r="N321" s="7">
        <f>SUMIF('Stock - Puerto Chile'!$G$2:G973,'Rango proyecciones'!C321,'Stock - Puerto Chile'!$L$2:L973)</f>
        <v>0</v>
      </c>
      <c r="O321" s="7">
        <v>0</v>
      </c>
      <c r="P321" s="7">
        <v>0</v>
      </c>
      <c r="Q321" s="16">
        <f>H321 + M321 + N321 + L321</f>
        <v>19975.900000000001</v>
      </c>
      <c r="R321" s="7">
        <f t="shared" si="91"/>
        <v>0</v>
      </c>
      <c r="S321" s="7">
        <f>SUMIF('Stock - ETA'!$F$3:F4963,'Rango proyecciones'!C321,'Stock - ETA'!$H$3:H4963)</f>
        <v>19975.900000000001</v>
      </c>
      <c r="T321" s="7">
        <f>SUMIF('Stock - Puerto Chile'!$G$2:G973,'Rango proyecciones'!C321,'Stock - Puerto Chile'!$N$2:N973)</f>
        <v>0</v>
      </c>
      <c r="U321" s="7">
        <v>0</v>
      </c>
      <c r="V321" s="7">
        <v>0</v>
      </c>
      <c r="W321" s="16">
        <f>H321 + S321 + R321 + T321</f>
        <v>19975.900000000001</v>
      </c>
      <c r="X321" s="4"/>
      <c r="Y321" s="7"/>
      <c r="Z321" s="18">
        <f>SUMIF('Stock - ETA'!$F$3:F4963,'Rango proyecciones'!C321,'Stock - ETA'!$S$3:S4963)</f>
        <v>0</v>
      </c>
      <c r="AA321" s="13">
        <f t="shared" si="80"/>
        <v>0</v>
      </c>
      <c r="AB321" s="7">
        <f>SUMIF('Stock - ETA'!$F$3:F4963,'Rango proyecciones'!C321,'Stock - ETA'!$I$3:I4963)</f>
        <v>0</v>
      </c>
      <c r="AC321" s="16">
        <f t="shared" si="81"/>
        <v>0</v>
      </c>
      <c r="AD321" s="4"/>
      <c r="AE321" s="7">
        <f>SUMIF('Stock - ETA'!$F$3:F4963,'Rango proyecciones'!C321,'Stock - ETA'!$T$3:T4963)</f>
        <v>0</v>
      </c>
      <c r="AF321" s="16">
        <f>0.6 * AD321 + AE321</f>
        <v>0</v>
      </c>
      <c r="AG321" s="7">
        <f>SUMIF('Stock - ETA'!$F$3:F4963,'Rango proyecciones'!C321,'Stock - ETA'!$J$3:J4963)</f>
        <v>0</v>
      </c>
      <c r="AH321" s="16">
        <f>0.6 * AD321 + AG321</f>
        <v>0</v>
      </c>
      <c r="AI321" s="4"/>
    </row>
    <row r="322" spans="1:35" x14ac:dyDescent="0.2">
      <c r="A322" s="2"/>
      <c r="B322" s="2" t="s">
        <v>394</v>
      </c>
      <c r="C322" s="2" t="s">
        <v>552</v>
      </c>
      <c r="D322" s="2" t="s">
        <v>485</v>
      </c>
      <c r="E322" s="2">
        <v>1022870</v>
      </c>
      <c r="F322" s="2"/>
      <c r="G322" s="2"/>
      <c r="H322" s="4">
        <v>0</v>
      </c>
      <c r="I322" s="7">
        <v>0</v>
      </c>
      <c r="J322" s="7">
        <v>0</v>
      </c>
      <c r="K322" s="7">
        <v>0</v>
      </c>
      <c r="L322" s="4">
        <f t="shared" si="90"/>
        <v>0</v>
      </c>
      <c r="M322" s="7">
        <f>SUMIF('Stock - ETA'!$F$3:F4963,'Rango proyecciones'!C322,'Stock - ETA'!$R$3:R4963)</f>
        <v>3952.76</v>
      </c>
      <c r="N322" s="7">
        <f>SUMIF('Stock - Puerto Chile'!$G$2:G973,'Rango proyecciones'!C322,'Stock - Puerto Chile'!$L$2:L973)</f>
        <v>0</v>
      </c>
      <c r="O322" s="7">
        <v>0</v>
      </c>
      <c r="P322" s="7">
        <v>0</v>
      </c>
      <c r="Q322" s="16">
        <f>H322 + M322 + N322 + L322</f>
        <v>3952.76</v>
      </c>
      <c r="R322" s="7">
        <f t="shared" si="91"/>
        <v>0</v>
      </c>
      <c r="S322" s="7">
        <f>SUMIF('Stock - ETA'!$F$3:F4963,'Rango proyecciones'!C322,'Stock - ETA'!$H$3:H4963)</f>
        <v>3952.76</v>
      </c>
      <c r="T322" s="7">
        <f>SUMIF('Stock - Puerto Chile'!$G$2:G973,'Rango proyecciones'!C322,'Stock - Puerto Chile'!$N$2:N973)</f>
        <v>0</v>
      </c>
      <c r="U322" s="7">
        <v>0</v>
      </c>
      <c r="V322" s="7">
        <v>0</v>
      </c>
      <c r="W322" s="16">
        <f>H322 + S322 + R322 + T322</f>
        <v>3952.76</v>
      </c>
      <c r="X322" s="4"/>
      <c r="Y322" s="7"/>
      <c r="Z322" s="18">
        <f>SUMIF('Stock - ETA'!$F$3:F4963,'Rango proyecciones'!C322,'Stock - ETA'!$S$3:S4963)</f>
        <v>0</v>
      </c>
      <c r="AA322" s="13">
        <f t="shared" si="80"/>
        <v>0</v>
      </c>
      <c r="AB322" s="7">
        <f>SUMIF('Stock - ETA'!$F$3:F4963,'Rango proyecciones'!C322,'Stock - ETA'!$I$3:I4963)</f>
        <v>0</v>
      </c>
      <c r="AC322" s="16">
        <f t="shared" si="81"/>
        <v>0</v>
      </c>
      <c r="AD322" s="4"/>
      <c r="AE322" s="7">
        <f>SUMIF('Stock - ETA'!$F$3:F4963,'Rango proyecciones'!C322,'Stock - ETA'!$T$3:T4963)</f>
        <v>0</v>
      </c>
      <c r="AF322" s="16">
        <f>0.6 * AD322 + AE322</f>
        <v>0</v>
      </c>
      <c r="AG322" s="7">
        <f>SUMIF('Stock - ETA'!$F$3:F4963,'Rango proyecciones'!C322,'Stock - ETA'!$J$3:J4963)</f>
        <v>0</v>
      </c>
      <c r="AH322" s="16">
        <f>0.6 * AD322 + AG322</f>
        <v>0</v>
      </c>
      <c r="AI322" s="4"/>
    </row>
    <row r="323" spans="1:35" x14ac:dyDescent="0.2">
      <c r="A323" s="2"/>
      <c r="B323" s="2" t="s">
        <v>35</v>
      </c>
      <c r="C323" s="2" t="s">
        <v>553</v>
      </c>
      <c r="D323" s="2" t="s">
        <v>389</v>
      </c>
      <c r="E323" s="2">
        <v>1022082</v>
      </c>
      <c r="F323" s="2"/>
      <c r="G323" s="2"/>
      <c r="H323" s="4">
        <v>0</v>
      </c>
      <c r="I323" s="7">
        <v>0</v>
      </c>
      <c r="J323" s="7">
        <v>0</v>
      </c>
      <c r="K323" s="7">
        <v>0</v>
      </c>
      <c r="L323" s="4">
        <f t="shared" si="90"/>
        <v>0</v>
      </c>
      <c r="M323" s="7">
        <f>SUMIFS('Stock - ETA'!$R$3:R4963,'Stock - ETA'!$F$3:F4963,'Rango proyecciones'!C323,'Stock - ETA'!$AA$3:AA4963,'Rango proyecciones'!$AJ$5)</f>
        <v>0</v>
      </c>
      <c r="N323" s="7">
        <f>SUMIF('Stock - Puerto Chile'!$G$2:G973,'Rango proyecciones'!C323,'Stock - Puerto Chile'!$L$2:L973)</f>
        <v>0</v>
      </c>
      <c r="O323" s="7">
        <v>0</v>
      </c>
      <c r="P323" s="7">
        <v>0</v>
      </c>
      <c r="Q323" s="16">
        <f>H323 + P323 + M323</f>
        <v>0</v>
      </c>
      <c r="R323" s="7">
        <f t="shared" si="91"/>
        <v>0</v>
      </c>
      <c r="S323" s="7">
        <f>SUMIFS('Stock - ETA'!$H$3:H4963,'Stock - ETA'!$F$3:F4963,'Rango proyecciones'!C323,'Stock - ETA'!$Q$3:Q4963,'Rango proyecciones'!$AJ$5)</f>
        <v>0</v>
      </c>
      <c r="T323" s="7">
        <f>SUMIF('Stock - Puerto Chile'!$G$2:G973,'Rango proyecciones'!C323,'Stock - Puerto Chile'!$N$2:N973)</f>
        <v>0</v>
      </c>
      <c r="U323" s="7">
        <v>0</v>
      </c>
      <c r="V323" s="7">
        <v>0</v>
      </c>
      <c r="W323" s="17">
        <f>H323 + V323 + S323 + U323</f>
        <v>0</v>
      </c>
      <c r="X323" s="4"/>
      <c r="Y323" s="7"/>
      <c r="Z323" s="18">
        <f>SUMIFS('Stock - ETA'!$S$3:S4963,'Stock - ETA'!$F$3:F4963,'Rango proyecciones'!C323,'Stock - ETA'!$AA$3:AA4963,'Rango proyecciones'!$AJ$5) + SUMIFS('Stock - ETA'!$R$3:R4963,'Stock - ETA'!$F$3:F4963,'Rango proyecciones'!C323,'Stock - ETA'!$AA$3:AA4963,'Rango proyecciones'!$AJ$7)</f>
        <v>24180</v>
      </c>
      <c r="AA323" s="13">
        <f t="shared" ref="AA323:AA386" si="92">Z323 + X323</f>
        <v>24180</v>
      </c>
      <c r="AB323" s="7">
        <f>SUMIFS('Stock - ETA'!$I$3:I4963,'Stock - ETA'!$F$3:F4963,'Rango proyecciones'!C323,'Stock - ETA'!$Q$3:Q4963,'Rango proyecciones'!$AJ$5) + SUMIFS('Stock - ETA'!$H$3:H4963,'Stock - ETA'!$F$3:F4963,'Rango proyecciones'!C323,'Stock - ETA'!$Q$3:Q4963,'Rango proyecciones'!$AJ$7)</f>
        <v>24180</v>
      </c>
      <c r="AC323" s="16">
        <f t="shared" ref="AC323:AC386" si="93">AB323 + X323</f>
        <v>24180</v>
      </c>
      <c r="AD323" s="4"/>
      <c r="AE323" s="7">
        <f>SUMIFS('Stock - ETA'!$T$3:T4963,'Stock - ETA'!$F$3:F4963,'Rango proyecciones'!C323,'Stock - ETA'!$AA$3:AA4963,'Rango proyecciones'!$AJ$5) + SUMIFS('Stock - ETA'!$S$3:S4963,'Stock - ETA'!$F$3:F4963,'Rango proyecciones'!C323,'Stock - ETA'!$AA$3:AA4963,'Rango proyecciones'!$AJ$8)</f>
        <v>0</v>
      </c>
      <c r="AF323" s="16">
        <f>0.6 * AD323 + AE323</f>
        <v>0</v>
      </c>
      <c r="AG323" s="7">
        <f>SUMIFS('Stock - ETA'!$J$3:J4963,'Stock - ETA'!$F$3:F4963,'Rango proyecciones'!C323,'Stock - ETA'!$Q$3:Q4963,'Rango proyecciones'!$AJ$5) + SUMIFS('Stock - ETA'!$I$3:I4963,'Stock - ETA'!$F$3:F4963,'Rango proyecciones'!C323,'Stock - ETA'!$Q$3:Q4963,'Rango proyecciones'!$AJ$8)</f>
        <v>0</v>
      </c>
      <c r="AH323" s="16">
        <f>0.6 * AD323 + AG323</f>
        <v>0</v>
      </c>
      <c r="AI323" s="4"/>
    </row>
    <row r="324" spans="1:35" x14ac:dyDescent="0.2">
      <c r="A324" s="2"/>
      <c r="B324" s="2" t="s">
        <v>35</v>
      </c>
      <c r="C324" s="2" t="s">
        <v>554</v>
      </c>
      <c r="D324" s="2" t="s">
        <v>389</v>
      </c>
      <c r="E324" s="2">
        <v>1021905</v>
      </c>
      <c r="F324" s="2"/>
      <c r="G324" s="2"/>
      <c r="H324" s="4">
        <v>0</v>
      </c>
      <c r="I324" s="7">
        <v>0</v>
      </c>
      <c r="J324" s="7">
        <v>0</v>
      </c>
      <c r="K324" s="7">
        <v>0</v>
      </c>
      <c r="L324" s="4">
        <f t="shared" si="90"/>
        <v>0</v>
      </c>
      <c r="M324" s="7">
        <f>SUMIFS('Stock - ETA'!$R$3:R4963,'Stock - ETA'!$F$3:F4963,'Rango proyecciones'!C324,'Stock - ETA'!$AA$3:AA4963,'Rango proyecciones'!$AJ$5)</f>
        <v>0</v>
      </c>
      <c r="N324" s="7">
        <f>SUMIF('Stock - Puerto Chile'!$G$2:G973,'Rango proyecciones'!C324,'Stock - Puerto Chile'!$L$2:L973)</f>
        <v>0</v>
      </c>
      <c r="O324" s="7">
        <v>0</v>
      </c>
      <c r="P324" s="7">
        <v>0</v>
      </c>
      <c r="Q324" s="16">
        <f>H324 + P324 + M324</f>
        <v>0</v>
      </c>
      <c r="R324" s="7">
        <f t="shared" si="91"/>
        <v>0</v>
      </c>
      <c r="S324" s="7">
        <f>SUMIFS('Stock - ETA'!$H$3:H4963,'Stock - ETA'!$F$3:F4963,'Rango proyecciones'!C324,'Stock - ETA'!$Q$3:Q4963,'Rango proyecciones'!$AJ$5)</f>
        <v>0</v>
      </c>
      <c r="T324" s="7">
        <f>SUMIF('Stock - Puerto Chile'!$G$2:G973,'Rango proyecciones'!C324,'Stock - Puerto Chile'!$N$2:N973)</f>
        <v>0</v>
      </c>
      <c r="U324" s="7">
        <v>0</v>
      </c>
      <c r="V324" s="7">
        <v>0</v>
      </c>
      <c r="W324" s="17">
        <f>H324 + V324 + S324 + U324</f>
        <v>0</v>
      </c>
      <c r="X324" s="4">
        <v>83992</v>
      </c>
      <c r="Y324" s="7">
        <v>83992</v>
      </c>
      <c r="Z324" s="18">
        <f>SUMIFS('Stock - ETA'!$S$3:S4963,'Stock - ETA'!$F$3:F4963,'Rango proyecciones'!C324,'Stock - ETA'!$AA$3:AA4963,'Rango proyecciones'!$AJ$5) + SUMIFS('Stock - ETA'!$R$3:R4963,'Stock - ETA'!$F$3:F4963,'Rango proyecciones'!C324,'Stock - ETA'!$AA$3:AA4963,'Rango proyecciones'!$AJ$7)</f>
        <v>37367.300000000003</v>
      </c>
      <c r="AA324" s="13">
        <f t="shared" si="92"/>
        <v>121359.3</v>
      </c>
      <c r="AB324" s="7">
        <f>SUMIFS('Stock - ETA'!$I$3:I4963,'Stock - ETA'!$F$3:F4963,'Rango proyecciones'!C324,'Stock - ETA'!$Q$3:Q4963,'Rango proyecciones'!$AJ$5) + SUMIFS('Stock - ETA'!$H$3:H4963,'Stock - ETA'!$F$3:F4963,'Rango proyecciones'!C324,'Stock - ETA'!$Q$3:Q4963,'Rango proyecciones'!$AJ$7)</f>
        <v>37367.300000000003</v>
      </c>
      <c r="AC324" s="16">
        <f t="shared" si="93"/>
        <v>121359.3</v>
      </c>
      <c r="AD324" s="4"/>
      <c r="AE324" s="7">
        <f>SUMIFS('Stock - ETA'!$T$3:T4963,'Stock - ETA'!$F$3:F4963,'Rango proyecciones'!C324,'Stock - ETA'!$AA$3:AA4963,'Rango proyecciones'!$AJ$5) + SUMIFS('Stock - ETA'!$S$3:S4963,'Stock - ETA'!$F$3:F4963,'Rango proyecciones'!C324,'Stock - ETA'!$AA$3:AA4963,'Rango proyecciones'!$AJ$8)</f>
        <v>0</v>
      </c>
      <c r="AF324" s="16">
        <f>0.6 * AD324 + AE324</f>
        <v>0</v>
      </c>
      <c r="AG324" s="7">
        <f>SUMIFS('Stock - ETA'!$J$3:J4963,'Stock - ETA'!$F$3:F4963,'Rango proyecciones'!C324,'Stock - ETA'!$Q$3:Q4963,'Rango proyecciones'!$AJ$5) + SUMIFS('Stock - ETA'!$I$3:I4963,'Stock - ETA'!$F$3:F4963,'Rango proyecciones'!C324,'Stock - ETA'!$Q$3:Q4963,'Rango proyecciones'!$AJ$8)</f>
        <v>0</v>
      </c>
      <c r="AH324" s="16">
        <f>0.6 * AD324 + AG324</f>
        <v>0</v>
      </c>
      <c r="AI324" s="4"/>
    </row>
    <row r="325" spans="1:35" x14ac:dyDescent="0.2">
      <c r="A325" s="2"/>
      <c r="B325" s="2" t="s">
        <v>394</v>
      </c>
      <c r="C325" s="2" t="s">
        <v>555</v>
      </c>
      <c r="D325" s="2" t="s">
        <v>396</v>
      </c>
      <c r="E325" s="2">
        <v>1023037</v>
      </c>
      <c r="F325" s="2"/>
      <c r="G325" s="2"/>
      <c r="H325" s="4">
        <v>0</v>
      </c>
      <c r="I325" s="7">
        <v>0</v>
      </c>
      <c r="J325" s="7">
        <v>0</v>
      </c>
      <c r="K325" s="7">
        <v>0</v>
      </c>
      <c r="L325" s="4">
        <f t="shared" si="90"/>
        <v>0</v>
      </c>
      <c r="M325" s="7">
        <f>SUMIF('Stock - ETA'!$F$3:F4963,'Rango proyecciones'!C325,'Stock - ETA'!$R$3:R4963)</f>
        <v>66033.66</v>
      </c>
      <c r="N325" s="7">
        <f>SUMIF('Stock - Puerto Chile'!$G$2:G973,'Rango proyecciones'!C325,'Stock - Puerto Chile'!$L$2:L973)</f>
        <v>343357.53360000002</v>
      </c>
      <c r="O325" s="7">
        <v>0</v>
      </c>
      <c r="P325" s="7">
        <v>0</v>
      </c>
      <c r="Q325" s="16">
        <f>H325 + M325 + N325 + L325</f>
        <v>409391.1936</v>
      </c>
      <c r="R325" s="7">
        <f t="shared" si="91"/>
        <v>0</v>
      </c>
      <c r="S325" s="7">
        <f>SUMIF('Stock - ETA'!$F$3:F4963,'Rango proyecciones'!C325,'Stock - ETA'!$H$3:H4963)</f>
        <v>66033.66</v>
      </c>
      <c r="T325" s="7">
        <f>SUMIF('Stock - Puerto Chile'!$G$2:G973,'Rango proyecciones'!C325,'Stock - Puerto Chile'!$N$2:N973)</f>
        <v>412029.04032000003</v>
      </c>
      <c r="U325" s="7">
        <v>0</v>
      </c>
      <c r="V325" s="7">
        <v>0</v>
      </c>
      <c r="W325" s="16">
        <f>H325 + S325 + R325 + T325</f>
        <v>478062.70032000006</v>
      </c>
      <c r="X325" s="4">
        <v>132000</v>
      </c>
      <c r="Y325" s="7">
        <v>132000</v>
      </c>
      <c r="Z325" s="18">
        <f>SUMIF('Stock - ETA'!$F$3:F4963,'Rango proyecciones'!C325,'Stock - ETA'!$S$3:S4963)</f>
        <v>0</v>
      </c>
      <c r="AA325" s="13">
        <f t="shared" si="92"/>
        <v>132000</v>
      </c>
      <c r="AB325" s="7">
        <f>SUMIF('Stock - ETA'!$F$3:F4963,'Rango proyecciones'!C325,'Stock - ETA'!$I$3:I4963)</f>
        <v>0</v>
      </c>
      <c r="AC325" s="16">
        <f t="shared" si="93"/>
        <v>132000</v>
      </c>
      <c r="AD325" s="4">
        <v>132000</v>
      </c>
      <c r="AE325" s="7">
        <f>SUMIF('Stock - ETA'!$F$3:F4963,'Rango proyecciones'!C325,'Stock - ETA'!$T$3:T4963)</f>
        <v>0</v>
      </c>
      <c r="AF325" s="16">
        <f>0.7 * AD325 + AE325</f>
        <v>92400</v>
      </c>
      <c r="AG325" s="7">
        <f>SUMIF('Stock - ETA'!$F$3:F4963,'Rango proyecciones'!C325,'Stock - ETA'!$J$3:J4963)</f>
        <v>0</v>
      </c>
      <c r="AH325" s="16">
        <f>0.7 * AD325 + AG325</f>
        <v>92400</v>
      </c>
      <c r="AI325" s="4"/>
    </row>
    <row r="326" spans="1:35" x14ac:dyDescent="0.2">
      <c r="A326" s="2"/>
      <c r="B326" s="2" t="s">
        <v>35</v>
      </c>
      <c r="C326" s="2" t="s">
        <v>556</v>
      </c>
      <c r="D326" s="2" t="s">
        <v>389</v>
      </c>
      <c r="E326" s="2">
        <v>1021971</v>
      </c>
      <c r="F326" s="2"/>
      <c r="G326" s="2"/>
      <c r="H326" s="4">
        <v>0</v>
      </c>
      <c r="I326" s="7">
        <v>0</v>
      </c>
      <c r="J326" s="7">
        <v>0</v>
      </c>
      <c r="K326" s="7">
        <v>0</v>
      </c>
      <c r="L326" s="4">
        <f t="shared" si="90"/>
        <v>0</v>
      </c>
      <c r="M326" s="7">
        <f>SUMIFS('Stock - ETA'!$R$3:R4963,'Stock - ETA'!$F$3:F4963,'Rango proyecciones'!C326,'Stock - ETA'!$AA$3:AA4963,'Rango proyecciones'!$AJ$5)</f>
        <v>25000</v>
      </c>
      <c r="N326" s="7">
        <f>SUMIF('Stock - Puerto Chile'!$G$2:G973,'Rango proyecciones'!C326,'Stock - Puerto Chile'!$L$2:L973)</f>
        <v>60000</v>
      </c>
      <c r="O326" s="7">
        <v>0</v>
      </c>
      <c r="P326" s="7">
        <v>0</v>
      </c>
      <c r="Q326" s="16">
        <f t="shared" ref="Q326:Q331" si="94">H326 + P326 + M326</f>
        <v>25000</v>
      </c>
      <c r="R326" s="7">
        <f t="shared" si="91"/>
        <v>0</v>
      </c>
      <c r="S326" s="7">
        <f>SUMIFS('Stock - ETA'!$H$3:H4963,'Stock - ETA'!$F$3:F4963,'Rango proyecciones'!C326,'Stock - ETA'!$Q$3:Q4963,'Rango proyecciones'!$AJ$5)</f>
        <v>25000</v>
      </c>
      <c r="T326" s="7">
        <f>SUMIF('Stock - Puerto Chile'!$G$2:G973,'Rango proyecciones'!C326,'Stock - Puerto Chile'!$N$2:N973)</f>
        <v>72000</v>
      </c>
      <c r="U326" s="7">
        <v>0</v>
      </c>
      <c r="V326" s="7">
        <v>0</v>
      </c>
      <c r="W326" s="17">
        <f t="shared" ref="W326:W331" si="95">H326 + V326 + S326 + U326</f>
        <v>25000</v>
      </c>
      <c r="X326" s="4"/>
      <c r="Y326" s="7"/>
      <c r="Z326" s="18">
        <f>SUMIFS('Stock - ETA'!$S$3:S4963,'Stock - ETA'!$F$3:F4963,'Rango proyecciones'!C326,'Stock - ETA'!$AA$3:AA4963,'Rango proyecciones'!$AJ$5) + SUMIFS('Stock - ETA'!$R$3:R4963,'Stock - ETA'!$F$3:F4963,'Rango proyecciones'!C326,'Stock - ETA'!$AA$3:AA4963,'Rango proyecciones'!$AJ$7)</f>
        <v>0</v>
      </c>
      <c r="AA326" s="13">
        <f t="shared" si="92"/>
        <v>0</v>
      </c>
      <c r="AB326" s="7">
        <f>SUMIFS('Stock - ETA'!$I$3:I4963,'Stock - ETA'!$F$3:F4963,'Rango proyecciones'!C326,'Stock - ETA'!$Q$3:Q4963,'Rango proyecciones'!$AJ$5) + SUMIFS('Stock - ETA'!$H$3:H4963,'Stock - ETA'!$F$3:F4963,'Rango proyecciones'!C326,'Stock - ETA'!$Q$3:Q4963,'Rango proyecciones'!$AJ$7)</f>
        <v>0</v>
      </c>
      <c r="AC326" s="16">
        <f t="shared" si="93"/>
        <v>0</v>
      </c>
      <c r="AD326" s="4"/>
      <c r="AE326" s="7">
        <f>SUMIFS('Stock - ETA'!$T$3:T4963,'Stock - ETA'!$F$3:F4963,'Rango proyecciones'!C326,'Stock - ETA'!$AA$3:AA4963,'Rango proyecciones'!$AJ$5) + SUMIFS('Stock - ETA'!$S$3:S4963,'Stock - ETA'!$F$3:F4963,'Rango proyecciones'!C326,'Stock - ETA'!$AA$3:AA4963,'Rango proyecciones'!$AJ$8)</f>
        <v>0</v>
      </c>
      <c r="AF326" s="16">
        <f>0.6 * AD326 + AE326</f>
        <v>0</v>
      </c>
      <c r="AG326" s="7">
        <f>SUMIFS('Stock - ETA'!$J$3:J4963,'Stock - ETA'!$F$3:F4963,'Rango proyecciones'!C326,'Stock - ETA'!$Q$3:Q4963,'Rango proyecciones'!$AJ$5) + SUMIFS('Stock - ETA'!$I$3:I4963,'Stock - ETA'!$F$3:F4963,'Rango proyecciones'!C326,'Stock - ETA'!$Q$3:Q4963,'Rango proyecciones'!$AJ$8)</f>
        <v>0</v>
      </c>
      <c r="AH326" s="16">
        <f>0.6 * AD326 + AG326</f>
        <v>0</v>
      </c>
      <c r="AI326" s="4"/>
    </row>
    <row r="327" spans="1:35" x14ac:dyDescent="0.2">
      <c r="A327" s="2"/>
      <c r="B327" s="2" t="s">
        <v>35</v>
      </c>
      <c r="C327" s="2" t="s">
        <v>557</v>
      </c>
      <c r="D327" s="2" t="s">
        <v>389</v>
      </c>
      <c r="E327" s="2">
        <v>1012527</v>
      </c>
      <c r="F327" s="2"/>
      <c r="G327" s="2"/>
      <c r="H327" s="4">
        <v>0</v>
      </c>
      <c r="I327" s="7">
        <v>0</v>
      </c>
      <c r="J327" s="7">
        <v>1600</v>
      </c>
      <c r="K327" s="7">
        <v>262.10000000000002</v>
      </c>
      <c r="L327" s="4">
        <f t="shared" si="90"/>
        <v>2006.8500000000001</v>
      </c>
      <c r="M327" s="7">
        <f>SUMIFS('Stock - ETA'!$R$3:R4963,'Stock - ETA'!$F$3:F4963,'Rango proyecciones'!C327,'Stock - ETA'!$AA$3:AA4963,'Rango proyecciones'!$AJ$5)</f>
        <v>24000</v>
      </c>
      <c r="N327" s="7">
        <f>SUMIF('Stock - Puerto Chile'!$G$2:G973,'Rango proyecciones'!C327,'Stock - Puerto Chile'!$L$2:L973)</f>
        <v>144000</v>
      </c>
      <c r="O327" s="7">
        <v>0</v>
      </c>
      <c r="P327" s="7">
        <v>0</v>
      </c>
      <c r="Q327" s="16">
        <f t="shared" si="94"/>
        <v>24000</v>
      </c>
      <c r="R327" s="7">
        <f t="shared" si="91"/>
        <v>3440.3142857142861</v>
      </c>
      <c r="S327" s="7">
        <f>SUMIFS('Stock - ETA'!$H$3:H4963,'Stock - ETA'!$F$3:F4963,'Rango proyecciones'!C327,'Stock - ETA'!$Q$3:Q4963,'Rango proyecciones'!$AJ$5)</f>
        <v>24000</v>
      </c>
      <c r="T327" s="7">
        <f>SUMIF('Stock - Puerto Chile'!$G$2:G973,'Rango proyecciones'!C327,'Stock - Puerto Chile'!$N$2:N973)</f>
        <v>172800</v>
      </c>
      <c r="U327" s="7">
        <v>0</v>
      </c>
      <c r="V327" s="7">
        <v>0</v>
      </c>
      <c r="W327" s="17">
        <f t="shared" si="95"/>
        <v>24000</v>
      </c>
      <c r="X327" s="4">
        <v>18825</v>
      </c>
      <c r="Y327" s="7">
        <v>18825</v>
      </c>
      <c r="Z327" s="18">
        <f>SUMIFS('Stock - ETA'!$S$3:S4963,'Stock - ETA'!$F$3:F4963,'Rango proyecciones'!C327,'Stock - ETA'!$AA$3:AA4963,'Rango proyecciones'!$AJ$5) + SUMIFS('Stock - ETA'!$R$3:R4963,'Stock - ETA'!$F$3:F4963,'Rango proyecciones'!C327,'Stock - ETA'!$AA$3:AA4963,'Rango proyecciones'!$AJ$7)</f>
        <v>0</v>
      </c>
      <c r="AA327" s="13">
        <f t="shared" si="92"/>
        <v>18825</v>
      </c>
      <c r="AB327" s="7">
        <f>SUMIFS('Stock - ETA'!$I$3:I4963,'Stock - ETA'!$F$3:F4963,'Rango proyecciones'!C327,'Stock - ETA'!$Q$3:Q4963,'Rango proyecciones'!$AJ$5) + SUMIFS('Stock - ETA'!$H$3:H4963,'Stock - ETA'!$F$3:F4963,'Rango proyecciones'!C327,'Stock - ETA'!$Q$3:Q4963,'Rango proyecciones'!$AJ$7)</f>
        <v>0</v>
      </c>
      <c r="AC327" s="16">
        <f t="shared" si="93"/>
        <v>18825</v>
      </c>
      <c r="AD327" s="4">
        <v>22194</v>
      </c>
      <c r="AE327" s="7">
        <f>SUMIFS('Stock - ETA'!$T$3:T4963,'Stock - ETA'!$F$3:F4963,'Rango proyecciones'!C327,'Stock - ETA'!$AA$3:AA4963,'Rango proyecciones'!$AJ$5) + SUMIFS('Stock - ETA'!$S$3:S4963,'Stock - ETA'!$F$3:F4963,'Rango proyecciones'!C327,'Stock - ETA'!$AA$3:AA4963,'Rango proyecciones'!$AJ$8)</f>
        <v>0</v>
      </c>
      <c r="AF327" s="16">
        <f>0.6 * AD327 + AE327</f>
        <v>13316.4</v>
      </c>
      <c r="AG327" s="7">
        <f>SUMIFS('Stock - ETA'!$J$3:J4963,'Stock - ETA'!$F$3:F4963,'Rango proyecciones'!C327,'Stock - ETA'!$Q$3:Q4963,'Rango proyecciones'!$AJ$5) + SUMIFS('Stock - ETA'!$I$3:I4963,'Stock - ETA'!$F$3:F4963,'Rango proyecciones'!C327,'Stock - ETA'!$Q$3:Q4963,'Rango proyecciones'!$AJ$8)</f>
        <v>0</v>
      </c>
      <c r="AH327" s="16">
        <f>0.6 * AD327 + AG327</f>
        <v>13316.4</v>
      </c>
      <c r="AI327" s="4"/>
    </row>
    <row r="328" spans="1:35" x14ac:dyDescent="0.2">
      <c r="A328" s="2"/>
      <c r="B328" s="2" t="s">
        <v>35</v>
      </c>
      <c r="C328" s="2" t="s">
        <v>558</v>
      </c>
      <c r="D328" s="2" t="s">
        <v>409</v>
      </c>
      <c r="E328" s="2">
        <v>1012532</v>
      </c>
      <c r="F328" s="2"/>
      <c r="G328" s="2"/>
      <c r="H328" s="4">
        <v>0</v>
      </c>
      <c r="I328" s="7">
        <v>0</v>
      </c>
      <c r="J328" s="7">
        <v>0</v>
      </c>
      <c r="K328" s="7">
        <v>0</v>
      </c>
      <c r="L328" s="4">
        <f t="shared" si="90"/>
        <v>0</v>
      </c>
      <c r="M328" s="7">
        <f>SUMIFS('Stock - ETA'!$R$3:R4963,'Stock - ETA'!$F$3:F4963,'Rango proyecciones'!C328,'Stock - ETA'!$AA$3:AA4963,'Rango proyecciones'!$AJ$5)</f>
        <v>3646.87968</v>
      </c>
      <c r="N328" s="7">
        <f>SUMIF('Stock - Puerto Chile'!$G$2:G973,'Rango proyecciones'!C328,'Stock - Puerto Chile'!$L$2:L973)</f>
        <v>3374.7840000000001</v>
      </c>
      <c r="O328" s="7">
        <v>0</v>
      </c>
      <c r="P328" s="7">
        <v>0</v>
      </c>
      <c r="Q328" s="16">
        <f t="shared" si="94"/>
        <v>3646.87968</v>
      </c>
      <c r="R328" s="7">
        <f t="shared" si="91"/>
        <v>0</v>
      </c>
      <c r="S328" s="7">
        <f>SUMIFS('Stock - ETA'!$H$3:H4963,'Stock - ETA'!$F$3:F4963,'Rango proyecciones'!C328,'Stock - ETA'!$Q$3:Q4963,'Rango proyecciones'!$AJ$5)</f>
        <v>3646.87968</v>
      </c>
      <c r="T328" s="7">
        <f>SUMIF('Stock - Puerto Chile'!$G$2:G973,'Rango proyecciones'!C328,'Stock - Puerto Chile'!$N$2:N973)</f>
        <v>4049.7408</v>
      </c>
      <c r="U328" s="7">
        <v>0</v>
      </c>
      <c r="V328" s="7">
        <v>0</v>
      </c>
      <c r="W328" s="17">
        <f t="shared" si="95"/>
        <v>3646.87968</v>
      </c>
      <c r="X328" s="4"/>
      <c r="Y328" s="7"/>
      <c r="Z328" s="18">
        <f>SUMIFS('Stock - ETA'!$S$3:S4963,'Stock - ETA'!$F$3:F4963,'Rango proyecciones'!C328,'Stock - ETA'!$AA$3:AA4963,'Rango proyecciones'!$AJ$5) + SUMIFS('Stock - ETA'!$R$3:R4963,'Stock - ETA'!$F$3:F4963,'Rango proyecciones'!C328,'Stock - ETA'!$AA$3:AA4963,'Rango proyecciones'!$AJ$7)</f>
        <v>0</v>
      </c>
      <c r="AA328" s="13">
        <f t="shared" si="92"/>
        <v>0</v>
      </c>
      <c r="AB328" s="7">
        <f>SUMIFS('Stock - ETA'!$I$3:I4963,'Stock - ETA'!$F$3:F4963,'Rango proyecciones'!C328,'Stock - ETA'!$Q$3:Q4963,'Rango proyecciones'!$AJ$5) + SUMIFS('Stock - ETA'!$H$3:H4963,'Stock - ETA'!$F$3:F4963,'Rango proyecciones'!C328,'Stock - ETA'!$Q$3:Q4963,'Rango proyecciones'!$AJ$7)</f>
        <v>0</v>
      </c>
      <c r="AC328" s="16">
        <f t="shared" si="93"/>
        <v>0</v>
      </c>
      <c r="AD328" s="4"/>
      <c r="AE328" s="7">
        <f>SUMIFS('Stock - ETA'!$T$3:T4963,'Stock - ETA'!$F$3:F4963,'Rango proyecciones'!C328,'Stock - ETA'!$AA$3:AA4963,'Rango proyecciones'!$AJ$5) + SUMIFS('Stock - ETA'!$S$3:S4963,'Stock - ETA'!$F$3:F4963,'Rango proyecciones'!C328,'Stock - ETA'!$AA$3:AA4963,'Rango proyecciones'!$AJ$8)</f>
        <v>0</v>
      </c>
      <c r="AF328" s="16">
        <f>0.6 * AD328 + AE328</f>
        <v>0</v>
      </c>
      <c r="AG328" s="7">
        <f>SUMIFS('Stock - ETA'!$J$3:J4963,'Stock - ETA'!$F$3:F4963,'Rango proyecciones'!C328,'Stock - ETA'!$Q$3:Q4963,'Rango proyecciones'!$AJ$5) + SUMIFS('Stock - ETA'!$I$3:I4963,'Stock - ETA'!$F$3:F4963,'Rango proyecciones'!C328,'Stock - ETA'!$Q$3:Q4963,'Rango proyecciones'!$AJ$8)</f>
        <v>0</v>
      </c>
      <c r="AH328" s="16">
        <f>0.6 * AD328 + AG328</f>
        <v>0</v>
      </c>
      <c r="AI328" s="4"/>
    </row>
    <row r="329" spans="1:35" x14ac:dyDescent="0.2">
      <c r="A329" s="2"/>
      <c r="B329" s="2" t="s">
        <v>35</v>
      </c>
      <c r="C329" s="2" t="s">
        <v>559</v>
      </c>
      <c r="D329" s="2" t="s">
        <v>423</v>
      </c>
      <c r="E329" s="2">
        <v>1023319</v>
      </c>
      <c r="F329" s="2"/>
      <c r="G329" s="2"/>
      <c r="H329" s="4">
        <v>0</v>
      </c>
      <c r="I329" s="7">
        <v>0</v>
      </c>
      <c r="J329" s="7">
        <v>0</v>
      </c>
      <c r="K329" s="7">
        <v>0</v>
      </c>
      <c r="L329" s="4">
        <f t="shared" si="90"/>
        <v>0</v>
      </c>
      <c r="M329" s="7">
        <f>SUMIFS('Stock - ETA'!$R$3:R4963,'Stock - ETA'!$F$3:F4963,'Rango proyecciones'!C329,'Stock - ETA'!$AA$3:AA4963,'Rango proyecciones'!$AJ$5)</f>
        <v>37080</v>
      </c>
      <c r="N329" s="7">
        <f>SUMIF('Stock - Puerto Chile'!$G$2:G973,'Rango proyecciones'!C329,'Stock - Puerto Chile'!$L$2:L973)</f>
        <v>53537.391304347824</v>
      </c>
      <c r="O329" s="7">
        <v>0</v>
      </c>
      <c r="P329" s="7">
        <v>0</v>
      </c>
      <c r="Q329" s="16">
        <f t="shared" si="94"/>
        <v>37080</v>
      </c>
      <c r="R329" s="7">
        <f t="shared" si="91"/>
        <v>0</v>
      </c>
      <c r="S329" s="7">
        <f>SUMIFS('Stock - ETA'!$H$3:H4963,'Stock - ETA'!$F$3:F4963,'Rango proyecciones'!C329,'Stock - ETA'!$Q$3:Q4963,'Rango proyecciones'!$AJ$5)</f>
        <v>37080</v>
      </c>
      <c r="T329" s="7">
        <f>SUMIF('Stock - Puerto Chile'!$G$2:G973,'Rango proyecciones'!C329,'Stock - Puerto Chile'!$N$2:N973)</f>
        <v>65892.173913043473</v>
      </c>
      <c r="U329" s="7">
        <v>0</v>
      </c>
      <c r="V329" s="7">
        <v>0</v>
      </c>
      <c r="W329" s="17">
        <f t="shared" si="95"/>
        <v>37080</v>
      </c>
      <c r="X329" s="4">
        <v>11001</v>
      </c>
      <c r="Y329" s="7">
        <v>11001</v>
      </c>
      <c r="Z329" s="18">
        <f>SUMIFS('Stock - ETA'!$S$3:S4963,'Stock - ETA'!$F$3:F4963,'Rango proyecciones'!C329,'Stock - ETA'!$AA$3:AA4963,'Rango proyecciones'!$AJ$5) + SUMIFS('Stock - ETA'!$R$3:R4963,'Stock - ETA'!$F$3:F4963,'Rango proyecciones'!C329,'Stock - ETA'!$AA$3:AA4963,'Rango proyecciones'!$AJ$7)</f>
        <v>0</v>
      </c>
      <c r="AA329" s="13">
        <f t="shared" si="92"/>
        <v>11001</v>
      </c>
      <c r="AB329" s="7">
        <f>SUMIFS('Stock - ETA'!$I$3:I4963,'Stock - ETA'!$F$3:F4963,'Rango proyecciones'!C329,'Stock - ETA'!$Q$3:Q4963,'Rango proyecciones'!$AJ$5) + SUMIFS('Stock - ETA'!$H$3:H4963,'Stock - ETA'!$F$3:F4963,'Rango proyecciones'!C329,'Stock - ETA'!$Q$3:Q4963,'Rango proyecciones'!$AJ$7)</f>
        <v>0</v>
      </c>
      <c r="AC329" s="16">
        <f t="shared" si="93"/>
        <v>11001</v>
      </c>
      <c r="AD329" s="4">
        <v>11001</v>
      </c>
      <c r="AE329" s="7">
        <f>SUMIFS('Stock - ETA'!$T$3:T4963,'Stock - ETA'!$F$3:F4963,'Rango proyecciones'!C329,'Stock - ETA'!$AA$3:AA4963,'Rango proyecciones'!$AJ$5) + SUMIFS('Stock - ETA'!$S$3:S4963,'Stock - ETA'!$F$3:F4963,'Rango proyecciones'!C329,'Stock - ETA'!$AA$3:AA4963,'Rango proyecciones'!$AJ$8)</f>
        <v>0</v>
      </c>
      <c r="AF329" s="16">
        <f>0.8 * AD329 + AE329</f>
        <v>8800.8000000000011</v>
      </c>
      <c r="AG329" s="7">
        <f>SUMIFS('Stock - ETA'!$J$3:J4963,'Stock - ETA'!$F$3:F4963,'Rango proyecciones'!C329,'Stock - ETA'!$Q$3:Q4963,'Rango proyecciones'!$AJ$5) + SUMIFS('Stock - ETA'!$I$3:I4963,'Stock - ETA'!$F$3:F4963,'Rango proyecciones'!C329,'Stock - ETA'!$Q$3:Q4963,'Rango proyecciones'!$AJ$8)</f>
        <v>0</v>
      </c>
      <c r="AH329" s="16">
        <f>0.8 * AD329 + AG329</f>
        <v>8800.8000000000011</v>
      </c>
      <c r="AI329" s="4"/>
    </row>
    <row r="330" spans="1:35" x14ac:dyDescent="0.2">
      <c r="A330" s="2"/>
      <c r="B330" s="2" t="s">
        <v>35</v>
      </c>
      <c r="C330" s="2" t="s">
        <v>560</v>
      </c>
      <c r="D330" s="2" t="s">
        <v>423</v>
      </c>
      <c r="E330" s="2">
        <v>1023318</v>
      </c>
      <c r="F330" s="2"/>
      <c r="G330" s="2"/>
      <c r="H330" s="4">
        <v>0</v>
      </c>
      <c r="I330" s="7">
        <v>0</v>
      </c>
      <c r="J330" s="7">
        <v>0</v>
      </c>
      <c r="K330" s="7">
        <v>0</v>
      </c>
      <c r="L330" s="4">
        <f t="shared" si="90"/>
        <v>0</v>
      </c>
      <c r="M330" s="7">
        <f>SUMIFS('Stock - ETA'!$R$3:R4963,'Stock - ETA'!$F$3:F4963,'Rango proyecciones'!C330,'Stock - ETA'!$AA$3:AA4963,'Rango proyecciones'!$AJ$5)</f>
        <v>36502.11</v>
      </c>
      <c r="N330" s="7">
        <f>SUMIF('Stock - Puerto Chile'!$G$2:G973,'Rango proyecciones'!C330,'Stock - Puerto Chile'!$L$2:L973)</f>
        <v>94986.083739130423</v>
      </c>
      <c r="O330" s="7">
        <v>0</v>
      </c>
      <c r="P330" s="7">
        <v>0</v>
      </c>
      <c r="Q330" s="16">
        <f t="shared" si="94"/>
        <v>36502.11</v>
      </c>
      <c r="R330" s="7">
        <f t="shared" si="91"/>
        <v>0</v>
      </c>
      <c r="S330" s="7">
        <f>SUMIFS('Stock - ETA'!$H$3:H4963,'Stock - ETA'!$F$3:F4963,'Rango proyecciones'!C330,'Stock - ETA'!$Q$3:Q4963,'Rango proyecciones'!$AJ$5)</f>
        <v>36502.11</v>
      </c>
      <c r="T330" s="7">
        <f>SUMIF('Stock - Puerto Chile'!$G$2:G973,'Rango proyecciones'!C330,'Stock - Puerto Chile'!$N$2:N973)</f>
        <v>116905.9492173913</v>
      </c>
      <c r="U330" s="7">
        <v>0</v>
      </c>
      <c r="V330" s="7">
        <v>0</v>
      </c>
      <c r="W330" s="17">
        <f t="shared" si="95"/>
        <v>36502.11</v>
      </c>
      <c r="X330" s="4"/>
      <c r="Y330" s="7"/>
      <c r="Z330" s="18">
        <f>SUMIFS('Stock - ETA'!$S$3:S4963,'Stock - ETA'!$F$3:F4963,'Rango proyecciones'!C330,'Stock - ETA'!$AA$3:AA4963,'Rango proyecciones'!$AJ$5) + SUMIFS('Stock - ETA'!$R$3:R4963,'Stock - ETA'!$F$3:F4963,'Rango proyecciones'!C330,'Stock - ETA'!$AA$3:AA4963,'Rango proyecciones'!$AJ$7)</f>
        <v>0</v>
      </c>
      <c r="AA330" s="13">
        <f t="shared" si="92"/>
        <v>0</v>
      </c>
      <c r="AB330" s="7">
        <f>SUMIFS('Stock - ETA'!$I$3:I4963,'Stock - ETA'!$F$3:F4963,'Rango proyecciones'!C330,'Stock - ETA'!$Q$3:Q4963,'Rango proyecciones'!$AJ$5) + SUMIFS('Stock - ETA'!$H$3:H4963,'Stock - ETA'!$F$3:F4963,'Rango proyecciones'!C330,'Stock - ETA'!$Q$3:Q4963,'Rango proyecciones'!$AJ$7)</f>
        <v>0</v>
      </c>
      <c r="AC330" s="16">
        <f t="shared" si="93"/>
        <v>0</v>
      </c>
      <c r="AD330" s="4"/>
      <c r="AE330" s="7">
        <f>SUMIFS('Stock - ETA'!$T$3:T4963,'Stock - ETA'!$F$3:F4963,'Rango proyecciones'!C330,'Stock - ETA'!$AA$3:AA4963,'Rango proyecciones'!$AJ$5) + SUMIFS('Stock - ETA'!$S$3:S4963,'Stock - ETA'!$F$3:F4963,'Rango proyecciones'!C330,'Stock - ETA'!$AA$3:AA4963,'Rango proyecciones'!$AJ$8)</f>
        <v>0</v>
      </c>
      <c r="AF330" s="16">
        <f>0.8 * AD330 + AE330</f>
        <v>0</v>
      </c>
      <c r="AG330" s="7">
        <f>SUMIFS('Stock - ETA'!$J$3:J4963,'Stock - ETA'!$F$3:F4963,'Rango proyecciones'!C330,'Stock - ETA'!$Q$3:Q4963,'Rango proyecciones'!$AJ$5) + SUMIFS('Stock - ETA'!$I$3:I4963,'Stock - ETA'!$F$3:F4963,'Rango proyecciones'!C330,'Stock - ETA'!$Q$3:Q4963,'Rango proyecciones'!$AJ$8)</f>
        <v>0</v>
      </c>
      <c r="AH330" s="16">
        <f>0.8 * AD330 + AG330</f>
        <v>0</v>
      </c>
      <c r="AI330" s="4"/>
    </row>
    <row r="331" spans="1:35" x14ac:dyDescent="0.2">
      <c r="A331" s="2"/>
      <c r="B331" s="2" t="s">
        <v>35</v>
      </c>
      <c r="C331" s="2" t="s">
        <v>561</v>
      </c>
      <c r="D331" s="2" t="s">
        <v>391</v>
      </c>
      <c r="E331" s="2">
        <v>1022989</v>
      </c>
      <c r="F331" s="2"/>
      <c r="G331" s="2"/>
      <c r="H331" s="4">
        <v>0</v>
      </c>
      <c r="I331" s="7">
        <v>0</v>
      </c>
      <c r="J331" s="7">
        <v>30912</v>
      </c>
      <c r="K331" s="7"/>
      <c r="L331" s="4">
        <f t="shared" si="90"/>
        <v>46368</v>
      </c>
      <c r="M331" s="7">
        <f>SUMIFS('Stock - ETA'!$R$3:R4963,'Stock - ETA'!$F$3:F4963,'Rango proyecciones'!C331,'Stock - ETA'!$AA$3:AA4963,'Rango proyecciones'!$AJ$5)</f>
        <v>18310.55</v>
      </c>
      <c r="N331" s="7">
        <f>SUMIF('Stock - Puerto Chile'!$G$2:G973,'Rango proyecciones'!C331,'Stock - Puerto Chile'!$L$2:L973)</f>
        <v>43511.248800000001</v>
      </c>
      <c r="O331" s="7">
        <v>0</v>
      </c>
      <c r="P331" s="7">
        <v>0</v>
      </c>
      <c r="Q331" s="16">
        <f t="shared" si="94"/>
        <v>18310.55</v>
      </c>
      <c r="R331" s="7">
        <f t="shared" si="91"/>
        <v>79488</v>
      </c>
      <c r="S331" s="7">
        <f>SUMIFS('Stock - ETA'!$H$3:H4963,'Stock - ETA'!$F$3:F4963,'Rango proyecciones'!C331,'Stock - ETA'!$Q$3:Q4963,'Rango proyecciones'!$AJ$5)</f>
        <v>18310.55</v>
      </c>
      <c r="T331" s="7">
        <f>SUMIF('Stock - Puerto Chile'!$G$2:G973,'Rango proyecciones'!C331,'Stock - Puerto Chile'!$N$2:N973)</f>
        <v>52213.49856</v>
      </c>
      <c r="U331" s="7">
        <v>0</v>
      </c>
      <c r="V331" s="7">
        <v>0</v>
      </c>
      <c r="W331" s="17">
        <f t="shared" si="95"/>
        <v>18310.55</v>
      </c>
      <c r="X331" s="4">
        <v>30000</v>
      </c>
      <c r="Y331" s="7">
        <v>30000</v>
      </c>
      <c r="Z331" s="18">
        <f>SUMIFS('Stock - ETA'!$S$3:S4963,'Stock - ETA'!$F$3:F4963,'Rango proyecciones'!C331,'Stock - ETA'!$AA$3:AA4963,'Rango proyecciones'!$AJ$5) + SUMIFS('Stock - ETA'!$R$3:R4963,'Stock - ETA'!$F$3:F4963,'Rango proyecciones'!C331,'Stock - ETA'!$AA$3:AA4963,'Rango proyecciones'!$AJ$7)</f>
        <v>18129.43</v>
      </c>
      <c r="AA331" s="13">
        <f t="shared" si="92"/>
        <v>48129.43</v>
      </c>
      <c r="AB331" s="7">
        <f>SUMIFS('Stock - ETA'!$I$3:I4963,'Stock - ETA'!$F$3:F4963,'Rango proyecciones'!C331,'Stock - ETA'!$Q$3:Q4963,'Rango proyecciones'!$AJ$5) + SUMIFS('Stock - ETA'!$H$3:H4963,'Stock - ETA'!$F$3:F4963,'Rango proyecciones'!C331,'Stock - ETA'!$Q$3:Q4963,'Rango proyecciones'!$AJ$7)</f>
        <v>18129.43</v>
      </c>
      <c r="AC331" s="16">
        <f t="shared" si="93"/>
        <v>48129.43</v>
      </c>
      <c r="AD331" s="4">
        <v>40000</v>
      </c>
      <c r="AE331" s="7">
        <f>SUMIFS('Stock - ETA'!$T$3:T4963,'Stock - ETA'!$F$3:F4963,'Rango proyecciones'!C331,'Stock - ETA'!$AA$3:AA4963,'Rango proyecciones'!$AJ$5) + SUMIFS('Stock - ETA'!$S$3:S4963,'Stock - ETA'!$F$3:F4963,'Rango proyecciones'!C331,'Stock - ETA'!$AA$3:AA4963,'Rango proyecciones'!$AJ$8)</f>
        <v>0</v>
      </c>
      <c r="AF331" s="16">
        <f>0.7 * AD331 + AE331</f>
        <v>28000</v>
      </c>
      <c r="AG331" s="7">
        <f>SUMIFS('Stock - ETA'!$J$3:J4963,'Stock - ETA'!$F$3:F4963,'Rango proyecciones'!C331,'Stock - ETA'!$Q$3:Q4963,'Rango proyecciones'!$AJ$5) + SUMIFS('Stock - ETA'!$I$3:I4963,'Stock - ETA'!$F$3:F4963,'Rango proyecciones'!C331,'Stock - ETA'!$Q$3:Q4963,'Rango proyecciones'!$AJ$8)</f>
        <v>0</v>
      </c>
      <c r="AH331" s="16">
        <f>0.7 * AD331 + AG331</f>
        <v>28000</v>
      </c>
      <c r="AI331" s="4"/>
    </row>
    <row r="332" spans="1:35" x14ac:dyDescent="0.2">
      <c r="A332" s="2"/>
      <c r="B332" s="2" t="s">
        <v>394</v>
      </c>
      <c r="C332" s="2" t="s">
        <v>562</v>
      </c>
      <c r="D332" s="2" t="s">
        <v>485</v>
      </c>
      <c r="E332" s="2">
        <v>1022847</v>
      </c>
      <c r="F332" s="2"/>
      <c r="G332" s="2"/>
      <c r="H332" s="4">
        <v>0</v>
      </c>
      <c r="I332" s="7">
        <v>0</v>
      </c>
      <c r="J332" s="7">
        <v>4003</v>
      </c>
      <c r="K332" s="7">
        <v>497.45</v>
      </c>
      <c r="L332" s="4">
        <f t="shared" si="90"/>
        <v>5258.3250000000007</v>
      </c>
      <c r="M332" s="7">
        <f>SUMIF('Stock - ETA'!$F$3:F4963,'Rango proyecciones'!C332,'Stock - ETA'!$R$3:R4963)</f>
        <v>37004.94</v>
      </c>
      <c r="N332" s="7">
        <f>SUMIF('Stock - Puerto Chile'!$G$2:G973,'Rango proyecciones'!C332,'Stock - Puerto Chile'!$L$2:L973)</f>
        <v>31156.149599999997</v>
      </c>
      <c r="O332" s="7">
        <v>0</v>
      </c>
      <c r="P332" s="7">
        <v>0</v>
      </c>
      <c r="Q332" s="16">
        <f>H332 + M332 + N332 + L332</f>
        <v>73419.414600000004</v>
      </c>
      <c r="R332" s="7">
        <f t="shared" si="91"/>
        <v>9014.2714285714301</v>
      </c>
      <c r="S332" s="7">
        <f>SUMIF('Stock - ETA'!$F$3:F4963,'Rango proyecciones'!C332,'Stock - ETA'!$H$3:H4963)</f>
        <v>37004.94</v>
      </c>
      <c r="T332" s="7">
        <f>SUMIF('Stock - Puerto Chile'!$G$2:G973,'Rango proyecciones'!C332,'Stock - Puerto Chile'!$N$2:N973)</f>
        <v>37387.379519999995</v>
      </c>
      <c r="U332" s="7">
        <v>0</v>
      </c>
      <c r="V332" s="7">
        <v>0</v>
      </c>
      <c r="W332" s="16">
        <f>H332 + S332 + R332 + T332</f>
        <v>83406.590948571422</v>
      </c>
      <c r="X332" s="4">
        <v>27314</v>
      </c>
      <c r="Y332" s="7">
        <v>27314</v>
      </c>
      <c r="Z332" s="18">
        <f>SUMIF('Stock - ETA'!$F$3:F4963,'Rango proyecciones'!C332,'Stock - ETA'!$S$3:S4963)</f>
        <v>0</v>
      </c>
      <c r="AA332" s="13">
        <f t="shared" si="92"/>
        <v>27314</v>
      </c>
      <c r="AB332" s="7">
        <f>SUMIF('Stock - ETA'!$F$3:F4963,'Rango proyecciones'!C332,'Stock - ETA'!$I$3:I4963)</f>
        <v>0</v>
      </c>
      <c r="AC332" s="16">
        <f t="shared" si="93"/>
        <v>27314</v>
      </c>
      <c r="AD332" s="4">
        <v>34606</v>
      </c>
      <c r="AE332" s="7">
        <f>SUMIF('Stock - ETA'!$F$3:F4963,'Rango proyecciones'!C332,'Stock - ETA'!$T$3:T4963)</f>
        <v>0</v>
      </c>
      <c r="AF332" s="16">
        <f>0.6 * AD332 + AE332</f>
        <v>20763.599999999999</v>
      </c>
      <c r="AG332" s="7">
        <f>SUMIF('Stock - ETA'!$F$3:F4963,'Rango proyecciones'!C332,'Stock - ETA'!$J$3:J4963)</f>
        <v>0</v>
      </c>
      <c r="AH332" s="16">
        <f>0.6 * AD332 + AG332</f>
        <v>20763.599999999999</v>
      </c>
      <c r="AI332" s="4"/>
    </row>
    <row r="333" spans="1:35" x14ac:dyDescent="0.2">
      <c r="A333" s="2"/>
      <c r="B333" s="2" t="s">
        <v>35</v>
      </c>
      <c r="C333" s="2" t="s">
        <v>563</v>
      </c>
      <c r="D333" s="2" t="s">
        <v>389</v>
      </c>
      <c r="E333" s="2">
        <v>1012504</v>
      </c>
      <c r="F333" s="2"/>
      <c r="G333" s="2"/>
      <c r="H333" s="4">
        <v>0</v>
      </c>
      <c r="I333" s="7">
        <v>0</v>
      </c>
      <c r="J333" s="7">
        <v>3000</v>
      </c>
      <c r="K333" s="7">
        <v>20.16</v>
      </c>
      <c r="L333" s="4">
        <f t="shared" si="90"/>
        <v>4469.76</v>
      </c>
      <c r="M333" s="7">
        <f>SUMIFS('Stock - ETA'!$R$3:R4963,'Stock - ETA'!$F$3:F4963,'Rango proyecciones'!C333,'Stock - ETA'!$AA$3:AA4963,'Rango proyecciones'!$AJ$5)</f>
        <v>24000</v>
      </c>
      <c r="N333" s="7">
        <f>SUMIF('Stock - Puerto Chile'!$G$2:G973,'Rango proyecciones'!C333,'Stock - Puerto Chile'!$L$2:L973)</f>
        <v>158400</v>
      </c>
      <c r="O333" s="7">
        <v>0</v>
      </c>
      <c r="P333" s="7">
        <v>0</v>
      </c>
      <c r="Q333" s="16">
        <f>H333 + P333 + M333</f>
        <v>24000</v>
      </c>
      <c r="R333" s="7">
        <f t="shared" si="91"/>
        <v>7662.4457142857154</v>
      </c>
      <c r="S333" s="7">
        <f>SUMIFS('Stock - ETA'!$H$3:H4963,'Stock - ETA'!$F$3:F4963,'Rango proyecciones'!C333,'Stock - ETA'!$Q$3:Q4963,'Rango proyecciones'!$AJ$5)</f>
        <v>24000</v>
      </c>
      <c r="T333" s="7">
        <f>SUMIF('Stock - Puerto Chile'!$G$2:G973,'Rango proyecciones'!C333,'Stock - Puerto Chile'!$N$2:N973)</f>
        <v>190080</v>
      </c>
      <c r="U333" s="7">
        <v>0</v>
      </c>
      <c r="V333" s="7">
        <v>0</v>
      </c>
      <c r="W333" s="17">
        <f>H333 + V333 + S333 + U333</f>
        <v>24000</v>
      </c>
      <c r="X333" s="4">
        <v>21320</v>
      </c>
      <c r="Y333" s="7">
        <v>21320</v>
      </c>
      <c r="Z333" s="18">
        <f>SUMIFS('Stock - ETA'!$S$3:S4963,'Stock - ETA'!$F$3:F4963,'Rango proyecciones'!C333,'Stock - ETA'!$AA$3:AA4963,'Rango proyecciones'!$AJ$5) + SUMIFS('Stock - ETA'!$R$3:R4963,'Stock - ETA'!$F$3:F4963,'Rango proyecciones'!C333,'Stock - ETA'!$AA$3:AA4963,'Rango proyecciones'!$AJ$7)</f>
        <v>0</v>
      </c>
      <c r="AA333" s="13">
        <f t="shared" si="92"/>
        <v>21320</v>
      </c>
      <c r="AB333" s="7">
        <f>SUMIFS('Stock - ETA'!$I$3:I4963,'Stock - ETA'!$F$3:F4963,'Rango proyecciones'!C333,'Stock - ETA'!$Q$3:Q4963,'Rango proyecciones'!$AJ$5) + SUMIFS('Stock - ETA'!$H$3:H4963,'Stock - ETA'!$F$3:F4963,'Rango proyecciones'!C333,'Stock - ETA'!$Q$3:Q4963,'Rango proyecciones'!$AJ$7)</f>
        <v>0</v>
      </c>
      <c r="AC333" s="16">
        <f t="shared" si="93"/>
        <v>21320</v>
      </c>
      <c r="AD333" s="4">
        <v>25135</v>
      </c>
      <c r="AE333" s="7">
        <f>SUMIFS('Stock - ETA'!$T$3:T4963,'Stock - ETA'!$F$3:F4963,'Rango proyecciones'!C333,'Stock - ETA'!$AA$3:AA4963,'Rango proyecciones'!$AJ$5) + SUMIFS('Stock - ETA'!$S$3:S4963,'Stock - ETA'!$F$3:F4963,'Rango proyecciones'!C333,'Stock - ETA'!$AA$3:AA4963,'Rango proyecciones'!$AJ$8)</f>
        <v>0</v>
      </c>
      <c r="AF333" s="16">
        <f>0.6 * AD333 + AE333</f>
        <v>15081</v>
      </c>
      <c r="AG333" s="7">
        <f>SUMIFS('Stock - ETA'!$J$3:J4963,'Stock - ETA'!$F$3:F4963,'Rango proyecciones'!C333,'Stock - ETA'!$Q$3:Q4963,'Rango proyecciones'!$AJ$5) + SUMIFS('Stock - ETA'!$I$3:I4963,'Stock - ETA'!$F$3:F4963,'Rango proyecciones'!C333,'Stock - ETA'!$Q$3:Q4963,'Rango proyecciones'!$AJ$8)</f>
        <v>0</v>
      </c>
      <c r="AH333" s="16">
        <f>0.6 * AD333 + AG333</f>
        <v>15081</v>
      </c>
      <c r="AI333" s="4"/>
    </row>
    <row r="334" spans="1:35" x14ac:dyDescent="0.2">
      <c r="A334" s="2"/>
      <c r="B334" s="2" t="s">
        <v>394</v>
      </c>
      <c r="C334" s="2" t="s">
        <v>564</v>
      </c>
      <c r="D334" s="2" t="s">
        <v>396</v>
      </c>
      <c r="E334" s="2">
        <v>1012012</v>
      </c>
      <c r="F334" s="2"/>
      <c r="G334" s="2"/>
      <c r="H334" s="4">
        <v>0</v>
      </c>
      <c r="I334" s="7">
        <v>0</v>
      </c>
      <c r="J334" s="7">
        <v>0</v>
      </c>
      <c r="K334" s="7">
        <v>0</v>
      </c>
      <c r="L334" s="4">
        <f t="shared" si="90"/>
        <v>0</v>
      </c>
      <c r="M334" s="7">
        <f>SUMIF('Stock - ETA'!$F$3:F4963,'Rango proyecciones'!C334,'Stock - ETA'!$R$3:R4963)</f>
        <v>0</v>
      </c>
      <c r="N334" s="7">
        <f>SUMIF('Stock - Puerto Chile'!$G$2:G973,'Rango proyecciones'!C334,'Stock - Puerto Chile'!$L$2:L973)</f>
        <v>0</v>
      </c>
      <c r="O334" s="7">
        <v>0</v>
      </c>
      <c r="P334" s="7">
        <v>0</v>
      </c>
      <c r="Q334" s="16">
        <f>H334 + M334 + N334 + L334</f>
        <v>0</v>
      </c>
      <c r="R334" s="7">
        <f t="shared" si="91"/>
        <v>0</v>
      </c>
      <c r="S334" s="7">
        <f>SUMIF('Stock - ETA'!$F$3:F4963,'Rango proyecciones'!C334,'Stock - ETA'!$H$3:H4963)</f>
        <v>0</v>
      </c>
      <c r="T334" s="7">
        <f>SUMIF('Stock - Puerto Chile'!$G$2:G973,'Rango proyecciones'!C334,'Stock - Puerto Chile'!$N$2:N973)</f>
        <v>0</v>
      </c>
      <c r="U334" s="7">
        <v>0</v>
      </c>
      <c r="V334" s="7">
        <v>0</v>
      </c>
      <c r="W334" s="16">
        <f>H334 + S334 + R334 + T334</f>
        <v>0</v>
      </c>
      <c r="X334" s="4"/>
      <c r="Y334" s="7"/>
      <c r="Z334" s="18">
        <f>SUMIF('Stock - ETA'!$F$3:F4963,'Rango proyecciones'!C334,'Stock - ETA'!$S$3:S4963)</f>
        <v>19394.88</v>
      </c>
      <c r="AA334" s="13">
        <f t="shared" si="92"/>
        <v>19394.88</v>
      </c>
      <c r="AB334" s="7">
        <f>SUMIF('Stock - ETA'!$F$3:F4963,'Rango proyecciones'!C334,'Stock - ETA'!$I$3:I4963)</f>
        <v>19394.88</v>
      </c>
      <c r="AC334" s="16">
        <f t="shared" si="93"/>
        <v>19394.88</v>
      </c>
      <c r="AD334" s="4"/>
      <c r="AE334" s="7">
        <f>SUMIF('Stock - ETA'!$F$3:F4963,'Rango proyecciones'!C334,'Stock - ETA'!$T$3:T4963)</f>
        <v>0</v>
      </c>
      <c r="AF334" s="16">
        <f>0.7 * AD334 + AE334</f>
        <v>0</v>
      </c>
      <c r="AG334" s="7">
        <f>SUMIF('Stock - ETA'!$F$3:F4963,'Rango proyecciones'!C334,'Stock - ETA'!$J$3:J4963)</f>
        <v>0</v>
      </c>
      <c r="AH334" s="16">
        <f>0.7 * AD334 + AG334</f>
        <v>0</v>
      </c>
      <c r="AI334" s="4"/>
    </row>
    <row r="335" spans="1:35" x14ac:dyDescent="0.2">
      <c r="A335" s="2"/>
      <c r="B335" s="2" t="s">
        <v>35</v>
      </c>
      <c r="C335" s="2" t="s">
        <v>565</v>
      </c>
      <c r="D335" s="2" t="s">
        <v>389</v>
      </c>
      <c r="E335" s="2">
        <v>1012502</v>
      </c>
      <c r="F335" s="2"/>
      <c r="G335" s="2"/>
      <c r="H335" s="4">
        <v>0</v>
      </c>
      <c r="I335" s="7">
        <v>0</v>
      </c>
      <c r="J335" s="7">
        <v>1000</v>
      </c>
      <c r="K335" s="7">
        <v>382.46</v>
      </c>
      <c r="L335" s="4">
        <f t="shared" si="90"/>
        <v>926.31</v>
      </c>
      <c r="M335" s="7">
        <f>SUMIFS('Stock - ETA'!$R$3:R4963,'Stock - ETA'!$F$3:F4963,'Rango proyecciones'!C335,'Stock - ETA'!$AA$3:AA4963,'Rango proyecciones'!$AJ$5)</f>
        <v>0</v>
      </c>
      <c r="N335" s="7">
        <f>SUMIF('Stock - Puerto Chile'!$G$2:G973,'Rango proyecciones'!C335,'Stock - Puerto Chile'!$L$2:L973)</f>
        <v>99624</v>
      </c>
      <c r="O335" s="7">
        <v>0</v>
      </c>
      <c r="P335" s="7">
        <v>0</v>
      </c>
      <c r="Q335" s="16">
        <f>H335 + P335 + M335</f>
        <v>0</v>
      </c>
      <c r="R335" s="7">
        <f t="shared" si="91"/>
        <v>1587.96</v>
      </c>
      <c r="S335" s="7">
        <f>SUMIFS('Stock - ETA'!$H$3:H4963,'Stock - ETA'!$F$3:F4963,'Rango proyecciones'!C335,'Stock - ETA'!$Q$3:Q4963,'Rango proyecciones'!$AJ$5)</f>
        <v>0</v>
      </c>
      <c r="T335" s="7">
        <f>SUMIF('Stock - Puerto Chile'!$G$2:G973,'Rango proyecciones'!C335,'Stock - Puerto Chile'!$N$2:N973)</f>
        <v>119548.79999999999</v>
      </c>
      <c r="U335" s="7">
        <v>0</v>
      </c>
      <c r="V335" s="7">
        <v>0</v>
      </c>
      <c r="W335" s="17">
        <f>H335 + V335 + S335 + U335</f>
        <v>0</v>
      </c>
      <c r="X335" s="4">
        <v>9377</v>
      </c>
      <c r="Y335" s="7">
        <v>9377</v>
      </c>
      <c r="Z335" s="18">
        <f>SUMIFS('Stock - ETA'!$S$3:S4963,'Stock - ETA'!$F$3:F4963,'Rango proyecciones'!C335,'Stock - ETA'!$AA$3:AA4963,'Rango proyecciones'!$AJ$5) + SUMIFS('Stock - ETA'!$R$3:R4963,'Stock - ETA'!$F$3:F4963,'Rango proyecciones'!C335,'Stock - ETA'!$AA$3:AA4963,'Rango proyecciones'!$AJ$7)</f>
        <v>23720</v>
      </c>
      <c r="AA335" s="13">
        <f t="shared" si="92"/>
        <v>33097</v>
      </c>
      <c r="AB335" s="7">
        <f>SUMIFS('Stock - ETA'!$I$3:I4963,'Stock - ETA'!$F$3:F4963,'Rango proyecciones'!C335,'Stock - ETA'!$Q$3:Q4963,'Rango proyecciones'!$AJ$5) + SUMIFS('Stock - ETA'!$H$3:H4963,'Stock - ETA'!$F$3:F4963,'Rango proyecciones'!C335,'Stock - ETA'!$Q$3:Q4963,'Rango proyecciones'!$AJ$7)</f>
        <v>23720</v>
      </c>
      <c r="AC335" s="16">
        <f t="shared" si="93"/>
        <v>33097</v>
      </c>
      <c r="AD335" s="4">
        <v>11055</v>
      </c>
      <c r="AE335" s="7">
        <f>SUMIFS('Stock - ETA'!$T$3:T4963,'Stock - ETA'!$F$3:F4963,'Rango proyecciones'!C335,'Stock - ETA'!$AA$3:AA4963,'Rango proyecciones'!$AJ$5) + SUMIFS('Stock - ETA'!$S$3:S4963,'Stock - ETA'!$F$3:F4963,'Rango proyecciones'!C335,'Stock - ETA'!$AA$3:AA4963,'Rango proyecciones'!$AJ$8)</f>
        <v>0</v>
      </c>
      <c r="AF335" s="16">
        <f>0.6 * AD335 + AE335</f>
        <v>6633</v>
      </c>
      <c r="AG335" s="7">
        <f>SUMIFS('Stock - ETA'!$J$3:J4963,'Stock - ETA'!$F$3:F4963,'Rango proyecciones'!C335,'Stock - ETA'!$Q$3:Q4963,'Rango proyecciones'!$AJ$5) + SUMIFS('Stock - ETA'!$I$3:I4963,'Stock - ETA'!$F$3:F4963,'Rango proyecciones'!C335,'Stock - ETA'!$Q$3:Q4963,'Rango proyecciones'!$AJ$8)</f>
        <v>0</v>
      </c>
      <c r="AH335" s="16">
        <f>0.6 * AD335 + AG335</f>
        <v>6633</v>
      </c>
      <c r="AI335" s="4"/>
    </row>
    <row r="336" spans="1:35" x14ac:dyDescent="0.2">
      <c r="A336" s="2"/>
      <c r="B336" s="2" t="s">
        <v>35</v>
      </c>
      <c r="C336" s="2" t="s">
        <v>566</v>
      </c>
      <c r="D336" s="2" t="s">
        <v>386</v>
      </c>
      <c r="E336" s="2">
        <v>1030684</v>
      </c>
      <c r="F336" s="2"/>
      <c r="G336" s="2"/>
      <c r="H336" s="4">
        <v>0</v>
      </c>
      <c r="I336" s="7">
        <v>0</v>
      </c>
      <c r="J336" s="7">
        <v>0</v>
      </c>
      <c r="K336" s="7">
        <v>0</v>
      </c>
      <c r="L336" s="4">
        <f t="shared" si="90"/>
        <v>0</v>
      </c>
      <c r="M336" s="7">
        <f>SUMIFS('Stock - ETA'!$R$3:R4963,'Stock - ETA'!$F$3:F4963,'Rango proyecciones'!C336,'Stock - ETA'!$AA$3:AA4963,'Rango proyecciones'!$AJ$5)</f>
        <v>24000</v>
      </c>
      <c r="N336" s="7">
        <f>SUMIF('Stock - Puerto Chile'!$G$2:G973,'Rango proyecciones'!C336,'Stock - Puerto Chile'!$L$2:L973)</f>
        <v>0</v>
      </c>
      <c r="O336" s="7">
        <v>0</v>
      </c>
      <c r="P336" s="7">
        <v>0</v>
      </c>
      <c r="Q336" s="16">
        <f>H336 + P336 + M336</f>
        <v>24000</v>
      </c>
      <c r="R336" s="7">
        <f t="shared" si="91"/>
        <v>0</v>
      </c>
      <c r="S336" s="7">
        <f>SUMIFS('Stock - ETA'!$H$3:H4963,'Stock - ETA'!$F$3:F4963,'Rango proyecciones'!C336,'Stock - ETA'!$Q$3:Q4963,'Rango proyecciones'!$AJ$5)</f>
        <v>24000</v>
      </c>
      <c r="T336" s="7">
        <f>SUMIF('Stock - Puerto Chile'!$G$2:G973,'Rango proyecciones'!C336,'Stock - Puerto Chile'!$N$2:N973)</f>
        <v>0</v>
      </c>
      <c r="U336" s="7">
        <v>0</v>
      </c>
      <c r="V336" s="7">
        <v>0</v>
      </c>
      <c r="W336" s="17">
        <f>H336 + V336 + S336 + U336</f>
        <v>24000</v>
      </c>
      <c r="X336" s="4"/>
      <c r="Y336" s="7"/>
      <c r="Z336" s="18">
        <f>SUMIFS('Stock - ETA'!$S$3:S4963,'Stock - ETA'!$F$3:F4963,'Rango proyecciones'!C336,'Stock - ETA'!$AA$3:AA4963,'Rango proyecciones'!$AJ$5) + SUMIFS('Stock - ETA'!$R$3:R4963,'Stock - ETA'!$F$3:F4963,'Rango proyecciones'!C336,'Stock - ETA'!$AA$3:AA4963,'Rango proyecciones'!$AJ$7)</f>
        <v>0</v>
      </c>
      <c r="AA336" s="13">
        <f t="shared" si="92"/>
        <v>0</v>
      </c>
      <c r="AB336" s="7">
        <f>SUMIFS('Stock - ETA'!$I$3:I4963,'Stock - ETA'!$F$3:F4963,'Rango proyecciones'!C336,'Stock - ETA'!$Q$3:Q4963,'Rango proyecciones'!$AJ$5) + SUMIFS('Stock - ETA'!$H$3:H4963,'Stock - ETA'!$F$3:F4963,'Rango proyecciones'!C336,'Stock - ETA'!$Q$3:Q4963,'Rango proyecciones'!$AJ$7)</f>
        <v>0</v>
      </c>
      <c r="AC336" s="16">
        <f t="shared" si="93"/>
        <v>0</v>
      </c>
      <c r="AD336" s="4"/>
      <c r="AE336" s="7">
        <f>SUMIFS('Stock - ETA'!$T$3:T4963,'Stock - ETA'!$F$3:F4963,'Rango proyecciones'!C336,'Stock - ETA'!$AA$3:AA4963,'Rango proyecciones'!$AJ$5) + SUMIFS('Stock - ETA'!$S$3:S4963,'Stock - ETA'!$F$3:F4963,'Rango proyecciones'!C336,'Stock - ETA'!$AA$3:AA4963,'Rango proyecciones'!$AJ$8)</f>
        <v>0</v>
      </c>
      <c r="AF336" s="16">
        <f>0.7 * AD336 + AE336</f>
        <v>0</v>
      </c>
      <c r="AG336" s="7">
        <f>SUMIFS('Stock - ETA'!$J$3:J4963,'Stock - ETA'!$F$3:F4963,'Rango proyecciones'!C336,'Stock - ETA'!$Q$3:Q4963,'Rango proyecciones'!$AJ$5) + SUMIFS('Stock - ETA'!$I$3:I4963,'Stock - ETA'!$F$3:F4963,'Rango proyecciones'!C336,'Stock - ETA'!$Q$3:Q4963,'Rango proyecciones'!$AJ$8)</f>
        <v>0</v>
      </c>
      <c r="AH336" s="16">
        <f>0.7 * AD336 + AG336</f>
        <v>0</v>
      </c>
      <c r="AI336" s="4"/>
    </row>
    <row r="337" spans="1:35" x14ac:dyDescent="0.2">
      <c r="A337" s="2"/>
      <c r="B337" s="2" t="s">
        <v>394</v>
      </c>
      <c r="C337" s="2" t="s">
        <v>567</v>
      </c>
      <c r="D337" s="2" t="s">
        <v>485</v>
      </c>
      <c r="E337" s="2">
        <v>1012744</v>
      </c>
      <c r="F337" s="2"/>
      <c r="G337" s="2"/>
      <c r="H337" s="4">
        <v>0</v>
      </c>
      <c r="I337" s="7">
        <v>0</v>
      </c>
      <c r="J337" s="7">
        <v>0</v>
      </c>
      <c r="K337" s="7">
        <v>0</v>
      </c>
      <c r="L337" s="4">
        <f t="shared" si="90"/>
        <v>0</v>
      </c>
      <c r="M337" s="7">
        <f>SUMIF('Stock - ETA'!$F$3:F4963,'Rango proyecciones'!C337,'Stock - ETA'!$R$3:R4963)</f>
        <v>23986.44</v>
      </c>
      <c r="N337" s="7">
        <f>SUMIF('Stock - Puerto Chile'!$G$2:G973,'Rango proyecciones'!C337,'Stock - Puerto Chile'!$L$2:L973)</f>
        <v>0</v>
      </c>
      <c r="O337" s="7">
        <v>0</v>
      </c>
      <c r="P337" s="7">
        <v>0</v>
      </c>
      <c r="Q337" s="16">
        <f>H337 + M337 + N337 + L337</f>
        <v>23986.44</v>
      </c>
      <c r="R337" s="7">
        <f t="shared" si="91"/>
        <v>0</v>
      </c>
      <c r="S337" s="7">
        <f>SUMIF('Stock - ETA'!$F$3:F4963,'Rango proyecciones'!C337,'Stock - ETA'!$H$3:H4963)</f>
        <v>23986.44</v>
      </c>
      <c r="T337" s="7">
        <f>SUMIF('Stock - Puerto Chile'!$G$2:G973,'Rango proyecciones'!C337,'Stock - Puerto Chile'!$N$2:N973)</f>
        <v>0</v>
      </c>
      <c r="U337" s="7">
        <v>0</v>
      </c>
      <c r="V337" s="7">
        <v>0</v>
      </c>
      <c r="W337" s="16">
        <f>H337 + S337 + R337 + T337</f>
        <v>23986.44</v>
      </c>
      <c r="X337" s="4"/>
      <c r="Y337" s="7"/>
      <c r="Z337" s="18">
        <f>SUMIF('Stock - ETA'!$F$3:F4963,'Rango proyecciones'!C337,'Stock - ETA'!$S$3:S4963)</f>
        <v>0</v>
      </c>
      <c r="AA337" s="13">
        <f t="shared" si="92"/>
        <v>0</v>
      </c>
      <c r="AB337" s="7">
        <f>SUMIF('Stock - ETA'!$F$3:F4963,'Rango proyecciones'!C337,'Stock - ETA'!$I$3:I4963)</f>
        <v>0</v>
      </c>
      <c r="AC337" s="16">
        <f t="shared" si="93"/>
        <v>0</v>
      </c>
      <c r="AD337" s="4"/>
      <c r="AE337" s="7">
        <f>SUMIF('Stock - ETA'!$F$3:F4963,'Rango proyecciones'!C337,'Stock - ETA'!$T$3:T4963)</f>
        <v>0</v>
      </c>
      <c r="AF337" s="16">
        <f>0.6 * AD337 + AE337</f>
        <v>0</v>
      </c>
      <c r="AG337" s="7">
        <f>SUMIF('Stock - ETA'!$F$3:F4963,'Rango proyecciones'!C337,'Stock - ETA'!$J$3:J4963)</f>
        <v>0</v>
      </c>
      <c r="AH337" s="16">
        <f>0.6 * AD337 + AG337</f>
        <v>0</v>
      </c>
      <c r="AI337" s="4"/>
    </row>
    <row r="338" spans="1:35" x14ac:dyDescent="0.2">
      <c r="A338" s="2"/>
      <c r="B338" s="2" t="s">
        <v>35</v>
      </c>
      <c r="C338" s="2" t="s">
        <v>568</v>
      </c>
      <c r="D338" s="2" t="s">
        <v>386</v>
      </c>
      <c r="E338" s="2">
        <v>1022097</v>
      </c>
      <c r="F338" s="2"/>
      <c r="G338" s="2"/>
      <c r="H338" s="4">
        <v>0</v>
      </c>
      <c r="I338" s="7">
        <v>0</v>
      </c>
      <c r="J338" s="7">
        <v>0</v>
      </c>
      <c r="K338" s="7">
        <v>0</v>
      </c>
      <c r="L338" s="4">
        <f t="shared" si="90"/>
        <v>0</v>
      </c>
      <c r="M338" s="7">
        <f>SUMIFS('Stock - ETA'!$R$3:R4963,'Stock - ETA'!$F$3:F4963,'Rango proyecciones'!C338,'Stock - ETA'!$AA$3:AA4963,'Rango proyecciones'!$AJ$5)</f>
        <v>24001.439999999999</v>
      </c>
      <c r="N338" s="7">
        <f>SUMIF('Stock - Puerto Chile'!$G$2:G973,'Rango proyecciones'!C338,'Stock - Puerto Chile'!$L$2:L973)</f>
        <v>0</v>
      </c>
      <c r="O338" s="7">
        <v>0</v>
      </c>
      <c r="P338" s="7">
        <v>0</v>
      </c>
      <c r="Q338" s="16">
        <f>H338 + P338 + M338</f>
        <v>24001.439999999999</v>
      </c>
      <c r="R338" s="7">
        <f t="shared" si="91"/>
        <v>0</v>
      </c>
      <c r="S338" s="7">
        <f>SUMIFS('Stock - ETA'!$H$3:H4963,'Stock - ETA'!$F$3:F4963,'Rango proyecciones'!C338,'Stock - ETA'!$Q$3:Q4963,'Rango proyecciones'!$AJ$5)</f>
        <v>24001.439999999999</v>
      </c>
      <c r="T338" s="7">
        <f>SUMIF('Stock - Puerto Chile'!$G$2:G973,'Rango proyecciones'!C338,'Stock - Puerto Chile'!$N$2:N973)</f>
        <v>0</v>
      </c>
      <c r="U338" s="7">
        <v>0</v>
      </c>
      <c r="V338" s="7">
        <v>0</v>
      </c>
      <c r="W338" s="17">
        <f>H338 + V338 + S338 + U338</f>
        <v>24001.439999999999</v>
      </c>
      <c r="X338" s="4">
        <v>20000</v>
      </c>
      <c r="Y338" s="7">
        <v>20000</v>
      </c>
      <c r="Z338" s="18">
        <f>SUMIFS('Stock - ETA'!$S$3:S4963,'Stock - ETA'!$F$3:F4963,'Rango proyecciones'!C338,'Stock - ETA'!$AA$3:AA4963,'Rango proyecciones'!$AJ$5) + SUMIFS('Stock - ETA'!$R$3:R4963,'Stock - ETA'!$F$3:F4963,'Rango proyecciones'!C338,'Stock - ETA'!$AA$3:AA4963,'Rango proyecciones'!$AJ$7)</f>
        <v>0</v>
      </c>
      <c r="AA338" s="13">
        <f t="shared" si="92"/>
        <v>20000</v>
      </c>
      <c r="AB338" s="7">
        <f>SUMIFS('Stock - ETA'!$I$3:I4963,'Stock - ETA'!$F$3:F4963,'Rango proyecciones'!C338,'Stock - ETA'!$Q$3:Q4963,'Rango proyecciones'!$AJ$5) + SUMIFS('Stock - ETA'!$H$3:H4963,'Stock - ETA'!$F$3:F4963,'Rango proyecciones'!C338,'Stock - ETA'!$Q$3:Q4963,'Rango proyecciones'!$AJ$7)</f>
        <v>0</v>
      </c>
      <c r="AC338" s="16">
        <f t="shared" si="93"/>
        <v>20000</v>
      </c>
      <c r="AD338" s="4"/>
      <c r="AE338" s="7">
        <f>SUMIFS('Stock - ETA'!$T$3:T4963,'Stock - ETA'!$F$3:F4963,'Rango proyecciones'!C338,'Stock - ETA'!$AA$3:AA4963,'Rango proyecciones'!$AJ$5) + SUMIFS('Stock - ETA'!$S$3:S4963,'Stock - ETA'!$F$3:F4963,'Rango proyecciones'!C338,'Stock - ETA'!$AA$3:AA4963,'Rango proyecciones'!$AJ$8)</f>
        <v>0</v>
      </c>
      <c r="AF338" s="16">
        <f>0.7 * AD338 + AE338</f>
        <v>0</v>
      </c>
      <c r="AG338" s="7">
        <f>SUMIFS('Stock - ETA'!$J$3:J4963,'Stock - ETA'!$F$3:F4963,'Rango proyecciones'!C338,'Stock - ETA'!$Q$3:Q4963,'Rango proyecciones'!$AJ$5) + SUMIFS('Stock - ETA'!$I$3:I4963,'Stock - ETA'!$F$3:F4963,'Rango proyecciones'!C338,'Stock - ETA'!$Q$3:Q4963,'Rango proyecciones'!$AJ$8)</f>
        <v>0</v>
      </c>
      <c r="AH338" s="16">
        <f>0.7 * AD338 + AG338</f>
        <v>0</v>
      </c>
      <c r="AI338" s="4"/>
    </row>
    <row r="339" spans="1:35" x14ac:dyDescent="0.2">
      <c r="A339" s="2"/>
      <c r="B339" s="2" t="s">
        <v>35</v>
      </c>
      <c r="C339" s="2" t="s">
        <v>569</v>
      </c>
      <c r="D339" s="2" t="s">
        <v>389</v>
      </c>
      <c r="E339" s="2">
        <v>1023110</v>
      </c>
      <c r="F339" s="2"/>
      <c r="G339" s="2"/>
      <c r="H339" s="4">
        <v>0</v>
      </c>
      <c r="I339" s="7">
        <v>0</v>
      </c>
      <c r="J339" s="7">
        <v>0</v>
      </c>
      <c r="K339" s="7">
        <v>0</v>
      </c>
      <c r="L339" s="4">
        <f t="shared" si="90"/>
        <v>0</v>
      </c>
      <c r="M339" s="7">
        <f>SUMIFS('Stock - ETA'!$R$3:R4963,'Stock - ETA'!$F$3:F4963,'Rango proyecciones'!C339,'Stock - ETA'!$AA$3:AA4963,'Rango proyecciones'!$AJ$5)</f>
        <v>24231.32</v>
      </c>
      <c r="N339" s="7">
        <f>SUMIF('Stock - Puerto Chile'!$G$2:G973,'Rango proyecciones'!C339,'Stock - Puerto Chile'!$L$2:L973)</f>
        <v>0</v>
      </c>
      <c r="O339" s="7">
        <v>0</v>
      </c>
      <c r="P339" s="7">
        <v>0</v>
      </c>
      <c r="Q339" s="16">
        <f>H339 + P339 + M339</f>
        <v>24231.32</v>
      </c>
      <c r="R339" s="7">
        <f t="shared" si="91"/>
        <v>0</v>
      </c>
      <c r="S339" s="7">
        <f>SUMIFS('Stock - ETA'!$H$3:H4963,'Stock - ETA'!$F$3:F4963,'Rango proyecciones'!C339,'Stock - ETA'!$Q$3:Q4963,'Rango proyecciones'!$AJ$5)</f>
        <v>24231.32</v>
      </c>
      <c r="T339" s="7">
        <f>SUMIF('Stock - Puerto Chile'!$G$2:G973,'Rango proyecciones'!C339,'Stock - Puerto Chile'!$N$2:N973)</f>
        <v>0</v>
      </c>
      <c r="U339" s="7">
        <v>0</v>
      </c>
      <c r="V339" s="7">
        <v>0</v>
      </c>
      <c r="W339" s="17">
        <f>H339 + V339 + S339 + U339</f>
        <v>24231.32</v>
      </c>
      <c r="X339" s="4"/>
      <c r="Y339" s="7"/>
      <c r="Z339" s="18">
        <f>SUMIFS('Stock - ETA'!$S$3:S4963,'Stock - ETA'!$F$3:F4963,'Rango proyecciones'!C339,'Stock - ETA'!$AA$3:AA4963,'Rango proyecciones'!$AJ$5) + SUMIFS('Stock - ETA'!$R$3:R4963,'Stock - ETA'!$F$3:F4963,'Rango proyecciones'!C339,'Stock - ETA'!$AA$3:AA4963,'Rango proyecciones'!$AJ$7)</f>
        <v>0</v>
      </c>
      <c r="AA339" s="13">
        <f t="shared" si="92"/>
        <v>0</v>
      </c>
      <c r="AB339" s="7">
        <f>SUMIFS('Stock - ETA'!$I$3:I4963,'Stock - ETA'!$F$3:F4963,'Rango proyecciones'!C339,'Stock - ETA'!$Q$3:Q4963,'Rango proyecciones'!$AJ$5) + SUMIFS('Stock - ETA'!$H$3:H4963,'Stock - ETA'!$F$3:F4963,'Rango proyecciones'!C339,'Stock - ETA'!$Q$3:Q4963,'Rango proyecciones'!$AJ$7)</f>
        <v>0</v>
      </c>
      <c r="AC339" s="16">
        <f t="shared" si="93"/>
        <v>0</v>
      </c>
      <c r="AD339" s="4"/>
      <c r="AE339" s="7">
        <f>SUMIFS('Stock - ETA'!$T$3:T4963,'Stock - ETA'!$F$3:F4963,'Rango proyecciones'!C339,'Stock - ETA'!$AA$3:AA4963,'Rango proyecciones'!$AJ$5) + SUMIFS('Stock - ETA'!$S$3:S4963,'Stock - ETA'!$F$3:F4963,'Rango proyecciones'!C339,'Stock - ETA'!$AA$3:AA4963,'Rango proyecciones'!$AJ$8)</f>
        <v>0</v>
      </c>
      <c r="AF339" s="16">
        <f>0.6 * AD339 + AE339</f>
        <v>0</v>
      </c>
      <c r="AG339" s="7">
        <f>SUMIFS('Stock - ETA'!$J$3:J4963,'Stock - ETA'!$F$3:F4963,'Rango proyecciones'!C339,'Stock - ETA'!$Q$3:Q4963,'Rango proyecciones'!$AJ$5) + SUMIFS('Stock - ETA'!$I$3:I4963,'Stock - ETA'!$F$3:F4963,'Rango proyecciones'!C339,'Stock - ETA'!$Q$3:Q4963,'Rango proyecciones'!$AJ$8)</f>
        <v>0</v>
      </c>
      <c r="AH339" s="16">
        <f>0.6 * AD339 + AG339</f>
        <v>0</v>
      </c>
      <c r="AI339" s="4"/>
    </row>
    <row r="340" spans="1:35" x14ac:dyDescent="0.2">
      <c r="A340" s="2"/>
      <c r="B340" s="2" t="s">
        <v>35</v>
      </c>
      <c r="C340" s="2" t="s">
        <v>570</v>
      </c>
      <c r="D340" s="2" t="s">
        <v>409</v>
      </c>
      <c r="E340" s="2">
        <v>1012488</v>
      </c>
      <c r="F340" s="2"/>
      <c r="G340" s="2"/>
      <c r="H340" s="4">
        <v>0</v>
      </c>
      <c r="I340" s="7">
        <v>0</v>
      </c>
      <c r="J340" s="7">
        <v>0</v>
      </c>
      <c r="K340" s="7">
        <v>0</v>
      </c>
      <c r="L340" s="4">
        <f t="shared" si="90"/>
        <v>0</v>
      </c>
      <c r="M340" s="7">
        <f>SUMIFS('Stock - ETA'!$R$3:R4963,'Stock - ETA'!$F$3:F4963,'Rango proyecciones'!C340,'Stock - ETA'!$AA$3:AA4963,'Rango proyecciones'!$AJ$5)</f>
        <v>0</v>
      </c>
      <c r="N340" s="7">
        <f>SUMIF('Stock - Puerto Chile'!$G$2:G973,'Rango proyecciones'!C340,'Stock - Puerto Chile'!$L$2:L973)</f>
        <v>0</v>
      </c>
      <c r="O340" s="7">
        <v>0</v>
      </c>
      <c r="P340" s="7">
        <v>0</v>
      </c>
      <c r="Q340" s="16">
        <f>H340 + P340 + M340</f>
        <v>0</v>
      </c>
      <c r="R340" s="7">
        <f t="shared" si="91"/>
        <v>0</v>
      </c>
      <c r="S340" s="7">
        <f>SUMIFS('Stock - ETA'!$H$3:H4963,'Stock - ETA'!$F$3:F4963,'Rango proyecciones'!C340,'Stock - ETA'!$Q$3:Q4963,'Rango proyecciones'!$AJ$5)</f>
        <v>0</v>
      </c>
      <c r="T340" s="7">
        <f>SUMIF('Stock - Puerto Chile'!$G$2:G973,'Rango proyecciones'!C340,'Stock - Puerto Chile'!$N$2:N973)</f>
        <v>0</v>
      </c>
      <c r="U340" s="7">
        <v>0</v>
      </c>
      <c r="V340" s="7">
        <v>0</v>
      </c>
      <c r="W340" s="17">
        <f>H340 + V340 + S340 + U340</f>
        <v>0</v>
      </c>
      <c r="X340" s="4"/>
      <c r="Y340" s="7"/>
      <c r="Z340" s="18">
        <f>SUMIFS('Stock - ETA'!$S$3:S4963,'Stock - ETA'!$F$3:F4963,'Rango proyecciones'!C340,'Stock - ETA'!$AA$3:AA4963,'Rango proyecciones'!$AJ$5) + SUMIFS('Stock - ETA'!$R$3:R4963,'Stock - ETA'!$F$3:F4963,'Rango proyecciones'!C340,'Stock - ETA'!$AA$3:AA4963,'Rango proyecciones'!$AJ$7)</f>
        <v>0</v>
      </c>
      <c r="AA340" s="13">
        <f t="shared" si="92"/>
        <v>0</v>
      </c>
      <c r="AB340" s="7">
        <f>SUMIFS('Stock - ETA'!$I$3:I4963,'Stock - ETA'!$F$3:F4963,'Rango proyecciones'!C340,'Stock - ETA'!$Q$3:Q4963,'Rango proyecciones'!$AJ$5) + SUMIFS('Stock - ETA'!$H$3:H4963,'Stock - ETA'!$F$3:F4963,'Rango proyecciones'!C340,'Stock - ETA'!$Q$3:Q4963,'Rango proyecciones'!$AJ$7)</f>
        <v>0</v>
      </c>
      <c r="AC340" s="16">
        <f t="shared" si="93"/>
        <v>0</v>
      </c>
      <c r="AD340" s="4"/>
      <c r="AE340" s="7">
        <f>SUMIFS('Stock - ETA'!$T$3:T4963,'Stock - ETA'!$F$3:F4963,'Rango proyecciones'!C340,'Stock - ETA'!$AA$3:AA4963,'Rango proyecciones'!$AJ$5) + SUMIFS('Stock - ETA'!$S$3:S4963,'Stock - ETA'!$F$3:F4963,'Rango proyecciones'!C340,'Stock - ETA'!$AA$3:AA4963,'Rango proyecciones'!$AJ$8)</f>
        <v>19849.18592</v>
      </c>
      <c r="AF340" s="16">
        <f>0.6 * AD340 + AE340</f>
        <v>19849.18592</v>
      </c>
      <c r="AG340" s="7">
        <f>SUMIFS('Stock - ETA'!$J$3:J4963,'Stock - ETA'!$F$3:F4963,'Rango proyecciones'!C340,'Stock - ETA'!$Q$3:Q4963,'Rango proyecciones'!$AJ$5) + SUMIFS('Stock - ETA'!$I$3:I4963,'Stock - ETA'!$F$3:F4963,'Rango proyecciones'!C340,'Stock - ETA'!$Q$3:Q4963,'Rango proyecciones'!$AJ$8)</f>
        <v>19849.18592</v>
      </c>
      <c r="AH340" s="16">
        <f>0.6 * AD340 + AG340</f>
        <v>19849.18592</v>
      </c>
      <c r="AI340" s="4"/>
    </row>
    <row r="341" spans="1:35" x14ac:dyDescent="0.2">
      <c r="A341" s="2"/>
      <c r="B341" s="2" t="s">
        <v>394</v>
      </c>
      <c r="C341" s="2" t="s">
        <v>571</v>
      </c>
      <c r="D341" s="2" t="s">
        <v>396</v>
      </c>
      <c r="E341" s="2">
        <v>1020660</v>
      </c>
      <c r="F341" s="2"/>
      <c r="G341" s="2"/>
      <c r="H341" s="4">
        <v>0</v>
      </c>
      <c r="I341" s="7">
        <v>0</v>
      </c>
      <c r="J341" s="7">
        <v>0</v>
      </c>
      <c r="K341" s="7">
        <v>0</v>
      </c>
      <c r="L341" s="4">
        <f t="shared" si="90"/>
        <v>0</v>
      </c>
      <c r="M341" s="7">
        <f>SUMIF('Stock - ETA'!$F$3:F4963,'Rango proyecciones'!C341,'Stock - ETA'!$R$3:R4963)</f>
        <v>0</v>
      </c>
      <c r="N341" s="7">
        <f>SUMIF('Stock - Puerto Chile'!$G$2:G973,'Rango proyecciones'!C341,'Stock - Puerto Chile'!$L$2:L973)</f>
        <v>0</v>
      </c>
      <c r="O341" s="7">
        <v>0</v>
      </c>
      <c r="P341" s="7">
        <v>0</v>
      </c>
      <c r="Q341" s="16">
        <f>H341 + M341 + N341 + L341</f>
        <v>0</v>
      </c>
      <c r="R341" s="7">
        <f t="shared" si="91"/>
        <v>0</v>
      </c>
      <c r="S341" s="7">
        <f>SUMIF('Stock - ETA'!$F$3:F4963,'Rango proyecciones'!C341,'Stock - ETA'!$H$3:H4963)</f>
        <v>0</v>
      </c>
      <c r="T341" s="7">
        <f>SUMIF('Stock - Puerto Chile'!$G$2:G973,'Rango proyecciones'!C341,'Stock - Puerto Chile'!$N$2:N973)</f>
        <v>0</v>
      </c>
      <c r="U341" s="7">
        <v>0</v>
      </c>
      <c r="V341" s="7">
        <v>0</v>
      </c>
      <c r="W341" s="16">
        <f>H341 + S341 + R341 + T341</f>
        <v>0</v>
      </c>
      <c r="X341" s="4"/>
      <c r="Y341" s="7"/>
      <c r="Z341" s="18">
        <f>SUMIF('Stock - ETA'!$F$3:F4963,'Rango proyecciones'!C341,'Stock - ETA'!$S$3:S4963)</f>
        <v>0</v>
      </c>
      <c r="AA341" s="13">
        <f t="shared" si="92"/>
        <v>0</v>
      </c>
      <c r="AB341" s="7">
        <f>SUMIF('Stock - ETA'!$F$3:F4963,'Rango proyecciones'!C341,'Stock - ETA'!$I$3:I4963)</f>
        <v>0</v>
      </c>
      <c r="AC341" s="16">
        <f t="shared" si="93"/>
        <v>0</v>
      </c>
      <c r="AD341" s="4"/>
      <c r="AE341" s="7">
        <f>SUMIF('Stock - ETA'!$F$3:F4963,'Rango proyecciones'!C341,'Stock - ETA'!$T$3:T4963)</f>
        <v>23981.51</v>
      </c>
      <c r="AF341" s="16">
        <f>0.7 * AD341 + AE341</f>
        <v>23981.51</v>
      </c>
      <c r="AG341" s="7">
        <f>SUMIF('Stock - ETA'!$F$3:F4963,'Rango proyecciones'!C341,'Stock - ETA'!$J$3:J4963)</f>
        <v>23981.51</v>
      </c>
      <c r="AH341" s="16">
        <f>0.7 * AD341 + AG341</f>
        <v>23981.51</v>
      </c>
      <c r="AI341" s="4"/>
    </row>
  </sheetData>
  <autoFilter ref="A2:Q341" xr:uid="{00000000-0001-0000-0000-000000000000}"/>
  <mergeCells count="3">
    <mergeCell ref="L1:W1"/>
    <mergeCell ref="X1:AC1"/>
    <mergeCell ref="AD1:AH1"/>
  </mergeCells>
  <conditionalFormatting sqref="C2:C341">
    <cfRule type="duplicateValues" dxfId="3" priority="3"/>
  </conditionalFormatting>
  <conditionalFormatting sqref="E2:E341">
    <cfRule type="duplicateValues" dxfId="2" priority="2"/>
  </conditionalFormatting>
  <conditionalFormatting sqref="C1:C1048576">
    <cfRule type="duplicateValues" dxfId="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6"/>
  <sheetViews>
    <sheetView topLeftCell="A426" workbookViewId="0"/>
  </sheetViews>
  <sheetFormatPr baseColWidth="10" defaultColWidth="8.83203125" defaultRowHeight="15" x14ac:dyDescent="0.2"/>
  <cols>
    <col min="1" max="1" width="10" customWidth="1"/>
    <col min="2" max="2" width="16" customWidth="1"/>
    <col min="3" max="3" width="10" customWidth="1"/>
    <col min="4" max="4" width="33" customWidth="1"/>
    <col min="5" max="5" width="16" customWidth="1"/>
    <col min="6" max="21" width="10" customWidth="1"/>
  </cols>
  <sheetData>
    <row r="1" spans="1:22" ht="25" customHeight="1" x14ac:dyDescent="0.2">
      <c r="F1" s="21" t="s">
        <v>17</v>
      </c>
      <c r="G1" s="23"/>
      <c r="H1" s="23"/>
      <c r="I1" s="23"/>
      <c r="J1" s="23"/>
      <c r="K1" s="23"/>
      <c r="L1" s="23"/>
      <c r="M1" s="24"/>
      <c r="N1" s="21" t="s">
        <v>572</v>
      </c>
      <c r="O1" s="23"/>
      <c r="P1" s="23"/>
      <c r="Q1" s="23"/>
      <c r="R1" s="23"/>
      <c r="S1" s="23"/>
      <c r="T1" s="23"/>
      <c r="U1" s="24"/>
    </row>
    <row r="2" spans="1:22" ht="25" customHeight="1" x14ac:dyDescent="0.2">
      <c r="F2" s="21" t="s">
        <v>573</v>
      </c>
      <c r="G2" s="23"/>
      <c r="H2" s="23"/>
      <c r="I2" s="24"/>
      <c r="J2" s="21" t="s">
        <v>574</v>
      </c>
      <c r="K2" s="23"/>
      <c r="L2" s="23"/>
      <c r="M2" s="24"/>
      <c r="N2" s="21" t="s">
        <v>573</v>
      </c>
      <c r="O2" s="23"/>
      <c r="P2" s="23"/>
      <c r="Q2" s="24"/>
      <c r="R2" s="21" t="s">
        <v>574</v>
      </c>
      <c r="S2" s="23"/>
      <c r="T2" s="23"/>
      <c r="U2" s="24"/>
    </row>
    <row r="3" spans="1:22" ht="48" x14ac:dyDescent="0.2">
      <c r="A3" s="1" t="s">
        <v>3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575</v>
      </c>
      <c r="G3" s="1" t="s">
        <v>576</v>
      </c>
      <c r="H3" s="1" t="s">
        <v>577</v>
      </c>
      <c r="I3" s="1" t="s">
        <v>578</v>
      </c>
      <c r="J3" s="1" t="s">
        <v>575</v>
      </c>
      <c r="K3" s="1" t="s">
        <v>576</v>
      </c>
      <c r="L3" s="1" t="s">
        <v>577</v>
      </c>
      <c r="M3" s="1" t="s">
        <v>578</v>
      </c>
      <c r="N3" s="1" t="s">
        <v>575</v>
      </c>
      <c r="O3" s="1" t="s">
        <v>576</v>
      </c>
      <c r="P3" s="1" t="s">
        <v>577</v>
      </c>
      <c r="Q3" s="1" t="s">
        <v>578</v>
      </c>
      <c r="R3" s="1" t="s">
        <v>575</v>
      </c>
      <c r="S3" s="1" t="s">
        <v>576</v>
      </c>
      <c r="T3" s="1" t="s">
        <v>577</v>
      </c>
      <c r="U3" s="1" t="s">
        <v>578</v>
      </c>
    </row>
    <row r="4" spans="1:22" x14ac:dyDescent="0.2">
      <c r="A4" s="2" t="s">
        <v>50</v>
      </c>
      <c r="B4" s="2" t="s">
        <v>52</v>
      </c>
      <c r="C4" s="2">
        <v>1030745</v>
      </c>
      <c r="D4" s="2" t="s">
        <v>53</v>
      </c>
      <c r="E4" s="3" t="s">
        <v>54</v>
      </c>
      <c r="F4" s="4">
        <v>0</v>
      </c>
      <c r="G4" s="5">
        <v>0</v>
      </c>
      <c r="H4" s="5">
        <v>0</v>
      </c>
      <c r="I4" s="6">
        <v>0</v>
      </c>
      <c r="J4" s="7">
        <v>18144</v>
      </c>
      <c r="K4" s="5">
        <v>14</v>
      </c>
      <c r="L4" s="5">
        <v>257</v>
      </c>
      <c r="M4" s="6">
        <v>18144</v>
      </c>
      <c r="N4" s="4">
        <v>0</v>
      </c>
      <c r="O4" s="5">
        <v>0</v>
      </c>
      <c r="P4" s="5">
        <v>0</v>
      </c>
      <c r="Q4" s="6">
        <v>0</v>
      </c>
      <c r="R4" s="7">
        <v>0</v>
      </c>
      <c r="S4" s="5">
        <v>0</v>
      </c>
      <c r="T4" s="5">
        <v>0</v>
      </c>
      <c r="U4" s="6">
        <v>0</v>
      </c>
      <c r="V4" s="8"/>
    </row>
    <row r="5" spans="1:22" x14ac:dyDescent="0.2">
      <c r="A5" s="2" t="s">
        <v>56</v>
      </c>
      <c r="B5" s="2" t="s">
        <v>52</v>
      </c>
      <c r="C5" s="2">
        <v>1012108</v>
      </c>
      <c r="D5" s="2" t="s">
        <v>58</v>
      </c>
      <c r="E5" s="3" t="s">
        <v>59</v>
      </c>
      <c r="F5" s="4">
        <v>0</v>
      </c>
      <c r="G5" s="5">
        <v>0</v>
      </c>
      <c r="H5" s="5">
        <v>0</v>
      </c>
      <c r="I5" s="6">
        <v>0</v>
      </c>
      <c r="J5" s="7">
        <v>0</v>
      </c>
      <c r="K5" s="5">
        <v>0</v>
      </c>
      <c r="L5" s="5">
        <v>0</v>
      </c>
      <c r="M5" s="6">
        <v>0</v>
      </c>
      <c r="N5" s="4">
        <v>19958.400000000001</v>
      </c>
      <c r="O5" s="5">
        <v>221</v>
      </c>
      <c r="P5" s="5">
        <v>241</v>
      </c>
      <c r="Q5" s="6">
        <v>19958.400000000001</v>
      </c>
      <c r="R5" s="7">
        <v>0</v>
      </c>
      <c r="S5" s="5">
        <v>0</v>
      </c>
      <c r="T5" s="5">
        <v>0</v>
      </c>
      <c r="U5" s="6">
        <v>0</v>
      </c>
      <c r="V5" s="8"/>
    </row>
    <row r="6" spans="1:22" x14ac:dyDescent="0.2">
      <c r="A6" s="2" t="s">
        <v>56</v>
      </c>
      <c r="B6" s="2" t="s">
        <v>52</v>
      </c>
      <c r="C6" s="2">
        <v>1012165</v>
      </c>
      <c r="D6" s="2" t="s">
        <v>62</v>
      </c>
      <c r="E6" s="3" t="s">
        <v>63</v>
      </c>
      <c r="F6" s="4">
        <v>0</v>
      </c>
      <c r="G6" s="5">
        <v>0</v>
      </c>
      <c r="H6" s="5">
        <v>0</v>
      </c>
      <c r="I6" s="6">
        <v>0</v>
      </c>
      <c r="J6" s="7">
        <v>0</v>
      </c>
      <c r="K6" s="5">
        <v>0</v>
      </c>
      <c r="L6" s="5">
        <v>0</v>
      </c>
      <c r="M6" s="6">
        <v>0</v>
      </c>
      <c r="N6" s="4">
        <v>18144</v>
      </c>
      <c r="O6" s="5">
        <v>245</v>
      </c>
      <c r="P6" s="5">
        <v>258</v>
      </c>
      <c r="Q6" s="6">
        <v>18144</v>
      </c>
      <c r="R6" s="7">
        <v>0</v>
      </c>
      <c r="S6" s="5">
        <v>0</v>
      </c>
      <c r="T6" s="5">
        <v>0</v>
      </c>
      <c r="U6" s="6">
        <v>0</v>
      </c>
      <c r="V6" s="8"/>
    </row>
    <row r="7" spans="1:22" x14ac:dyDescent="0.2">
      <c r="A7" s="2" t="s">
        <v>56</v>
      </c>
      <c r="B7" s="2" t="s">
        <v>52</v>
      </c>
      <c r="C7" s="2">
        <v>1012518</v>
      </c>
      <c r="D7" s="2" t="s">
        <v>66</v>
      </c>
      <c r="E7" s="3" t="s">
        <v>67</v>
      </c>
      <c r="F7" s="4">
        <v>0</v>
      </c>
      <c r="G7" s="5">
        <v>0</v>
      </c>
      <c r="H7" s="5">
        <v>0</v>
      </c>
      <c r="I7" s="6">
        <v>0</v>
      </c>
      <c r="J7" s="7">
        <v>0</v>
      </c>
      <c r="K7" s="5">
        <v>0</v>
      </c>
      <c r="L7" s="5">
        <v>0</v>
      </c>
      <c r="M7" s="6">
        <v>0</v>
      </c>
      <c r="N7" s="4">
        <v>18144</v>
      </c>
      <c r="O7" s="5">
        <v>226</v>
      </c>
      <c r="P7" s="5">
        <v>237</v>
      </c>
      <c r="Q7" s="6">
        <v>18144</v>
      </c>
      <c r="R7" s="7">
        <v>0</v>
      </c>
      <c r="S7" s="5">
        <v>0</v>
      </c>
      <c r="T7" s="5">
        <v>0</v>
      </c>
      <c r="U7" s="6">
        <v>0</v>
      </c>
      <c r="V7" s="8"/>
    </row>
    <row r="8" spans="1:22" x14ac:dyDescent="0.2">
      <c r="A8" s="2" t="s">
        <v>56</v>
      </c>
      <c r="B8" s="2" t="s">
        <v>52</v>
      </c>
      <c r="C8" s="2">
        <v>1012108</v>
      </c>
      <c r="D8" s="2" t="s">
        <v>58</v>
      </c>
      <c r="E8" s="3" t="s">
        <v>59</v>
      </c>
      <c r="F8" s="4">
        <v>0</v>
      </c>
      <c r="G8" s="5">
        <v>0</v>
      </c>
      <c r="H8" s="5">
        <v>0</v>
      </c>
      <c r="I8" s="6">
        <v>0</v>
      </c>
      <c r="J8" s="7">
        <v>0</v>
      </c>
      <c r="K8" s="5">
        <v>0</v>
      </c>
      <c r="L8" s="5">
        <v>0</v>
      </c>
      <c r="M8" s="6">
        <v>0</v>
      </c>
      <c r="N8" s="4">
        <v>816.48</v>
      </c>
      <c r="O8" s="5">
        <v>221</v>
      </c>
      <c r="P8" s="5">
        <v>241</v>
      </c>
      <c r="Q8" s="6">
        <v>816.48</v>
      </c>
      <c r="R8" s="7">
        <v>0</v>
      </c>
      <c r="S8" s="5">
        <v>0</v>
      </c>
      <c r="T8" s="5">
        <v>0</v>
      </c>
      <c r="U8" s="6">
        <v>0</v>
      </c>
      <c r="V8" s="8"/>
    </row>
    <row r="9" spans="1:22" x14ac:dyDescent="0.2">
      <c r="A9" s="2" t="s">
        <v>56</v>
      </c>
      <c r="B9" s="2" t="s">
        <v>52</v>
      </c>
      <c r="C9" s="2">
        <v>1012109</v>
      </c>
      <c r="D9" s="2" t="s">
        <v>69</v>
      </c>
      <c r="E9" s="3" t="s">
        <v>59</v>
      </c>
      <c r="F9" s="4">
        <v>0</v>
      </c>
      <c r="G9" s="5">
        <v>0</v>
      </c>
      <c r="H9" s="5">
        <v>0</v>
      </c>
      <c r="I9" s="6">
        <v>0</v>
      </c>
      <c r="J9" s="7">
        <v>0</v>
      </c>
      <c r="K9" s="5">
        <v>0</v>
      </c>
      <c r="L9" s="5">
        <v>0</v>
      </c>
      <c r="M9" s="6">
        <v>0</v>
      </c>
      <c r="N9" s="4">
        <v>19940.256000000001</v>
      </c>
      <c r="O9" s="5">
        <v>188</v>
      </c>
      <c r="P9" s="5">
        <v>188</v>
      </c>
      <c r="Q9" s="6">
        <v>19940.256000000001</v>
      </c>
      <c r="R9" s="7">
        <v>0</v>
      </c>
      <c r="S9" s="5">
        <v>0</v>
      </c>
      <c r="T9" s="5">
        <v>0</v>
      </c>
      <c r="U9" s="6">
        <v>0</v>
      </c>
      <c r="V9" s="8"/>
    </row>
    <row r="10" spans="1:22" x14ac:dyDescent="0.2">
      <c r="A10" s="2" t="s">
        <v>56</v>
      </c>
      <c r="B10" s="2" t="s">
        <v>52</v>
      </c>
      <c r="C10" s="2">
        <v>1012167</v>
      </c>
      <c r="D10" s="2" t="s">
        <v>71</v>
      </c>
      <c r="E10" s="3" t="s">
        <v>59</v>
      </c>
      <c r="F10" s="4">
        <v>0</v>
      </c>
      <c r="G10" s="5">
        <v>0</v>
      </c>
      <c r="H10" s="5">
        <v>0</v>
      </c>
      <c r="I10" s="6">
        <v>0</v>
      </c>
      <c r="J10" s="7">
        <v>0</v>
      </c>
      <c r="K10" s="5">
        <v>0</v>
      </c>
      <c r="L10" s="5">
        <v>0</v>
      </c>
      <c r="M10" s="6">
        <v>0</v>
      </c>
      <c r="N10" s="4">
        <v>19940.256000000001</v>
      </c>
      <c r="O10" s="5">
        <v>199</v>
      </c>
      <c r="P10" s="5">
        <v>200</v>
      </c>
      <c r="Q10" s="6">
        <v>19940.256000000001</v>
      </c>
      <c r="R10" s="7">
        <v>0</v>
      </c>
      <c r="S10" s="5">
        <v>0</v>
      </c>
      <c r="T10" s="5">
        <v>0</v>
      </c>
      <c r="U10" s="6">
        <v>0</v>
      </c>
      <c r="V10" s="8"/>
    </row>
    <row r="11" spans="1:22" x14ac:dyDescent="0.2">
      <c r="A11" s="2" t="s">
        <v>56</v>
      </c>
      <c r="B11" s="2" t="s">
        <v>52</v>
      </c>
      <c r="C11" s="2">
        <v>1012109</v>
      </c>
      <c r="D11" s="2" t="s">
        <v>69</v>
      </c>
      <c r="E11" s="3" t="s">
        <v>59</v>
      </c>
      <c r="F11" s="4">
        <v>0</v>
      </c>
      <c r="G11" s="5">
        <v>0</v>
      </c>
      <c r="H11" s="5">
        <v>0</v>
      </c>
      <c r="I11" s="6">
        <v>0</v>
      </c>
      <c r="J11" s="7">
        <v>0</v>
      </c>
      <c r="K11" s="5">
        <v>0</v>
      </c>
      <c r="L11" s="5">
        <v>0</v>
      </c>
      <c r="M11" s="6">
        <v>0</v>
      </c>
      <c r="N11" s="4">
        <v>21500.639999999999</v>
      </c>
      <c r="O11" s="5">
        <v>165.72151898734199</v>
      </c>
      <c r="P11" s="5">
        <v>165.72151898734199</v>
      </c>
      <c r="Q11" s="6">
        <v>21500.639999999999</v>
      </c>
      <c r="R11" s="7">
        <v>0</v>
      </c>
      <c r="S11" s="5">
        <v>0</v>
      </c>
      <c r="T11" s="5">
        <v>0</v>
      </c>
      <c r="U11" s="6">
        <v>0</v>
      </c>
      <c r="V11" s="8"/>
    </row>
    <row r="12" spans="1:22" x14ac:dyDescent="0.2">
      <c r="A12" s="2" t="s">
        <v>56</v>
      </c>
      <c r="B12" s="2" t="s">
        <v>52</v>
      </c>
      <c r="C12" s="2">
        <v>1012160</v>
      </c>
      <c r="D12" s="2" t="s">
        <v>73</v>
      </c>
      <c r="E12" s="3" t="s">
        <v>59</v>
      </c>
      <c r="F12" s="4">
        <v>0</v>
      </c>
      <c r="G12" s="5">
        <v>0</v>
      </c>
      <c r="H12" s="5">
        <v>0</v>
      </c>
      <c r="I12" s="6">
        <v>0</v>
      </c>
      <c r="J12" s="7">
        <v>0</v>
      </c>
      <c r="K12" s="5">
        <v>0</v>
      </c>
      <c r="L12" s="5">
        <v>0</v>
      </c>
      <c r="M12" s="6">
        <v>0</v>
      </c>
      <c r="N12" s="4">
        <v>4536</v>
      </c>
      <c r="O12" s="5">
        <v>27</v>
      </c>
      <c r="P12" s="5">
        <v>164</v>
      </c>
      <c r="Q12" s="6">
        <v>4536</v>
      </c>
      <c r="R12" s="7">
        <v>0</v>
      </c>
      <c r="S12" s="5">
        <v>0</v>
      </c>
      <c r="T12" s="5">
        <v>0</v>
      </c>
      <c r="U12" s="6">
        <v>0</v>
      </c>
      <c r="V12" s="8"/>
    </row>
    <row r="13" spans="1:22" x14ac:dyDescent="0.2">
      <c r="A13" s="2" t="s">
        <v>56</v>
      </c>
      <c r="B13" s="2" t="s">
        <v>52</v>
      </c>
      <c r="C13" s="2">
        <v>1012167</v>
      </c>
      <c r="D13" s="2" t="s">
        <v>71</v>
      </c>
      <c r="E13" s="3" t="s">
        <v>59</v>
      </c>
      <c r="F13" s="4">
        <v>0</v>
      </c>
      <c r="G13" s="5">
        <v>0</v>
      </c>
      <c r="H13" s="5">
        <v>0</v>
      </c>
      <c r="I13" s="6">
        <v>0</v>
      </c>
      <c r="J13" s="7">
        <v>0</v>
      </c>
      <c r="K13" s="5">
        <v>0</v>
      </c>
      <c r="L13" s="5">
        <v>0</v>
      </c>
      <c r="M13" s="6">
        <v>0</v>
      </c>
      <c r="N13" s="4">
        <v>2558.3040000000001</v>
      </c>
      <c r="O13" s="5">
        <v>199</v>
      </c>
      <c r="P13" s="5">
        <v>200</v>
      </c>
      <c r="Q13" s="6">
        <v>2558.3040000000001</v>
      </c>
      <c r="R13" s="7">
        <v>0</v>
      </c>
      <c r="S13" s="5">
        <v>0</v>
      </c>
      <c r="T13" s="5">
        <v>0</v>
      </c>
      <c r="U13" s="6">
        <v>0</v>
      </c>
      <c r="V13" s="8"/>
    </row>
    <row r="14" spans="1:22" x14ac:dyDescent="0.2">
      <c r="A14" s="2" t="s">
        <v>34</v>
      </c>
      <c r="B14" s="2" t="s">
        <v>52</v>
      </c>
      <c r="C14" s="2">
        <v>1020828</v>
      </c>
      <c r="D14" s="2" t="s">
        <v>75</v>
      </c>
      <c r="E14" s="3" t="s">
        <v>76</v>
      </c>
      <c r="F14" s="4">
        <v>0</v>
      </c>
      <c r="G14" s="5">
        <v>0</v>
      </c>
      <c r="H14" s="5">
        <v>0</v>
      </c>
      <c r="I14" s="6">
        <v>0</v>
      </c>
      <c r="J14" s="7">
        <v>0</v>
      </c>
      <c r="K14" s="5">
        <v>0</v>
      </c>
      <c r="L14" s="5">
        <v>0</v>
      </c>
      <c r="M14" s="6">
        <v>0</v>
      </c>
      <c r="N14" s="4">
        <v>17990</v>
      </c>
      <c r="O14" s="5">
        <v>167</v>
      </c>
      <c r="P14" s="5">
        <v>167</v>
      </c>
      <c r="Q14" s="6">
        <v>17990</v>
      </c>
      <c r="R14" s="7">
        <v>0</v>
      </c>
      <c r="S14" s="5">
        <v>0</v>
      </c>
      <c r="T14" s="5">
        <v>0</v>
      </c>
      <c r="U14" s="6">
        <v>0</v>
      </c>
      <c r="V14" s="8"/>
    </row>
    <row r="15" spans="1:22" x14ac:dyDescent="0.2">
      <c r="A15" s="2" t="s">
        <v>50</v>
      </c>
      <c r="B15" s="2" t="s">
        <v>52</v>
      </c>
      <c r="C15" s="2">
        <v>1030452</v>
      </c>
      <c r="D15" s="2" t="s">
        <v>78</v>
      </c>
      <c r="E15" s="3" t="s">
        <v>79</v>
      </c>
      <c r="F15" s="4">
        <v>0</v>
      </c>
      <c r="G15" s="5">
        <v>0</v>
      </c>
      <c r="H15" s="5">
        <v>0</v>
      </c>
      <c r="I15" s="6">
        <v>0</v>
      </c>
      <c r="J15" s="7">
        <v>0</v>
      </c>
      <c r="K15" s="5">
        <v>0</v>
      </c>
      <c r="L15" s="5">
        <v>0</v>
      </c>
      <c r="M15" s="6">
        <v>0</v>
      </c>
      <c r="N15" s="4">
        <v>2718.8159999999998</v>
      </c>
      <c r="O15" s="5">
        <v>20</v>
      </c>
      <c r="P15" s="5">
        <v>157</v>
      </c>
      <c r="Q15" s="6">
        <v>2718.8159999999998</v>
      </c>
      <c r="R15" s="7">
        <v>0</v>
      </c>
      <c r="S15" s="5">
        <v>0</v>
      </c>
      <c r="T15" s="5">
        <v>0</v>
      </c>
      <c r="U15" s="6">
        <v>0</v>
      </c>
      <c r="V15" s="8"/>
    </row>
    <row r="16" spans="1:22" x14ac:dyDescent="0.2">
      <c r="A16" s="2" t="s">
        <v>50</v>
      </c>
      <c r="B16" s="2" t="s">
        <v>52</v>
      </c>
      <c r="C16" s="2">
        <v>1030745</v>
      </c>
      <c r="D16" s="2" t="s">
        <v>53</v>
      </c>
      <c r="E16" s="3" t="s">
        <v>54</v>
      </c>
      <c r="F16" s="4">
        <v>0</v>
      </c>
      <c r="G16" s="5">
        <v>0</v>
      </c>
      <c r="H16" s="5">
        <v>0</v>
      </c>
      <c r="I16" s="6">
        <v>0</v>
      </c>
      <c r="J16" s="7">
        <v>11067.84</v>
      </c>
      <c r="K16" s="5">
        <v>14</v>
      </c>
      <c r="L16" s="5">
        <v>163</v>
      </c>
      <c r="M16" s="6">
        <v>11067.84</v>
      </c>
      <c r="N16" s="4">
        <v>0</v>
      </c>
      <c r="O16" s="5">
        <v>0</v>
      </c>
      <c r="P16" s="5">
        <v>0</v>
      </c>
      <c r="Q16" s="6">
        <v>0</v>
      </c>
      <c r="R16" s="7">
        <v>0</v>
      </c>
      <c r="S16" s="5">
        <v>0</v>
      </c>
      <c r="T16" s="5">
        <v>0</v>
      </c>
      <c r="U16" s="6">
        <v>0</v>
      </c>
      <c r="V16" s="8"/>
    </row>
    <row r="17" spans="1:22" x14ac:dyDescent="0.2">
      <c r="A17" s="2" t="s">
        <v>50</v>
      </c>
      <c r="B17" s="2" t="s">
        <v>52</v>
      </c>
      <c r="C17" s="2">
        <v>1030782</v>
      </c>
      <c r="D17" s="2" t="s">
        <v>81</v>
      </c>
      <c r="E17" s="3" t="s">
        <v>79</v>
      </c>
      <c r="F17" s="4">
        <v>0</v>
      </c>
      <c r="G17" s="5">
        <v>0</v>
      </c>
      <c r="H17" s="5">
        <v>0</v>
      </c>
      <c r="I17" s="6">
        <v>0</v>
      </c>
      <c r="J17" s="7">
        <v>0</v>
      </c>
      <c r="K17" s="5">
        <v>0</v>
      </c>
      <c r="L17" s="5">
        <v>0</v>
      </c>
      <c r="M17" s="6">
        <v>0</v>
      </c>
      <c r="N17" s="4">
        <v>3481.43</v>
      </c>
      <c r="O17" s="5">
        <v>166</v>
      </c>
      <c r="P17" s="5">
        <v>167</v>
      </c>
      <c r="Q17" s="6">
        <v>3481.43</v>
      </c>
      <c r="R17" s="7">
        <v>0</v>
      </c>
      <c r="S17" s="5">
        <v>0</v>
      </c>
      <c r="T17" s="5">
        <v>0</v>
      </c>
      <c r="U17" s="6">
        <v>0</v>
      </c>
      <c r="V17" s="8"/>
    </row>
    <row r="18" spans="1:22" x14ac:dyDescent="0.2">
      <c r="A18" s="2" t="s">
        <v>56</v>
      </c>
      <c r="B18" s="2" t="s">
        <v>52</v>
      </c>
      <c r="C18" s="2">
        <v>1011701</v>
      </c>
      <c r="D18" s="2" t="s">
        <v>83</v>
      </c>
      <c r="E18" s="3" t="s">
        <v>59</v>
      </c>
      <c r="F18" s="4">
        <v>0</v>
      </c>
      <c r="G18" s="5">
        <v>0</v>
      </c>
      <c r="H18" s="5">
        <v>0</v>
      </c>
      <c r="I18" s="6">
        <v>0</v>
      </c>
      <c r="J18" s="7">
        <v>0</v>
      </c>
      <c r="K18" s="5">
        <v>0</v>
      </c>
      <c r="L18" s="5">
        <v>0</v>
      </c>
      <c r="M18" s="6">
        <v>0</v>
      </c>
      <c r="N18" s="4">
        <v>8.0000000000000002E-3</v>
      </c>
      <c r="O18" s="5">
        <v>124</v>
      </c>
      <c r="P18" s="5">
        <v>150</v>
      </c>
      <c r="Q18" s="6">
        <v>8.0000000000000002E-3</v>
      </c>
      <c r="R18" s="7">
        <v>18140.991999999998</v>
      </c>
      <c r="S18" s="5">
        <v>124</v>
      </c>
      <c r="T18" s="5">
        <v>150</v>
      </c>
      <c r="U18" s="6">
        <v>18140.991999999998</v>
      </c>
      <c r="V18" s="8"/>
    </row>
    <row r="19" spans="1:22" x14ac:dyDescent="0.2">
      <c r="A19" s="2" t="s">
        <v>56</v>
      </c>
      <c r="B19" s="2" t="s">
        <v>52</v>
      </c>
      <c r="C19" s="2">
        <v>1012109</v>
      </c>
      <c r="D19" s="2" t="s">
        <v>69</v>
      </c>
      <c r="E19" s="3" t="s">
        <v>59</v>
      </c>
      <c r="F19" s="4">
        <v>0</v>
      </c>
      <c r="G19" s="5">
        <v>0</v>
      </c>
      <c r="H19" s="5">
        <v>0</v>
      </c>
      <c r="I19" s="6">
        <v>0</v>
      </c>
      <c r="J19" s="7">
        <v>0</v>
      </c>
      <c r="K19" s="5">
        <v>0</v>
      </c>
      <c r="L19" s="5">
        <v>0</v>
      </c>
      <c r="M19" s="6">
        <v>0</v>
      </c>
      <c r="N19" s="4">
        <v>32659.363000000001</v>
      </c>
      <c r="O19" s="5">
        <v>144.44466182638001</v>
      </c>
      <c r="P19" s="5">
        <v>146.277986009709</v>
      </c>
      <c r="Q19" s="6">
        <v>32659.363000000001</v>
      </c>
      <c r="R19" s="7">
        <v>0</v>
      </c>
      <c r="S19" s="5">
        <v>0</v>
      </c>
      <c r="T19" s="5">
        <v>0</v>
      </c>
      <c r="U19" s="6">
        <v>0</v>
      </c>
      <c r="V19" s="8"/>
    </row>
    <row r="20" spans="1:22" x14ac:dyDescent="0.2">
      <c r="A20" s="2" t="s">
        <v>56</v>
      </c>
      <c r="B20" s="2" t="s">
        <v>52</v>
      </c>
      <c r="C20" s="2">
        <v>1012145</v>
      </c>
      <c r="D20" s="2" t="s">
        <v>85</v>
      </c>
      <c r="E20" s="3" t="s">
        <v>59</v>
      </c>
      <c r="F20" s="4">
        <v>0</v>
      </c>
      <c r="G20" s="5">
        <v>0</v>
      </c>
      <c r="H20" s="5">
        <v>0</v>
      </c>
      <c r="I20" s="6">
        <v>0</v>
      </c>
      <c r="J20" s="7">
        <v>0</v>
      </c>
      <c r="K20" s="5">
        <v>0</v>
      </c>
      <c r="L20" s="5">
        <v>0</v>
      </c>
      <c r="M20" s="6">
        <v>0</v>
      </c>
      <c r="N20" s="4">
        <v>19759.3</v>
      </c>
      <c r="O20" s="5">
        <v>124</v>
      </c>
      <c r="P20" s="5">
        <v>125</v>
      </c>
      <c r="Q20" s="6">
        <v>19759.3</v>
      </c>
      <c r="R20" s="7">
        <v>0</v>
      </c>
      <c r="S20" s="5">
        <v>0</v>
      </c>
      <c r="T20" s="5">
        <v>0</v>
      </c>
      <c r="U20" s="6">
        <v>0</v>
      </c>
      <c r="V20" s="8"/>
    </row>
    <row r="21" spans="1:22" x14ac:dyDescent="0.2">
      <c r="A21" s="2" t="s">
        <v>56</v>
      </c>
      <c r="B21" s="2" t="s">
        <v>52</v>
      </c>
      <c r="C21" s="2">
        <v>1012158</v>
      </c>
      <c r="D21" s="2" t="s">
        <v>87</v>
      </c>
      <c r="E21" s="3" t="s">
        <v>67</v>
      </c>
      <c r="F21" s="4">
        <v>0</v>
      </c>
      <c r="G21" s="5">
        <v>0</v>
      </c>
      <c r="H21" s="5">
        <v>0</v>
      </c>
      <c r="I21" s="6">
        <v>0</v>
      </c>
      <c r="J21" s="7">
        <v>0</v>
      </c>
      <c r="K21" s="5">
        <v>0</v>
      </c>
      <c r="L21" s="5">
        <v>0</v>
      </c>
      <c r="M21" s="6">
        <v>0</v>
      </c>
      <c r="N21" s="4">
        <v>19958.400000000001</v>
      </c>
      <c r="O21" s="5">
        <v>143</v>
      </c>
      <c r="P21" s="5">
        <v>184</v>
      </c>
      <c r="Q21" s="6">
        <v>19958.400000000001</v>
      </c>
      <c r="R21" s="7">
        <v>0</v>
      </c>
      <c r="S21" s="5">
        <v>0</v>
      </c>
      <c r="T21" s="5">
        <v>0</v>
      </c>
      <c r="U21" s="6">
        <v>0</v>
      </c>
      <c r="V21" s="8"/>
    </row>
    <row r="22" spans="1:22" x14ac:dyDescent="0.2">
      <c r="A22" s="2" t="s">
        <v>56</v>
      </c>
      <c r="B22" s="2" t="s">
        <v>52</v>
      </c>
      <c r="C22" s="2">
        <v>1012159</v>
      </c>
      <c r="D22" s="2" t="s">
        <v>89</v>
      </c>
      <c r="E22" s="3" t="s">
        <v>63</v>
      </c>
      <c r="F22" s="4">
        <v>0</v>
      </c>
      <c r="G22" s="5">
        <v>0</v>
      </c>
      <c r="H22" s="5">
        <v>0</v>
      </c>
      <c r="I22" s="6">
        <v>0</v>
      </c>
      <c r="J22" s="7">
        <v>0</v>
      </c>
      <c r="K22" s="5">
        <v>0</v>
      </c>
      <c r="L22" s="5">
        <v>0</v>
      </c>
      <c r="M22" s="6">
        <v>0</v>
      </c>
      <c r="N22" s="4">
        <v>7983.36</v>
      </c>
      <c r="O22" s="5">
        <v>132</v>
      </c>
      <c r="P22" s="5">
        <v>150</v>
      </c>
      <c r="Q22" s="6">
        <v>7983.36</v>
      </c>
      <c r="R22" s="7">
        <v>0</v>
      </c>
      <c r="S22" s="5">
        <v>0</v>
      </c>
      <c r="T22" s="5">
        <v>0</v>
      </c>
      <c r="U22" s="6">
        <v>0</v>
      </c>
      <c r="V22" s="8"/>
    </row>
    <row r="23" spans="1:22" x14ac:dyDescent="0.2">
      <c r="A23" s="2" t="s">
        <v>56</v>
      </c>
      <c r="B23" s="2" t="s">
        <v>52</v>
      </c>
      <c r="C23" s="2">
        <v>1012165</v>
      </c>
      <c r="D23" s="2" t="s">
        <v>62</v>
      </c>
      <c r="E23" s="3" t="s">
        <v>63</v>
      </c>
      <c r="F23" s="4">
        <v>0</v>
      </c>
      <c r="G23" s="5">
        <v>0</v>
      </c>
      <c r="H23" s="5">
        <v>0</v>
      </c>
      <c r="I23" s="6">
        <v>0</v>
      </c>
      <c r="J23" s="7">
        <v>0</v>
      </c>
      <c r="K23" s="5">
        <v>0</v>
      </c>
      <c r="L23" s="5">
        <v>0</v>
      </c>
      <c r="M23" s="6">
        <v>0</v>
      </c>
      <c r="N23" s="4">
        <v>39916.800000000003</v>
      </c>
      <c r="O23" s="5">
        <v>129</v>
      </c>
      <c r="P23" s="5">
        <v>129.5</v>
      </c>
      <c r="Q23" s="6">
        <v>39916.800000000003</v>
      </c>
      <c r="R23" s="7">
        <v>0</v>
      </c>
      <c r="S23" s="5">
        <v>0</v>
      </c>
      <c r="T23" s="5">
        <v>0</v>
      </c>
      <c r="U23" s="6">
        <v>0</v>
      </c>
      <c r="V23" s="8"/>
    </row>
    <row r="24" spans="1:22" x14ac:dyDescent="0.2">
      <c r="A24" s="2" t="s">
        <v>56</v>
      </c>
      <c r="B24" s="2" t="s">
        <v>52</v>
      </c>
      <c r="C24" s="2">
        <v>1012167</v>
      </c>
      <c r="D24" s="2" t="s">
        <v>71</v>
      </c>
      <c r="E24" s="3" t="s">
        <v>59</v>
      </c>
      <c r="F24" s="4">
        <v>0</v>
      </c>
      <c r="G24" s="5">
        <v>0</v>
      </c>
      <c r="H24" s="5">
        <v>0</v>
      </c>
      <c r="I24" s="6">
        <v>0</v>
      </c>
      <c r="J24" s="7">
        <v>0</v>
      </c>
      <c r="K24" s="5">
        <v>0</v>
      </c>
      <c r="L24" s="5">
        <v>0</v>
      </c>
      <c r="M24" s="6">
        <v>0</v>
      </c>
      <c r="N24" s="4">
        <v>780.19200000000001</v>
      </c>
      <c r="O24" s="5">
        <v>199</v>
      </c>
      <c r="P24" s="5">
        <v>200</v>
      </c>
      <c r="Q24" s="6">
        <v>780.19200000000001</v>
      </c>
      <c r="R24" s="7">
        <v>0</v>
      </c>
      <c r="S24" s="5">
        <v>0</v>
      </c>
      <c r="T24" s="5">
        <v>0</v>
      </c>
      <c r="U24" s="6">
        <v>0</v>
      </c>
      <c r="V24" s="8"/>
    </row>
    <row r="25" spans="1:22" x14ac:dyDescent="0.2">
      <c r="A25" s="2" t="s">
        <v>56</v>
      </c>
      <c r="B25" s="2" t="s">
        <v>52</v>
      </c>
      <c r="C25" s="2">
        <v>1012483</v>
      </c>
      <c r="D25" s="2" t="s">
        <v>91</v>
      </c>
      <c r="E25" s="3" t="s">
        <v>63</v>
      </c>
      <c r="F25" s="4">
        <v>0</v>
      </c>
      <c r="G25" s="5">
        <v>0</v>
      </c>
      <c r="H25" s="5">
        <v>0</v>
      </c>
      <c r="I25" s="6">
        <v>0</v>
      </c>
      <c r="J25" s="7">
        <v>0</v>
      </c>
      <c r="K25" s="5">
        <v>0</v>
      </c>
      <c r="L25" s="5">
        <v>0</v>
      </c>
      <c r="M25" s="6">
        <v>0</v>
      </c>
      <c r="N25" s="4">
        <v>37920.959999999999</v>
      </c>
      <c r="O25" s="5">
        <v>127.894736842105</v>
      </c>
      <c r="P25" s="5">
        <v>128.68421052631601</v>
      </c>
      <c r="Q25" s="6">
        <v>37920.959999999999</v>
      </c>
      <c r="R25" s="7">
        <v>0</v>
      </c>
      <c r="S25" s="5">
        <v>0</v>
      </c>
      <c r="T25" s="5">
        <v>0</v>
      </c>
      <c r="U25" s="6">
        <v>0</v>
      </c>
      <c r="V25" s="8"/>
    </row>
    <row r="26" spans="1:22" x14ac:dyDescent="0.2">
      <c r="A26" s="2" t="s">
        <v>56</v>
      </c>
      <c r="B26" s="2" t="s">
        <v>52</v>
      </c>
      <c r="C26" s="2">
        <v>1012518</v>
      </c>
      <c r="D26" s="2" t="s">
        <v>66</v>
      </c>
      <c r="E26" s="3" t="s">
        <v>67</v>
      </c>
      <c r="F26" s="4">
        <v>0</v>
      </c>
      <c r="G26" s="5">
        <v>0</v>
      </c>
      <c r="H26" s="5">
        <v>0</v>
      </c>
      <c r="I26" s="6">
        <v>0</v>
      </c>
      <c r="J26" s="7">
        <v>0</v>
      </c>
      <c r="K26" s="5">
        <v>0</v>
      </c>
      <c r="L26" s="5">
        <v>0</v>
      </c>
      <c r="M26" s="6">
        <v>0</v>
      </c>
      <c r="N26" s="4">
        <v>17853.381000000001</v>
      </c>
      <c r="O26" s="5">
        <v>226</v>
      </c>
      <c r="P26" s="5">
        <v>237</v>
      </c>
      <c r="Q26" s="6">
        <v>17853.381000000001</v>
      </c>
      <c r="R26" s="7">
        <v>0</v>
      </c>
      <c r="S26" s="5">
        <v>0</v>
      </c>
      <c r="T26" s="5">
        <v>0</v>
      </c>
      <c r="U26" s="6">
        <v>0</v>
      </c>
      <c r="V26" s="8"/>
    </row>
    <row r="27" spans="1:22" x14ac:dyDescent="0.2">
      <c r="A27" s="2" t="s">
        <v>34</v>
      </c>
      <c r="B27" s="2" t="s">
        <v>52</v>
      </c>
      <c r="C27" s="2">
        <v>1020828</v>
      </c>
      <c r="D27" s="2" t="s">
        <v>75</v>
      </c>
      <c r="E27" s="3" t="s">
        <v>76</v>
      </c>
      <c r="F27" s="4">
        <v>0</v>
      </c>
      <c r="G27" s="5">
        <v>0</v>
      </c>
      <c r="H27" s="5">
        <v>0</v>
      </c>
      <c r="I27" s="6">
        <v>0</v>
      </c>
      <c r="J27" s="7">
        <v>0</v>
      </c>
      <c r="K27" s="5">
        <v>0</v>
      </c>
      <c r="L27" s="5">
        <v>0</v>
      </c>
      <c r="M27" s="6">
        <v>0</v>
      </c>
      <c r="N27" s="4">
        <v>15940</v>
      </c>
      <c r="O27" s="5">
        <v>167</v>
      </c>
      <c r="P27" s="5">
        <v>167</v>
      </c>
      <c r="Q27" s="6">
        <v>15940</v>
      </c>
      <c r="R27" s="7">
        <v>0</v>
      </c>
      <c r="S27" s="5">
        <v>0</v>
      </c>
      <c r="T27" s="5">
        <v>0</v>
      </c>
      <c r="U27" s="6">
        <v>0</v>
      </c>
      <c r="V27" s="8"/>
    </row>
    <row r="28" spans="1:22" x14ac:dyDescent="0.2">
      <c r="A28" s="2" t="s">
        <v>34</v>
      </c>
      <c r="B28" s="2" t="s">
        <v>52</v>
      </c>
      <c r="C28" s="2">
        <v>1023050</v>
      </c>
      <c r="D28" s="2" t="s">
        <v>93</v>
      </c>
      <c r="E28" s="3" t="s">
        <v>43</v>
      </c>
      <c r="F28" s="4">
        <v>0</v>
      </c>
      <c r="G28" s="5">
        <v>0</v>
      </c>
      <c r="H28" s="5">
        <v>0</v>
      </c>
      <c r="I28" s="6">
        <v>0</v>
      </c>
      <c r="J28" s="7">
        <v>0</v>
      </c>
      <c r="K28" s="5">
        <v>0</v>
      </c>
      <c r="L28" s="5">
        <v>0</v>
      </c>
      <c r="M28" s="6">
        <v>0</v>
      </c>
      <c r="N28" s="4">
        <v>8316.0049999999992</v>
      </c>
      <c r="O28" s="5">
        <v>150</v>
      </c>
      <c r="P28" s="5">
        <v>187</v>
      </c>
      <c r="Q28" s="6">
        <v>8316.0049999999992</v>
      </c>
      <c r="R28" s="7">
        <v>0</v>
      </c>
      <c r="S28" s="5">
        <v>0</v>
      </c>
      <c r="T28" s="5">
        <v>0</v>
      </c>
      <c r="U28" s="6">
        <v>0</v>
      </c>
      <c r="V28" s="8"/>
    </row>
    <row r="29" spans="1:22" x14ac:dyDescent="0.2">
      <c r="A29" s="2" t="s">
        <v>34</v>
      </c>
      <c r="B29" s="2" t="s">
        <v>52</v>
      </c>
      <c r="C29" s="2">
        <v>1023276</v>
      </c>
      <c r="D29" s="2" t="s">
        <v>95</v>
      </c>
      <c r="E29" s="3" t="s">
        <v>96</v>
      </c>
      <c r="F29" s="4">
        <v>0</v>
      </c>
      <c r="G29" s="5">
        <v>0</v>
      </c>
      <c r="H29" s="5">
        <v>0</v>
      </c>
      <c r="I29" s="6">
        <v>0</v>
      </c>
      <c r="J29" s="7">
        <v>0</v>
      </c>
      <c r="K29" s="5">
        <v>0</v>
      </c>
      <c r="L29" s="5">
        <v>0</v>
      </c>
      <c r="M29" s="6">
        <v>0</v>
      </c>
      <c r="N29" s="4">
        <v>12625.95</v>
      </c>
      <c r="O29" s="5">
        <v>136</v>
      </c>
      <c r="P29" s="5">
        <v>136</v>
      </c>
      <c r="Q29" s="6">
        <v>12625.95</v>
      </c>
      <c r="R29" s="7">
        <v>0</v>
      </c>
      <c r="S29" s="5">
        <v>0</v>
      </c>
      <c r="T29" s="5">
        <v>0</v>
      </c>
      <c r="U29" s="6">
        <v>0</v>
      </c>
      <c r="V29" s="8"/>
    </row>
    <row r="30" spans="1:22" x14ac:dyDescent="0.2">
      <c r="A30" s="2" t="s">
        <v>50</v>
      </c>
      <c r="B30" s="2" t="s">
        <v>52</v>
      </c>
      <c r="C30" s="2">
        <v>1030379</v>
      </c>
      <c r="D30" s="2" t="s">
        <v>98</v>
      </c>
      <c r="E30" s="3" t="s">
        <v>79</v>
      </c>
      <c r="F30" s="4">
        <v>0</v>
      </c>
      <c r="G30" s="5">
        <v>0</v>
      </c>
      <c r="H30" s="5">
        <v>0</v>
      </c>
      <c r="I30" s="6">
        <v>0</v>
      </c>
      <c r="J30" s="7">
        <v>0</v>
      </c>
      <c r="K30" s="5">
        <v>0</v>
      </c>
      <c r="L30" s="5">
        <v>0</v>
      </c>
      <c r="M30" s="6">
        <v>0</v>
      </c>
      <c r="N30" s="4">
        <v>181.4</v>
      </c>
      <c r="O30" s="5">
        <v>15</v>
      </c>
      <c r="P30" s="5">
        <v>145</v>
      </c>
      <c r="Q30" s="6">
        <v>181.4</v>
      </c>
      <c r="R30" s="7">
        <v>0</v>
      </c>
      <c r="S30" s="5">
        <v>0</v>
      </c>
      <c r="T30" s="5">
        <v>0</v>
      </c>
      <c r="U30" s="6">
        <v>0</v>
      </c>
      <c r="V30" s="8"/>
    </row>
    <row r="31" spans="1:22" x14ac:dyDescent="0.2">
      <c r="A31" s="2" t="s">
        <v>50</v>
      </c>
      <c r="B31" s="2" t="s">
        <v>52</v>
      </c>
      <c r="C31" s="2">
        <v>1030782</v>
      </c>
      <c r="D31" s="2" t="s">
        <v>81</v>
      </c>
      <c r="E31" s="3" t="s">
        <v>79</v>
      </c>
      <c r="F31" s="4">
        <v>0</v>
      </c>
      <c r="G31" s="5">
        <v>0</v>
      </c>
      <c r="H31" s="5">
        <v>0</v>
      </c>
      <c r="I31" s="6">
        <v>0</v>
      </c>
      <c r="J31" s="7">
        <v>0</v>
      </c>
      <c r="K31" s="5">
        <v>0</v>
      </c>
      <c r="L31" s="5">
        <v>0</v>
      </c>
      <c r="M31" s="6">
        <v>0</v>
      </c>
      <c r="N31" s="4">
        <v>11.683</v>
      </c>
      <c r="O31" s="5">
        <v>166</v>
      </c>
      <c r="P31" s="5">
        <v>167</v>
      </c>
      <c r="Q31" s="6">
        <v>11.683</v>
      </c>
      <c r="R31" s="7">
        <v>0</v>
      </c>
      <c r="S31" s="5">
        <v>0</v>
      </c>
      <c r="T31" s="5">
        <v>0</v>
      </c>
      <c r="U31" s="6">
        <v>0</v>
      </c>
      <c r="V31" s="8"/>
    </row>
    <row r="32" spans="1:22" x14ac:dyDescent="0.2">
      <c r="A32" s="2" t="s">
        <v>56</v>
      </c>
      <c r="B32" s="2" t="s">
        <v>52</v>
      </c>
      <c r="C32" s="2">
        <v>1011701</v>
      </c>
      <c r="D32" s="2" t="s">
        <v>83</v>
      </c>
      <c r="E32" s="3" t="s">
        <v>59</v>
      </c>
      <c r="F32" s="4">
        <v>0</v>
      </c>
      <c r="G32" s="5">
        <v>0</v>
      </c>
      <c r="H32" s="5">
        <v>0</v>
      </c>
      <c r="I32" s="6">
        <v>0</v>
      </c>
      <c r="J32" s="7">
        <v>0</v>
      </c>
      <c r="K32" s="5">
        <v>0</v>
      </c>
      <c r="L32" s="5">
        <v>0</v>
      </c>
      <c r="M32" s="6">
        <v>0</v>
      </c>
      <c r="N32" s="4">
        <v>0</v>
      </c>
      <c r="O32" s="5">
        <v>0</v>
      </c>
      <c r="P32" s="5">
        <v>0</v>
      </c>
      <c r="Q32" s="6">
        <v>0</v>
      </c>
      <c r="R32" s="7">
        <v>18140.991999999998</v>
      </c>
      <c r="S32" s="5">
        <v>124</v>
      </c>
      <c r="T32" s="5">
        <v>150</v>
      </c>
      <c r="U32" s="6">
        <v>18140.991999999998</v>
      </c>
      <c r="V32" s="8"/>
    </row>
    <row r="33" spans="1:22" x14ac:dyDescent="0.2">
      <c r="A33" s="2" t="s">
        <v>56</v>
      </c>
      <c r="B33" s="2" t="s">
        <v>52</v>
      </c>
      <c r="C33" s="2">
        <v>1012108</v>
      </c>
      <c r="D33" s="2" t="s">
        <v>58</v>
      </c>
      <c r="E33" s="3" t="s">
        <v>59</v>
      </c>
      <c r="F33" s="4">
        <v>0</v>
      </c>
      <c r="G33" s="5">
        <v>0</v>
      </c>
      <c r="H33" s="5">
        <v>0</v>
      </c>
      <c r="I33" s="6">
        <v>0</v>
      </c>
      <c r="J33" s="7">
        <v>0</v>
      </c>
      <c r="K33" s="5">
        <v>0</v>
      </c>
      <c r="L33" s="5">
        <v>0</v>
      </c>
      <c r="M33" s="6">
        <v>0</v>
      </c>
      <c r="N33" s="4">
        <v>19958.400000000001</v>
      </c>
      <c r="O33" s="5">
        <v>100</v>
      </c>
      <c r="P33" s="5">
        <v>114</v>
      </c>
      <c r="Q33" s="6">
        <v>19958.400000000001</v>
      </c>
      <c r="R33" s="7">
        <v>0</v>
      </c>
      <c r="S33" s="5">
        <v>0</v>
      </c>
      <c r="T33" s="5">
        <v>0</v>
      </c>
      <c r="U33" s="6">
        <v>0</v>
      </c>
      <c r="V33" s="8"/>
    </row>
    <row r="34" spans="1:22" x14ac:dyDescent="0.2">
      <c r="A34" s="2" t="s">
        <v>56</v>
      </c>
      <c r="B34" s="2" t="s">
        <v>52</v>
      </c>
      <c r="C34" s="2">
        <v>1012109</v>
      </c>
      <c r="D34" s="2" t="s">
        <v>69</v>
      </c>
      <c r="E34" s="3" t="s">
        <v>59</v>
      </c>
      <c r="F34" s="4">
        <v>0</v>
      </c>
      <c r="G34" s="5">
        <v>0</v>
      </c>
      <c r="H34" s="5">
        <v>0</v>
      </c>
      <c r="I34" s="6">
        <v>0</v>
      </c>
      <c r="J34" s="7">
        <v>0</v>
      </c>
      <c r="K34" s="5">
        <v>0</v>
      </c>
      <c r="L34" s="5">
        <v>0</v>
      </c>
      <c r="M34" s="6">
        <v>0</v>
      </c>
      <c r="N34" s="4">
        <v>22063.103999999999</v>
      </c>
      <c r="O34" s="5">
        <v>137.70230263157899</v>
      </c>
      <c r="P34" s="5">
        <v>147.447368421053</v>
      </c>
      <c r="Q34" s="6">
        <v>22063.103999999999</v>
      </c>
      <c r="R34" s="7">
        <v>36.287999999999997</v>
      </c>
      <c r="S34" s="5">
        <v>132</v>
      </c>
      <c r="T34" s="5">
        <v>135</v>
      </c>
      <c r="U34" s="6">
        <v>36.287999999999997</v>
      </c>
      <c r="V34" s="8"/>
    </row>
    <row r="35" spans="1:22" x14ac:dyDescent="0.2">
      <c r="A35" s="2" t="s">
        <v>56</v>
      </c>
      <c r="B35" s="2" t="s">
        <v>52</v>
      </c>
      <c r="C35" s="2">
        <v>1012145</v>
      </c>
      <c r="D35" s="2" t="s">
        <v>85</v>
      </c>
      <c r="E35" s="3" t="s">
        <v>59</v>
      </c>
      <c r="F35" s="4">
        <v>0</v>
      </c>
      <c r="G35" s="5">
        <v>0</v>
      </c>
      <c r="H35" s="5">
        <v>0</v>
      </c>
      <c r="I35" s="6">
        <v>0</v>
      </c>
      <c r="J35" s="7">
        <v>0</v>
      </c>
      <c r="K35" s="5">
        <v>0</v>
      </c>
      <c r="L35" s="5">
        <v>0</v>
      </c>
      <c r="M35" s="6">
        <v>0</v>
      </c>
      <c r="N35" s="4">
        <v>18483.927</v>
      </c>
      <c r="O35" s="5">
        <v>124</v>
      </c>
      <c r="P35" s="5">
        <v>125</v>
      </c>
      <c r="Q35" s="6">
        <v>18483.927</v>
      </c>
      <c r="R35" s="7">
        <v>0</v>
      </c>
      <c r="S35" s="5">
        <v>0</v>
      </c>
      <c r="T35" s="5">
        <v>0</v>
      </c>
      <c r="U35" s="6">
        <v>0</v>
      </c>
      <c r="V35" s="8"/>
    </row>
    <row r="36" spans="1:22" x14ac:dyDescent="0.2">
      <c r="A36" s="2" t="s">
        <v>56</v>
      </c>
      <c r="B36" s="2" t="s">
        <v>52</v>
      </c>
      <c r="C36" s="2">
        <v>1012157</v>
      </c>
      <c r="D36" s="2" t="s">
        <v>100</v>
      </c>
      <c r="E36" s="3" t="s">
        <v>63</v>
      </c>
      <c r="F36" s="4">
        <v>0</v>
      </c>
      <c r="G36" s="5">
        <v>0</v>
      </c>
      <c r="H36" s="5">
        <v>0</v>
      </c>
      <c r="I36" s="6">
        <v>0</v>
      </c>
      <c r="J36" s="7">
        <v>0</v>
      </c>
      <c r="K36" s="5">
        <v>0</v>
      </c>
      <c r="L36" s="5">
        <v>0</v>
      </c>
      <c r="M36" s="6">
        <v>0</v>
      </c>
      <c r="N36" s="4">
        <v>19958.400000000001</v>
      </c>
      <c r="O36" s="5">
        <v>116</v>
      </c>
      <c r="P36" s="5">
        <v>121</v>
      </c>
      <c r="Q36" s="6">
        <v>19958.400000000001</v>
      </c>
      <c r="R36" s="7">
        <v>0</v>
      </c>
      <c r="S36" s="5">
        <v>0</v>
      </c>
      <c r="T36" s="5">
        <v>0</v>
      </c>
      <c r="U36" s="6">
        <v>0</v>
      </c>
      <c r="V36" s="8"/>
    </row>
    <row r="37" spans="1:22" x14ac:dyDescent="0.2">
      <c r="A37" s="2" t="s">
        <v>56</v>
      </c>
      <c r="B37" s="2" t="s">
        <v>52</v>
      </c>
      <c r="C37" s="2">
        <v>1012158</v>
      </c>
      <c r="D37" s="2" t="s">
        <v>87</v>
      </c>
      <c r="E37" s="3" t="s">
        <v>67</v>
      </c>
      <c r="F37" s="4">
        <v>0</v>
      </c>
      <c r="G37" s="5">
        <v>0</v>
      </c>
      <c r="H37" s="5">
        <v>0</v>
      </c>
      <c r="I37" s="6">
        <v>0</v>
      </c>
      <c r="J37" s="7">
        <v>0</v>
      </c>
      <c r="K37" s="5">
        <v>0</v>
      </c>
      <c r="L37" s="5">
        <v>0</v>
      </c>
      <c r="M37" s="6">
        <v>0</v>
      </c>
      <c r="N37" s="4">
        <v>19922.112000000001</v>
      </c>
      <c r="O37" s="5">
        <v>143</v>
      </c>
      <c r="P37" s="5">
        <v>184</v>
      </c>
      <c r="Q37" s="6">
        <v>19922.112000000001</v>
      </c>
      <c r="R37" s="7">
        <v>0</v>
      </c>
      <c r="S37" s="5">
        <v>0</v>
      </c>
      <c r="T37" s="5">
        <v>0</v>
      </c>
      <c r="U37" s="6">
        <v>0</v>
      </c>
      <c r="V37" s="8"/>
    </row>
    <row r="38" spans="1:22" x14ac:dyDescent="0.2">
      <c r="A38" s="2" t="s">
        <v>56</v>
      </c>
      <c r="B38" s="2" t="s">
        <v>52</v>
      </c>
      <c r="C38" s="2">
        <v>1012159</v>
      </c>
      <c r="D38" s="2" t="s">
        <v>89</v>
      </c>
      <c r="E38" s="3" t="s">
        <v>63</v>
      </c>
      <c r="F38" s="4">
        <v>0</v>
      </c>
      <c r="G38" s="5">
        <v>0</v>
      </c>
      <c r="H38" s="5">
        <v>0</v>
      </c>
      <c r="I38" s="6">
        <v>0</v>
      </c>
      <c r="J38" s="7">
        <v>0</v>
      </c>
      <c r="K38" s="5">
        <v>0</v>
      </c>
      <c r="L38" s="5">
        <v>0</v>
      </c>
      <c r="M38" s="6">
        <v>0</v>
      </c>
      <c r="N38" s="4">
        <v>20157.984</v>
      </c>
      <c r="O38" s="5">
        <v>116.158415841584</v>
      </c>
      <c r="P38" s="5">
        <v>116.336633663366</v>
      </c>
      <c r="Q38" s="6">
        <v>20157.984</v>
      </c>
      <c r="R38" s="7">
        <v>0</v>
      </c>
      <c r="S38" s="5">
        <v>0</v>
      </c>
      <c r="T38" s="5">
        <v>0</v>
      </c>
      <c r="U38" s="6">
        <v>0</v>
      </c>
      <c r="V38" s="8"/>
    </row>
    <row r="39" spans="1:22" x14ac:dyDescent="0.2">
      <c r="A39" s="2" t="s">
        <v>56</v>
      </c>
      <c r="B39" s="2" t="s">
        <v>52</v>
      </c>
      <c r="C39" s="2">
        <v>1012161</v>
      </c>
      <c r="D39" s="2" t="s">
        <v>102</v>
      </c>
      <c r="E39" s="3" t="s">
        <v>63</v>
      </c>
      <c r="F39" s="4">
        <v>0</v>
      </c>
      <c r="G39" s="5">
        <v>0</v>
      </c>
      <c r="H39" s="5">
        <v>0</v>
      </c>
      <c r="I39" s="6">
        <v>0</v>
      </c>
      <c r="J39" s="7">
        <v>0</v>
      </c>
      <c r="K39" s="5">
        <v>0</v>
      </c>
      <c r="L39" s="5">
        <v>0</v>
      </c>
      <c r="M39" s="6">
        <v>0</v>
      </c>
      <c r="N39" s="4">
        <v>19958.400000000001</v>
      </c>
      <c r="O39" s="5">
        <v>116</v>
      </c>
      <c r="P39" s="5">
        <v>116</v>
      </c>
      <c r="Q39" s="6">
        <v>19958.400000000001</v>
      </c>
      <c r="R39" s="7">
        <v>0</v>
      </c>
      <c r="S39" s="5">
        <v>0</v>
      </c>
      <c r="T39" s="5">
        <v>0</v>
      </c>
      <c r="U39" s="6">
        <v>0</v>
      </c>
      <c r="V39" s="8"/>
    </row>
    <row r="40" spans="1:22" x14ac:dyDescent="0.2">
      <c r="A40" s="2" t="s">
        <v>56</v>
      </c>
      <c r="B40" s="2" t="s">
        <v>52</v>
      </c>
      <c r="C40" s="2">
        <v>1012165</v>
      </c>
      <c r="D40" s="2" t="s">
        <v>62</v>
      </c>
      <c r="E40" s="3" t="s">
        <v>63</v>
      </c>
      <c r="F40" s="4">
        <v>0</v>
      </c>
      <c r="G40" s="5">
        <v>0</v>
      </c>
      <c r="H40" s="5">
        <v>0</v>
      </c>
      <c r="I40" s="6">
        <v>0</v>
      </c>
      <c r="J40" s="7">
        <v>0</v>
      </c>
      <c r="K40" s="5">
        <v>0</v>
      </c>
      <c r="L40" s="5">
        <v>0</v>
      </c>
      <c r="M40" s="6">
        <v>0</v>
      </c>
      <c r="N40" s="4">
        <v>7711.48</v>
      </c>
      <c r="O40" s="5">
        <v>122.88257506989601</v>
      </c>
      <c r="P40" s="5">
        <v>123.41200392142601</v>
      </c>
      <c r="Q40" s="6">
        <v>7711.48</v>
      </c>
      <c r="R40" s="7">
        <v>0</v>
      </c>
      <c r="S40" s="5">
        <v>0</v>
      </c>
      <c r="T40" s="5">
        <v>0</v>
      </c>
      <c r="U40" s="6">
        <v>0</v>
      </c>
      <c r="V40" s="8"/>
    </row>
    <row r="41" spans="1:22" x14ac:dyDescent="0.2">
      <c r="A41" s="2" t="s">
        <v>56</v>
      </c>
      <c r="B41" s="2" t="s">
        <v>52</v>
      </c>
      <c r="C41" s="2">
        <v>1012167</v>
      </c>
      <c r="D41" s="2" t="s">
        <v>71</v>
      </c>
      <c r="E41" s="3" t="s">
        <v>59</v>
      </c>
      <c r="F41" s="4">
        <v>0</v>
      </c>
      <c r="G41" s="5">
        <v>0</v>
      </c>
      <c r="H41" s="5">
        <v>0</v>
      </c>
      <c r="I41" s="6">
        <v>0</v>
      </c>
      <c r="J41" s="7">
        <v>0</v>
      </c>
      <c r="K41" s="5">
        <v>0</v>
      </c>
      <c r="L41" s="5">
        <v>0</v>
      </c>
      <c r="M41" s="6">
        <v>0</v>
      </c>
      <c r="N41" s="4">
        <v>20738.592000000001</v>
      </c>
      <c r="O41" s="5">
        <v>106.61154855642999</v>
      </c>
      <c r="P41" s="5">
        <v>132.633420822397</v>
      </c>
      <c r="Q41" s="6">
        <v>20738.592000000001</v>
      </c>
      <c r="R41" s="7">
        <v>0</v>
      </c>
      <c r="S41" s="5">
        <v>0</v>
      </c>
      <c r="T41" s="5">
        <v>0</v>
      </c>
      <c r="U41" s="6">
        <v>0</v>
      </c>
      <c r="V41" s="8"/>
    </row>
    <row r="42" spans="1:22" x14ac:dyDescent="0.2">
      <c r="A42" s="2" t="s">
        <v>56</v>
      </c>
      <c r="B42" s="2" t="s">
        <v>52</v>
      </c>
      <c r="C42" s="2">
        <v>1012483</v>
      </c>
      <c r="D42" s="2" t="s">
        <v>91</v>
      </c>
      <c r="E42" s="3" t="s">
        <v>63</v>
      </c>
      <c r="F42" s="4">
        <v>0</v>
      </c>
      <c r="G42" s="5">
        <v>0</v>
      </c>
      <c r="H42" s="5">
        <v>0</v>
      </c>
      <c r="I42" s="6">
        <v>0</v>
      </c>
      <c r="J42" s="7">
        <v>0</v>
      </c>
      <c r="K42" s="5">
        <v>0</v>
      </c>
      <c r="L42" s="5">
        <v>0</v>
      </c>
      <c r="M42" s="6">
        <v>0</v>
      </c>
      <c r="N42" s="4">
        <v>27959.903999999999</v>
      </c>
      <c r="O42" s="5">
        <v>127.216093445814</v>
      </c>
      <c r="P42" s="5">
        <v>128.21544451654799</v>
      </c>
      <c r="Q42" s="6">
        <v>27959.903999999999</v>
      </c>
      <c r="R42" s="7">
        <v>0</v>
      </c>
      <c r="S42" s="5">
        <v>0</v>
      </c>
      <c r="T42" s="5">
        <v>0</v>
      </c>
      <c r="U42" s="6">
        <v>0</v>
      </c>
      <c r="V42" s="8"/>
    </row>
    <row r="43" spans="1:22" x14ac:dyDescent="0.2">
      <c r="A43" s="2" t="s">
        <v>56</v>
      </c>
      <c r="B43" s="2" t="s">
        <v>52</v>
      </c>
      <c r="C43" s="2">
        <v>1012518</v>
      </c>
      <c r="D43" s="2" t="s">
        <v>66</v>
      </c>
      <c r="E43" s="3" t="s">
        <v>67</v>
      </c>
      <c r="F43" s="4">
        <v>0</v>
      </c>
      <c r="G43" s="5">
        <v>0</v>
      </c>
      <c r="H43" s="5">
        <v>0</v>
      </c>
      <c r="I43" s="6">
        <v>0</v>
      </c>
      <c r="J43" s="7">
        <v>0</v>
      </c>
      <c r="K43" s="5">
        <v>0</v>
      </c>
      <c r="L43" s="5">
        <v>0</v>
      </c>
      <c r="M43" s="6">
        <v>0</v>
      </c>
      <c r="N43" s="4">
        <v>35997.332999999999</v>
      </c>
      <c r="O43" s="5">
        <v>170.55619387136301</v>
      </c>
      <c r="P43" s="5">
        <v>180.548133857583</v>
      </c>
      <c r="Q43" s="6">
        <v>35997.332999999999</v>
      </c>
      <c r="R43" s="7">
        <v>0</v>
      </c>
      <c r="S43" s="5">
        <v>0</v>
      </c>
      <c r="T43" s="5">
        <v>0</v>
      </c>
      <c r="U43" s="6">
        <v>0</v>
      </c>
      <c r="V43" s="8"/>
    </row>
    <row r="44" spans="1:22" x14ac:dyDescent="0.2">
      <c r="A44" s="2" t="s">
        <v>34</v>
      </c>
      <c r="B44" s="2" t="s">
        <v>52</v>
      </c>
      <c r="C44" s="2">
        <v>1020828</v>
      </c>
      <c r="D44" s="2" t="s">
        <v>75</v>
      </c>
      <c r="E44" s="3" t="s">
        <v>76</v>
      </c>
      <c r="F44" s="4">
        <v>0</v>
      </c>
      <c r="G44" s="5">
        <v>0</v>
      </c>
      <c r="H44" s="5">
        <v>0</v>
      </c>
      <c r="I44" s="6">
        <v>0</v>
      </c>
      <c r="J44" s="7">
        <v>0</v>
      </c>
      <c r="K44" s="5">
        <v>0</v>
      </c>
      <c r="L44" s="5">
        <v>0</v>
      </c>
      <c r="M44" s="6">
        <v>0</v>
      </c>
      <c r="N44" s="4">
        <v>4260</v>
      </c>
      <c r="O44" s="5">
        <v>167</v>
      </c>
      <c r="P44" s="5">
        <v>167</v>
      </c>
      <c r="Q44" s="6">
        <v>4260</v>
      </c>
      <c r="R44" s="7">
        <v>0</v>
      </c>
      <c r="S44" s="5">
        <v>0</v>
      </c>
      <c r="T44" s="5">
        <v>0</v>
      </c>
      <c r="U44" s="6">
        <v>0</v>
      </c>
      <c r="V44" s="8"/>
    </row>
    <row r="45" spans="1:22" x14ac:dyDescent="0.2">
      <c r="A45" s="2" t="s">
        <v>34</v>
      </c>
      <c r="B45" s="2" t="s">
        <v>52</v>
      </c>
      <c r="C45" s="2">
        <v>1023050</v>
      </c>
      <c r="D45" s="2" t="s">
        <v>93</v>
      </c>
      <c r="E45" s="3" t="s">
        <v>43</v>
      </c>
      <c r="F45" s="4">
        <v>0</v>
      </c>
      <c r="G45" s="5">
        <v>0</v>
      </c>
      <c r="H45" s="5">
        <v>0</v>
      </c>
      <c r="I45" s="6">
        <v>0</v>
      </c>
      <c r="J45" s="7">
        <v>0</v>
      </c>
      <c r="K45" s="5">
        <v>0</v>
      </c>
      <c r="L45" s="5">
        <v>0</v>
      </c>
      <c r="M45" s="6">
        <v>0</v>
      </c>
      <c r="N45" s="4">
        <v>39.225999999999999</v>
      </c>
      <c r="O45" s="5">
        <v>150</v>
      </c>
      <c r="P45" s="5">
        <v>187</v>
      </c>
      <c r="Q45" s="6">
        <v>39.225999999999999</v>
      </c>
      <c r="R45" s="7">
        <v>0</v>
      </c>
      <c r="S45" s="5">
        <v>0</v>
      </c>
      <c r="T45" s="5">
        <v>0</v>
      </c>
      <c r="U45" s="6">
        <v>0</v>
      </c>
      <c r="V45" s="8"/>
    </row>
    <row r="46" spans="1:22" x14ac:dyDescent="0.2">
      <c r="A46" s="2" t="s">
        <v>34</v>
      </c>
      <c r="B46" s="2" t="s">
        <v>52</v>
      </c>
      <c r="C46" s="2">
        <v>1023276</v>
      </c>
      <c r="D46" s="2" t="s">
        <v>95</v>
      </c>
      <c r="E46" s="3" t="s">
        <v>96</v>
      </c>
      <c r="F46" s="4">
        <v>0</v>
      </c>
      <c r="G46" s="5">
        <v>0</v>
      </c>
      <c r="H46" s="5">
        <v>0</v>
      </c>
      <c r="I46" s="6">
        <v>0</v>
      </c>
      <c r="J46" s="7">
        <v>0</v>
      </c>
      <c r="K46" s="5">
        <v>0</v>
      </c>
      <c r="L46" s="5">
        <v>0</v>
      </c>
      <c r="M46" s="6">
        <v>0</v>
      </c>
      <c r="N46" s="4">
        <v>1731.79</v>
      </c>
      <c r="O46" s="5">
        <v>136</v>
      </c>
      <c r="P46" s="5">
        <v>136</v>
      </c>
      <c r="Q46" s="6">
        <v>1731.79</v>
      </c>
      <c r="R46" s="7">
        <v>0</v>
      </c>
      <c r="S46" s="5">
        <v>0</v>
      </c>
      <c r="T46" s="5">
        <v>0</v>
      </c>
      <c r="U46" s="6">
        <v>0</v>
      </c>
      <c r="V46" s="8"/>
    </row>
    <row r="47" spans="1:22" x14ac:dyDescent="0.2">
      <c r="A47" s="2" t="s">
        <v>50</v>
      </c>
      <c r="B47" s="2" t="s">
        <v>52</v>
      </c>
      <c r="C47" s="2">
        <v>1030782</v>
      </c>
      <c r="D47" s="2" t="s">
        <v>81</v>
      </c>
      <c r="E47" s="3" t="s">
        <v>79</v>
      </c>
      <c r="F47" s="4">
        <v>0</v>
      </c>
      <c r="G47" s="5">
        <v>0</v>
      </c>
      <c r="H47" s="5">
        <v>0</v>
      </c>
      <c r="I47" s="6">
        <v>0</v>
      </c>
      <c r="J47" s="7">
        <v>0</v>
      </c>
      <c r="K47" s="5">
        <v>0</v>
      </c>
      <c r="L47" s="5">
        <v>0</v>
      </c>
      <c r="M47" s="6">
        <v>0</v>
      </c>
      <c r="N47" s="4">
        <v>11.683</v>
      </c>
      <c r="O47" s="5">
        <v>166</v>
      </c>
      <c r="P47" s="5">
        <v>167</v>
      </c>
      <c r="Q47" s="6">
        <v>11.683</v>
      </c>
      <c r="R47" s="7">
        <v>0</v>
      </c>
      <c r="S47" s="5">
        <v>0</v>
      </c>
      <c r="T47" s="5">
        <v>0</v>
      </c>
      <c r="U47" s="6">
        <v>0</v>
      </c>
      <c r="V47" s="8"/>
    </row>
    <row r="48" spans="1:22" x14ac:dyDescent="0.2">
      <c r="A48" s="2" t="s">
        <v>103</v>
      </c>
      <c r="B48" s="2" t="s">
        <v>52</v>
      </c>
      <c r="C48" s="2">
        <v>1100570</v>
      </c>
      <c r="D48" s="2" t="s">
        <v>105</v>
      </c>
      <c r="E48" s="3" t="s">
        <v>106</v>
      </c>
      <c r="F48" s="4">
        <v>0</v>
      </c>
      <c r="G48" s="5">
        <v>0</v>
      </c>
      <c r="H48" s="5">
        <v>0</v>
      </c>
      <c r="I48" s="6">
        <v>0</v>
      </c>
      <c r="J48" s="7">
        <v>0</v>
      </c>
      <c r="K48" s="5">
        <v>0</v>
      </c>
      <c r="L48" s="5">
        <v>0</v>
      </c>
      <c r="M48" s="6">
        <v>0</v>
      </c>
      <c r="N48" s="4">
        <v>563.04</v>
      </c>
      <c r="O48" s="5">
        <v>122</v>
      </c>
      <c r="P48" s="5">
        <v>130</v>
      </c>
      <c r="Q48" s="6">
        <v>563.04</v>
      </c>
      <c r="R48" s="7">
        <v>0</v>
      </c>
      <c r="S48" s="5">
        <v>0</v>
      </c>
      <c r="T48" s="5">
        <v>0</v>
      </c>
      <c r="U48" s="6">
        <v>0</v>
      </c>
      <c r="V48" s="8"/>
    </row>
    <row r="49" spans="1:22" x14ac:dyDescent="0.2">
      <c r="A49" s="2" t="s">
        <v>103</v>
      </c>
      <c r="B49" s="2" t="s">
        <v>52</v>
      </c>
      <c r="C49" s="2">
        <v>1100602</v>
      </c>
      <c r="D49" s="2" t="s">
        <v>108</v>
      </c>
      <c r="E49" s="3" t="s">
        <v>106</v>
      </c>
      <c r="F49" s="4">
        <v>0</v>
      </c>
      <c r="G49" s="5">
        <v>0</v>
      </c>
      <c r="H49" s="5">
        <v>0</v>
      </c>
      <c r="I49" s="6">
        <v>0</v>
      </c>
      <c r="J49" s="7">
        <v>0</v>
      </c>
      <c r="K49" s="5">
        <v>0</v>
      </c>
      <c r="L49" s="5">
        <v>0</v>
      </c>
      <c r="M49" s="6">
        <v>0</v>
      </c>
      <c r="N49" s="4">
        <v>7907.04</v>
      </c>
      <c r="O49" s="5">
        <v>122</v>
      </c>
      <c r="P49" s="5">
        <v>130</v>
      </c>
      <c r="Q49" s="6">
        <v>7907.04</v>
      </c>
      <c r="R49" s="7">
        <v>0</v>
      </c>
      <c r="S49" s="5">
        <v>0</v>
      </c>
      <c r="T49" s="5">
        <v>0</v>
      </c>
      <c r="U49" s="6">
        <v>0</v>
      </c>
      <c r="V49" s="8"/>
    </row>
    <row r="50" spans="1:22" x14ac:dyDescent="0.2">
      <c r="A50" s="2" t="s">
        <v>56</v>
      </c>
      <c r="B50" s="2" t="s">
        <v>52</v>
      </c>
      <c r="C50" s="2">
        <v>1011701</v>
      </c>
      <c r="D50" s="2" t="s">
        <v>83</v>
      </c>
      <c r="E50" s="3" t="s">
        <v>59</v>
      </c>
      <c r="F50" s="4">
        <v>0</v>
      </c>
      <c r="G50" s="5">
        <v>0</v>
      </c>
      <c r="H50" s="5">
        <v>0</v>
      </c>
      <c r="I50" s="6">
        <v>0</v>
      </c>
      <c r="J50" s="7">
        <v>0</v>
      </c>
      <c r="K50" s="5">
        <v>0</v>
      </c>
      <c r="L50" s="5">
        <v>0</v>
      </c>
      <c r="M50" s="6">
        <v>0</v>
      </c>
      <c r="N50" s="4">
        <v>0</v>
      </c>
      <c r="O50" s="5">
        <v>0</v>
      </c>
      <c r="P50" s="5">
        <v>0</v>
      </c>
      <c r="Q50" s="6">
        <v>0</v>
      </c>
      <c r="R50" s="7">
        <v>18140.991999999998</v>
      </c>
      <c r="S50" s="5">
        <v>124</v>
      </c>
      <c r="T50" s="5">
        <v>150</v>
      </c>
      <c r="U50" s="6">
        <v>18140.991999999998</v>
      </c>
      <c r="V50" s="8"/>
    </row>
    <row r="51" spans="1:22" x14ac:dyDescent="0.2">
      <c r="A51" s="2" t="s">
        <v>56</v>
      </c>
      <c r="B51" s="2" t="s">
        <v>52</v>
      </c>
      <c r="C51" s="2">
        <v>1012108</v>
      </c>
      <c r="D51" s="2" t="s">
        <v>58</v>
      </c>
      <c r="E51" s="3" t="s">
        <v>59</v>
      </c>
      <c r="F51" s="4">
        <v>0</v>
      </c>
      <c r="G51" s="5">
        <v>0</v>
      </c>
      <c r="H51" s="5">
        <v>0</v>
      </c>
      <c r="I51" s="6">
        <v>0</v>
      </c>
      <c r="J51" s="7">
        <v>0</v>
      </c>
      <c r="K51" s="5">
        <v>0</v>
      </c>
      <c r="L51" s="5">
        <v>0</v>
      </c>
      <c r="M51" s="6">
        <v>0</v>
      </c>
      <c r="N51" s="4">
        <v>18742.752</v>
      </c>
      <c r="O51" s="5">
        <v>78.823814133591497</v>
      </c>
      <c r="P51" s="5">
        <v>92.823814133591497</v>
      </c>
      <c r="Q51" s="6">
        <v>18742.752</v>
      </c>
      <c r="R51" s="7">
        <v>0</v>
      </c>
      <c r="S51" s="5">
        <v>0</v>
      </c>
      <c r="T51" s="5">
        <v>0</v>
      </c>
      <c r="U51" s="6">
        <v>0</v>
      </c>
      <c r="V51" s="8"/>
    </row>
    <row r="52" spans="1:22" x14ac:dyDescent="0.2">
      <c r="A52" s="2" t="s">
        <v>56</v>
      </c>
      <c r="B52" s="2" t="s">
        <v>52</v>
      </c>
      <c r="C52" s="2">
        <v>1012109</v>
      </c>
      <c r="D52" s="2" t="s">
        <v>69</v>
      </c>
      <c r="E52" s="3" t="s">
        <v>59</v>
      </c>
      <c r="F52" s="4">
        <v>0</v>
      </c>
      <c r="G52" s="5">
        <v>0</v>
      </c>
      <c r="H52" s="5">
        <v>0</v>
      </c>
      <c r="I52" s="6">
        <v>0</v>
      </c>
      <c r="J52" s="7">
        <v>0</v>
      </c>
      <c r="K52" s="5">
        <v>0</v>
      </c>
      <c r="L52" s="5">
        <v>0</v>
      </c>
      <c r="M52" s="6">
        <v>0</v>
      </c>
      <c r="N52" s="4">
        <v>47773.055999999997</v>
      </c>
      <c r="O52" s="5">
        <v>91.168482585665004</v>
      </c>
      <c r="P52" s="5">
        <v>102.37207517141</v>
      </c>
      <c r="Q52" s="6">
        <v>47773.055999999997</v>
      </c>
      <c r="R52" s="7">
        <v>54.432000000000002</v>
      </c>
      <c r="S52" s="5">
        <v>126.666666666667</v>
      </c>
      <c r="T52" s="5">
        <v>130.333333333333</v>
      </c>
      <c r="U52" s="6">
        <v>54.432000000000002</v>
      </c>
      <c r="V52" s="8"/>
    </row>
    <row r="53" spans="1:22" x14ac:dyDescent="0.2">
      <c r="A53" s="2" t="s">
        <v>56</v>
      </c>
      <c r="B53" s="2" t="s">
        <v>52</v>
      </c>
      <c r="C53" s="2">
        <v>1012110</v>
      </c>
      <c r="D53" s="2" t="s">
        <v>110</v>
      </c>
      <c r="E53" s="3" t="s">
        <v>59</v>
      </c>
      <c r="F53" s="4">
        <v>0</v>
      </c>
      <c r="G53" s="5">
        <v>0</v>
      </c>
      <c r="H53" s="5">
        <v>0</v>
      </c>
      <c r="I53" s="6">
        <v>0</v>
      </c>
      <c r="J53" s="7">
        <v>0</v>
      </c>
      <c r="K53" s="5">
        <v>0</v>
      </c>
      <c r="L53" s="5">
        <v>0</v>
      </c>
      <c r="M53" s="6">
        <v>0</v>
      </c>
      <c r="N53" s="4">
        <v>52363.584000000003</v>
      </c>
      <c r="O53" s="5">
        <v>73.764379764379797</v>
      </c>
      <c r="P53" s="5">
        <v>81.0859320859321</v>
      </c>
      <c r="Q53" s="6">
        <v>52363.584000000003</v>
      </c>
      <c r="R53" s="7">
        <v>72.575999999999993</v>
      </c>
      <c r="S53" s="5">
        <v>69</v>
      </c>
      <c r="T53" s="5">
        <v>74</v>
      </c>
      <c r="U53" s="6">
        <v>72.575999999999993</v>
      </c>
      <c r="V53" s="8"/>
    </row>
    <row r="54" spans="1:22" x14ac:dyDescent="0.2">
      <c r="A54" s="2" t="s">
        <v>56</v>
      </c>
      <c r="B54" s="2" t="s">
        <v>52</v>
      </c>
      <c r="C54" s="2">
        <v>1012145</v>
      </c>
      <c r="D54" s="2" t="s">
        <v>85</v>
      </c>
      <c r="E54" s="3" t="s">
        <v>59</v>
      </c>
      <c r="F54" s="4">
        <v>0</v>
      </c>
      <c r="G54" s="5">
        <v>0</v>
      </c>
      <c r="H54" s="5">
        <v>0</v>
      </c>
      <c r="I54" s="6">
        <v>0</v>
      </c>
      <c r="J54" s="7">
        <v>0</v>
      </c>
      <c r="K54" s="5">
        <v>0</v>
      </c>
      <c r="L54" s="5">
        <v>0</v>
      </c>
      <c r="M54" s="6">
        <v>0</v>
      </c>
      <c r="N54" s="4">
        <v>73953.671000000002</v>
      </c>
      <c r="O54" s="5">
        <v>97.431139179013798</v>
      </c>
      <c r="P54" s="5">
        <v>112.18970123876601</v>
      </c>
      <c r="Q54" s="6">
        <v>73953.671000000002</v>
      </c>
      <c r="R54" s="7">
        <v>0</v>
      </c>
      <c r="S54" s="5">
        <v>0</v>
      </c>
      <c r="T54" s="5">
        <v>0</v>
      </c>
      <c r="U54" s="6">
        <v>0</v>
      </c>
      <c r="V54" s="8"/>
    </row>
    <row r="55" spans="1:22" x14ac:dyDescent="0.2">
      <c r="A55" s="2" t="s">
        <v>56</v>
      </c>
      <c r="B55" s="2" t="s">
        <v>52</v>
      </c>
      <c r="C55" s="2">
        <v>1012148</v>
      </c>
      <c r="D55" s="2" t="s">
        <v>112</v>
      </c>
      <c r="E55" s="3" t="s">
        <v>63</v>
      </c>
      <c r="F55" s="4">
        <v>0</v>
      </c>
      <c r="G55" s="5">
        <v>0</v>
      </c>
      <c r="H55" s="5">
        <v>0</v>
      </c>
      <c r="I55" s="6">
        <v>0</v>
      </c>
      <c r="J55" s="7">
        <v>0</v>
      </c>
      <c r="K55" s="5">
        <v>0</v>
      </c>
      <c r="L55" s="5">
        <v>0</v>
      </c>
      <c r="M55" s="6">
        <v>0</v>
      </c>
      <c r="N55" s="4">
        <v>19759.3</v>
      </c>
      <c r="O55" s="5">
        <v>80</v>
      </c>
      <c r="P55" s="5">
        <v>89</v>
      </c>
      <c r="Q55" s="6">
        <v>19759.3</v>
      </c>
      <c r="R55" s="7">
        <v>0</v>
      </c>
      <c r="S55" s="5">
        <v>0</v>
      </c>
      <c r="T55" s="5">
        <v>0</v>
      </c>
      <c r="U55" s="6">
        <v>0</v>
      </c>
      <c r="V55" s="8"/>
    </row>
    <row r="56" spans="1:22" x14ac:dyDescent="0.2">
      <c r="A56" s="2" t="s">
        <v>56</v>
      </c>
      <c r="B56" s="2" t="s">
        <v>52</v>
      </c>
      <c r="C56" s="2">
        <v>1012157</v>
      </c>
      <c r="D56" s="2" t="s">
        <v>100</v>
      </c>
      <c r="E56" s="3" t="s">
        <v>63</v>
      </c>
      <c r="F56" s="4">
        <v>0</v>
      </c>
      <c r="G56" s="5">
        <v>0</v>
      </c>
      <c r="H56" s="5">
        <v>0</v>
      </c>
      <c r="I56" s="6">
        <v>0</v>
      </c>
      <c r="J56" s="7">
        <v>0</v>
      </c>
      <c r="K56" s="5">
        <v>0</v>
      </c>
      <c r="L56" s="5">
        <v>0</v>
      </c>
      <c r="M56" s="6">
        <v>0</v>
      </c>
      <c r="N56" s="4">
        <v>40098.239999999998</v>
      </c>
      <c r="O56" s="5">
        <v>80.977375565610899</v>
      </c>
      <c r="P56" s="5">
        <v>96.384615384615401</v>
      </c>
      <c r="Q56" s="6">
        <v>40098.239999999998</v>
      </c>
      <c r="R56" s="7">
        <v>0</v>
      </c>
      <c r="S56" s="5">
        <v>0</v>
      </c>
      <c r="T56" s="5">
        <v>0</v>
      </c>
      <c r="U56" s="6">
        <v>0</v>
      </c>
      <c r="V56" s="8"/>
    </row>
    <row r="57" spans="1:22" x14ac:dyDescent="0.2">
      <c r="A57" s="2" t="s">
        <v>56</v>
      </c>
      <c r="B57" s="2" t="s">
        <v>52</v>
      </c>
      <c r="C57" s="2">
        <v>1012158</v>
      </c>
      <c r="D57" s="2" t="s">
        <v>87</v>
      </c>
      <c r="E57" s="3" t="s">
        <v>67</v>
      </c>
      <c r="F57" s="4">
        <v>0</v>
      </c>
      <c r="G57" s="5">
        <v>0</v>
      </c>
      <c r="H57" s="5">
        <v>0</v>
      </c>
      <c r="I57" s="6">
        <v>0</v>
      </c>
      <c r="J57" s="7">
        <v>0</v>
      </c>
      <c r="K57" s="5">
        <v>0</v>
      </c>
      <c r="L57" s="5">
        <v>0</v>
      </c>
      <c r="M57" s="6">
        <v>0</v>
      </c>
      <c r="N57" s="4">
        <v>19541.088</v>
      </c>
      <c r="O57" s="5">
        <v>74.290622098421494</v>
      </c>
      <c r="P57" s="5">
        <v>81.864438254410402</v>
      </c>
      <c r="Q57" s="6">
        <v>19541.088</v>
      </c>
      <c r="R57" s="7">
        <v>0</v>
      </c>
      <c r="S57" s="5">
        <v>0</v>
      </c>
      <c r="T57" s="5">
        <v>0</v>
      </c>
      <c r="U57" s="6">
        <v>0</v>
      </c>
      <c r="V57" s="8"/>
    </row>
    <row r="58" spans="1:22" x14ac:dyDescent="0.2">
      <c r="A58" s="2" t="s">
        <v>56</v>
      </c>
      <c r="B58" s="2" t="s">
        <v>52</v>
      </c>
      <c r="C58" s="2">
        <v>1012159</v>
      </c>
      <c r="D58" s="2" t="s">
        <v>89</v>
      </c>
      <c r="E58" s="3" t="s">
        <v>63</v>
      </c>
      <c r="F58" s="4">
        <v>0</v>
      </c>
      <c r="G58" s="5">
        <v>0</v>
      </c>
      <c r="H58" s="5">
        <v>0</v>
      </c>
      <c r="I58" s="6">
        <v>0</v>
      </c>
      <c r="J58" s="7">
        <v>0</v>
      </c>
      <c r="K58" s="5">
        <v>0</v>
      </c>
      <c r="L58" s="5">
        <v>0</v>
      </c>
      <c r="M58" s="6">
        <v>0</v>
      </c>
      <c r="N58" s="4">
        <v>33384.959999999999</v>
      </c>
      <c r="O58" s="5">
        <v>90.293478260869605</v>
      </c>
      <c r="P58" s="5">
        <v>95.076086956521706</v>
      </c>
      <c r="Q58" s="6">
        <v>33384.959999999999</v>
      </c>
      <c r="R58" s="7">
        <v>199.584</v>
      </c>
      <c r="S58" s="5">
        <v>132</v>
      </c>
      <c r="T58" s="5">
        <v>150</v>
      </c>
      <c r="U58" s="6">
        <v>199.584</v>
      </c>
      <c r="V58" s="8"/>
    </row>
    <row r="59" spans="1:22" x14ac:dyDescent="0.2">
      <c r="A59" s="2" t="s">
        <v>56</v>
      </c>
      <c r="B59" s="2" t="s">
        <v>52</v>
      </c>
      <c r="C59" s="2">
        <v>1012161</v>
      </c>
      <c r="D59" s="2" t="s">
        <v>102</v>
      </c>
      <c r="E59" s="3" t="s">
        <v>63</v>
      </c>
      <c r="F59" s="4">
        <v>0</v>
      </c>
      <c r="G59" s="5">
        <v>0</v>
      </c>
      <c r="H59" s="5">
        <v>0</v>
      </c>
      <c r="I59" s="6">
        <v>0</v>
      </c>
      <c r="J59" s="7">
        <v>0</v>
      </c>
      <c r="K59" s="5">
        <v>0</v>
      </c>
      <c r="L59" s="5">
        <v>0</v>
      </c>
      <c r="M59" s="6">
        <v>0</v>
      </c>
      <c r="N59" s="4">
        <v>32659.200000000001</v>
      </c>
      <c r="O59" s="5">
        <v>84</v>
      </c>
      <c r="P59" s="5">
        <v>98.8333333333333</v>
      </c>
      <c r="Q59" s="6">
        <v>32659.200000000001</v>
      </c>
      <c r="R59" s="7">
        <v>0</v>
      </c>
      <c r="S59" s="5">
        <v>0</v>
      </c>
      <c r="T59" s="5">
        <v>0</v>
      </c>
      <c r="U59" s="6">
        <v>0</v>
      </c>
      <c r="V59" s="8"/>
    </row>
    <row r="60" spans="1:22" x14ac:dyDescent="0.2">
      <c r="A60" s="2" t="s">
        <v>56</v>
      </c>
      <c r="B60" s="2" t="s">
        <v>52</v>
      </c>
      <c r="C60" s="2">
        <v>1012165</v>
      </c>
      <c r="D60" s="2" t="s">
        <v>62</v>
      </c>
      <c r="E60" s="3" t="s">
        <v>63</v>
      </c>
      <c r="F60" s="4">
        <v>0</v>
      </c>
      <c r="G60" s="5">
        <v>0</v>
      </c>
      <c r="H60" s="5">
        <v>0</v>
      </c>
      <c r="I60" s="6">
        <v>0</v>
      </c>
      <c r="J60" s="7">
        <v>0</v>
      </c>
      <c r="K60" s="5">
        <v>0</v>
      </c>
      <c r="L60" s="5">
        <v>0</v>
      </c>
      <c r="M60" s="6">
        <v>0</v>
      </c>
      <c r="N60" s="4">
        <v>21156.184000000001</v>
      </c>
      <c r="O60" s="5">
        <v>80.703898207729694</v>
      </c>
      <c r="P60" s="5">
        <v>89.559711902675801</v>
      </c>
      <c r="Q60" s="6">
        <v>21156.184000000001</v>
      </c>
      <c r="R60" s="7">
        <v>90.72</v>
      </c>
      <c r="S60" s="5">
        <v>78.8</v>
      </c>
      <c r="T60" s="5">
        <v>88.2</v>
      </c>
      <c r="U60" s="6">
        <v>90.72</v>
      </c>
      <c r="V60" s="8"/>
    </row>
    <row r="61" spans="1:22" x14ac:dyDescent="0.2">
      <c r="A61" s="2" t="s">
        <v>56</v>
      </c>
      <c r="B61" s="2" t="s">
        <v>52</v>
      </c>
      <c r="C61" s="2">
        <v>1012167</v>
      </c>
      <c r="D61" s="2" t="s">
        <v>71</v>
      </c>
      <c r="E61" s="3" t="s">
        <v>59</v>
      </c>
      <c r="F61" s="4">
        <v>0</v>
      </c>
      <c r="G61" s="5">
        <v>0</v>
      </c>
      <c r="H61" s="5">
        <v>0</v>
      </c>
      <c r="I61" s="6">
        <v>0</v>
      </c>
      <c r="J61" s="7">
        <v>0</v>
      </c>
      <c r="K61" s="5">
        <v>0</v>
      </c>
      <c r="L61" s="5">
        <v>0</v>
      </c>
      <c r="M61" s="6">
        <v>0</v>
      </c>
      <c r="N61" s="4">
        <v>29938.464</v>
      </c>
      <c r="O61" s="5">
        <v>76.242840514463296</v>
      </c>
      <c r="P61" s="5">
        <v>88.728130340955403</v>
      </c>
      <c r="Q61" s="6">
        <v>29938.464</v>
      </c>
      <c r="R61" s="7">
        <v>0</v>
      </c>
      <c r="S61" s="5">
        <v>0</v>
      </c>
      <c r="T61" s="5">
        <v>0</v>
      </c>
      <c r="U61" s="6">
        <v>0</v>
      </c>
      <c r="V61" s="8"/>
    </row>
    <row r="62" spans="1:22" x14ac:dyDescent="0.2">
      <c r="A62" s="2" t="s">
        <v>56</v>
      </c>
      <c r="B62" s="2" t="s">
        <v>52</v>
      </c>
      <c r="C62" s="2">
        <v>1012483</v>
      </c>
      <c r="D62" s="2" t="s">
        <v>91</v>
      </c>
      <c r="E62" s="3" t="s">
        <v>63</v>
      </c>
      <c r="F62" s="4">
        <v>0</v>
      </c>
      <c r="G62" s="5">
        <v>0</v>
      </c>
      <c r="H62" s="5">
        <v>0</v>
      </c>
      <c r="I62" s="6">
        <v>0</v>
      </c>
      <c r="J62" s="7">
        <v>0</v>
      </c>
      <c r="K62" s="5">
        <v>0</v>
      </c>
      <c r="L62" s="5">
        <v>0</v>
      </c>
      <c r="M62" s="6">
        <v>0</v>
      </c>
      <c r="N62" s="4">
        <v>79833.600000000006</v>
      </c>
      <c r="O62" s="5">
        <v>71.75</v>
      </c>
      <c r="P62" s="5">
        <v>80</v>
      </c>
      <c r="Q62" s="6">
        <v>79833.600000000006</v>
      </c>
      <c r="R62" s="7">
        <v>27959.903999999999</v>
      </c>
      <c r="S62" s="5">
        <v>127.216093445814</v>
      </c>
      <c r="T62" s="5">
        <v>128.21544451654799</v>
      </c>
      <c r="U62" s="6">
        <v>27959.903999999999</v>
      </c>
      <c r="V62" s="8"/>
    </row>
    <row r="63" spans="1:22" x14ac:dyDescent="0.2">
      <c r="A63" s="2" t="s">
        <v>56</v>
      </c>
      <c r="B63" s="2" t="s">
        <v>52</v>
      </c>
      <c r="C63" s="2">
        <v>1012518</v>
      </c>
      <c r="D63" s="2" t="s">
        <v>66</v>
      </c>
      <c r="E63" s="3" t="s">
        <v>67</v>
      </c>
      <c r="F63" s="4">
        <v>0</v>
      </c>
      <c r="G63" s="5">
        <v>0</v>
      </c>
      <c r="H63" s="5">
        <v>0</v>
      </c>
      <c r="I63" s="6">
        <v>0</v>
      </c>
      <c r="J63" s="7">
        <v>0</v>
      </c>
      <c r="K63" s="5">
        <v>0</v>
      </c>
      <c r="L63" s="5">
        <v>0</v>
      </c>
      <c r="M63" s="6">
        <v>0</v>
      </c>
      <c r="N63" s="4">
        <v>29302.197</v>
      </c>
      <c r="O63" s="5">
        <v>183.021139404666</v>
      </c>
      <c r="P63" s="5">
        <v>193.23970557566</v>
      </c>
      <c r="Q63" s="6">
        <v>29302.197</v>
      </c>
      <c r="R63" s="7">
        <v>0</v>
      </c>
      <c r="S63" s="5">
        <v>0</v>
      </c>
      <c r="T63" s="5">
        <v>0</v>
      </c>
      <c r="U63" s="6">
        <v>0</v>
      </c>
      <c r="V63" s="8"/>
    </row>
    <row r="64" spans="1:22" x14ac:dyDescent="0.2">
      <c r="A64" s="2" t="s">
        <v>56</v>
      </c>
      <c r="B64" s="2" t="s">
        <v>52</v>
      </c>
      <c r="C64" s="2">
        <v>1012520</v>
      </c>
      <c r="D64" s="2" t="s">
        <v>58</v>
      </c>
      <c r="E64" s="3" t="s">
        <v>59</v>
      </c>
      <c r="F64" s="4">
        <v>0</v>
      </c>
      <c r="G64" s="5">
        <v>0</v>
      </c>
      <c r="H64" s="5">
        <v>0</v>
      </c>
      <c r="I64" s="6">
        <v>0</v>
      </c>
      <c r="J64" s="7">
        <v>0</v>
      </c>
      <c r="K64" s="5">
        <v>0</v>
      </c>
      <c r="L64" s="5">
        <v>0</v>
      </c>
      <c r="M64" s="6">
        <v>0</v>
      </c>
      <c r="N64" s="4">
        <v>24222.240000000002</v>
      </c>
      <c r="O64" s="5">
        <v>78.194756554307105</v>
      </c>
      <c r="P64" s="5">
        <v>89.299625468164805</v>
      </c>
      <c r="Q64" s="6">
        <v>24222.240000000002</v>
      </c>
      <c r="R64" s="7">
        <v>0</v>
      </c>
      <c r="S64" s="5">
        <v>0</v>
      </c>
      <c r="T64" s="5">
        <v>0</v>
      </c>
      <c r="U64" s="6">
        <v>0</v>
      </c>
      <c r="V64" s="8"/>
    </row>
    <row r="65" spans="1:22" x14ac:dyDescent="0.2">
      <c r="A65" s="2" t="s">
        <v>56</v>
      </c>
      <c r="B65" s="2" t="s">
        <v>52</v>
      </c>
      <c r="C65" s="2">
        <v>1012521</v>
      </c>
      <c r="D65" s="2" t="s">
        <v>69</v>
      </c>
      <c r="E65" s="3" t="s">
        <v>59</v>
      </c>
      <c r="F65" s="4">
        <v>0</v>
      </c>
      <c r="G65" s="5">
        <v>0</v>
      </c>
      <c r="H65" s="5">
        <v>0</v>
      </c>
      <c r="I65" s="6">
        <v>0</v>
      </c>
      <c r="J65" s="7">
        <v>0</v>
      </c>
      <c r="K65" s="5">
        <v>0</v>
      </c>
      <c r="L65" s="5">
        <v>0</v>
      </c>
      <c r="M65" s="6">
        <v>0</v>
      </c>
      <c r="N65" s="4">
        <v>272.16000000000003</v>
      </c>
      <c r="O65" s="5">
        <v>74</v>
      </c>
      <c r="P65" s="5">
        <v>89</v>
      </c>
      <c r="Q65" s="6">
        <v>272.16000000000003</v>
      </c>
      <c r="R65" s="7">
        <v>0</v>
      </c>
      <c r="S65" s="5">
        <v>0</v>
      </c>
      <c r="T65" s="5">
        <v>0</v>
      </c>
      <c r="U65" s="6">
        <v>0</v>
      </c>
      <c r="V65" s="8"/>
    </row>
    <row r="66" spans="1:22" x14ac:dyDescent="0.2">
      <c r="A66" s="2" t="s">
        <v>56</v>
      </c>
      <c r="B66" s="2" t="s">
        <v>52</v>
      </c>
      <c r="C66" s="2">
        <v>1012522</v>
      </c>
      <c r="D66" s="2" t="s">
        <v>110</v>
      </c>
      <c r="E66" s="3" t="s">
        <v>59</v>
      </c>
      <c r="F66" s="4">
        <v>0</v>
      </c>
      <c r="G66" s="5">
        <v>0</v>
      </c>
      <c r="H66" s="5">
        <v>0</v>
      </c>
      <c r="I66" s="6">
        <v>0</v>
      </c>
      <c r="J66" s="7">
        <v>0</v>
      </c>
      <c r="K66" s="5">
        <v>0</v>
      </c>
      <c r="L66" s="5">
        <v>0</v>
      </c>
      <c r="M66" s="6">
        <v>0</v>
      </c>
      <c r="N66" s="4">
        <v>28304.639999999999</v>
      </c>
      <c r="O66" s="5">
        <v>76.964743589743605</v>
      </c>
      <c r="P66" s="5">
        <v>96.548076923076906</v>
      </c>
      <c r="Q66" s="6">
        <v>28304.639999999999</v>
      </c>
      <c r="R66" s="7">
        <v>0</v>
      </c>
      <c r="S66" s="5">
        <v>0</v>
      </c>
      <c r="T66" s="5">
        <v>0</v>
      </c>
      <c r="U66" s="6">
        <v>0</v>
      </c>
      <c r="V66" s="8"/>
    </row>
    <row r="67" spans="1:22" x14ac:dyDescent="0.2">
      <c r="A67" s="2" t="s">
        <v>56</v>
      </c>
      <c r="B67" s="2" t="s">
        <v>52</v>
      </c>
      <c r="C67" s="2">
        <v>1012523</v>
      </c>
      <c r="D67" s="2" t="s">
        <v>117</v>
      </c>
      <c r="E67" s="3" t="s">
        <v>59</v>
      </c>
      <c r="F67" s="4">
        <v>0</v>
      </c>
      <c r="G67" s="5">
        <v>0</v>
      </c>
      <c r="H67" s="5">
        <v>0</v>
      </c>
      <c r="I67" s="6">
        <v>0</v>
      </c>
      <c r="J67" s="7">
        <v>0</v>
      </c>
      <c r="K67" s="5">
        <v>0</v>
      </c>
      <c r="L67" s="5">
        <v>0</v>
      </c>
      <c r="M67" s="6">
        <v>0</v>
      </c>
      <c r="N67" s="4">
        <v>4989.6000000000004</v>
      </c>
      <c r="O67" s="5">
        <v>69</v>
      </c>
      <c r="P67" s="5">
        <v>76</v>
      </c>
      <c r="Q67" s="6">
        <v>4989.6000000000004</v>
      </c>
      <c r="R67" s="7">
        <v>18.143999999999998</v>
      </c>
      <c r="S67" s="5">
        <v>83</v>
      </c>
      <c r="T67" s="5">
        <v>89</v>
      </c>
      <c r="U67" s="6">
        <v>18.143999999999998</v>
      </c>
      <c r="V67" s="8"/>
    </row>
    <row r="68" spans="1:22" x14ac:dyDescent="0.2">
      <c r="A68" s="2" t="s">
        <v>34</v>
      </c>
      <c r="B68" s="2" t="s">
        <v>52</v>
      </c>
      <c r="C68" s="2">
        <v>1020828</v>
      </c>
      <c r="D68" s="2" t="s">
        <v>75</v>
      </c>
      <c r="E68" s="3" t="s">
        <v>76</v>
      </c>
      <c r="F68" s="4">
        <v>0</v>
      </c>
      <c r="G68" s="5">
        <v>0</v>
      </c>
      <c r="H68" s="5">
        <v>0</v>
      </c>
      <c r="I68" s="6">
        <v>0</v>
      </c>
      <c r="J68" s="7">
        <v>0</v>
      </c>
      <c r="K68" s="5">
        <v>0</v>
      </c>
      <c r="L68" s="5">
        <v>0</v>
      </c>
      <c r="M68" s="6">
        <v>0</v>
      </c>
      <c r="N68" s="4">
        <v>620</v>
      </c>
      <c r="O68" s="5">
        <v>90.548387096774206</v>
      </c>
      <c r="P68" s="5">
        <v>131.193548387097</v>
      </c>
      <c r="Q68" s="6">
        <v>620</v>
      </c>
      <c r="R68" s="7">
        <v>0</v>
      </c>
      <c r="S68" s="5">
        <v>0</v>
      </c>
      <c r="T68" s="5">
        <v>0</v>
      </c>
      <c r="U68" s="6">
        <v>0</v>
      </c>
      <c r="V68" s="8"/>
    </row>
    <row r="69" spans="1:22" x14ac:dyDescent="0.2">
      <c r="A69" s="2" t="s">
        <v>34</v>
      </c>
      <c r="B69" s="2" t="s">
        <v>52</v>
      </c>
      <c r="C69" s="2">
        <v>1021398</v>
      </c>
      <c r="D69" s="2" t="s">
        <v>119</v>
      </c>
      <c r="E69" s="3" t="s">
        <v>67</v>
      </c>
      <c r="F69" s="4">
        <v>0</v>
      </c>
      <c r="G69" s="5">
        <v>0</v>
      </c>
      <c r="H69" s="5">
        <v>0</v>
      </c>
      <c r="I69" s="6">
        <v>0</v>
      </c>
      <c r="J69" s="7">
        <v>0</v>
      </c>
      <c r="K69" s="5">
        <v>0</v>
      </c>
      <c r="L69" s="5">
        <v>0</v>
      </c>
      <c r="M69" s="6">
        <v>0</v>
      </c>
      <c r="N69" s="4">
        <v>2265</v>
      </c>
      <c r="O69" s="5">
        <v>81</v>
      </c>
      <c r="P69" s="5">
        <v>130</v>
      </c>
      <c r="Q69" s="6">
        <v>2265</v>
      </c>
      <c r="R69" s="7">
        <v>0</v>
      </c>
      <c r="S69" s="5">
        <v>0</v>
      </c>
      <c r="T69" s="5">
        <v>0</v>
      </c>
      <c r="U69" s="6">
        <v>0</v>
      </c>
      <c r="V69" s="8"/>
    </row>
    <row r="70" spans="1:22" x14ac:dyDescent="0.2">
      <c r="A70" s="2" t="s">
        <v>34</v>
      </c>
      <c r="B70" s="2" t="s">
        <v>52</v>
      </c>
      <c r="C70" s="2">
        <v>1022883</v>
      </c>
      <c r="D70" s="2" t="s">
        <v>121</v>
      </c>
      <c r="E70" s="3" t="s">
        <v>76</v>
      </c>
      <c r="F70" s="4">
        <v>0</v>
      </c>
      <c r="G70" s="5">
        <v>0</v>
      </c>
      <c r="H70" s="5">
        <v>0</v>
      </c>
      <c r="I70" s="6">
        <v>0</v>
      </c>
      <c r="J70" s="7">
        <v>0</v>
      </c>
      <c r="K70" s="5">
        <v>0</v>
      </c>
      <c r="L70" s="5">
        <v>0</v>
      </c>
      <c r="M70" s="6">
        <v>0</v>
      </c>
      <c r="N70" s="4">
        <v>23824</v>
      </c>
      <c r="O70" s="5">
        <v>69</v>
      </c>
      <c r="P70" s="5">
        <v>74</v>
      </c>
      <c r="Q70" s="6">
        <v>23824</v>
      </c>
      <c r="R70" s="7">
        <v>0</v>
      </c>
      <c r="S70" s="5">
        <v>0</v>
      </c>
      <c r="T70" s="5">
        <v>0</v>
      </c>
      <c r="U70" s="6">
        <v>0</v>
      </c>
      <c r="V70" s="8"/>
    </row>
    <row r="71" spans="1:22" x14ac:dyDescent="0.2">
      <c r="A71" s="2" t="s">
        <v>34</v>
      </c>
      <c r="B71" s="2" t="s">
        <v>52</v>
      </c>
      <c r="C71" s="2">
        <v>1023050</v>
      </c>
      <c r="D71" s="2" t="s">
        <v>93</v>
      </c>
      <c r="E71" s="3" t="s">
        <v>43</v>
      </c>
      <c r="F71" s="4">
        <v>0</v>
      </c>
      <c r="G71" s="5">
        <v>0</v>
      </c>
      <c r="H71" s="5">
        <v>0</v>
      </c>
      <c r="I71" s="6">
        <v>0</v>
      </c>
      <c r="J71" s="7">
        <v>0</v>
      </c>
      <c r="K71" s="5">
        <v>0</v>
      </c>
      <c r="L71" s="5">
        <v>0</v>
      </c>
      <c r="M71" s="6">
        <v>0</v>
      </c>
      <c r="N71" s="4">
        <v>0</v>
      </c>
      <c r="O71" s="5">
        <v>0</v>
      </c>
      <c r="P71" s="5">
        <v>0</v>
      </c>
      <c r="Q71" s="6">
        <v>0</v>
      </c>
      <c r="R71" s="7">
        <v>39.225999999999999</v>
      </c>
      <c r="S71" s="5">
        <v>150</v>
      </c>
      <c r="T71" s="5">
        <v>187</v>
      </c>
      <c r="U71" s="6">
        <v>39.225999999999999</v>
      </c>
      <c r="V71" s="8"/>
    </row>
    <row r="72" spans="1:22" x14ac:dyDescent="0.2">
      <c r="A72" s="2" t="s">
        <v>34</v>
      </c>
      <c r="B72" s="2" t="s">
        <v>52</v>
      </c>
      <c r="C72" s="2">
        <v>1023175</v>
      </c>
      <c r="D72" s="2" t="s">
        <v>123</v>
      </c>
      <c r="E72" s="3" t="s">
        <v>124</v>
      </c>
      <c r="F72" s="4">
        <v>0</v>
      </c>
      <c r="G72" s="5">
        <v>0</v>
      </c>
      <c r="H72" s="5">
        <v>0</v>
      </c>
      <c r="I72" s="6">
        <v>0</v>
      </c>
      <c r="J72" s="7">
        <v>0</v>
      </c>
      <c r="K72" s="5">
        <v>0</v>
      </c>
      <c r="L72" s="5">
        <v>0</v>
      </c>
      <c r="M72" s="6">
        <v>0</v>
      </c>
      <c r="N72" s="4">
        <v>46.9</v>
      </c>
      <c r="O72" s="5">
        <v>80</v>
      </c>
      <c r="P72" s="5">
        <v>153</v>
      </c>
      <c r="Q72" s="6">
        <v>46.9</v>
      </c>
      <c r="R72" s="7">
        <v>0</v>
      </c>
      <c r="S72" s="5">
        <v>0</v>
      </c>
      <c r="T72" s="5">
        <v>0</v>
      </c>
      <c r="U72" s="6">
        <v>0</v>
      </c>
      <c r="V72" s="8"/>
    </row>
    <row r="73" spans="1:22" x14ac:dyDescent="0.2">
      <c r="A73" s="2" t="s">
        <v>34</v>
      </c>
      <c r="B73" s="2" t="s">
        <v>52</v>
      </c>
      <c r="C73" s="2">
        <v>1023276</v>
      </c>
      <c r="D73" s="2" t="s">
        <v>95</v>
      </c>
      <c r="E73" s="3" t="s">
        <v>96</v>
      </c>
      <c r="F73" s="4">
        <v>0</v>
      </c>
      <c r="G73" s="5">
        <v>0</v>
      </c>
      <c r="H73" s="5">
        <v>0</v>
      </c>
      <c r="I73" s="6">
        <v>0</v>
      </c>
      <c r="J73" s="7">
        <v>0</v>
      </c>
      <c r="K73" s="5">
        <v>0</v>
      </c>
      <c r="L73" s="5">
        <v>0</v>
      </c>
      <c r="M73" s="6">
        <v>0</v>
      </c>
      <c r="N73" s="4">
        <v>1731.79</v>
      </c>
      <c r="O73" s="5">
        <v>136</v>
      </c>
      <c r="P73" s="5">
        <v>136</v>
      </c>
      <c r="Q73" s="6">
        <v>1731.79</v>
      </c>
      <c r="R73" s="7">
        <v>0</v>
      </c>
      <c r="S73" s="5">
        <v>0</v>
      </c>
      <c r="T73" s="5">
        <v>0</v>
      </c>
      <c r="U73" s="6">
        <v>0</v>
      </c>
      <c r="V73" s="8"/>
    </row>
    <row r="74" spans="1:22" x14ac:dyDescent="0.2">
      <c r="A74" s="2" t="s">
        <v>34</v>
      </c>
      <c r="B74" s="2" t="s">
        <v>37</v>
      </c>
      <c r="C74" s="2">
        <v>1021952</v>
      </c>
      <c r="D74" s="2" t="s">
        <v>75</v>
      </c>
      <c r="E74" s="3" t="s">
        <v>76</v>
      </c>
      <c r="F74" s="4">
        <v>0</v>
      </c>
      <c r="G74" s="5">
        <v>0</v>
      </c>
      <c r="H74" s="5">
        <v>0</v>
      </c>
      <c r="I74" s="6">
        <v>0</v>
      </c>
      <c r="J74" s="7">
        <v>0</v>
      </c>
      <c r="K74" s="5">
        <v>0</v>
      </c>
      <c r="L74" s="5">
        <v>0</v>
      </c>
      <c r="M74" s="6">
        <v>0</v>
      </c>
      <c r="N74" s="4">
        <v>950</v>
      </c>
      <c r="O74" s="5">
        <v>87</v>
      </c>
      <c r="P74" s="5">
        <v>87</v>
      </c>
      <c r="Q74" s="6">
        <v>950</v>
      </c>
      <c r="R74" s="7">
        <v>0</v>
      </c>
      <c r="S74" s="5">
        <v>0</v>
      </c>
      <c r="T74" s="5">
        <v>0</v>
      </c>
      <c r="U74" s="6">
        <v>0</v>
      </c>
      <c r="V74" s="8"/>
    </row>
    <row r="75" spans="1:22" x14ac:dyDescent="0.2">
      <c r="A75" s="2" t="s">
        <v>34</v>
      </c>
      <c r="B75" s="2" t="s">
        <v>37</v>
      </c>
      <c r="C75" s="2">
        <v>1022141</v>
      </c>
      <c r="D75" s="2" t="s">
        <v>127</v>
      </c>
      <c r="E75" s="3" t="s">
        <v>96</v>
      </c>
      <c r="F75" s="4">
        <v>0</v>
      </c>
      <c r="G75" s="5">
        <v>0</v>
      </c>
      <c r="H75" s="5">
        <v>0</v>
      </c>
      <c r="I75" s="6">
        <v>0</v>
      </c>
      <c r="J75" s="7">
        <v>0</v>
      </c>
      <c r="K75" s="5">
        <v>0</v>
      </c>
      <c r="L75" s="5">
        <v>0</v>
      </c>
      <c r="M75" s="6">
        <v>0</v>
      </c>
      <c r="N75" s="4">
        <v>907.28300000000002</v>
      </c>
      <c r="O75" s="5">
        <v>90</v>
      </c>
      <c r="P75" s="5">
        <v>90</v>
      </c>
      <c r="Q75" s="6">
        <v>907.28300000000002</v>
      </c>
      <c r="R75" s="7">
        <v>0</v>
      </c>
      <c r="S75" s="5">
        <v>0</v>
      </c>
      <c r="T75" s="5">
        <v>0</v>
      </c>
      <c r="U75" s="6">
        <v>0</v>
      </c>
      <c r="V75" s="8"/>
    </row>
    <row r="76" spans="1:22" x14ac:dyDescent="0.2">
      <c r="A76" s="2" t="s">
        <v>50</v>
      </c>
      <c r="B76" s="2" t="s">
        <v>52</v>
      </c>
      <c r="C76" s="2">
        <v>1030379</v>
      </c>
      <c r="D76" s="2" t="s">
        <v>98</v>
      </c>
      <c r="E76" s="3" t="s">
        <v>79</v>
      </c>
      <c r="F76" s="4">
        <v>0</v>
      </c>
      <c r="G76" s="5">
        <v>0</v>
      </c>
      <c r="H76" s="5">
        <v>0</v>
      </c>
      <c r="I76" s="6">
        <v>0</v>
      </c>
      <c r="J76" s="7">
        <v>0</v>
      </c>
      <c r="K76" s="5">
        <v>0</v>
      </c>
      <c r="L76" s="5">
        <v>0</v>
      </c>
      <c r="M76" s="6">
        <v>0</v>
      </c>
      <c r="N76" s="4">
        <v>18847.46</v>
      </c>
      <c r="O76" s="5">
        <v>77.262752646775795</v>
      </c>
      <c r="P76" s="5">
        <v>99.980750721847897</v>
      </c>
      <c r="Q76" s="6">
        <v>18847.46</v>
      </c>
      <c r="R76" s="7">
        <v>23999.22</v>
      </c>
      <c r="S76" s="5">
        <v>67</v>
      </c>
      <c r="T76" s="5">
        <v>89</v>
      </c>
      <c r="U76" s="6">
        <v>23999.22</v>
      </c>
      <c r="V76" s="8"/>
    </row>
    <row r="77" spans="1:22" x14ac:dyDescent="0.2">
      <c r="A77" s="2" t="s">
        <v>50</v>
      </c>
      <c r="B77" s="2" t="s">
        <v>52</v>
      </c>
      <c r="C77" s="2">
        <v>1030461</v>
      </c>
      <c r="D77" s="2" t="s">
        <v>129</v>
      </c>
      <c r="E77" s="3" t="s">
        <v>79</v>
      </c>
      <c r="F77" s="4">
        <v>0</v>
      </c>
      <c r="G77" s="5">
        <v>0</v>
      </c>
      <c r="H77" s="5">
        <v>0</v>
      </c>
      <c r="I77" s="6">
        <v>0</v>
      </c>
      <c r="J77" s="7">
        <v>0</v>
      </c>
      <c r="K77" s="5">
        <v>0</v>
      </c>
      <c r="L77" s="5">
        <v>0</v>
      </c>
      <c r="M77" s="6">
        <v>0</v>
      </c>
      <c r="N77" s="4">
        <v>8.6470000000000002</v>
      </c>
      <c r="O77" s="5">
        <v>74</v>
      </c>
      <c r="P77" s="5">
        <v>89</v>
      </c>
      <c r="Q77" s="6">
        <v>8.6470000000000002</v>
      </c>
      <c r="R77" s="7">
        <v>0</v>
      </c>
      <c r="S77" s="5">
        <v>0</v>
      </c>
      <c r="T77" s="5">
        <v>0</v>
      </c>
      <c r="U77" s="6">
        <v>0</v>
      </c>
      <c r="V77" s="8"/>
    </row>
    <row r="78" spans="1:22" x14ac:dyDescent="0.2">
      <c r="A78" s="2" t="s">
        <v>50</v>
      </c>
      <c r="B78" s="2" t="s">
        <v>52</v>
      </c>
      <c r="C78" s="2">
        <v>1030745</v>
      </c>
      <c r="D78" s="2" t="s">
        <v>53</v>
      </c>
      <c r="E78" s="3" t="s">
        <v>54</v>
      </c>
      <c r="F78" s="4">
        <v>0</v>
      </c>
      <c r="G78" s="5">
        <v>0</v>
      </c>
      <c r="H78" s="5">
        <v>0</v>
      </c>
      <c r="I78" s="6">
        <v>0</v>
      </c>
      <c r="J78" s="7">
        <v>0</v>
      </c>
      <c r="K78" s="5">
        <v>0</v>
      </c>
      <c r="L78" s="5">
        <v>0</v>
      </c>
      <c r="M78" s="6">
        <v>0</v>
      </c>
      <c r="N78" s="4">
        <v>1106.7840000000001</v>
      </c>
      <c r="O78" s="5">
        <v>79</v>
      </c>
      <c r="P78" s="5">
        <v>81</v>
      </c>
      <c r="Q78" s="6">
        <v>1106.7840000000001</v>
      </c>
      <c r="R78" s="7">
        <v>0</v>
      </c>
      <c r="S78" s="5">
        <v>0</v>
      </c>
      <c r="T78" s="5">
        <v>0</v>
      </c>
      <c r="U78" s="6">
        <v>0</v>
      </c>
      <c r="V78" s="8"/>
    </row>
    <row r="79" spans="1:22" x14ac:dyDescent="0.2">
      <c r="A79" s="2" t="s">
        <v>50</v>
      </c>
      <c r="B79" s="2" t="s">
        <v>52</v>
      </c>
      <c r="C79" s="2">
        <v>1030782</v>
      </c>
      <c r="D79" s="2" t="s">
        <v>81</v>
      </c>
      <c r="E79" s="3" t="s">
        <v>79</v>
      </c>
      <c r="F79" s="4">
        <v>0</v>
      </c>
      <c r="G79" s="5">
        <v>0</v>
      </c>
      <c r="H79" s="5">
        <v>0</v>
      </c>
      <c r="I79" s="6">
        <v>0</v>
      </c>
      <c r="J79" s="7">
        <v>0</v>
      </c>
      <c r="K79" s="5">
        <v>0</v>
      </c>
      <c r="L79" s="5">
        <v>0</v>
      </c>
      <c r="M79" s="6">
        <v>0</v>
      </c>
      <c r="N79" s="4">
        <v>0</v>
      </c>
      <c r="O79" s="5">
        <v>0</v>
      </c>
      <c r="P79" s="5">
        <v>0</v>
      </c>
      <c r="Q79" s="6">
        <v>0</v>
      </c>
      <c r="R79" s="7">
        <v>11.683</v>
      </c>
      <c r="S79" s="5">
        <v>166</v>
      </c>
      <c r="T79" s="5">
        <v>167</v>
      </c>
      <c r="U79" s="6">
        <v>11.683</v>
      </c>
      <c r="V79" s="8"/>
    </row>
    <row r="80" spans="1:22" x14ac:dyDescent="0.2">
      <c r="A80" s="2" t="s">
        <v>50</v>
      </c>
      <c r="B80" s="2" t="s">
        <v>52</v>
      </c>
      <c r="C80" s="2">
        <v>1030783</v>
      </c>
      <c r="D80" s="2" t="s">
        <v>131</v>
      </c>
      <c r="E80" s="3" t="s">
        <v>132</v>
      </c>
      <c r="F80" s="4">
        <v>0</v>
      </c>
      <c r="G80" s="5">
        <v>0</v>
      </c>
      <c r="H80" s="5">
        <v>0</v>
      </c>
      <c r="I80" s="6">
        <v>0</v>
      </c>
      <c r="J80" s="7">
        <v>0</v>
      </c>
      <c r="K80" s="5">
        <v>0</v>
      </c>
      <c r="L80" s="5">
        <v>0</v>
      </c>
      <c r="M80" s="6">
        <v>0</v>
      </c>
      <c r="N80" s="4">
        <v>1857.463</v>
      </c>
      <c r="O80" s="5">
        <v>81</v>
      </c>
      <c r="P80" s="5">
        <v>89</v>
      </c>
      <c r="Q80" s="6">
        <v>1857.463</v>
      </c>
      <c r="R80" s="7">
        <v>0</v>
      </c>
      <c r="S80" s="5">
        <v>0</v>
      </c>
      <c r="T80" s="5">
        <v>0</v>
      </c>
      <c r="U80" s="6">
        <v>0</v>
      </c>
      <c r="V80" s="8"/>
    </row>
    <row r="81" spans="1:22" x14ac:dyDescent="0.2">
      <c r="A81" s="2" t="s">
        <v>50</v>
      </c>
      <c r="B81" s="2" t="s">
        <v>52</v>
      </c>
      <c r="C81" s="2">
        <v>1030818</v>
      </c>
      <c r="D81" s="2" t="s">
        <v>134</v>
      </c>
      <c r="E81" s="3" t="s">
        <v>79</v>
      </c>
      <c r="F81" s="4">
        <v>0</v>
      </c>
      <c r="G81" s="5">
        <v>0</v>
      </c>
      <c r="H81" s="5">
        <v>0</v>
      </c>
      <c r="I81" s="6">
        <v>0</v>
      </c>
      <c r="J81" s="7">
        <v>0</v>
      </c>
      <c r="K81" s="5">
        <v>0</v>
      </c>
      <c r="L81" s="5">
        <v>0</v>
      </c>
      <c r="M81" s="6">
        <v>0</v>
      </c>
      <c r="N81" s="4">
        <v>3700.56</v>
      </c>
      <c r="O81" s="5">
        <v>82</v>
      </c>
      <c r="P81" s="5">
        <v>86</v>
      </c>
      <c r="Q81" s="6">
        <v>3700.56</v>
      </c>
      <c r="R81" s="7">
        <v>0</v>
      </c>
      <c r="S81" s="5">
        <v>0</v>
      </c>
      <c r="T81" s="5">
        <v>0</v>
      </c>
      <c r="U81" s="6">
        <v>0</v>
      </c>
      <c r="V81" s="8"/>
    </row>
    <row r="82" spans="1:22" x14ac:dyDescent="0.2">
      <c r="A82" s="2" t="s">
        <v>103</v>
      </c>
      <c r="B82" s="2" t="s">
        <v>52</v>
      </c>
      <c r="C82" s="2">
        <v>1100570</v>
      </c>
      <c r="D82" s="2" t="s">
        <v>105</v>
      </c>
      <c r="E82" s="3" t="s">
        <v>106</v>
      </c>
      <c r="F82" s="4">
        <v>0</v>
      </c>
      <c r="G82" s="5">
        <v>0</v>
      </c>
      <c r="H82" s="5">
        <v>0</v>
      </c>
      <c r="I82" s="6">
        <v>0</v>
      </c>
      <c r="J82" s="7">
        <v>0</v>
      </c>
      <c r="K82" s="5">
        <v>0</v>
      </c>
      <c r="L82" s="5">
        <v>0</v>
      </c>
      <c r="M82" s="6">
        <v>0</v>
      </c>
      <c r="N82" s="4">
        <v>257.04000000000002</v>
      </c>
      <c r="O82" s="5">
        <v>122</v>
      </c>
      <c r="P82" s="5">
        <v>130</v>
      </c>
      <c r="Q82" s="6">
        <v>257.04000000000002</v>
      </c>
      <c r="R82" s="7">
        <v>0</v>
      </c>
      <c r="S82" s="5">
        <v>0</v>
      </c>
      <c r="T82" s="5">
        <v>0</v>
      </c>
      <c r="U82" s="6">
        <v>0</v>
      </c>
      <c r="V82" s="8"/>
    </row>
    <row r="83" spans="1:22" x14ac:dyDescent="0.2">
      <c r="A83" s="2" t="s">
        <v>103</v>
      </c>
      <c r="B83" s="2" t="s">
        <v>52</v>
      </c>
      <c r="C83" s="2">
        <v>1100573</v>
      </c>
      <c r="D83" s="2" t="s">
        <v>136</v>
      </c>
      <c r="E83" s="3" t="s">
        <v>106</v>
      </c>
      <c r="F83" s="4">
        <v>0</v>
      </c>
      <c r="G83" s="5">
        <v>0</v>
      </c>
      <c r="H83" s="5">
        <v>0</v>
      </c>
      <c r="I83" s="6">
        <v>0</v>
      </c>
      <c r="J83" s="7">
        <v>0</v>
      </c>
      <c r="K83" s="5">
        <v>0</v>
      </c>
      <c r="L83" s="5">
        <v>0</v>
      </c>
      <c r="M83" s="6">
        <v>0</v>
      </c>
      <c r="N83" s="4">
        <v>1236.24</v>
      </c>
      <c r="O83" s="5">
        <v>69</v>
      </c>
      <c r="P83" s="5">
        <v>76</v>
      </c>
      <c r="Q83" s="6">
        <v>1236.24</v>
      </c>
      <c r="R83" s="7">
        <v>0</v>
      </c>
      <c r="S83" s="5">
        <v>0</v>
      </c>
      <c r="T83" s="5">
        <v>0</v>
      </c>
      <c r="U83" s="6">
        <v>0</v>
      </c>
      <c r="V83" s="8"/>
    </row>
    <row r="84" spans="1:22" x14ac:dyDescent="0.2">
      <c r="A84" s="2" t="s">
        <v>103</v>
      </c>
      <c r="B84" s="2" t="s">
        <v>52</v>
      </c>
      <c r="C84" s="2">
        <v>1100602</v>
      </c>
      <c r="D84" s="2" t="s">
        <v>108</v>
      </c>
      <c r="E84" s="3" t="s">
        <v>106</v>
      </c>
      <c r="F84" s="4">
        <v>0</v>
      </c>
      <c r="G84" s="5">
        <v>0</v>
      </c>
      <c r="H84" s="5">
        <v>0</v>
      </c>
      <c r="I84" s="6">
        <v>0</v>
      </c>
      <c r="J84" s="7">
        <v>0</v>
      </c>
      <c r="K84" s="5">
        <v>0</v>
      </c>
      <c r="L84" s="5">
        <v>0</v>
      </c>
      <c r="M84" s="6">
        <v>0</v>
      </c>
      <c r="N84" s="4">
        <v>7588.8</v>
      </c>
      <c r="O84" s="5">
        <v>122</v>
      </c>
      <c r="P84" s="5">
        <v>130</v>
      </c>
      <c r="Q84" s="6">
        <v>7588.8</v>
      </c>
      <c r="R84" s="7">
        <v>0</v>
      </c>
      <c r="S84" s="5">
        <v>0</v>
      </c>
      <c r="T84" s="5">
        <v>0</v>
      </c>
      <c r="U84" s="6">
        <v>0</v>
      </c>
      <c r="V84" s="8"/>
    </row>
    <row r="85" spans="1:22" x14ac:dyDescent="0.2">
      <c r="A85" s="2" t="s">
        <v>56</v>
      </c>
      <c r="B85" s="2" t="s">
        <v>52</v>
      </c>
      <c r="C85" s="2">
        <v>1011701</v>
      </c>
      <c r="D85" s="2" t="s">
        <v>83</v>
      </c>
      <c r="E85" s="3" t="s">
        <v>59</v>
      </c>
      <c r="F85" s="4">
        <v>0</v>
      </c>
      <c r="G85" s="5">
        <v>0</v>
      </c>
      <c r="H85" s="5">
        <v>0</v>
      </c>
      <c r="I85" s="6">
        <v>0</v>
      </c>
      <c r="J85" s="7">
        <v>0</v>
      </c>
      <c r="K85" s="5">
        <v>0</v>
      </c>
      <c r="L85" s="5">
        <v>0</v>
      </c>
      <c r="M85" s="6">
        <v>0</v>
      </c>
      <c r="N85" s="4">
        <v>36198.328999999998</v>
      </c>
      <c r="O85" s="5">
        <v>79.103995822569601</v>
      </c>
      <c r="P85" s="5">
        <v>92.134039060200806</v>
      </c>
      <c r="Q85" s="6">
        <v>36198.328999999998</v>
      </c>
      <c r="R85" s="7">
        <v>86.192999999999998</v>
      </c>
      <c r="S85" s="5">
        <v>34</v>
      </c>
      <c r="T85" s="5">
        <v>34</v>
      </c>
      <c r="U85" s="6">
        <v>86.192999999999998</v>
      </c>
      <c r="V85" s="8"/>
    </row>
    <row r="86" spans="1:22" x14ac:dyDescent="0.2">
      <c r="A86" s="2" t="s">
        <v>56</v>
      </c>
      <c r="B86" s="2" t="s">
        <v>52</v>
      </c>
      <c r="C86" s="2">
        <v>1012108</v>
      </c>
      <c r="D86" s="2" t="s">
        <v>58</v>
      </c>
      <c r="E86" s="3" t="s">
        <v>59</v>
      </c>
      <c r="F86" s="4">
        <v>0</v>
      </c>
      <c r="G86" s="5">
        <v>0</v>
      </c>
      <c r="H86" s="5">
        <v>0</v>
      </c>
      <c r="I86" s="6">
        <v>0</v>
      </c>
      <c r="J86" s="7">
        <v>0</v>
      </c>
      <c r="K86" s="5">
        <v>0</v>
      </c>
      <c r="L86" s="5">
        <v>0</v>
      </c>
      <c r="M86" s="6">
        <v>0</v>
      </c>
      <c r="N86" s="4">
        <v>55212.192000000003</v>
      </c>
      <c r="O86" s="5">
        <v>50.974038777522203</v>
      </c>
      <c r="P86" s="5">
        <v>64.935918501478795</v>
      </c>
      <c r="Q86" s="6">
        <v>55212.192000000003</v>
      </c>
      <c r="R86" s="7">
        <v>72.575999999999993</v>
      </c>
      <c r="S86" s="5">
        <v>33</v>
      </c>
      <c r="T86" s="5">
        <v>44</v>
      </c>
      <c r="U86" s="6">
        <v>72.575999999999993</v>
      </c>
      <c r="V86" s="8"/>
    </row>
    <row r="87" spans="1:22" x14ac:dyDescent="0.2">
      <c r="A87" s="2" t="s">
        <v>56</v>
      </c>
      <c r="B87" s="2" t="s">
        <v>52</v>
      </c>
      <c r="C87" s="2">
        <v>1012109</v>
      </c>
      <c r="D87" s="2" t="s">
        <v>69</v>
      </c>
      <c r="E87" s="3" t="s">
        <v>59</v>
      </c>
      <c r="F87" s="4">
        <v>0</v>
      </c>
      <c r="G87" s="5">
        <v>0</v>
      </c>
      <c r="H87" s="5">
        <v>0</v>
      </c>
      <c r="I87" s="6">
        <v>0</v>
      </c>
      <c r="J87" s="7">
        <v>0</v>
      </c>
      <c r="K87" s="5">
        <v>0</v>
      </c>
      <c r="L87" s="5">
        <v>0</v>
      </c>
      <c r="M87" s="6">
        <v>0</v>
      </c>
      <c r="N87" s="4">
        <v>259168.8</v>
      </c>
      <c r="O87" s="5">
        <v>56.171830683323002</v>
      </c>
      <c r="P87" s="5">
        <v>63.1311583801754</v>
      </c>
      <c r="Q87" s="6">
        <v>259168.8</v>
      </c>
      <c r="R87" s="7">
        <v>290.30399999999997</v>
      </c>
      <c r="S87" s="5">
        <v>75.5625</v>
      </c>
      <c r="T87" s="5">
        <v>83.75</v>
      </c>
      <c r="U87" s="6">
        <v>290.30399999999997</v>
      </c>
      <c r="V87" s="8"/>
    </row>
    <row r="88" spans="1:22" x14ac:dyDescent="0.2">
      <c r="A88" s="2" t="s">
        <v>56</v>
      </c>
      <c r="B88" s="2" t="s">
        <v>52</v>
      </c>
      <c r="C88" s="2">
        <v>1012110</v>
      </c>
      <c r="D88" s="2" t="s">
        <v>110</v>
      </c>
      <c r="E88" s="3" t="s">
        <v>59</v>
      </c>
      <c r="F88" s="4">
        <v>0</v>
      </c>
      <c r="G88" s="5">
        <v>0</v>
      </c>
      <c r="H88" s="5">
        <v>0</v>
      </c>
      <c r="I88" s="6">
        <v>0</v>
      </c>
      <c r="J88" s="7">
        <v>0</v>
      </c>
      <c r="K88" s="5">
        <v>0</v>
      </c>
      <c r="L88" s="5">
        <v>0</v>
      </c>
      <c r="M88" s="6">
        <v>0</v>
      </c>
      <c r="N88" s="4">
        <v>206025.12</v>
      </c>
      <c r="O88" s="5">
        <v>59.6040510788199</v>
      </c>
      <c r="P88" s="5">
        <v>66.841303390576797</v>
      </c>
      <c r="Q88" s="6">
        <v>206025.12</v>
      </c>
      <c r="R88" s="7">
        <v>72.575999999999993</v>
      </c>
      <c r="S88" s="5">
        <v>69</v>
      </c>
      <c r="T88" s="5">
        <v>74</v>
      </c>
      <c r="U88" s="6">
        <v>72.575999999999993</v>
      </c>
      <c r="V88" s="8"/>
    </row>
    <row r="89" spans="1:22" x14ac:dyDescent="0.2">
      <c r="A89" s="2" t="s">
        <v>56</v>
      </c>
      <c r="B89" s="2" t="s">
        <v>52</v>
      </c>
      <c r="C89" s="2">
        <v>1012111</v>
      </c>
      <c r="D89" s="2" t="s">
        <v>117</v>
      </c>
      <c r="E89" s="3" t="s">
        <v>59</v>
      </c>
      <c r="F89" s="4">
        <v>0</v>
      </c>
      <c r="G89" s="5">
        <v>0</v>
      </c>
      <c r="H89" s="5">
        <v>0</v>
      </c>
      <c r="I89" s="6">
        <v>0</v>
      </c>
      <c r="J89" s="7">
        <v>0</v>
      </c>
      <c r="K89" s="5">
        <v>0</v>
      </c>
      <c r="L89" s="5">
        <v>0</v>
      </c>
      <c r="M89" s="6">
        <v>0</v>
      </c>
      <c r="N89" s="4">
        <v>64864.800000000003</v>
      </c>
      <c r="O89" s="5">
        <v>44.307692307692299</v>
      </c>
      <c r="P89" s="5">
        <v>47.384615384615401</v>
      </c>
      <c r="Q89" s="6">
        <v>64864.800000000003</v>
      </c>
      <c r="R89" s="7">
        <v>0</v>
      </c>
      <c r="S89" s="5">
        <v>0</v>
      </c>
      <c r="T89" s="5">
        <v>0</v>
      </c>
      <c r="U89" s="6">
        <v>0</v>
      </c>
      <c r="V89" s="8"/>
    </row>
    <row r="90" spans="1:22" x14ac:dyDescent="0.2">
      <c r="A90" s="2" t="s">
        <v>56</v>
      </c>
      <c r="B90" s="2" t="s">
        <v>52</v>
      </c>
      <c r="C90" s="2">
        <v>1012112</v>
      </c>
      <c r="D90" s="2" t="s">
        <v>139</v>
      </c>
      <c r="E90" s="3" t="s">
        <v>59</v>
      </c>
      <c r="F90" s="4">
        <v>0</v>
      </c>
      <c r="G90" s="5">
        <v>0</v>
      </c>
      <c r="H90" s="5">
        <v>0</v>
      </c>
      <c r="I90" s="6">
        <v>0</v>
      </c>
      <c r="J90" s="7">
        <v>0</v>
      </c>
      <c r="K90" s="5">
        <v>0</v>
      </c>
      <c r="L90" s="5">
        <v>0</v>
      </c>
      <c r="M90" s="6">
        <v>0</v>
      </c>
      <c r="N90" s="4">
        <v>19958.400000000001</v>
      </c>
      <c r="O90" s="5">
        <v>33</v>
      </c>
      <c r="P90" s="5">
        <v>33</v>
      </c>
      <c r="Q90" s="6">
        <v>19958.400000000001</v>
      </c>
      <c r="R90" s="7">
        <v>0</v>
      </c>
      <c r="S90" s="5">
        <v>0</v>
      </c>
      <c r="T90" s="5">
        <v>0</v>
      </c>
      <c r="U90" s="6">
        <v>0</v>
      </c>
      <c r="V90" s="8"/>
    </row>
    <row r="91" spans="1:22" x14ac:dyDescent="0.2">
      <c r="A91" s="2" t="s">
        <v>56</v>
      </c>
      <c r="B91" s="2" t="s">
        <v>52</v>
      </c>
      <c r="C91" s="2">
        <v>1012145</v>
      </c>
      <c r="D91" s="2" t="s">
        <v>85</v>
      </c>
      <c r="E91" s="3" t="s">
        <v>59</v>
      </c>
      <c r="F91" s="4">
        <v>0</v>
      </c>
      <c r="G91" s="5">
        <v>0</v>
      </c>
      <c r="H91" s="5">
        <v>0</v>
      </c>
      <c r="I91" s="6">
        <v>0</v>
      </c>
      <c r="J91" s="7">
        <v>0</v>
      </c>
      <c r="K91" s="5">
        <v>0</v>
      </c>
      <c r="L91" s="5">
        <v>0</v>
      </c>
      <c r="M91" s="6">
        <v>0</v>
      </c>
      <c r="N91" s="4">
        <v>45176.945</v>
      </c>
      <c r="O91" s="5">
        <v>79.763021868787305</v>
      </c>
      <c r="P91" s="5">
        <v>104.570576540755</v>
      </c>
      <c r="Q91" s="6">
        <v>45176.945</v>
      </c>
      <c r="R91" s="7">
        <v>0</v>
      </c>
      <c r="S91" s="5">
        <v>0</v>
      </c>
      <c r="T91" s="5">
        <v>0</v>
      </c>
      <c r="U91" s="6">
        <v>0</v>
      </c>
      <c r="V91" s="8"/>
    </row>
    <row r="92" spans="1:22" x14ac:dyDescent="0.2">
      <c r="A92" s="2" t="s">
        <v>56</v>
      </c>
      <c r="B92" s="2" t="s">
        <v>52</v>
      </c>
      <c r="C92" s="2">
        <v>1012148</v>
      </c>
      <c r="D92" s="2" t="s">
        <v>112</v>
      </c>
      <c r="E92" s="3" t="s">
        <v>63</v>
      </c>
      <c r="F92" s="4">
        <v>0</v>
      </c>
      <c r="G92" s="5">
        <v>0</v>
      </c>
      <c r="H92" s="5">
        <v>0</v>
      </c>
      <c r="I92" s="6">
        <v>0</v>
      </c>
      <c r="J92" s="7">
        <v>0</v>
      </c>
      <c r="K92" s="5">
        <v>0</v>
      </c>
      <c r="L92" s="5">
        <v>0</v>
      </c>
      <c r="M92" s="6">
        <v>0</v>
      </c>
      <c r="N92" s="4">
        <v>49398.25</v>
      </c>
      <c r="O92" s="5">
        <v>64.2</v>
      </c>
      <c r="P92" s="5">
        <v>69.8</v>
      </c>
      <c r="Q92" s="6">
        <v>49398.25</v>
      </c>
      <c r="R92" s="7">
        <v>0</v>
      </c>
      <c r="S92" s="5">
        <v>0</v>
      </c>
      <c r="T92" s="5">
        <v>0</v>
      </c>
      <c r="U92" s="6">
        <v>0</v>
      </c>
      <c r="V92" s="8"/>
    </row>
    <row r="93" spans="1:22" x14ac:dyDescent="0.2">
      <c r="A93" s="2" t="s">
        <v>56</v>
      </c>
      <c r="B93" s="2" t="s">
        <v>52</v>
      </c>
      <c r="C93" s="2">
        <v>1012157</v>
      </c>
      <c r="D93" s="2" t="s">
        <v>100</v>
      </c>
      <c r="E93" s="3" t="s">
        <v>63</v>
      </c>
      <c r="F93" s="4">
        <v>0</v>
      </c>
      <c r="G93" s="5">
        <v>0</v>
      </c>
      <c r="H93" s="5">
        <v>0</v>
      </c>
      <c r="I93" s="6">
        <v>0</v>
      </c>
      <c r="J93" s="7">
        <v>0</v>
      </c>
      <c r="K93" s="5">
        <v>0</v>
      </c>
      <c r="L93" s="5">
        <v>0</v>
      </c>
      <c r="M93" s="6">
        <v>0</v>
      </c>
      <c r="N93" s="4">
        <v>15422.4</v>
      </c>
      <c r="O93" s="5">
        <v>72.2</v>
      </c>
      <c r="P93" s="5">
        <v>89</v>
      </c>
      <c r="Q93" s="6">
        <v>15422.4</v>
      </c>
      <c r="R93" s="7">
        <v>0</v>
      </c>
      <c r="S93" s="5">
        <v>0</v>
      </c>
      <c r="T93" s="5">
        <v>0</v>
      </c>
      <c r="U93" s="6">
        <v>0</v>
      </c>
      <c r="V93" s="8"/>
    </row>
    <row r="94" spans="1:22" x14ac:dyDescent="0.2">
      <c r="A94" s="2" t="s">
        <v>56</v>
      </c>
      <c r="B94" s="2" t="s">
        <v>52</v>
      </c>
      <c r="C94" s="2">
        <v>1012158</v>
      </c>
      <c r="D94" s="2" t="s">
        <v>87</v>
      </c>
      <c r="E94" s="3" t="s">
        <v>67</v>
      </c>
      <c r="F94" s="4">
        <v>0</v>
      </c>
      <c r="G94" s="5">
        <v>0</v>
      </c>
      <c r="H94" s="5">
        <v>0</v>
      </c>
      <c r="I94" s="6">
        <v>0</v>
      </c>
      <c r="J94" s="7">
        <v>0</v>
      </c>
      <c r="K94" s="5">
        <v>0</v>
      </c>
      <c r="L94" s="5">
        <v>0</v>
      </c>
      <c r="M94" s="6">
        <v>0</v>
      </c>
      <c r="N94" s="4">
        <v>95945.471999999994</v>
      </c>
      <c r="O94" s="5">
        <v>50.546520423600597</v>
      </c>
      <c r="P94" s="5">
        <v>55.287254160363098</v>
      </c>
      <c r="Q94" s="6">
        <v>95945.471999999994</v>
      </c>
      <c r="R94" s="7">
        <v>72.575999999999993</v>
      </c>
      <c r="S94" s="5">
        <v>36</v>
      </c>
      <c r="T94" s="5">
        <v>45.25</v>
      </c>
      <c r="U94" s="6">
        <v>72.575999999999993</v>
      </c>
      <c r="V94" s="8"/>
    </row>
    <row r="95" spans="1:22" x14ac:dyDescent="0.2">
      <c r="A95" s="2" t="s">
        <v>56</v>
      </c>
      <c r="B95" s="2" t="s">
        <v>52</v>
      </c>
      <c r="C95" s="2">
        <v>1012159</v>
      </c>
      <c r="D95" s="2" t="s">
        <v>89</v>
      </c>
      <c r="E95" s="3" t="s">
        <v>63</v>
      </c>
      <c r="F95" s="4">
        <v>0</v>
      </c>
      <c r="G95" s="5">
        <v>0</v>
      </c>
      <c r="H95" s="5">
        <v>0</v>
      </c>
      <c r="I95" s="6">
        <v>0</v>
      </c>
      <c r="J95" s="7">
        <v>0</v>
      </c>
      <c r="K95" s="5">
        <v>0</v>
      </c>
      <c r="L95" s="5">
        <v>0</v>
      </c>
      <c r="M95" s="6">
        <v>0</v>
      </c>
      <c r="N95" s="4">
        <v>43981.055999999997</v>
      </c>
      <c r="O95" s="5">
        <v>56.938531353135303</v>
      </c>
      <c r="P95" s="5">
        <v>61.022689768976903</v>
      </c>
      <c r="Q95" s="6">
        <v>43981.055999999997</v>
      </c>
      <c r="R95" s="7">
        <v>199.584</v>
      </c>
      <c r="S95" s="5">
        <v>132</v>
      </c>
      <c r="T95" s="5">
        <v>150</v>
      </c>
      <c r="U95" s="6">
        <v>199.584</v>
      </c>
      <c r="V95" s="8"/>
    </row>
    <row r="96" spans="1:22" x14ac:dyDescent="0.2">
      <c r="A96" s="2" t="s">
        <v>56</v>
      </c>
      <c r="B96" s="2" t="s">
        <v>52</v>
      </c>
      <c r="C96" s="2">
        <v>1012160</v>
      </c>
      <c r="D96" s="2" t="s">
        <v>73</v>
      </c>
      <c r="E96" s="3" t="s">
        <v>59</v>
      </c>
      <c r="F96" s="4">
        <v>0</v>
      </c>
      <c r="G96" s="5">
        <v>0</v>
      </c>
      <c r="H96" s="5">
        <v>0</v>
      </c>
      <c r="I96" s="6">
        <v>0</v>
      </c>
      <c r="J96" s="7">
        <v>0</v>
      </c>
      <c r="K96" s="5">
        <v>0</v>
      </c>
      <c r="L96" s="5">
        <v>0</v>
      </c>
      <c r="M96" s="6">
        <v>0</v>
      </c>
      <c r="N96" s="4">
        <v>3628.8</v>
      </c>
      <c r="O96" s="5">
        <v>61</v>
      </c>
      <c r="P96" s="5">
        <v>61</v>
      </c>
      <c r="Q96" s="6">
        <v>3628.8</v>
      </c>
      <c r="R96" s="7">
        <v>0</v>
      </c>
      <c r="S96" s="5">
        <v>0</v>
      </c>
      <c r="T96" s="5">
        <v>0</v>
      </c>
      <c r="U96" s="6">
        <v>0</v>
      </c>
      <c r="V96" s="8"/>
    </row>
    <row r="97" spans="1:22" x14ac:dyDescent="0.2">
      <c r="A97" s="2" t="s">
        <v>56</v>
      </c>
      <c r="B97" s="2" t="s">
        <v>52</v>
      </c>
      <c r="C97" s="2">
        <v>1012161</v>
      </c>
      <c r="D97" s="2" t="s">
        <v>102</v>
      </c>
      <c r="E97" s="3" t="s">
        <v>63</v>
      </c>
      <c r="F97" s="4">
        <v>0</v>
      </c>
      <c r="G97" s="5">
        <v>0</v>
      </c>
      <c r="H97" s="5">
        <v>0</v>
      </c>
      <c r="I97" s="6">
        <v>0</v>
      </c>
      <c r="J97" s="7">
        <v>0</v>
      </c>
      <c r="K97" s="5">
        <v>0</v>
      </c>
      <c r="L97" s="5">
        <v>0</v>
      </c>
      <c r="M97" s="6">
        <v>0</v>
      </c>
      <c r="N97" s="4">
        <v>21718.339</v>
      </c>
      <c r="O97" s="5">
        <v>55.709232736444498</v>
      </c>
      <c r="P97" s="5">
        <v>65.235523858431407</v>
      </c>
      <c r="Q97" s="6">
        <v>21718.339</v>
      </c>
      <c r="R97" s="7">
        <v>0</v>
      </c>
      <c r="S97" s="5">
        <v>0</v>
      </c>
      <c r="T97" s="5">
        <v>0</v>
      </c>
      <c r="U97" s="6">
        <v>0</v>
      </c>
      <c r="V97" s="8"/>
    </row>
    <row r="98" spans="1:22" x14ac:dyDescent="0.2">
      <c r="A98" s="2" t="s">
        <v>56</v>
      </c>
      <c r="B98" s="2" t="s">
        <v>52</v>
      </c>
      <c r="C98" s="2">
        <v>1012163</v>
      </c>
      <c r="D98" s="2" t="s">
        <v>141</v>
      </c>
      <c r="E98" s="3" t="s">
        <v>67</v>
      </c>
      <c r="F98" s="4">
        <v>0</v>
      </c>
      <c r="G98" s="5">
        <v>0</v>
      </c>
      <c r="H98" s="5">
        <v>0</v>
      </c>
      <c r="I98" s="6">
        <v>0</v>
      </c>
      <c r="J98" s="7">
        <v>0</v>
      </c>
      <c r="K98" s="5">
        <v>0</v>
      </c>
      <c r="L98" s="5">
        <v>0</v>
      </c>
      <c r="M98" s="6">
        <v>0</v>
      </c>
      <c r="N98" s="4">
        <v>19885.824000000001</v>
      </c>
      <c r="O98" s="5">
        <v>45</v>
      </c>
      <c r="P98" s="5">
        <v>61</v>
      </c>
      <c r="Q98" s="6">
        <v>19885.824000000001</v>
      </c>
      <c r="R98" s="7">
        <v>72.575999999999993</v>
      </c>
      <c r="S98" s="5">
        <v>45</v>
      </c>
      <c r="T98" s="5">
        <v>61</v>
      </c>
      <c r="U98" s="6">
        <v>72.575999999999993</v>
      </c>
      <c r="V98" s="8"/>
    </row>
    <row r="99" spans="1:22" x14ac:dyDescent="0.2">
      <c r="A99" s="2" t="s">
        <v>56</v>
      </c>
      <c r="B99" s="2" t="s">
        <v>52</v>
      </c>
      <c r="C99" s="2">
        <v>1012164</v>
      </c>
      <c r="D99" s="2" t="s">
        <v>143</v>
      </c>
      <c r="E99" s="3" t="s">
        <v>63</v>
      </c>
      <c r="F99" s="4">
        <v>0</v>
      </c>
      <c r="G99" s="5">
        <v>0</v>
      </c>
      <c r="H99" s="5">
        <v>0</v>
      </c>
      <c r="I99" s="6">
        <v>0</v>
      </c>
      <c r="J99" s="7">
        <v>0</v>
      </c>
      <c r="K99" s="5">
        <v>0</v>
      </c>
      <c r="L99" s="5">
        <v>0</v>
      </c>
      <c r="M99" s="6">
        <v>0</v>
      </c>
      <c r="N99" s="4">
        <v>19958.400000000001</v>
      </c>
      <c r="O99" s="5">
        <v>34</v>
      </c>
      <c r="P99" s="5">
        <v>34</v>
      </c>
      <c r="Q99" s="6">
        <v>19958.400000000001</v>
      </c>
      <c r="R99" s="7">
        <v>0</v>
      </c>
      <c r="S99" s="5">
        <v>0</v>
      </c>
      <c r="T99" s="5">
        <v>0</v>
      </c>
      <c r="U99" s="6">
        <v>0</v>
      </c>
      <c r="V99" s="8"/>
    </row>
    <row r="100" spans="1:22" x14ac:dyDescent="0.2">
      <c r="A100" s="2" t="s">
        <v>56</v>
      </c>
      <c r="B100" s="2" t="s">
        <v>52</v>
      </c>
      <c r="C100" s="2">
        <v>1012165</v>
      </c>
      <c r="D100" s="2" t="s">
        <v>62</v>
      </c>
      <c r="E100" s="3" t="s">
        <v>63</v>
      </c>
      <c r="F100" s="4">
        <v>0</v>
      </c>
      <c r="G100" s="5">
        <v>0</v>
      </c>
      <c r="H100" s="5">
        <v>0</v>
      </c>
      <c r="I100" s="6">
        <v>0</v>
      </c>
      <c r="J100" s="7">
        <v>0</v>
      </c>
      <c r="K100" s="5">
        <v>0</v>
      </c>
      <c r="L100" s="5">
        <v>0</v>
      </c>
      <c r="M100" s="6">
        <v>0</v>
      </c>
      <c r="N100" s="4">
        <v>45759.447999999997</v>
      </c>
      <c r="O100" s="5">
        <v>59.5075624163998</v>
      </c>
      <c r="P100" s="5">
        <v>66.078107235909002</v>
      </c>
      <c r="Q100" s="6">
        <v>45759.447999999997</v>
      </c>
      <c r="R100" s="7">
        <v>145.15199999999999</v>
      </c>
      <c r="S100" s="5">
        <v>74.125</v>
      </c>
      <c r="T100" s="5">
        <v>83.625</v>
      </c>
      <c r="U100" s="6">
        <v>145.15199999999999</v>
      </c>
      <c r="V100" s="8"/>
    </row>
    <row r="101" spans="1:22" x14ac:dyDescent="0.2">
      <c r="A101" s="2" t="s">
        <v>56</v>
      </c>
      <c r="B101" s="2" t="s">
        <v>52</v>
      </c>
      <c r="C101" s="2">
        <v>1012167</v>
      </c>
      <c r="D101" s="2" t="s">
        <v>71</v>
      </c>
      <c r="E101" s="3" t="s">
        <v>59</v>
      </c>
      <c r="F101" s="4">
        <v>0</v>
      </c>
      <c r="G101" s="5">
        <v>0</v>
      </c>
      <c r="H101" s="5">
        <v>0</v>
      </c>
      <c r="I101" s="6">
        <v>0</v>
      </c>
      <c r="J101" s="7">
        <v>0</v>
      </c>
      <c r="K101" s="5">
        <v>0</v>
      </c>
      <c r="L101" s="5">
        <v>0</v>
      </c>
      <c r="M101" s="6">
        <v>0</v>
      </c>
      <c r="N101" s="4">
        <v>80542.080000000002</v>
      </c>
      <c r="O101" s="5">
        <v>49.818640492025999</v>
      </c>
      <c r="P101" s="5">
        <v>55.342871105389897</v>
      </c>
      <c r="Q101" s="6">
        <v>80542.080000000002</v>
      </c>
      <c r="R101" s="7">
        <v>0</v>
      </c>
      <c r="S101" s="5">
        <v>0</v>
      </c>
      <c r="T101" s="5">
        <v>0</v>
      </c>
      <c r="U101" s="6">
        <v>0</v>
      </c>
      <c r="V101" s="8"/>
    </row>
    <row r="102" spans="1:22" x14ac:dyDescent="0.2">
      <c r="A102" s="2" t="s">
        <v>56</v>
      </c>
      <c r="B102" s="2" t="s">
        <v>52</v>
      </c>
      <c r="C102" s="2">
        <v>1012483</v>
      </c>
      <c r="D102" s="2" t="s">
        <v>91</v>
      </c>
      <c r="E102" s="3" t="s">
        <v>63</v>
      </c>
      <c r="F102" s="4">
        <v>0</v>
      </c>
      <c r="G102" s="5">
        <v>0</v>
      </c>
      <c r="H102" s="5">
        <v>0</v>
      </c>
      <c r="I102" s="6">
        <v>0</v>
      </c>
      <c r="J102" s="7">
        <v>0</v>
      </c>
      <c r="K102" s="5">
        <v>0</v>
      </c>
      <c r="L102" s="5">
        <v>0</v>
      </c>
      <c r="M102" s="6">
        <v>0</v>
      </c>
      <c r="N102" s="4">
        <v>89486.207999999999</v>
      </c>
      <c r="O102" s="5">
        <v>52.204379562043798</v>
      </c>
      <c r="P102" s="5">
        <v>54.105433901054298</v>
      </c>
      <c r="Q102" s="6">
        <v>89486.207999999999</v>
      </c>
      <c r="R102" s="7">
        <v>27959.903999999999</v>
      </c>
      <c r="S102" s="5">
        <v>127.216093445814</v>
      </c>
      <c r="T102" s="5">
        <v>128.21544451654799</v>
      </c>
      <c r="U102" s="6">
        <v>27959.903999999999</v>
      </c>
      <c r="V102" s="8"/>
    </row>
    <row r="103" spans="1:22" x14ac:dyDescent="0.2">
      <c r="A103" s="2" t="s">
        <v>56</v>
      </c>
      <c r="B103" s="2" t="s">
        <v>52</v>
      </c>
      <c r="C103" s="2">
        <v>1012518</v>
      </c>
      <c r="D103" s="2" t="s">
        <v>66</v>
      </c>
      <c r="E103" s="3" t="s">
        <v>67</v>
      </c>
      <c r="F103" s="4">
        <v>0</v>
      </c>
      <c r="G103" s="5">
        <v>0</v>
      </c>
      <c r="H103" s="5">
        <v>0</v>
      </c>
      <c r="I103" s="6">
        <v>0</v>
      </c>
      <c r="J103" s="7">
        <v>0</v>
      </c>
      <c r="K103" s="5">
        <v>0</v>
      </c>
      <c r="L103" s="5">
        <v>0</v>
      </c>
      <c r="M103" s="6">
        <v>0</v>
      </c>
      <c r="N103" s="4">
        <v>90465.620999999999</v>
      </c>
      <c r="O103" s="5">
        <v>78.542529056424598</v>
      </c>
      <c r="P103" s="5">
        <v>91.146225824282993</v>
      </c>
      <c r="Q103" s="6">
        <v>90465.620999999999</v>
      </c>
      <c r="R103" s="7">
        <v>0</v>
      </c>
      <c r="S103" s="5">
        <v>0</v>
      </c>
      <c r="T103" s="5">
        <v>0</v>
      </c>
      <c r="U103" s="6">
        <v>0</v>
      </c>
      <c r="V103" s="8"/>
    </row>
    <row r="104" spans="1:22" x14ac:dyDescent="0.2">
      <c r="A104" s="2" t="s">
        <v>56</v>
      </c>
      <c r="B104" s="2" t="s">
        <v>52</v>
      </c>
      <c r="C104" s="2">
        <v>1012520</v>
      </c>
      <c r="D104" s="2" t="s">
        <v>58</v>
      </c>
      <c r="E104" s="3" t="s">
        <v>59</v>
      </c>
      <c r="F104" s="4">
        <v>0</v>
      </c>
      <c r="G104" s="5">
        <v>0</v>
      </c>
      <c r="H104" s="5">
        <v>0</v>
      </c>
      <c r="I104" s="6">
        <v>0</v>
      </c>
      <c r="J104" s="7">
        <v>0</v>
      </c>
      <c r="K104" s="5">
        <v>0</v>
      </c>
      <c r="L104" s="5">
        <v>0</v>
      </c>
      <c r="M104" s="6">
        <v>0</v>
      </c>
      <c r="N104" s="4">
        <v>18779.04</v>
      </c>
      <c r="O104" s="5">
        <v>75.352657004830903</v>
      </c>
      <c r="P104" s="5">
        <v>89.096618357487898</v>
      </c>
      <c r="Q104" s="6">
        <v>18779.04</v>
      </c>
      <c r="R104" s="7">
        <v>0</v>
      </c>
      <c r="S104" s="5">
        <v>0</v>
      </c>
      <c r="T104" s="5">
        <v>0</v>
      </c>
      <c r="U104" s="6">
        <v>0</v>
      </c>
      <c r="V104" s="8"/>
    </row>
    <row r="105" spans="1:22" x14ac:dyDescent="0.2">
      <c r="A105" s="2" t="s">
        <v>56</v>
      </c>
      <c r="B105" s="2" t="s">
        <v>52</v>
      </c>
      <c r="C105" s="2">
        <v>1012521</v>
      </c>
      <c r="D105" s="2" t="s">
        <v>69</v>
      </c>
      <c r="E105" s="3" t="s">
        <v>59</v>
      </c>
      <c r="F105" s="4">
        <v>0</v>
      </c>
      <c r="G105" s="5">
        <v>0</v>
      </c>
      <c r="H105" s="5">
        <v>0</v>
      </c>
      <c r="I105" s="6">
        <v>0</v>
      </c>
      <c r="J105" s="7">
        <v>0</v>
      </c>
      <c r="K105" s="5">
        <v>0</v>
      </c>
      <c r="L105" s="5">
        <v>0</v>
      </c>
      <c r="M105" s="6">
        <v>0</v>
      </c>
      <c r="N105" s="4">
        <v>73573.919999999998</v>
      </c>
      <c r="O105" s="5">
        <v>44.786683107275003</v>
      </c>
      <c r="P105" s="5">
        <v>51.288532675709</v>
      </c>
      <c r="Q105" s="6">
        <v>73573.919999999998</v>
      </c>
      <c r="R105" s="7">
        <v>36.287999999999997</v>
      </c>
      <c r="S105" s="5">
        <v>53</v>
      </c>
      <c r="T105" s="5">
        <v>74</v>
      </c>
      <c r="U105" s="6">
        <v>36.287999999999997</v>
      </c>
      <c r="V105" s="8"/>
    </row>
    <row r="106" spans="1:22" x14ac:dyDescent="0.2">
      <c r="A106" s="2" t="s">
        <v>56</v>
      </c>
      <c r="B106" s="2" t="s">
        <v>52</v>
      </c>
      <c r="C106" s="2">
        <v>1012522</v>
      </c>
      <c r="D106" s="2" t="s">
        <v>110</v>
      </c>
      <c r="E106" s="3" t="s">
        <v>59</v>
      </c>
      <c r="F106" s="4">
        <v>0</v>
      </c>
      <c r="G106" s="5">
        <v>0</v>
      </c>
      <c r="H106" s="5">
        <v>0</v>
      </c>
      <c r="I106" s="6">
        <v>0</v>
      </c>
      <c r="J106" s="7">
        <v>0</v>
      </c>
      <c r="K106" s="5">
        <v>0</v>
      </c>
      <c r="L106" s="5">
        <v>0</v>
      </c>
      <c r="M106" s="6">
        <v>0</v>
      </c>
      <c r="N106" s="4">
        <v>139890.23999999999</v>
      </c>
      <c r="O106" s="5">
        <v>56.928015564202298</v>
      </c>
      <c r="P106" s="5">
        <v>62.660830090791201</v>
      </c>
      <c r="Q106" s="6">
        <v>139890.23999999999</v>
      </c>
      <c r="R106" s="7">
        <v>0</v>
      </c>
      <c r="S106" s="5">
        <v>0</v>
      </c>
      <c r="T106" s="5">
        <v>0</v>
      </c>
      <c r="U106" s="6">
        <v>0</v>
      </c>
      <c r="V106" s="8"/>
    </row>
    <row r="107" spans="1:22" x14ac:dyDescent="0.2">
      <c r="A107" s="2" t="s">
        <v>56</v>
      </c>
      <c r="B107" s="2" t="s">
        <v>52</v>
      </c>
      <c r="C107" s="2">
        <v>1012523</v>
      </c>
      <c r="D107" s="2" t="s">
        <v>117</v>
      </c>
      <c r="E107" s="3" t="s">
        <v>59</v>
      </c>
      <c r="F107" s="4">
        <v>0</v>
      </c>
      <c r="G107" s="5">
        <v>0</v>
      </c>
      <c r="H107" s="5">
        <v>0</v>
      </c>
      <c r="I107" s="6">
        <v>0</v>
      </c>
      <c r="J107" s="7">
        <v>0</v>
      </c>
      <c r="K107" s="5">
        <v>0</v>
      </c>
      <c r="L107" s="5">
        <v>0</v>
      </c>
      <c r="M107" s="6">
        <v>0</v>
      </c>
      <c r="N107" s="4">
        <v>38120.544000000002</v>
      </c>
      <c r="O107" s="5">
        <v>46.534507377439297</v>
      </c>
      <c r="P107" s="5">
        <v>47.013802950975702</v>
      </c>
      <c r="Q107" s="6">
        <v>38120.544000000002</v>
      </c>
      <c r="R107" s="7">
        <v>18.143999999999998</v>
      </c>
      <c r="S107" s="5">
        <v>83</v>
      </c>
      <c r="T107" s="5">
        <v>89</v>
      </c>
      <c r="U107" s="6">
        <v>18.143999999999998</v>
      </c>
      <c r="V107" s="8"/>
    </row>
    <row r="108" spans="1:22" x14ac:dyDescent="0.2">
      <c r="A108" s="2" t="s">
        <v>56</v>
      </c>
      <c r="B108" s="2" t="s">
        <v>52</v>
      </c>
      <c r="C108" s="2">
        <v>1012524</v>
      </c>
      <c r="D108" s="2" t="s">
        <v>139</v>
      </c>
      <c r="E108" s="3" t="s">
        <v>59</v>
      </c>
      <c r="F108" s="4">
        <v>0</v>
      </c>
      <c r="G108" s="5">
        <v>0</v>
      </c>
      <c r="H108" s="5">
        <v>0</v>
      </c>
      <c r="I108" s="6">
        <v>0</v>
      </c>
      <c r="J108" s="7">
        <v>0</v>
      </c>
      <c r="K108" s="5">
        <v>0</v>
      </c>
      <c r="L108" s="5">
        <v>0</v>
      </c>
      <c r="M108" s="6">
        <v>0</v>
      </c>
      <c r="N108" s="4">
        <v>5806.08</v>
      </c>
      <c r="O108" s="5">
        <v>45</v>
      </c>
      <c r="P108" s="5">
        <v>47</v>
      </c>
      <c r="Q108" s="6">
        <v>5806.08</v>
      </c>
      <c r="R108" s="7">
        <v>0</v>
      </c>
      <c r="S108" s="5">
        <v>0</v>
      </c>
      <c r="T108" s="5">
        <v>0</v>
      </c>
      <c r="U108" s="6">
        <v>0</v>
      </c>
      <c r="V108" s="8"/>
    </row>
    <row r="109" spans="1:22" x14ac:dyDescent="0.2">
      <c r="A109" s="2" t="s">
        <v>56</v>
      </c>
      <c r="B109" s="2" t="s">
        <v>52</v>
      </c>
      <c r="C109" s="2">
        <v>1012579</v>
      </c>
      <c r="D109" s="2" t="s">
        <v>146</v>
      </c>
      <c r="E109" s="3" t="s">
        <v>59</v>
      </c>
      <c r="F109" s="4">
        <v>0</v>
      </c>
      <c r="G109" s="5">
        <v>0</v>
      </c>
      <c r="H109" s="5">
        <v>0</v>
      </c>
      <c r="I109" s="6">
        <v>0</v>
      </c>
      <c r="J109" s="7">
        <v>0</v>
      </c>
      <c r="K109" s="5">
        <v>0</v>
      </c>
      <c r="L109" s="5">
        <v>0</v>
      </c>
      <c r="M109" s="6">
        <v>0</v>
      </c>
      <c r="N109" s="4">
        <v>362.87400000000002</v>
      </c>
      <c r="O109" s="5">
        <v>37</v>
      </c>
      <c r="P109" s="5">
        <v>37</v>
      </c>
      <c r="Q109" s="6">
        <v>362.87400000000002</v>
      </c>
      <c r="R109" s="7">
        <v>0</v>
      </c>
      <c r="S109" s="5">
        <v>0</v>
      </c>
      <c r="T109" s="5">
        <v>0</v>
      </c>
      <c r="U109" s="6">
        <v>0</v>
      </c>
      <c r="V109" s="8"/>
    </row>
    <row r="110" spans="1:22" x14ac:dyDescent="0.2">
      <c r="A110" s="2" t="s">
        <v>56</v>
      </c>
      <c r="B110" s="2" t="s">
        <v>52</v>
      </c>
      <c r="C110" s="2">
        <v>1012597</v>
      </c>
      <c r="D110" s="2" t="s">
        <v>148</v>
      </c>
      <c r="E110" s="3" t="s">
        <v>63</v>
      </c>
      <c r="F110" s="4">
        <v>0</v>
      </c>
      <c r="G110" s="5">
        <v>0</v>
      </c>
      <c r="H110" s="5">
        <v>0</v>
      </c>
      <c r="I110" s="6">
        <v>0</v>
      </c>
      <c r="J110" s="7">
        <v>0</v>
      </c>
      <c r="K110" s="5">
        <v>0</v>
      </c>
      <c r="L110" s="5">
        <v>0</v>
      </c>
      <c r="M110" s="6">
        <v>0</v>
      </c>
      <c r="N110" s="4">
        <v>435.44799999999998</v>
      </c>
      <c r="O110" s="5">
        <v>37</v>
      </c>
      <c r="P110" s="5">
        <v>37</v>
      </c>
      <c r="Q110" s="6">
        <v>435.44799999999998</v>
      </c>
      <c r="R110" s="7">
        <v>0</v>
      </c>
      <c r="S110" s="5">
        <v>0</v>
      </c>
      <c r="T110" s="5">
        <v>0</v>
      </c>
      <c r="U110" s="6">
        <v>0</v>
      </c>
      <c r="V110" s="8"/>
    </row>
    <row r="111" spans="1:22" x14ac:dyDescent="0.2">
      <c r="A111" s="2" t="s">
        <v>56</v>
      </c>
      <c r="B111" s="2" t="s">
        <v>150</v>
      </c>
      <c r="C111" s="2">
        <v>1011150</v>
      </c>
      <c r="D111" s="2" t="s">
        <v>151</v>
      </c>
      <c r="E111" s="3" t="s">
        <v>63</v>
      </c>
      <c r="F111" s="4">
        <v>0</v>
      </c>
      <c r="G111" s="5">
        <v>0</v>
      </c>
      <c r="H111" s="5">
        <v>0</v>
      </c>
      <c r="I111" s="6">
        <v>0</v>
      </c>
      <c r="J111" s="7">
        <v>0</v>
      </c>
      <c r="K111" s="5">
        <v>0</v>
      </c>
      <c r="L111" s="5">
        <v>0</v>
      </c>
      <c r="M111" s="6">
        <v>0</v>
      </c>
      <c r="N111" s="4">
        <v>20007</v>
      </c>
      <c r="O111" s="5">
        <v>45</v>
      </c>
      <c r="P111" s="5">
        <v>50</v>
      </c>
      <c r="Q111" s="6">
        <v>20007</v>
      </c>
      <c r="R111" s="7">
        <v>0</v>
      </c>
      <c r="S111" s="5">
        <v>0</v>
      </c>
      <c r="T111" s="5">
        <v>0</v>
      </c>
      <c r="U111" s="6">
        <v>0</v>
      </c>
      <c r="V111" s="8"/>
    </row>
    <row r="112" spans="1:22" x14ac:dyDescent="0.2">
      <c r="A112" s="2" t="s">
        <v>56</v>
      </c>
      <c r="B112" s="2" t="s">
        <v>150</v>
      </c>
      <c r="C112" s="2">
        <v>1011151</v>
      </c>
      <c r="D112" s="2" t="s">
        <v>153</v>
      </c>
      <c r="E112" s="3" t="s">
        <v>67</v>
      </c>
      <c r="F112" s="4">
        <v>0</v>
      </c>
      <c r="G112" s="5">
        <v>0</v>
      </c>
      <c r="H112" s="5">
        <v>0</v>
      </c>
      <c r="I112" s="6">
        <v>0</v>
      </c>
      <c r="J112" s="7">
        <v>0</v>
      </c>
      <c r="K112" s="5">
        <v>0</v>
      </c>
      <c r="L112" s="5">
        <v>0</v>
      </c>
      <c r="M112" s="6">
        <v>0</v>
      </c>
      <c r="N112" s="4">
        <v>20007</v>
      </c>
      <c r="O112" s="5">
        <v>37</v>
      </c>
      <c r="P112" s="5">
        <v>41</v>
      </c>
      <c r="Q112" s="6">
        <v>20007</v>
      </c>
      <c r="R112" s="7">
        <v>0</v>
      </c>
      <c r="S112" s="5">
        <v>0</v>
      </c>
      <c r="T112" s="5">
        <v>0</v>
      </c>
      <c r="U112" s="6">
        <v>0</v>
      </c>
      <c r="V112" s="8"/>
    </row>
    <row r="113" spans="1:22" x14ac:dyDescent="0.2">
      <c r="A113" s="2" t="s">
        <v>56</v>
      </c>
      <c r="B113" s="2" t="s">
        <v>150</v>
      </c>
      <c r="C113" s="2">
        <v>1012725</v>
      </c>
      <c r="D113" s="2" t="s">
        <v>155</v>
      </c>
      <c r="E113" s="3" t="s">
        <v>67</v>
      </c>
      <c r="F113" s="4">
        <v>0</v>
      </c>
      <c r="G113" s="5">
        <v>0</v>
      </c>
      <c r="H113" s="5">
        <v>0</v>
      </c>
      <c r="I113" s="6">
        <v>0</v>
      </c>
      <c r="J113" s="7">
        <v>0</v>
      </c>
      <c r="K113" s="5">
        <v>0</v>
      </c>
      <c r="L113" s="5">
        <v>0</v>
      </c>
      <c r="M113" s="6">
        <v>0</v>
      </c>
      <c r="N113" s="4">
        <v>19958.400000000001</v>
      </c>
      <c r="O113" s="5">
        <v>37</v>
      </c>
      <c r="P113" s="5">
        <v>41</v>
      </c>
      <c r="Q113" s="6">
        <v>19958.400000000001</v>
      </c>
      <c r="R113" s="7">
        <v>0</v>
      </c>
      <c r="S113" s="5">
        <v>0</v>
      </c>
      <c r="T113" s="5">
        <v>0</v>
      </c>
      <c r="U113" s="6">
        <v>0</v>
      </c>
      <c r="V113" s="8"/>
    </row>
    <row r="114" spans="1:22" x14ac:dyDescent="0.2">
      <c r="A114" s="2" t="s">
        <v>56</v>
      </c>
      <c r="B114" s="2" t="s">
        <v>46</v>
      </c>
      <c r="C114" s="2">
        <v>1012451</v>
      </c>
      <c r="D114" s="2" t="s">
        <v>157</v>
      </c>
      <c r="E114" s="3" t="s">
        <v>63</v>
      </c>
      <c r="F114" s="4">
        <v>0</v>
      </c>
      <c r="G114" s="5">
        <v>0</v>
      </c>
      <c r="H114" s="5">
        <v>0</v>
      </c>
      <c r="I114" s="6">
        <v>0</v>
      </c>
      <c r="J114" s="7">
        <v>0</v>
      </c>
      <c r="K114" s="5">
        <v>0</v>
      </c>
      <c r="L114" s="5">
        <v>0</v>
      </c>
      <c r="M114" s="6">
        <v>0</v>
      </c>
      <c r="N114" s="4">
        <v>27375</v>
      </c>
      <c r="O114" s="5">
        <v>43.246575342465803</v>
      </c>
      <c r="P114" s="5">
        <v>50.630136986301402</v>
      </c>
      <c r="Q114" s="6">
        <v>27375</v>
      </c>
      <c r="R114" s="7">
        <v>0</v>
      </c>
      <c r="S114" s="5">
        <v>0</v>
      </c>
      <c r="T114" s="5">
        <v>0</v>
      </c>
      <c r="U114" s="6">
        <v>0</v>
      </c>
      <c r="V114" s="8"/>
    </row>
    <row r="115" spans="1:22" x14ac:dyDescent="0.2">
      <c r="A115" s="2" t="s">
        <v>34</v>
      </c>
      <c r="B115" s="2" t="s">
        <v>52</v>
      </c>
      <c r="C115" s="2">
        <v>1020828</v>
      </c>
      <c r="D115" s="2" t="s">
        <v>75</v>
      </c>
      <c r="E115" s="3" t="s">
        <v>76</v>
      </c>
      <c r="F115" s="4">
        <v>0</v>
      </c>
      <c r="G115" s="5">
        <v>0</v>
      </c>
      <c r="H115" s="5">
        <v>0</v>
      </c>
      <c r="I115" s="6">
        <v>0</v>
      </c>
      <c r="J115" s="7">
        <v>0</v>
      </c>
      <c r="K115" s="5">
        <v>0</v>
      </c>
      <c r="L115" s="5">
        <v>0</v>
      </c>
      <c r="M115" s="6">
        <v>0</v>
      </c>
      <c r="N115" s="4">
        <v>24610</v>
      </c>
      <c r="O115" s="5">
        <v>47.0723283218204</v>
      </c>
      <c r="P115" s="5">
        <v>48.0451036164161</v>
      </c>
      <c r="Q115" s="6">
        <v>24610</v>
      </c>
      <c r="R115" s="7">
        <v>0</v>
      </c>
      <c r="S115" s="5">
        <v>0</v>
      </c>
      <c r="T115" s="5">
        <v>0</v>
      </c>
      <c r="U115" s="6">
        <v>0</v>
      </c>
      <c r="V115" s="8"/>
    </row>
    <row r="116" spans="1:22" x14ac:dyDescent="0.2">
      <c r="A116" s="2" t="s">
        <v>34</v>
      </c>
      <c r="B116" s="2" t="s">
        <v>52</v>
      </c>
      <c r="C116" s="2">
        <v>1021398</v>
      </c>
      <c r="D116" s="2" t="s">
        <v>119</v>
      </c>
      <c r="E116" s="3" t="s">
        <v>67</v>
      </c>
      <c r="F116" s="4">
        <v>0</v>
      </c>
      <c r="G116" s="5">
        <v>0</v>
      </c>
      <c r="H116" s="5">
        <v>0</v>
      </c>
      <c r="I116" s="6">
        <v>0</v>
      </c>
      <c r="J116" s="7">
        <v>0</v>
      </c>
      <c r="K116" s="5">
        <v>0</v>
      </c>
      <c r="L116" s="5">
        <v>0</v>
      </c>
      <c r="M116" s="6">
        <v>0</v>
      </c>
      <c r="N116" s="4">
        <v>2265</v>
      </c>
      <c r="O116" s="5">
        <v>81</v>
      </c>
      <c r="P116" s="5">
        <v>130</v>
      </c>
      <c r="Q116" s="6">
        <v>2265</v>
      </c>
      <c r="R116" s="7">
        <v>0</v>
      </c>
      <c r="S116" s="5">
        <v>0</v>
      </c>
      <c r="T116" s="5">
        <v>0</v>
      </c>
      <c r="U116" s="6">
        <v>0</v>
      </c>
      <c r="V116" s="8"/>
    </row>
    <row r="117" spans="1:22" x14ac:dyDescent="0.2">
      <c r="A117" s="2" t="s">
        <v>34</v>
      </c>
      <c r="B117" s="2" t="s">
        <v>52</v>
      </c>
      <c r="C117" s="2">
        <v>1022619</v>
      </c>
      <c r="D117" s="2" t="s">
        <v>159</v>
      </c>
      <c r="E117" s="3" t="s">
        <v>160</v>
      </c>
      <c r="F117" s="4">
        <v>0</v>
      </c>
      <c r="G117" s="5">
        <v>0</v>
      </c>
      <c r="H117" s="5">
        <v>0</v>
      </c>
      <c r="I117" s="6">
        <v>0</v>
      </c>
      <c r="J117" s="7">
        <v>0</v>
      </c>
      <c r="K117" s="5">
        <v>0</v>
      </c>
      <c r="L117" s="5">
        <v>0</v>
      </c>
      <c r="M117" s="6">
        <v>0</v>
      </c>
      <c r="N117" s="4">
        <v>16802.2</v>
      </c>
      <c r="O117" s="5">
        <v>45</v>
      </c>
      <c r="P117" s="5">
        <v>45</v>
      </c>
      <c r="Q117" s="6">
        <v>16802.2</v>
      </c>
      <c r="R117" s="7">
        <v>0</v>
      </c>
      <c r="S117" s="5">
        <v>0</v>
      </c>
      <c r="T117" s="5">
        <v>0</v>
      </c>
      <c r="U117" s="6">
        <v>0</v>
      </c>
      <c r="V117" s="8"/>
    </row>
    <row r="118" spans="1:22" x14ac:dyDescent="0.2">
      <c r="A118" s="2" t="s">
        <v>34</v>
      </c>
      <c r="B118" s="2" t="s">
        <v>52</v>
      </c>
      <c r="C118" s="2">
        <v>1022883</v>
      </c>
      <c r="D118" s="2" t="s">
        <v>121</v>
      </c>
      <c r="E118" s="3" t="s">
        <v>76</v>
      </c>
      <c r="F118" s="4">
        <v>0</v>
      </c>
      <c r="G118" s="5">
        <v>0</v>
      </c>
      <c r="H118" s="5">
        <v>0</v>
      </c>
      <c r="I118" s="6">
        <v>0</v>
      </c>
      <c r="J118" s="7">
        <v>0</v>
      </c>
      <c r="K118" s="5">
        <v>0</v>
      </c>
      <c r="L118" s="5">
        <v>0</v>
      </c>
      <c r="M118" s="6">
        <v>0</v>
      </c>
      <c r="N118" s="4">
        <v>33536</v>
      </c>
      <c r="O118" s="5">
        <v>61.748091603053403</v>
      </c>
      <c r="P118" s="5">
        <v>67.328244274809194</v>
      </c>
      <c r="Q118" s="6">
        <v>33536</v>
      </c>
      <c r="R118" s="7">
        <v>0</v>
      </c>
      <c r="S118" s="5">
        <v>0</v>
      </c>
      <c r="T118" s="5">
        <v>0</v>
      </c>
      <c r="U118" s="6">
        <v>0</v>
      </c>
      <c r="V118" s="8"/>
    </row>
    <row r="119" spans="1:22" x14ac:dyDescent="0.2">
      <c r="A119" s="2" t="s">
        <v>34</v>
      </c>
      <c r="B119" s="2" t="s">
        <v>52</v>
      </c>
      <c r="C119" s="2">
        <v>1023050</v>
      </c>
      <c r="D119" s="2" t="s">
        <v>93</v>
      </c>
      <c r="E119" s="3" t="s">
        <v>43</v>
      </c>
      <c r="F119" s="4">
        <v>0</v>
      </c>
      <c r="G119" s="5">
        <v>0</v>
      </c>
      <c r="H119" s="5">
        <v>0</v>
      </c>
      <c r="I119" s="6">
        <v>0</v>
      </c>
      <c r="J119" s="7">
        <v>0</v>
      </c>
      <c r="K119" s="5">
        <v>0</v>
      </c>
      <c r="L119" s="5">
        <v>0</v>
      </c>
      <c r="M119" s="6">
        <v>0</v>
      </c>
      <c r="N119" s="4">
        <v>0</v>
      </c>
      <c r="O119" s="5">
        <v>0</v>
      </c>
      <c r="P119" s="5">
        <v>0</v>
      </c>
      <c r="Q119" s="6">
        <v>0</v>
      </c>
      <c r="R119" s="7">
        <v>187.99600000000001</v>
      </c>
      <c r="S119" s="5">
        <v>79.570150428732504</v>
      </c>
      <c r="T119" s="5">
        <v>98.369178067618506</v>
      </c>
      <c r="U119" s="6">
        <v>187.99600000000001</v>
      </c>
      <c r="V119" s="8"/>
    </row>
    <row r="120" spans="1:22" x14ac:dyDescent="0.2">
      <c r="A120" s="2" t="s">
        <v>34</v>
      </c>
      <c r="B120" s="2" t="s">
        <v>52</v>
      </c>
      <c r="C120" s="2">
        <v>1023175</v>
      </c>
      <c r="D120" s="2" t="s">
        <v>123</v>
      </c>
      <c r="E120" s="3" t="s">
        <v>124</v>
      </c>
      <c r="F120" s="4">
        <v>0</v>
      </c>
      <c r="G120" s="5">
        <v>0</v>
      </c>
      <c r="H120" s="5">
        <v>0</v>
      </c>
      <c r="I120" s="6">
        <v>0</v>
      </c>
      <c r="J120" s="7">
        <v>0</v>
      </c>
      <c r="K120" s="5">
        <v>0</v>
      </c>
      <c r="L120" s="5">
        <v>0</v>
      </c>
      <c r="M120" s="6">
        <v>0</v>
      </c>
      <c r="N120" s="4">
        <v>46.9</v>
      </c>
      <c r="O120" s="5">
        <v>80</v>
      </c>
      <c r="P120" s="5">
        <v>153</v>
      </c>
      <c r="Q120" s="6">
        <v>46.9</v>
      </c>
      <c r="R120" s="7">
        <v>0</v>
      </c>
      <c r="S120" s="5">
        <v>0</v>
      </c>
      <c r="T120" s="5">
        <v>0</v>
      </c>
      <c r="U120" s="6">
        <v>0</v>
      </c>
      <c r="V120" s="8"/>
    </row>
    <row r="121" spans="1:22" x14ac:dyDescent="0.2">
      <c r="A121" s="2" t="s">
        <v>34</v>
      </c>
      <c r="B121" s="2" t="s">
        <v>52</v>
      </c>
      <c r="C121" s="2">
        <v>1023274</v>
      </c>
      <c r="D121" s="2" t="s">
        <v>162</v>
      </c>
      <c r="E121" s="3" t="s">
        <v>96</v>
      </c>
      <c r="F121" s="4">
        <v>0</v>
      </c>
      <c r="G121" s="5">
        <v>0</v>
      </c>
      <c r="H121" s="5">
        <v>0</v>
      </c>
      <c r="I121" s="6">
        <v>0</v>
      </c>
      <c r="J121" s="7">
        <v>0</v>
      </c>
      <c r="K121" s="5">
        <v>0</v>
      </c>
      <c r="L121" s="5">
        <v>0</v>
      </c>
      <c r="M121" s="6">
        <v>0</v>
      </c>
      <c r="N121" s="4">
        <v>2035.2339999999999</v>
      </c>
      <c r="O121" s="5">
        <v>54</v>
      </c>
      <c r="P121" s="5">
        <v>54</v>
      </c>
      <c r="Q121" s="6">
        <v>2035.2339999999999</v>
      </c>
      <c r="R121" s="7">
        <v>0</v>
      </c>
      <c r="S121" s="5">
        <v>0</v>
      </c>
      <c r="T121" s="5">
        <v>0</v>
      </c>
      <c r="U121" s="6">
        <v>0</v>
      </c>
      <c r="V121" s="8"/>
    </row>
    <row r="122" spans="1:22" x14ac:dyDescent="0.2">
      <c r="A122" s="2" t="s">
        <v>34</v>
      </c>
      <c r="B122" s="2" t="s">
        <v>52</v>
      </c>
      <c r="C122" s="2">
        <v>1023276</v>
      </c>
      <c r="D122" s="2" t="s">
        <v>95</v>
      </c>
      <c r="E122" s="3" t="s">
        <v>96</v>
      </c>
      <c r="F122" s="4">
        <v>0</v>
      </c>
      <c r="G122" s="5">
        <v>0</v>
      </c>
      <c r="H122" s="5">
        <v>0</v>
      </c>
      <c r="I122" s="6">
        <v>0</v>
      </c>
      <c r="J122" s="7">
        <v>0</v>
      </c>
      <c r="K122" s="5">
        <v>0</v>
      </c>
      <c r="L122" s="5">
        <v>0</v>
      </c>
      <c r="M122" s="6">
        <v>0</v>
      </c>
      <c r="N122" s="4">
        <v>2805.9740000000002</v>
      </c>
      <c r="O122" s="5">
        <v>104.991550171171</v>
      </c>
      <c r="P122" s="5">
        <v>107.288472380713</v>
      </c>
      <c r="Q122" s="6">
        <v>2805.9740000000002</v>
      </c>
      <c r="R122" s="7">
        <v>0</v>
      </c>
      <c r="S122" s="5">
        <v>0</v>
      </c>
      <c r="T122" s="5">
        <v>0</v>
      </c>
      <c r="U122" s="6">
        <v>0</v>
      </c>
      <c r="V122" s="8"/>
    </row>
    <row r="123" spans="1:22" x14ac:dyDescent="0.2">
      <c r="A123" s="2" t="s">
        <v>34</v>
      </c>
      <c r="B123" s="2" t="s">
        <v>52</v>
      </c>
      <c r="C123" s="2">
        <v>1023410</v>
      </c>
      <c r="D123" s="2" t="s">
        <v>164</v>
      </c>
      <c r="E123" s="3" t="s">
        <v>67</v>
      </c>
      <c r="F123" s="4">
        <v>0</v>
      </c>
      <c r="G123" s="5">
        <v>0</v>
      </c>
      <c r="H123" s="5">
        <v>0</v>
      </c>
      <c r="I123" s="6">
        <v>0</v>
      </c>
      <c r="J123" s="7">
        <v>0</v>
      </c>
      <c r="K123" s="5">
        <v>0</v>
      </c>
      <c r="L123" s="5">
        <v>0</v>
      </c>
      <c r="M123" s="6">
        <v>0</v>
      </c>
      <c r="N123" s="4">
        <v>48</v>
      </c>
      <c r="O123" s="5">
        <v>45</v>
      </c>
      <c r="P123" s="5">
        <v>45</v>
      </c>
      <c r="Q123" s="6">
        <v>48</v>
      </c>
      <c r="R123" s="7">
        <v>0</v>
      </c>
      <c r="S123" s="5">
        <v>0</v>
      </c>
      <c r="T123" s="5">
        <v>0</v>
      </c>
      <c r="U123" s="6">
        <v>0</v>
      </c>
      <c r="V123" s="8"/>
    </row>
    <row r="124" spans="1:22" x14ac:dyDescent="0.2">
      <c r="A124" s="2" t="s">
        <v>34</v>
      </c>
      <c r="B124" s="2" t="s">
        <v>46</v>
      </c>
      <c r="C124" s="2">
        <v>1022183</v>
      </c>
      <c r="D124" s="2" t="s">
        <v>166</v>
      </c>
      <c r="E124" s="3" t="s">
        <v>167</v>
      </c>
      <c r="F124" s="4">
        <v>0</v>
      </c>
      <c r="G124" s="5">
        <v>0</v>
      </c>
      <c r="H124" s="5">
        <v>0</v>
      </c>
      <c r="I124" s="6">
        <v>0</v>
      </c>
      <c r="J124" s="7">
        <v>0</v>
      </c>
      <c r="K124" s="5">
        <v>0</v>
      </c>
      <c r="L124" s="5">
        <v>0</v>
      </c>
      <c r="M124" s="6">
        <v>0</v>
      </c>
      <c r="N124" s="4">
        <v>19274.683000000001</v>
      </c>
      <c r="O124" s="5">
        <v>48</v>
      </c>
      <c r="P124" s="5">
        <v>51</v>
      </c>
      <c r="Q124" s="6">
        <v>19274.683000000001</v>
      </c>
      <c r="R124" s="7">
        <v>0</v>
      </c>
      <c r="S124" s="5">
        <v>0</v>
      </c>
      <c r="T124" s="5">
        <v>0</v>
      </c>
      <c r="U124" s="6">
        <v>0</v>
      </c>
      <c r="V124" s="8"/>
    </row>
    <row r="125" spans="1:22" x14ac:dyDescent="0.2">
      <c r="A125" s="2" t="s">
        <v>34</v>
      </c>
      <c r="B125" s="2" t="s">
        <v>46</v>
      </c>
      <c r="C125" s="2">
        <v>1022193</v>
      </c>
      <c r="D125" s="2" t="s">
        <v>169</v>
      </c>
      <c r="E125" s="3" t="s">
        <v>43</v>
      </c>
      <c r="F125" s="4">
        <v>0</v>
      </c>
      <c r="G125" s="5">
        <v>0</v>
      </c>
      <c r="H125" s="5">
        <v>0</v>
      </c>
      <c r="I125" s="6">
        <v>0</v>
      </c>
      <c r="J125" s="7">
        <v>0</v>
      </c>
      <c r="K125" s="5">
        <v>0</v>
      </c>
      <c r="L125" s="5">
        <v>0</v>
      </c>
      <c r="M125" s="6">
        <v>0</v>
      </c>
      <c r="N125" s="4">
        <v>12449.436</v>
      </c>
      <c r="O125" s="5">
        <v>34</v>
      </c>
      <c r="P125" s="5">
        <v>44</v>
      </c>
      <c r="Q125" s="6">
        <v>12449.436</v>
      </c>
      <c r="R125" s="7">
        <v>0</v>
      </c>
      <c r="S125" s="5">
        <v>0</v>
      </c>
      <c r="T125" s="5">
        <v>0</v>
      </c>
      <c r="U125" s="6">
        <v>0</v>
      </c>
      <c r="V125" s="8"/>
    </row>
    <row r="126" spans="1:22" x14ac:dyDescent="0.2">
      <c r="A126" s="2" t="s">
        <v>34</v>
      </c>
      <c r="B126" s="2" t="s">
        <v>46</v>
      </c>
      <c r="C126" s="2">
        <v>1022388</v>
      </c>
      <c r="D126" s="2" t="s">
        <v>171</v>
      </c>
      <c r="E126" s="3" t="s">
        <v>172</v>
      </c>
      <c r="F126" s="4">
        <v>0</v>
      </c>
      <c r="G126" s="5">
        <v>0</v>
      </c>
      <c r="H126" s="5">
        <v>0</v>
      </c>
      <c r="I126" s="6">
        <v>0</v>
      </c>
      <c r="J126" s="7">
        <v>0</v>
      </c>
      <c r="K126" s="5">
        <v>0</v>
      </c>
      <c r="L126" s="5">
        <v>0</v>
      </c>
      <c r="M126" s="6">
        <v>0</v>
      </c>
      <c r="N126" s="4">
        <v>5140</v>
      </c>
      <c r="O126" s="5">
        <v>48</v>
      </c>
      <c r="P126" s="5">
        <v>51</v>
      </c>
      <c r="Q126" s="6">
        <v>5140</v>
      </c>
      <c r="R126" s="7">
        <v>0</v>
      </c>
      <c r="S126" s="5">
        <v>0</v>
      </c>
      <c r="T126" s="5">
        <v>0</v>
      </c>
      <c r="U126" s="6">
        <v>0</v>
      </c>
      <c r="V126" s="8"/>
    </row>
    <row r="127" spans="1:22" x14ac:dyDescent="0.2">
      <c r="A127" s="2" t="s">
        <v>34</v>
      </c>
      <c r="B127" s="2" t="s">
        <v>46</v>
      </c>
      <c r="C127" s="2">
        <v>1022417</v>
      </c>
      <c r="D127" s="2" t="s">
        <v>174</v>
      </c>
      <c r="E127" s="3" t="s">
        <v>175</v>
      </c>
      <c r="F127" s="4">
        <v>0</v>
      </c>
      <c r="G127" s="5">
        <v>0</v>
      </c>
      <c r="H127" s="5">
        <v>0</v>
      </c>
      <c r="I127" s="6">
        <v>0</v>
      </c>
      <c r="J127" s="7">
        <v>0</v>
      </c>
      <c r="K127" s="5">
        <v>0</v>
      </c>
      <c r="L127" s="5">
        <v>0</v>
      </c>
      <c r="M127" s="6">
        <v>0</v>
      </c>
      <c r="N127" s="4">
        <v>0</v>
      </c>
      <c r="O127" s="5">
        <v>0</v>
      </c>
      <c r="P127" s="5">
        <v>0</v>
      </c>
      <c r="Q127" s="6">
        <v>0</v>
      </c>
      <c r="R127" s="7">
        <v>3300</v>
      </c>
      <c r="S127" s="5">
        <v>39</v>
      </c>
      <c r="T127" s="5">
        <v>54</v>
      </c>
      <c r="U127" s="6">
        <v>3300</v>
      </c>
      <c r="V127" s="8"/>
    </row>
    <row r="128" spans="1:22" x14ac:dyDescent="0.2">
      <c r="A128" s="2" t="s">
        <v>34</v>
      </c>
      <c r="B128" s="2" t="s">
        <v>46</v>
      </c>
      <c r="C128" s="2">
        <v>1022646</v>
      </c>
      <c r="D128" s="2" t="s">
        <v>177</v>
      </c>
      <c r="E128" s="3" t="s">
        <v>178</v>
      </c>
      <c r="F128" s="4">
        <v>0</v>
      </c>
      <c r="G128" s="5">
        <v>0</v>
      </c>
      <c r="H128" s="5">
        <v>0</v>
      </c>
      <c r="I128" s="6">
        <v>0</v>
      </c>
      <c r="J128" s="7">
        <v>0</v>
      </c>
      <c r="K128" s="5">
        <v>0</v>
      </c>
      <c r="L128" s="5">
        <v>0</v>
      </c>
      <c r="M128" s="6">
        <v>0</v>
      </c>
      <c r="N128" s="4">
        <v>24015.281999999999</v>
      </c>
      <c r="O128" s="5">
        <v>41</v>
      </c>
      <c r="P128" s="5">
        <v>51</v>
      </c>
      <c r="Q128" s="6">
        <v>24015.281999999999</v>
      </c>
      <c r="R128" s="7">
        <v>0</v>
      </c>
      <c r="S128" s="5">
        <v>0</v>
      </c>
      <c r="T128" s="5">
        <v>0</v>
      </c>
      <c r="U128" s="6">
        <v>0</v>
      </c>
      <c r="V128" s="8"/>
    </row>
    <row r="129" spans="1:22" x14ac:dyDescent="0.2">
      <c r="A129" s="2" t="s">
        <v>34</v>
      </c>
      <c r="B129" s="2" t="s">
        <v>46</v>
      </c>
      <c r="C129" s="2">
        <v>1023093</v>
      </c>
      <c r="D129" s="2" t="s">
        <v>180</v>
      </c>
      <c r="E129" s="3" t="s">
        <v>181</v>
      </c>
      <c r="F129" s="4">
        <v>0</v>
      </c>
      <c r="G129" s="5">
        <v>0</v>
      </c>
      <c r="H129" s="5">
        <v>0</v>
      </c>
      <c r="I129" s="6">
        <v>0</v>
      </c>
      <c r="J129" s="7">
        <v>0</v>
      </c>
      <c r="K129" s="5">
        <v>0</v>
      </c>
      <c r="L129" s="5">
        <v>0</v>
      </c>
      <c r="M129" s="6">
        <v>0</v>
      </c>
      <c r="N129" s="4">
        <v>21360</v>
      </c>
      <c r="O129" s="5">
        <v>48</v>
      </c>
      <c r="P129" s="5">
        <v>48</v>
      </c>
      <c r="Q129" s="6">
        <v>21360</v>
      </c>
      <c r="R129" s="7">
        <v>0</v>
      </c>
      <c r="S129" s="5">
        <v>0</v>
      </c>
      <c r="T129" s="5">
        <v>0</v>
      </c>
      <c r="U129" s="6">
        <v>0</v>
      </c>
      <c r="V129" s="8"/>
    </row>
    <row r="130" spans="1:22" x14ac:dyDescent="0.2">
      <c r="A130" s="2" t="s">
        <v>34</v>
      </c>
      <c r="B130" s="2" t="s">
        <v>46</v>
      </c>
      <c r="C130" s="2">
        <v>1023143</v>
      </c>
      <c r="D130" s="2" t="s">
        <v>183</v>
      </c>
      <c r="E130" s="3" t="s">
        <v>160</v>
      </c>
      <c r="F130" s="4">
        <v>0</v>
      </c>
      <c r="G130" s="5">
        <v>0</v>
      </c>
      <c r="H130" s="5">
        <v>0</v>
      </c>
      <c r="I130" s="6">
        <v>0</v>
      </c>
      <c r="J130" s="7">
        <v>0</v>
      </c>
      <c r="K130" s="5">
        <v>0</v>
      </c>
      <c r="L130" s="5">
        <v>0</v>
      </c>
      <c r="M130" s="6">
        <v>0</v>
      </c>
      <c r="N130" s="4">
        <v>1520</v>
      </c>
      <c r="O130" s="5">
        <v>48</v>
      </c>
      <c r="P130" s="5">
        <v>48</v>
      </c>
      <c r="Q130" s="6">
        <v>1520</v>
      </c>
      <c r="R130" s="7">
        <v>0</v>
      </c>
      <c r="S130" s="5">
        <v>0</v>
      </c>
      <c r="T130" s="5">
        <v>0</v>
      </c>
      <c r="U130" s="6">
        <v>0</v>
      </c>
      <c r="V130" s="8"/>
    </row>
    <row r="131" spans="1:22" x14ac:dyDescent="0.2">
      <c r="A131" s="2" t="s">
        <v>34</v>
      </c>
      <c r="B131" s="2" t="s">
        <v>37</v>
      </c>
      <c r="C131" s="2">
        <v>1021921</v>
      </c>
      <c r="D131" s="2" t="s">
        <v>185</v>
      </c>
      <c r="E131" s="3" t="s">
        <v>43</v>
      </c>
      <c r="F131" s="4">
        <v>0</v>
      </c>
      <c r="G131" s="5">
        <v>0</v>
      </c>
      <c r="H131" s="5">
        <v>0</v>
      </c>
      <c r="I131" s="6">
        <v>0</v>
      </c>
      <c r="J131" s="7">
        <v>0</v>
      </c>
      <c r="K131" s="5">
        <v>0</v>
      </c>
      <c r="L131" s="5">
        <v>0</v>
      </c>
      <c r="M131" s="6">
        <v>0</v>
      </c>
      <c r="N131" s="4">
        <v>503.255</v>
      </c>
      <c r="O131" s="5">
        <v>53</v>
      </c>
      <c r="P131" s="5">
        <v>74</v>
      </c>
      <c r="Q131" s="6">
        <v>503.255</v>
      </c>
      <c r="R131" s="7">
        <v>0</v>
      </c>
      <c r="S131" s="5">
        <v>0</v>
      </c>
      <c r="T131" s="5">
        <v>0</v>
      </c>
      <c r="U131" s="6">
        <v>0</v>
      </c>
      <c r="V131" s="8"/>
    </row>
    <row r="132" spans="1:22" x14ac:dyDescent="0.2">
      <c r="A132" s="2" t="s">
        <v>34</v>
      </c>
      <c r="B132" s="2" t="s">
        <v>37</v>
      </c>
      <c r="C132" s="2">
        <v>1021922</v>
      </c>
      <c r="D132" s="2" t="s">
        <v>119</v>
      </c>
      <c r="E132" s="3" t="s">
        <v>67</v>
      </c>
      <c r="F132" s="4">
        <v>0</v>
      </c>
      <c r="G132" s="5">
        <v>0</v>
      </c>
      <c r="H132" s="5">
        <v>0</v>
      </c>
      <c r="I132" s="6">
        <v>0</v>
      </c>
      <c r="J132" s="7">
        <v>0</v>
      </c>
      <c r="K132" s="5">
        <v>0</v>
      </c>
      <c r="L132" s="5">
        <v>0</v>
      </c>
      <c r="M132" s="6">
        <v>0</v>
      </c>
      <c r="N132" s="4">
        <v>1850</v>
      </c>
      <c r="O132" s="5">
        <v>45.513513513513502</v>
      </c>
      <c r="P132" s="5">
        <v>46.054054054054099</v>
      </c>
      <c r="Q132" s="6">
        <v>1850</v>
      </c>
      <c r="R132" s="7">
        <v>0</v>
      </c>
      <c r="S132" s="5">
        <v>0</v>
      </c>
      <c r="T132" s="5">
        <v>0</v>
      </c>
      <c r="U132" s="6">
        <v>0</v>
      </c>
      <c r="V132" s="8"/>
    </row>
    <row r="133" spans="1:22" x14ac:dyDescent="0.2">
      <c r="A133" s="2" t="s">
        <v>34</v>
      </c>
      <c r="B133" s="2" t="s">
        <v>37</v>
      </c>
      <c r="C133" s="2">
        <v>1021924</v>
      </c>
      <c r="D133" s="2" t="s">
        <v>188</v>
      </c>
      <c r="E133" s="3" t="s">
        <v>43</v>
      </c>
      <c r="F133" s="4">
        <v>0</v>
      </c>
      <c r="G133" s="5">
        <v>0</v>
      </c>
      <c r="H133" s="5">
        <v>0</v>
      </c>
      <c r="I133" s="6">
        <v>0</v>
      </c>
      <c r="J133" s="7">
        <v>0</v>
      </c>
      <c r="K133" s="5">
        <v>0</v>
      </c>
      <c r="L133" s="5">
        <v>0</v>
      </c>
      <c r="M133" s="6">
        <v>0</v>
      </c>
      <c r="N133" s="4">
        <v>4514.3209999999999</v>
      </c>
      <c r="O133" s="5">
        <v>38</v>
      </c>
      <c r="P133" s="5">
        <v>67</v>
      </c>
      <c r="Q133" s="6">
        <v>4514.3209999999999</v>
      </c>
      <c r="R133" s="7">
        <v>0</v>
      </c>
      <c r="S133" s="5">
        <v>0</v>
      </c>
      <c r="T133" s="5">
        <v>0</v>
      </c>
      <c r="U133" s="6">
        <v>0</v>
      </c>
      <c r="V133" s="8"/>
    </row>
    <row r="134" spans="1:22" x14ac:dyDescent="0.2">
      <c r="A134" s="2" t="s">
        <v>34</v>
      </c>
      <c r="B134" s="2" t="s">
        <v>37</v>
      </c>
      <c r="C134" s="2">
        <v>1021931</v>
      </c>
      <c r="D134" s="2" t="s">
        <v>190</v>
      </c>
      <c r="E134" s="3" t="s">
        <v>191</v>
      </c>
      <c r="F134" s="4">
        <v>0</v>
      </c>
      <c r="G134" s="5">
        <v>0</v>
      </c>
      <c r="H134" s="5">
        <v>0</v>
      </c>
      <c r="I134" s="6">
        <v>0</v>
      </c>
      <c r="J134" s="7">
        <v>0</v>
      </c>
      <c r="K134" s="5">
        <v>0</v>
      </c>
      <c r="L134" s="5">
        <v>0</v>
      </c>
      <c r="M134" s="6">
        <v>0</v>
      </c>
      <c r="N134" s="4">
        <v>2004.68</v>
      </c>
      <c r="O134" s="5">
        <v>53</v>
      </c>
      <c r="P134" s="5">
        <v>53</v>
      </c>
      <c r="Q134" s="6">
        <v>2004.68</v>
      </c>
      <c r="R134" s="7">
        <v>0</v>
      </c>
      <c r="S134" s="5">
        <v>0</v>
      </c>
      <c r="T134" s="5">
        <v>0</v>
      </c>
      <c r="U134" s="6">
        <v>0</v>
      </c>
      <c r="V134" s="8"/>
    </row>
    <row r="135" spans="1:22" x14ac:dyDescent="0.2">
      <c r="A135" s="2" t="s">
        <v>34</v>
      </c>
      <c r="B135" s="2" t="s">
        <v>37</v>
      </c>
      <c r="C135" s="2">
        <v>1021944</v>
      </c>
      <c r="D135" s="2" t="s">
        <v>193</v>
      </c>
      <c r="E135" s="3" t="s">
        <v>181</v>
      </c>
      <c r="F135" s="4">
        <v>0</v>
      </c>
      <c r="G135" s="5">
        <v>0</v>
      </c>
      <c r="H135" s="5">
        <v>0</v>
      </c>
      <c r="I135" s="6">
        <v>0</v>
      </c>
      <c r="J135" s="7">
        <v>0</v>
      </c>
      <c r="K135" s="5">
        <v>0</v>
      </c>
      <c r="L135" s="5">
        <v>0</v>
      </c>
      <c r="M135" s="6">
        <v>0</v>
      </c>
      <c r="N135" s="4">
        <v>2400</v>
      </c>
      <c r="O135" s="5">
        <v>34</v>
      </c>
      <c r="P135" s="5">
        <v>35</v>
      </c>
      <c r="Q135" s="6">
        <v>2400</v>
      </c>
      <c r="R135" s="7">
        <v>0</v>
      </c>
      <c r="S135" s="5">
        <v>0</v>
      </c>
      <c r="T135" s="5">
        <v>0</v>
      </c>
      <c r="U135" s="6">
        <v>0</v>
      </c>
      <c r="V135" s="8"/>
    </row>
    <row r="136" spans="1:22" x14ac:dyDescent="0.2">
      <c r="A136" s="2" t="s">
        <v>34</v>
      </c>
      <c r="B136" s="2" t="s">
        <v>37</v>
      </c>
      <c r="C136" s="2">
        <v>1021945</v>
      </c>
      <c r="D136" s="2" t="s">
        <v>195</v>
      </c>
      <c r="E136" s="3" t="s">
        <v>196</v>
      </c>
      <c r="F136" s="4">
        <v>0</v>
      </c>
      <c r="G136" s="5">
        <v>0</v>
      </c>
      <c r="H136" s="5">
        <v>0</v>
      </c>
      <c r="I136" s="6">
        <v>0</v>
      </c>
      <c r="J136" s="7">
        <v>0</v>
      </c>
      <c r="K136" s="5">
        <v>0</v>
      </c>
      <c r="L136" s="5">
        <v>0</v>
      </c>
      <c r="M136" s="6">
        <v>0</v>
      </c>
      <c r="N136" s="4">
        <v>2400</v>
      </c>
      <c r="O136" s="5">
        <v>34</v>
      </c>
      <c r="P136" s="5">
        <v>35</v>
      </c>
      <c r="Q136" s="6">
        <v>2400</v>
      </c>
      <c r="R136" s="7">
        <v>0</v>
      </c>
      <c r="S136" s="5">
        <v>0</v>
      </c>
      <c r="T136" s="5">
        <v>0</v>
      </c>
      <c r="U136" s="6">
        <v>0</v>
      </c>
      <c r="V136" s="8"/>
    </row>
    <row r="137" spans="1:22" x14ac:dyDescent="0.2">
      <c r="A137" s="2" t="s">
        <v>34</v>
      </c>
      <c r="B137" s="2" t="s">
        <v>37</v>
      </c>
      <c r="C137" s="2">
        <v>1021952</v>
      </c>
      <c r="D137" s="2" t="s">
        <v>75</v>
      </c>
      <c r="E137" s="3" t="s">
        <v>76</v>
      </c>
      <c r="F137" s="4">
        <v>0</v>
      </c>
      <c r="G137" s="5">
        <v>0</v>
      </c>
      <c r="H137" s="5">
        <v>0</v>
      </c>
      <c r="I137" s="6">
        <v>0</v>
      </c>
      <c r="J137" s="7">
        <v>0</v>
      </c>
      <c r="K137" s="5">
        <v>0</v>
      </c>
      <c r="L137" s="5">
        <v>0</v>
      </c>
      <c r="M137" s="6">
        <v>0</v>
      </c>
      <c r="N137" s="4">
        <v>3870</v>
      </c>
      <c r="O137" s="5">
        <v>57.1085271317829</v>
      </c>
      <c r="P137" s="5">
        <v>57.3720930232558</v>
      </c>
      <c r="Q137" s="6">
        <v>3870</v>
      </c>
      <c r="R137" s="7">
        <v>0</v>
      </c>
      <c r="S137" s="5">
        <v>0</v>
      </c>
      <c r="T137" s="5">
        <v>0</v>
      </c>
      <c r="U137" s="6">
        <v>0</v>
      </c>
      <c r="V137" s="8"/>
    </row>
    <row r="138" spans="1:22" x14ac:dyDescent="0.2">
      <c r="A138" s="2" t="s">
        <v>34</v>
      </c>
      <c r="B138" s="2" t="s">
        <v>37</v>
      </c>
      <c r="C138" s="2">
        <v>1022141</v>
      </c>
      <c r="D138" s="2" t="s">
        <v>127</v>
      </c>
      <c r="E138" s="3" t="s">
        <v>96</v>
      </c>
      <c r="F138" s="4">
        <v>0</v>
      </c>
      <c r="G138" s="5">
        <v>0</v>
      </c>
      <c r="H138" s="5">
        <v>0</v>
      </c>
      <c r="I138" s="6">
        <v>0</v>
      </c>
      <c r="J138" s="7">
        <v>0</v>
      </c>
      <c r="K138" s="5">
        <v>0</v>
      </c>
      <c r="L138" s="5">
        <v>0</v>
      </c>
      <c r="M138" s="6">
        <v>0</v>
      </c>
      <c r="N138" s="4">
        <v>907.28300000000002</v>
      </c>
      <c r="O138" s="5">
        <v>90</v>
      </c>
      <c r="P138" s="5">
        <v>90</v>
      </c>
      <c r="Q138" s="6">
        <v>907.28300000000002</v>
      </c>
      <c r="R138" s="7">
        <v>0</v>
      </c>
      <c r="S138" s="5">
        <v>0</v>
      </c>
      <c r="T138" s="5">
        <v>0</v>
      </c>
      <c r="U138" s="6">
        <v>0</v>
      </c>
      <c r="V138" s="8"/>
    </row>
    <row r="139" spans="1:22" x14ac:dyDescent="0.2">
      <c r="A139" s="2" t="s">
        <v>34</v>
      </c>
      <c r="B139" s="2" t="s">
        <v>37</v>
      </c>
      <c r="C139" s="2">
        <v>1022515</v>
      </c>
      <c r="D139" s="2" t="s">
        <v>198</v>
      </c>
      <c r="E139" s="3" t="s">
        <v>178</v>
      </c>
      <c r="F139" s="4">
        <v>0</v>
      </c>
      <c r="G139" s="5">
        <v>0</v>
      </c>
      <c r="H139" s="5">
        <v>0</v>
      </c>
      <c r="I139" s="6">
        <v>0</v>
      </c>
      <c r="J139" s="7">
        <v>0</v>
      </c>
      <c r="K139" s="5">
        <v>0</v>
      </c>
      <c r="L139" s="5">
        <v>0</v>
      </c>
      <c r="M139" s="6">
        <v>0</v>
      </c>
      <c r="N139" s="4">
        <v>7997.5320000000002</v>
      </c>
      <c r="O139" s="5">
        <v>45.459323701361903</v>
      </c>
      <c r="P139" s="5">
        <v>45.459323701361903</v>
      </c>
      <c r="Q139" s="6">
        <v>7997.5320000000002</v>
      </c>
      <c r="R139" s="7">
        <v>0</v>
      </c>
      <c r="S139" s="5">
        <v>0</v>
      </c>
      <c r="T139" s="5">
        <v>0</v>
      </c>
      <c r="U139" s="6">
        <v>0</v>
      </c>
      <c r="V139" s="8"/>
    </row>
    <row r="140" spans="1:22" x14ac:dyDescent="0.2">
      <c r="A140" s="2" t="s">
        <v>34</v>
      </c>
      <c r="B140" s="2" t="s">
        <v>37</v>
      </c>
      <c r="C140" s="2">
        <v>1022621</v>
      </c>
      <c r="D140" s="2" t="s">
        <v>200</v>
      </c>
      <c r="E140" s="3" t="s">
        <v>178</v>
      </c>
      <c r="F140" s="4">
        <v>0</v>
      </c>
      <c r="G140" s="5">
        <v>0</v>
      </c>
      <c r="H140" s="5">
        <v>0</v>
      </c>
      <c r="I140" s="6">
        <v>0</v>
      </c>
      <c r="J140" s="7">
        <v>0</v>
      </c>
      <c r="K140" s="5">
        <v>0</v>
      </c>
      <c r="L140" s="5">
        <v>0</v>
      </c>
      <c r="M140" s="6">
        <v>0</v>
      </c>
      <c r="N140" s="4">
        <v>11013.508</v>
      </c>
      <c r="O140" s="5">
        <v>42.700306296595002</v>
      </c>
      <c r="P140" s="5">
        <v>43.065032957709803</v>
      </c>
      <c r="Q140" s="6">
        <v>11013.508</v>
      </c>
      <c r="R140" s="7">
        <v>0</v>
      </c>
      <c r="S140" s="5">
        <v>0</v>
      </c>
      <c r="T140" s="5">
        <v>0</v>
      </c>
      <c r="U140" s="6">
        <v>0</v>
      </c>
      <c r="V140" s="8"/>
    </row>
    <row r="141" spans="1:22" x14ac:dyDescent="0.2">
      <c r="A141" s="2" t="s">
        <v>34</v>
      </c>
      <c r="B141" s="2" t="s">
        <v>37</v>
      </c>
      <c r="C141" s="2">
        <v>1022863</v>
      </c>
      <c r="D141" s="2" t="s">
        <v>202</v>
      </c>
      <c r="E141" s="3" t="s">
        <v>43</v>
      </c>
      <c r="F141" s="4">
        <v>0</v>
      </c>
      <c r="G141" s="5">
        <v>0</v>
      </c>
      <c r="H141" s="5">
        <v>0</v>
      </c>
      <c r="I141" s="6">
        <v>0</v>
      </c>
      <c r="J141" s="7">
        <v>0</v>
      </c>
      <c r="K141" s="5">
        <v>0</v>
      </c>
      <c r="L141" s="5">
        <v>0</v>
      </c>
      <c r="M141" s="6">
        <v>0</v>
      </c>
      <c r="N141" s="4">
        <v>13086.955</v>
      </c>
      <c r="O141" s="5">
        <v>45.309288753571799</v>
      </c>
      <c r="P141" s="5">
        <v>46.0031338076734</v>
      </c>
      <c r="Q141" s="6">
        <v>13086.955</v>
      </c>
      <c r="R141" s="7">
        <v>0</v>
      </c>
      <c r="S141" s="5">
        <v>0</v>
      </c>
      <c r="T141" s="5">
        <v>0</v>
      </c>
      <c r="U141" s="6">
        <v>0</v>
      </c>
      <c r="V141" s="8"/>
    </row>
    <row r="142" spans="1:22" x14ac:dyDescent="0.2">
      <c r="A142" s="2" t="s">
        <v>34</v>
      </c>
      <c r="B142" s="2" t="s">
        <v>37</v>
      </c>
      <c r="C142" s="2">
        <v>1022864</v>
      </c>
      <c r="D142" s="2" t="s">
        <v>42</v>
      </c>
      <c r="E142" s="3" t="s">
        <v>43</v>
      </c>
      <c r="F142" s="4">
        <v>0</v>
      </c>
      <c r="G142" s="5">
        <v>0</v>
      </c>
      <c r="H142" s="5">
        <v>0</v>
      </c>
      <c r="I142" s="6">
        <v>0</v>
      </c>
      <c r="J142" s="7">
        <v>0</v>
      </c>
      <c r="K142" s="5">
        <v>0</v>
      </c>
      <c r="L142" s="5">
        <v>0</v>
      </c>
      <c r="M142" s="6">
        <v>0</v>
      </c>
      <c r="N142" s="4">
        <v>3208.3220000000001</v>
      </c>
      <c r="O142" s="5">
        <v>41</v>
      </c>
      <c r="P142" s="5">
        <v>42</v>
      </c>
      <c r="Q142" s="6">
        <v>3208.3220000000001</v>
      </c>
      <c r="R142" s="7">
        <v>0</v>
      </c>
      <c r="S142" s="5">
        <v>0</v>
      </c>
      <c r="T142" s="5">
        <v>0</v>
      </c>
      <c r="U142" s="6">
        <v>0</v>
      </c>
      <c r="V142" s="8"/>
    </row>
    <row r="143" spans="1:22" x14ac:dyDescent="0.2">
      <c r="A143" s="2" t="s">
        <v>34</v>
      </c>
      <c r="B143" s="2" t="s">
        <v>37</v>
      </c>
      <c r="C143" s="2">
        <v>1022866</v>
      </c>
      <c r="D143" s="2" t="s">
        <v>204</v>
      </c>
      <c r="E143" s="3" t="s">
        <v>178</v>
      </c>
      <c r="F143" s="4">
        <v>0</v>
      </c>
      <c r="G143" s="5">
        <v>0</v>
      </c>
      <c r="H143" s="5">
        <v>0</v>
      </c>
      <c r="I143" s="6">
        <v>0</v>
      </c>
      <c r="J143" s="7">
        <v>0</v>
      </c>
      <c r="K143" s="5">
        <v>0</v>
      </c>
      <c r="L143" s="5">
        <v>0</v>
      </c>
      <c r="M143" s="6">
        <v>0</v>
      </c>
      <c r="N143" s="4">
        <v>17024.847000000002</v>
      </c>
      <c r="O143" s="5">
        <v>43.819936825276599</v>
      </c>
      <c r="P143" s="5">
        <v>44.466962199425303</v>
      </c>
      <c r="Q143" s="6">
        <v>17024.847000000002</v>
      </c>
      <c r="R143" s="7">
        <v>0</v>
      </c>
      <c r="S143" s="5">
        <v>0</v>
      </c>
      <c r="T143" s="5">
        <v>0</v>
      </c>
      <c r="U143" s="6">
        <v>0</v>
      </c>
      <c r="V143" s="8"/>
    </row>
    <row r="144" spans="1:22" x14ac:dyDescent="0.2">
      <c r="A144" s="2" t="s">
        <v>50</v>
      </c>
      <c r="B144" s="2" t="s">
        <v>52</v>
      </c>
      <c r="C144" s="2">
        <v>1030228</v>
      </c>
      <c r="D144" s="2" t="s">
        <v>206</v>
      </c>
      <c r="E144" s="3" t="s">
        <v>207</v>
      </c>
      <c r="F144" s="4">
        <v>0</v>
      </c>
      <c r="G144" s="5">
        <v>0</v>
      </c>
      <c r="H144" s="5">
        <v>0</v>
      </c>
      <c r="I144" s="6">
        <v>0</v>
      </c>
      <c r="J144" s="7">
        <v>0</v>
      </c>
      <c r="K144" s="5">
        <v>0</v>
      </c>
      <c r="L144" s="5">
        <v>0</v>
      </c>
      <c r="M144" s="6">
        <v>0</v>
      </c>
      <c r="N144" s="4">
        <v>163.29599999999999</v>
      </c>
      <c r="O144" s="5">
        <v>40</v>
      </c>
      <c r="P144" s="5">
        <v>45</v>
      </c>
      <c r="Q144" s="6">
        <v>163.29599999999999</v>
      </c>
      <c r="R144" s="7">
        <v>0</v>
      </c>
      <c r="S144" s="5">
        <v>0</v>
      </c>
      <c r="T144" s="5">
        <v>0</v>
      </c>
      <c r="U144" s="6">
        <v>0</v>
      </c>
      <c r="V144" s="8"/>
    </row>
    <row r="145" spans="1:22" x14ac:dyDescent="0.2">
      <c r="A145" s="2" t="s">
        <v>50</v>
      </c>
      <c r="B145" s="2" t="s">
        <v>52</v>
      </c>
      <c r="C145" s="2">
        <v>1030239</v>
      </c>
      <c r="D145" s="2" t="s">
        <v>209</v>
      </c>
      <c r="E145" s="3" t="s">
        <v>63</v>
      </c>
      <c r="F145" s="4">
        <v>0</v>
      </c>
      <c r="G145" s="5">
        <v>0</v>
      </c>
      <c r="H145" s="5">
        <v>0</v>
      </c>
      <c r="I145" s="6">
        <v>0</v>
      </c>
      <c r="J145" s="7">
        <v>0</v>
      </c>
      <c r="K145" s="5">
        <v>0</v>
      </c>
      <c r="L145" s="5">
        <v>0</v>
      </c>
      <c r="M145" s="6">
        <v>0</v>
      </c>
      <c r="N145" s="4">
        <v>23912.77</v>
      </c>
      <c r="O145" s="5">
        <v>48</v>
      </c>
      <c r="P145" s="5">
        <v>48</v>
      </c>
      <c r="Q145" s="6">
        <v>23912.77</v>
      </c>
      <c r="R145" s="7">
        <v>95.27</v>
      </c>
      <c r="S145" s="5">
        <v>48</v>
      </c>
      <c r="T145" s="5">
        <v>48</v>
      </c>
      <c r="U145" s="6">
        <v>95.27</v>
      </c>
      <c r="V145" s="8"/>
    </row>
    <row r="146" spans="1:22" x14ac:dyDescent="0.2">
      <c r="A146" s="2" t="s">
        <v>50</v>
      </c>
      <c r="B146" s="2" t="s">
        <v>52</v>
      </c>
      <c r="C146" s="2">
        <v>1030379</v>
      </c>
      <c r="D146" s="2" t="s">
        <v>98</v>
      </c>
      <c r="E146" s="3" t="s">
        <v>79</v>
      </c>
      <c r="F146" s="4">
        <v>0</v>
      </c>
      <c r="G146" s="5">
        <v>0</v>
      </c>
      <c r="H146" s="5">
        <v>0</v>
      </c>
      <c r="I146" s="6">
        <v>0</v>
      </c>
      <c r="J146" s="7">
        <v>0</v>
      </c>
      <c r="K146" s="5">
        <v>0</v>
      </c>
      <c r="L146" s="5">
        <v>0</v>
      </c>
      <c r="M146" s="6">
        <v>0</v>
      </c>
      <c r="N146" s="4">
        <v>7800.2</v>
      </c>
      <c r="O146" s="5">
        <v>69.986046511627904</v>
      </c>
      <c r="P146" s="5">
        <v>95.220930232558104</v>
      </c>
      <c r="Q146" s="6">
        <v>7800.2</v>
      </c>
      <c r="R146" s="7">
        <v>6621.1</v>
      </c>
      <c r="S146" s="5">
        <v>74.054794520547901</v>
      </c>
      <c r="T146" s="5">
        <v>74.093150684931501</v>
      </c>
      <c r="U146" s="6">
        <v>6621.1</v>
      </c>
      <c r="V146" s="8"/>
    </row>
    <row r="147" spans="1:22" x14ac:dyDescent="0.2">
      <c r="A147" s="2" t="s">
        <v>50</v>
      </c>
      <c r="B147" s="2" t="s">
        <v>52</v>
      </c>
      <c r="C147" s="2">
        <v>1030452</v>
      </c>
      <c r="D147" s="2" t="s">
        <v>78</v>
      </c>
      <c r="E147" s="3" t="s">
        <v>79</v>
      </c>
      <c r="F147" s="4">
        <v>0</v>
      </c>
      <c r="G147" s="5">
        <v>0</v>
      </c>
      <c r="H147" s="5">
        <v>0</v>
      </c>
      <c r="I147" s="6">
        <v>0</v>
      </c>
      <c r="J147" s="7">
        <v>0</v>
      </c>
      <c r="K147" s="5">
        <v>0</v>
      </c>
      <c r="L147" s="5">
        <v>0</v>
      </c>
      <c r="M147" s="6">
        <v>0</v>
      </c>
      <c r="N147" s="4">
        <v>12186.24</v>
      </c>
      <c r="O147" s="5">
        <v>41.000057195656701</v>
      </c>
      <c r="P147" s="5">
        <v>55.000076725881001</v>
      </c>
      <c r="Q147" s="6">
        <v>12186.24</v>
      </c>
      <c r="R147" s="7">
        <v>111.70699999999999</v>
      </c>
      <c r="S147" s="5">
        <v>41</v>
      </c>
      <c r="T147" s="5">
        <v>55</v>
      </c>
      <c r="U147" s="6">
        <v>111.70699999999999</v>
      </c>
      <c r="V147" s="8"/>
    </row>
    <row r="148" spans="1:22" x14ac:dyDescent="0.2">
      <c r="A148" s="2" t="s">
        <v>50</v>
      </c>
      <c r="B148" s="2" t="s">
        <v>52</v>
      </c>
      <c r="C148" s="2">
        <v>1030461</v>
      </c>
      <c r="D148" s="2" t="s">
        <v>129</v>
      </c>
      <c r="E148" s="3" t="s">
        <v>79</v>
      </c>
      <c r="F148" s="4">
        <v>0</v>
      </c>
      <c r="G148" s="5">
        <v>0</v>
      </c>
      <c r="H148" s="5">
        <v>0</v>
      </c>
      <c r="I148" s="6">
        <v>0</v>
      </c>
      <c r="J148" s="7">
        <v>0</v>
      </c>
      <c r="K148" s="5">
        <v>0</v>
      </c>
      <c r="L148" s="5">
        <v>0</v>
      </c>
      <c r="M148" s="6">
        <v>0</v>
      </c>
      <c r="N148" s="4">
        <v>8.6470000000000002</v>
      </c>
      <c r="O148" s="5">
        <v>74</v>
      </c>
      <c r="P148" s="5">
        <v>89</v>
      </c>
      <c r="Q148" s="6">
        <v>8.6470000000000002</v>
      </c>
      <c r="R148" s="7">
        <v>0</v>
      </c>
      <c r="S148" s="5">
        <v>0</v>
      </c>
      <c r="T148" s="5">
        <v>0</v>
      </c>
      <c r="U148" s="6">
        <v>0</v>
      </c>
      <c r="V148" s="8"/>
    </row>
    <row r="149" spans="1:22" x14ac:dyDescent="0.2">
      <c r="A149" s="2" t="s">
        <v>50</v>
      </c>
      <c r="B149" s="2" t="s">
        <v>52</v>
      </c>
      <c r="C149" s="2">
        <v>1030745</v>
      </c>
      <c r="D149" s="2" t="s">
        <v>53</v>
      </c>
      <c r="E149" s="3" t="s">
        <v>54</v>
      </c>
      <c r="F149" s="4">
        <v>0</v>
      </c>
      <c r="G149" s="5">
        <v>0</v>
      </c>
      <c r="H149" s="5">
        <v>0</v>
      </c>
      <c r="I149" s="6">
        <v>0</v>
      </c>
      <c r="J149" s="7">
        <v>0</v>
      </c>
      <c r="K149" s="5">
        <v>0</v>
      </c>
      <c r="L149" s="5">
        <v>0</v>
      </c>
      <c r="M149" s="6">
        <v>0</v>
      </c>
      <c r="N149" s="4">
        <v>1106.7840000000001</v>
      </c>
      <c r="O149" s="5">
        <v>79</v>
      </c>
      <c r="P149" s="5">
        <v>81</v>
      </c>
      <c r="Q149" s="6">
        <v>1106.7840000000001</v>
      </c>
      <c r="R149" s="7">
        <v>0</v>
      </c>
      <c r="S149" s="5">
        <v>0</v>
      </c>
      <c r="T149" s="5">
        <v>0</v>
      </c>
      <c r="U149" s="6">
        <v>0</v>
      </c>
      <c r="V149" s="8"/>
    </row>
    <row r="150" spans="1:22" x14ac:dyDescent="0.2">
      <c r="A150" s="2" t="s">
        <v>50</v>
      </c>
      <c r="B150" s="2" t="s">
        <v>52</v>
      </c>
      <c r="C150" s="2">
        <v>1030773</v>
      </c>
      <c r="D150" s="2" t="s">
        <v>211</v>
      </c>
      <c r="E150" s="3" t="s">
        <v>79</v>
      </c>
      <c r="F150" s="4">
        <v>0</v>
      </c>
      <c r="G150" s="5">
        <v>0</v>
      </c>
      <c r="H150" s="5">
        <v>0</v>
      </c>
      <c r="I150" s="6">
        <v>0</v>
      </c>
      <c r="J150" s="7">
        <v>0</v>
      </c>
      <c r="K150" s="5">
        <v>0</v>
      </c>
      <c r="L150" s="5">
        <v>0</v>
      </c>
      <c r="M150" s="6">
        <v>0</v>
      </c>
      <c r="N150" s="4">
        <v>15022</v>
      </c>
      <c r="O150" s="5">
        <v>45</v>
      </c>
      <c r="P150" s="5">
        <v>46</v>
      </c>
      <c r="Q150" s="6">
        <v>15022</v>
      </c>
      <c r="R150" s="7">
        <v>0</v>
      </c>
      <c r="S150" s="5">
        <v>0</v>
      </c>
      <c r="T150" s="5">
        <v>0</v>
      </c>
      <c r="U150" s="6">
        <v>0</v>
      </c>
      <c r="V150" s="8"/>
    </row>
    <row r="151" spans="1:22" x14ac:dyDescent="0.2">
      <c r="A151" s="2" t="s">
        <v>50</v>
      </c>
      <c r="B151" s="2" t="s">
        <v>52</v>
      </c>
      <c r="C151" s="2">
        <v>1030782</v>
      </c>
      <c r="D151" s="2" t="s">
        <v>81</v>
      </c>
      <c r="E151" s="3" t="s">
        <v>79</v>
      </c>
      <c r="F151" s="4">
        <v>0</v>
      </c>
      <c r="G151" s="5">
        <v>0</v>
      </c>
      <c r="H151" s="5">
        <v>0</v>
      </c>
      <c r="I151" s="6">
        <v>0</v>
      </c>
      <c r="J151" s="7">
        <v>0</v>
      </c>
      <c r="K151" s="5">
        <v>0</v>
      </c>
      <c r="L151" s="5">
        <v>0</v>
      </c>
      <c r="M151" s="6">
        <v>0</v>
      </c>
      <c r="N151" s="4">
        <v>10083.629999999999</v>
      </c>
      <c r="O151" s="5">
        <v>39</v>
      </c>
      <c r="P151" s="5">
        <v>45</v>
      </c>
      <c r="Q151" s="6">
        <v>10083.629999999999</v>
      </c>
      <c r="R151" s="7">
        <v>11.683</v>
      </c>
      <c r="S151" s="5">
        <v>166</v>
      </c>
      <c r="T151" s="5">
        <v>167</v>
      </c>
      <c r="U151" s="6">
        <v>11.683</v>
      </c>
      <c r="V151" s="8"/>
    </row>
    <row r="152" spans="1:22" x14ac:dyDescent="0.2">
      <c r="A152" s="2" t="s">
        <v>50</v>
      </c>
      <c r="B152" s="2" t="s">
        <v>52</v>
      </c>
      <c r="C152" s="2">
        <v>1030783</v>
      </c>
      <c r="D152" s="2" t="s">
        <v>131</v>
      </c>
      <c r="E152" s="3" t="s">
        <v>132</v>
      </c>
      <c r="F152" s="4">
        <v>0</v>
      </c>
      <c r="G152" s="5">
        <v>0</v>
      </c>
      <c r="H152" s="5">
        <v>0</v>
      </c>
      <c r="I152" s="6">
        <v>0</v>
      </c>
      <c r="J152" s="7">
        <v>0</v>
      </c>
      <c r="K152" s="5">
        <v>0</v>
      </c>
      <c r="L152" s="5">
        <v>0</v>
      </c>
      <c r="M152" s="6">
        <v>0</v>
      </c>
      <c r="N152" s="4">
        <v>0</v>
      </c>
      <c r="O152" s="5">
        <v>0</v>
      </c>
      <c r="P152" s="5">
        <v>0</v>
      </c>
      <c r="Q152" s="6">
        <v>0</v>
      </c>
      <c r="R152" s="7">
        <v>16.885999999999999</v>
      </c>
      <c r="S152" s="5">
        <v>81</v>
      </c>
      <c r="T152" s="5">
        <v>89</v>
      </c>
      <c r="U152" s="6">
        <v>16.885999999999999</v>
      </c>
      <c r="V152" s="8"/>
    </row>
    <row r="153" spans="1:22" x14ac:dyDescent="0.2">
      <c r="A153" s="2" t="s">
        <v>50</v>
      </c>
      <c r="B153" s="2" t="s">
        <v>52</v>
      </c>
      <c r="C153" s="2">
        <v>1030818</v>
      </c>
      <c r="D153" s="2" t="s">
        <v>134</v>
      </c>
      <c r="E153" s="3" t="s">
        <v>79</v>
      </c>
      <c r="F153" s="4">
        <v>0</v>
      </c>
      <c r="G153" s="5">
        <v>0</v>
      </c>
      <c r="H153" s="5">
        <v>0</v>
      </c>
      <c r="I153" s="6">
        <v>0</v>
      </c>
      <c r="J153" s="7">
        <v>0</v>
      </c>
      <c r="K153" s="5">
        <v>0</v>
      </c>
      <c r="L153" s="5">
        <v>0</v>
      </c>
      <c r="M153" s="6">
        <v>0</v>
      </c>
      <c r="N153" s="4">
        <v>25885.78</v>
      </c>
      <c r="O153" s="5">
        <v>47.6965662228451</v>
      </c>
      <c r="P153" s="5">
        <v>53.550805886475104</v>
      </c>
      <c r="Q153" s="6">
        <v>25885.78</v>
      </c>
      <c r="R153" s="7">
        <v>0</v>
      </c>
      <c r="S153" s="5">
        <v>0</v>
      </c>
      <c r="T153" s="5">
        <v>0</v>
      </c>
      <c r="U153" s="6">
        <v>0</v>
      </c>
      <c r="V153" s="8"/>
    </row>
    <row r="154" spans="1:22" x14ac:dyDescent="0.2">
      <c r="A154" s="2" t="s">
        <v>50</v>
      </c>
      <c r="B154" s="2" t="s">
        <v>46</v>
      </c>
      <c r="C154" s="2">
        <v>1030791</v>
      </c>
      <c r="D154" s="2" t="s">
        <v>213</v>
      </c>
      <c r="E154" s="3" t="s">
        <v>214</v>
      </c>
      <c r="F154" s="4">
        <v>0</v>
      </c>
      <c r="G154" s="5">
        <v>0</v>
      </c>
      <c r="H154" s="5">
        <v>0</v>
      </c>
      <c r="I154" s="6">
        <v>0</v>
      </c>
      <c r="J154" s="7">
        <v>0</v>
      </c>
      <c r="K154" s="5">
        <v>0</v>
      </c>
      <c r="L154" s="5">
        <v>0</v>
      </c>
      <c r="M154" s="6">
        <v>0</v>
      </c>
      <c r="N154" s="4">
        <v>3675</v>
      </c>
      <c r="O154" s="5">
        <v>34</v>
      </c>
      <c r="P154" s="5">
        <v>54</v>
      </c>
      <c r="Q154" s="6">
        <v>3675</v>
      </c>
      <c r="R154" s="7">
        <v>0</v>
      </c>
      <c r="S154" s="5">
        <v>0</v>
      </c>
      <c r="T154" s="5">
        <v>0</v>
      </c>
      <c r="U154" s="6">
        <v>0</v>
      </c>
      <c r="V154" s="8"/>
    </row>
    <row r="155" spans="1:22" x14ac:dyDescent="0.2">
      <c r="A155" s="2" t="s">
        <v>103</v>
      </c>
      <c r="B155" s="2" t="s">
        <v>52</v>
      </c>
      <c r="C155" s="2">
        <v>1100570</v>
      </c>
      <c r="D155" s="2" t="s">
        <v>105</v>
      </c>
      <c r="E155" s="3" t="s">
        <v>106</v>
      </c>
      <c r="F155" s="4">
        <v>0</v>
      </c>
      <c r="G155" s="5">
        <v>0</v>
      </c>
      <c r="H155" s="5">
        <v>0</v>
      </c>
      <c r="I155" s="6">
        <v>0</v>
      </c>
      <c r="J155" s="7">
        <v>0</v>
      </c>
      <c r="K155" s="5">
        <v>0</v>
      </c>
      <c r="L155" s="5">
        <v>0</v>
      </c>
      <c r="M155" s="6">
        <v>0</v>
      </c>
      <c r="N155" s="4">
        <v>257.04000000000002</v>
      </c>
      <c r="O155" s="5">
        <v>122</v>
      </c>
      <c r="P155" s="5">
        <v>130</v>
      </c>
      <c r="Q155" s="6">
        <v>257.04000000000002</v>
      </c>
      <c r="R155" s="7">
        <v>0</v>
      </c>
      <c r="S155" s="5">
        <v>0</v>
      </c>
      <c r="T155" s="5">
        <v>0</v>
      </c>
      <c r="U155" s="6">
        <v>0</v>
      </c>
      <c r="V155" s="8"/>
    </row>
    <row r="156" spans="1:22" x14ac:dyDescent="0.2">
      <c r="A156" s="2" t="s">
        <v>103</v>
      </c>
      <c r="B156" s="2" t="s">
        <v>52</v>
      </c>
      <c r="C156" s="2">
        <v>1100573</v>
      </c>
      <c r="D156" s="2" t="s">
        <v>136</v>
      </c>
      <c r="E156" s="3" t="s">
        <v>106</v>
      </c>
      <c r="F156" s="4">
        <v>0</v>
      </c>
      <c r="G156" s="5">
        <v>0</v>
      </c>
      <c r="H156" s="5">
        <v>0</v>
      </c>
      <c r="I156" s="6">
        <v>0</v>
      </c>
      <c r="J156" s="7">
        <v>0</v>
      </c>
      <c r="K156" s="5">
        <v>0</v>
      </c>
      <c r="L156" s="5">
        <v>0</v>
      </c>
      <c r="M156" s="6">
        <v>0</v>
      </c>
      <c r="N156" s="4">
        <v>1236.24</v>
      </c>
      <c r="O156" s="5">
        <v>69</v>
      </c>
      <c r="P156" s="5">
        <v>76</v>
      </c>
      <c r="Q156" s="6">
        <v>1236.24</v>
      </c>
      <c r="R156" s="7">
        <v>0</v>
      </c>
      <c r="S156" s="5">
        <v>0</v>
      </c>
      <c r="T156" s="5">
        <v>0</v>
      </c>
      <c r="U156" s="6">
        <v>0</v>
      </c>
      <c r="V156" s="8"/>
    </row>
    <row r="157" spans="1:22" x14ac:dyDescent="0.2">
      <c r="A157" s="2" t="s">
        <v>103</v>
      </c>
      <c r="B157" s="2" t="s">
        <v>52</v>
      </c>
      <c r="C157" s="2">
        <v>1100602</v>
      </c>
      <c r="D157" s="2" t="s">
        <v>108</v>
      </c>
      <c r="E157" s="3" t="s">
        <v>106</v>
      </c>
      <c r="F157" s="4">
        <v>0</v>
      </c>
      <c r="G157" s="5">
        <v>0</v>
      </c>
      <c r="H157" s="5">
        <v>0</v>
      </c>
      <c r="I157" s="6">
        <v>0</v>
      </c>
      <c r="J157" s="7">
        <v>0</v>
      </c>
      <c r="K157" s="5">
        <v>0</v>
      </c>
      <c r="L157" s="5">
        <v>0</v>
      </c>
      <c r="M157" s="6">
        <v>0</v>
      </c>
      <c r="N157" s="4">
        <v>13794.48</v>
      </c>
      <c r="O157" s="5">
        <v>94.108251996450804</v>
      </c>
      <c r="P157" s="5">
        <v>105.257320319432</v>
      </c>
      <c r="Q157" s="6">
        <v>13794.48</v>
      </c>
      <c r="R157" s="7">
        <v>0</v>
      </c>
      <c r="S157" s="5">
        <v>0</v>
      </c>
      <c r="T157" s="5">
        <v>0</v>
      </c>
      <c r="U157" s="6">
        <v>0</v>
      </c>
      <c r="V157" s="8"/>
    </row>
    <row r="158" spans="1:22" x14ac:dyDescent="0.2">
      <c r="A158" s="2" t="s">
        <v>56</v>
      </c>
      <c r="B158" s="2" t="s">
        <v>52</v>
      </c>
      <c r="C158" s="2">
        <v>1011701</v>
      </c>
      <c r="D158" s="2" t="s">
        <v>83</v>
      </c>
      <c r="E158" s="3" t="s">
        <v>59</v>
      </c>
      <c r="F158" s="4">
        <v>0</v>
      </c>
      <c r="G158" s="5">
        <v>0</v>
      </c>
      <c r="H158" s="5">
        <v>0</v>
      </c>
      <c r="I158" s="6">
        <v>0</v>
      </c>
      <c r="J158" s="7">
        <v>0</v>
      </c>
      <c r="K158" s="5">
        <v>0</v>
      </c>
      <c r="L158" s="5">
        <v>0</v>
      </c>
      <c r="M158" s="6">
        <v>0</v>
      </c>
      <c r="N158" s="4">
        <v>77624.187000000005</v>
      </c>
      <c r="O158" s="5">
        <v>25.6838676841794</v>
      </c>
      <c r="P158" s="5">
        <v>33.267220563611197</v>
      </c>
      <c r="Q158" s="6">
        <v>77624.187000000005</v>
      </c>
      <c r="R158" s="7">
        <v>431.07799999999997</v>
      </c>
      <c r="S158" s="5">
        <v>45.552593730136998</v>
      </c>
      <c r="T158" s="5">
        <v>46.351929349212902</v>
      </c>
      <c r="U158" s="6">
        <v>431.07799999999997</v>
      </c>
      <c r="V158" s="8"/>
    </row>
    <row r="159" spans="1:22" x14ac:dyDescent="0.2">
      <c r="A159" s="2" t="s">
        <v>56</v>
      </c>
      <c r="B159" s="2" t="s">
        <v>52</v>
      </c>
      <c r="C159" s="2">
        <v>1012107</v>
      </c>
      <c r="D159" s="2" t="s">
        <v>216</v>
      </c>
      <c r="E159" s="3" t="s">
        <v>59</v>
      </c>
      <c r="F159" s="4">
        <v>0</v>
      </c>
      <c r="G159" s="5">
        <v>0</v>
      </c>
      <c r="H159" s="5">
        <v>0</v>
      </c>
      <c r="I159" s="6">
        <v>0</v>
      </c>
      <c r="J159" s="7">
        <v>0</v>
      </c>
      <c r="K159" s="5">
        <v>0</v>
      </c>
      <c r="L159" s="5">
        <v>0</v>
      </c>
      <c r="M159" s="6">
        <v>0</v>
      </c>
      <c r="N159" s="4">
        <v>14642.208000000001</v>
      </c>
      <c r="O159" s="5">
        <v>3</v>
      </c>
      <c r="P159" s="5">
        <v>4</v>
      </c>
      <c r="Q159" s="6">
        <v>14642.208000000001</v>
      </c>
      <c r="R159" s="7">
        <v>0</v>
      </c>
      <c r="S159" s="5">
        <v>0</v>
      </c>
      <c r="T159" s="5">
        <v>0</v>
      </c>
      <c r="U159" s="6">
        <v>0</v>
      </c>
      <c r="V159" s="8"/>
    </row>
    <row r="160" spans="1:22" x14ac:dyDescent="0.2">
      <c r="A160" s="2" t="s">
        <v>56</v>
      </c>
      <c r="B160" s="2" t="s">
        <v>52</v>
      </c>
      <c r="C160" s="2">
        <v>1012108</v>
      </c>
      <c r="D160" s="2" t="s">
        <v>58</v>
      </c>
      <c r="E160" s="3" t="s">
        <v>59</v>
      </c>
      <c r="F160" s="4">
        <v>0</v>
      </c>
      <c r="G160" s="5">
        <v>0</v>
      </c>
      <c r="H160" s="5">
        <v>0</v>
      </c>
      <c r="I160" s="6">
        <v>0</v>
      </c>
      <c r="J160" s="7">
        <v>0</v>
      </c>
      <c r="K160" s="5">
        <v>0</v>
      </c>
      <c r="L160" s="5">
        <v>0</v>
      </c>
      <c r="M160" s="6">
        <v>0</v>
      </c>
      <c r="N160" s="4">
        <v>46176.146000000001</v>
      </c>
      <c r="O160" s="5">
        <v>26.2382207904488</v>
      </c>
      <c r="P160" s="5">
        <v>38.4699778539335</v>
      </c>
      <c r="Q160" s="6">
        <v>46176.146000000001</v>
      </c>
      <c r="R160" s="7">
        <v>8237.3760000000002</v>
      </c>
      <c r="S160" s="5">
        <v>18.1321585903084</v>
      </c>
      <c r="T160" s="5">
        <v>27.149779735682799</v>
      </c>
      <c r="U160" s="6">
        <v>8237.3760000000002</v>
      </c>
      <c r="V160" s="8"/>
    </row>
    <row r="161" spans="1:22" x14ac:dyDescent="0.2">
      <c r="A161" s="2" t="s">
        <v>56</v>
      </c>
      <c r="B161" s="2" t="s">
        <v>52</v>
      </c>
      <c r="C161" s="2">
        <v>1012109</v>
      </c>
      <c r="D161" s="2" t="s">
        <v>69</v>
      </c>
      <c r="E161" s="3" t="s">
        <v>59</v>
      </c>
      <c r="F161" s="4">
        <v>0</v>
      </c>
      <c r="G161" s="5">
        <v>0</v>
      </c>
      <c r="H161" s="5">
        <v>0</v>
      </c>
      <c r="I161" s="6">
        <v>0</v>
      </c>
      <c r="J161" s="7">
        <v>0</v>
      </c>
      <c r="K161" s="5">
        <v>0</v>
      </c>
      <c r="L161" s="5">
        <v>0</v>
      </c>
      <c r="M161" s="6">
        <v>0</v>
      </c>
      <c r="N161" s="4">
        <v>475554.17300000001</v>
      </c>
      <c r="O161" s="5">
        <v>28.876513254779098</v>
      </c>
      <c r="P161" s="5">
        <v>36.360947731605798</v>
      </c>
      <c r="Q161" s="6">
        <v>475554.17300000001</v>
      </c>
      <c r="R161" s="7">
        <v>598.65599999999995</v>
      </c>
      <c r="S161" s="5">
        <v>73.0763309813983</v>
      </c>
      <c r="T161" s="5">
        <v>81.107921744708193</v>
      </c>
      <c r="U161" s="6">
        <v>598.65599999999995</v>
      </c>
      <c r="V161" s="8"/>
    </row>
    <row r="162" spans="1:22" x14ac:dyDescent="0.2">
      <c r="A162" s="2" t="s">
        <v>56</v>
      </c>
      <c r="B162" s="2" t="s">
        <v>52</v>
      </c>
      <c r="C162" s="2">
        <v>1012110</v>
      </c>
      <c r="D162" s="2" t="s">
        <v>110</v>
      </c>
      <c r="E162" s="3" t="s">
        <v>59</v>
      </c>
      <c r="F162" s="4">
        <v>0</v>
      </c>
      <c r="G162" s="5">
        <v>0</v>
      </c>
      <c r="H162" s="5">
        <v>0</v>
      </c>
      <c r="I162" s="6">
        <v>0</v>
      </c>
      <c r="J162" s="7">
        <v>22952.16</v>
      </c>
      <c r="K162" s="5">
        <v>19</v>
      </c>
      <c r="L162" s="5">
        <v>19</v>
      </c>
      <c r="M162" s="6">
        <v>22952.16</v>
      </c>
      <c r="N162" s="4">
        <v>375725.95199999999</v>
      </c>
      <c r="O162" s="5">
        <v>35.747344021634198</v>
      </c>
      <c r="P162" s="5">
        <v>48.765501255553403</v>
      </c>
      <c r="Q162" s="6">
        <v>375725.95199999999</v>
      </c>
      <c r="R162" s="7">
        <v>15077.664000000001</v>
      </c>
      <c r="S162" s="5">
        <v>24.305655836341799</v>
      </c>
      <c r="T162" s="5">
        <v>24.365824308062599</v>
      </c>
      <c r="U162" s="6">
        <v>15077.664000000001</v>
      </c>
      <c r="V162" s="8"/>
    </row>
    <row r="163" spans="1:22" x14ac:dyDescent="0.2">
      <c r="A163" s="2" t="s">
        <v>56</v>
      </c>
      <c r="B163" s="2" t="s">
        <v>52</v>
      </c>
      <c r="C163" s="2">
        <v>1012111</v>
      </c>
      <c r="D163" s="2" t="s">
        <v>117</v>
      </c>
      <c r="E163" s="3" t="s">
        <v>59</v>
      </c>
      <c r="F163" s="4">
        <v>0</v>
      </c>
      <c r="G163" s="5">
        <v>0</v>
      </c>
      <c r="H163" s="5">
        <v>0</v>
      </c>
      <c r="I163" s="6">
        <v>0</v>
      </c>
      <c r="J163" s="7">
        <v>39916.800000000003</v>
      </c>
      <c r="K163" s="5">
        <v>21.5</v>
      </c>
      <c r="L163" s="5">
        <v>21.5</v>
      </c>
      <c r="M163" s="6">
        <v>39916.800000000003</v>
      </c>
      <c r="N163" s="4">
        <v>87708.096000000005</v>
      </c>
      <c r="O163" s="5">
        <v>31.549441456350799</v>
      </c>
      <c r="P163" s="5">
        <v>35.6139842780306</v>
      </c>
      <c r="Q163" s="6">
        <v>87708.096000000005</v>
      </c>
      <c r="R163" s="7">
        <v>7257.6</v>
      </c>
      <c r="S163" s="5">
        <v>20</v>
      </c>
      <c r="T163" s="5">
        <v>27</v>
      </c>
      <c r="U163" s="6">
        <v>7257.6</v>
      </c>
      <c r="V163" s="8"/>
    </row>
    <row r="164" spans="1:22" x14ac:dyDescent="0.2">
      <c r="A164" s="2" t="s">
        <v>56</v>
      </c>
      <c r="B164" s="2" t="s">
        <v>52</v>
      </c>
      <c r="C164" s="2">
        <v>1012112</v>
      </c>
      <c r="D164" s="2" t="s">
        <v>139</v>
      </c>
      <c r="E164" s="3" t="s">
        <v>59</v>
      </c>
      <c r="F164" s="4">
        <v>0</v>
      </c>
      <c r="G164" s="5">
        <v>0</v>
      </c>
      <c r="H164" s="5">
        <v>0</v>
      </c>
      <c r="I164" s="6">
        <v>0</v>
      </c>
      <c r="J164" s="7">
        <v>0</v>
      </c>
      <c r="K164" s="5">
        <v>0</v>
      </c>
      <c r="L164" s="5">
        <v>0</v>
      </c>
      <c r="M164" s="6">
        <v>0</v>
      </c>
      <c r="N164" s="4">
        <v>55520.639999999999</v>
      </c>
      <c r="O164" s="5">
        <v>12.1862745098039</v>
      </c>
      <c r="P164" s="5">
        <v>28.1421568627451</v>
      </c>
      <c r="Q164" s="6">
        <v>55520.639999999999</v>
      </c>
      <c r="R164" s="7">
        <v>0</v>
      </c>
      <c r="S164" s="5">
        <v>0</v>
      </c>
      <c r="T164" s="5">
        <v>0</v>
      </c>
      <c r="U164" s="6">
        <v>0</v>
      </c>
      <c r="V164" s="8"/>
    </row>
    <row r="165" spans="1:22" x14ac:dyDescent="0.2">
      <c r="A165" s="2" t="s">
        <v>56</v>
      </c>
      <c r="B165" s="2" t="s">
        <v>52</v>
      </c>
      <c r="C165" s="2">
        <v>1012145</v>
      </c>
      <c r="D165" s="2" t="s">
        <v>85</v>
      </c>
      <c r="E165" s="3" t="s">
        <v>59</v>
      </c>
      <c r="F165" s="4">
        <v>0</v>
      </c>
      <c r="G165" s="5">
        <v>0</v>
      </c>
      <c r="H165" s="5">
        <v>0</v>
      </c>
      <c r="I165" s="6">
        <v>0</v>
      </c>
      <c r="J165" s="7">
        <v>0</v>
      </c>
      <c r="K165" s="5">
        <v>0</v>
      </c>
      <c r="L165" s="5">
        <v>0</v>
      </c>
      <c r="M165" s="6">
        <v>0</v>
      </c>
      <c r="N165" s="4">
        <v>44332.684000000001</v>
      </c>
      <c r="O165" s="5">
        <v>73.339546191248004</v>
      </c>
      <c r="P165" s="5">
        <v>99.267017828201006</v>
      </c>
      <c r="Q165" s="6">
        <v>44332.684000000001</v>
      </c>
      <c r="R165" s="7">
        <v>21735.23</v>
      </c>
      <c r="S165" s="5">
        <v>13.818181818181801</v>
      </c>
      <c r="T165" s="5">
        <v>22.090909090909101</v>
      </c>
      <c r="U165" s="6">
        <v>21735.23</v>
      </c>
      <c r="V165" s="8"/>
    </row>
    <row r="166" spans="1:22" x14ac:dyDescent="0.2">
      <c r="A166" s="2" t="s">
        <v>56</v>
      </c>
      <c r="B166" s="2" t="s">
        <v>52</v>
      </c>
      <c r="C166" s="2">
        <v>1012147</v>
      </c>
      <c r="D166" s="2" t="s">
        <v>218</v>
      </c>
      <c r="E166" s="3" t="s">
        <v>67</v>
      </c>
      <c r="F166" s="4">
        <v>0</v>
      </c>
      <c r="G166" s="5">
        <v>0</v>
      </c>
      <c r="H166" s="5">
        <v>0</v>
      </c>
      <c r="I166" s="6">
        <v>0</v>
      </c>
      <c r="J166" s="7">
        <v>0</v>
      </c>
      <c r="K166" s="5">
        <v>0</v>
      </c>
      <c r="L166" s="5">
        <v>0</v>
      </c>
      <c r="M166" s="6">
        <v>0</v>
      </c>
      <c r="N166" s="4">
        <v>9330.2000000000007</v>
      </c>
      <c r="O166" s="5">
        <v>9</v>
      </c>
      <c r="P166" s="5">
        <v>89</v>
      </c>
      <c r="Q166" s="6">
        <v>9330.2000000000007</v>
      </c>
      <c r="R166" s="7">
        <v>0</v>
      </c>
      <c r="S166" s="5">
        <v>0</v>
      </c>
      <c r="T166" s="5">
        <v>0</v>
      </c>
      <c r="U166" s="6">
        <v>0</v>
      </c>
      <c r="V166" s="8"/>
    </row>
    <row r="167" spans="1:22" x14ac:dyDescent="0.2">
      <c r="A167" s="2" t="s">
        <v>56</v>
      </c>
      <c r="B167" s="2" t="s">
        <v>52</v>
      </c>
      <c r="C167" s="2">
        <v>1012148</v>
      </c>
      <c r="D167" s="2" t="s">
        <v>112</v>
      </c>
      <c r="E167" s="3" t="s">
        <v>63</v>
      </c>
      <c r="F167" s="4">
        <v>0</v>
      </c>
      <c r="G167" s="5">
        <v>0</v>
      </c>
      <c r="H167" s="5">
        <v>0</v>
      </c>
      <c r="I167" s="6">
        <v>0</v>
      </c>
      <c r="J167" s="7">
        <v>19759.3</v>
      </c>
      <c r="K167" s="5">
        <v>19</v>
      </c>
      <c r="L167" s="5">
        <v>19</v>
      </c>
      <c r="M167" s="6">
        <v>19759.3</v>
      </c>
      <c r="N167" s="4">
        <v>99281.501000000004</v>
      </c>
      <c r="O167" s="5">
        <v>33.025330197213698</v>
      </c>
      <c r="P167" s="5">
        <v>39.939750316627503</v>
      </c>
      <c r="Q167" s="6">
        <v>99281.501000000004</v>
      </c>
      <c r="R167" s="7">
        <v>0</v>
      </c>
      <c r="S167" s="5">
        <v>0</v>
      </c>
      <c r="T167" s="5">
        <v>0</v>
      </c>
      <c r="U167" s="6">
        <v>0</v>
      </c>
      <c r="V167" s="8"/>
    </row>
    <row r="168" spans="1:22" x14ac:dyDescent="0.2">
      <c r="A168" s="2" t="s">
        <v>56</v>
      </c>
      <c r="B168" s="2" t="s">
        <v>52</v>
      </c>
      <c r="C168" s="2">
        <v>1012157</v>
      </c>
      <c r="D168" s="2" t="s">
        <v>100</v>
      </c>
      <c r="E168" s="3" t="s">
        <v>63</v>
      </c>
      <c r="F168" s="4">
        <v>0</v>
      </c>
      <c r="G168" s="5">
        <v>0</v>
      </c>
      <c r="H168" s="5">
        <v>0</v>
      </c>
      <c r="I168" s="6">
        <v>0</v>
      </c>
      <c r="J168" s="7">
        <v>0</v>
      </c>
      <c r="K168" s="5">
        <v>0</v>
      </c>
      <c r="L168" s="5">
        <v>0</v>
      </c>
      <c r="M168" s="6">
        <v>0</v>
      </c>
      <c r="N168" s="4">
        <v>798.32299999999998</v>
      </c>
      <c r="O168" s="5">
        <v>112.113573077564</v>
      </c>
      <c r="P168" s="5">
        <v>118.090861718878</v>
      </c>
      <c r="Q168" s="6">
        <v>798.32299999999998</v>
      </c>
      <c r="R168" s="7">
        <v>0</v>
      </c>
      <c r="S168" s="5">
        <v>0</v>
      </c>
      <c r="T168" s="5">
        <v>0</v>
      </c>
      <c r="U168" s="6">
        <v>0</v>
      </c>
      <c r="V168" s="8"/>
    </row>
    <row r="169" spans="1:22" x14ac:dyDescent="0.2">
      <c r="A169" s="2" t="s">
        <v>56</v>
      </c>
      <c r="B169" s="2" t="s">
        <v>52</v>
      </c>
      <c r="C169" s="2">
        <v>1012158</v>
      </c>
      <c r="D169" s="2" t="s">
        <v>87</v>
      </c>
      <c r="E169" s="3" t="s">
        <v>67</v>
      </c>
      <c r="F169" s="4">
        <v>0</v>
      </c>
      <c r="G169" s="5">
        <v>0</v>
      </c>
      <c r="H169" s="5">
        <v>0</v>
      </c>
      <c r="I169" s="6">
        <v>0</v>
      </c>
      <c r="J169" s="7">
        <v>1814.4</v>
      </c>
      <c r="K169" s="5">
        <v>24</v>
      </c>
      <c r="L169" s="5">
        <v>24</v>
      </c>
      <c r="M169" s="6">
        <v>1814.4</v>
      </c>
      <c r="N169" s="4">
        <v>134265.60000000001</v>
      </c>
      <c r="O169" s="5">
        <v>25.200135135135099</v>
      </c>
      <c r="P169" s="5">
        <v>32.980675675675698</v>
      </c>
      <c r="Q169" s="6">
        <v>134265.60000000001</v>
      </c>
      <c r="R169" s="7">
        <v>72.575999999999993</v>
      </c>
      <c r="S169" s="5">
        <v>36</v>
      </c>
      <c r="T169" s="5">
        <v>45.25</v>
      </c>
      <c r="U169" s="6">
        <v>72.575999999999993</v>
      </c>
      <c r="V169" s="8"/>
    </row>
    <row r="170" spans="1:22" x14ac:dyDescent="0.2">
      <c r="A170" s="2" t="s">
        <v>56</v>
      </c>
      <c r="B170" s="2" t="s">
        <v>52</v>
      </c>
      <c r="C170" s="2">
        <v>1012159</v>
      </c>
      <c r="D170" s="2" t="s">
        <v>89</v>
      </c>
      <c r="E170" s="3" t="s">
        <v>63</v>
      </c>
      <c r="F170" s="4">
        <v>0</v>
      </c>
      <c r="G170" s="5">
        <v>0</v>
      </c>
      <c r="H170" s="5">
        <v>0</v>
      </c>
      <c r="I170" s="6">
        <v>0</v>
      </c>
      <c r="J170" s="7">
        <v>36288</v>
      </c>
      <c r="K170" s="5">
        <v>2</v>
      </c>
      <c r="L170" s="5">
        <v>2</v>
      </c>
      <c r="M170" s="6">
        <v>36288</v>
      </c>
      <c r="N170" s="4">
        <v>58695.839999999997</v>
      </c>
      <c r="O170" s="5">
        <v>18.829057187017</v>
      </c>
      <c r="P170" s="5">
        <v>27.3625965996909</v>
      </c>
      <c r="Q170" s="6">
        <v>58695.839999999997</v>
      </c>
      <c r="R170" s="7">
        <v>217.72800000000001</v>
      </c>
      <c r="S170" s="5">
        <v>126.083333333333</v>
      </c>
      <c r="T170" s="5">
        <v>142.583333333333</v>
      </c>
      <c r="U170" s="6">
        <v>217.72800000000001</v>
      </c>
      <c r="V170" s="8"/>
    </row>
    <row r="171" spans="1:22" x14ac:dyDescent="0.2">
      <c r="A171" s="2" t="s">
        <v>56</v>
      </c>
      <c r="B171" s="2" t="s">
        <v>52</v>
      </c>
      <c r="C171" s="2">
        <v>1012160</v>
      </c>
      <c r="D171" s="2" t="s">
        <v>73</v>
      </c>
      <c r="E171" s="3" t="s">
        <v>59</v>
      </c>
      <c r="F171" s="4">
        <v>0</v>
      </c>
      <c r="G171" s="5">
        <v>0</v>
      </c>
      <c r="H171" s="5">
        <v>0</v>
      </c>
      <c r="I171" s="6">
        <v>0</v>
      </c>
      <c r="J171" s="7">
        <v>3628.8</v>
      </c>
      <c r="K171" s="5">
        <v>24</v>
      </c>
      <c r="L171" s="5">
        <v>24</v>
      </c>
      <c r="M171" s="6">
        <v>3628.8</v>
      </c>
      <c r="N171" s="4">
        <v>54867.455999999998</v>
      </c>
      <c r="O171" s="5">
        <v>13.361441798941801</v>
      </c>
      <c r="P171" s="5">
        <v>20.060185185185201</v>
      </c>
      <c r="Q171" s="6">
        <v>54867.455999999998</v>
      </c>
      <c r="R171" s="7">
        <v>0</v>
      </c>
      <c r="S171" s="5">
        <v>0</v>
      </c>
      <c r="T171" s="5">
        <v>0</v>
      </c>
      <c r="U171" s="6">
        <v>0</v>
      </c>
      <c r="V171" s="8"/>
    </row>
    <row r="172" spans="1:22" x14ac:dyDescent="0.2">
      <c r="A172" s="2" t="s">
        <v>56</v>
      </c>
      <c r="B172" s="2" t="s">
        <v>52</v>
      </c>
      <c r="C172" s="2">
        <v>1012161</v>
      </c>
      <c r="D172" s="2" t="s">
        <v>102</v>
      </c>
      <c r="E172" s="3" t="s">
        <v>63</v>
      </c>
      <c r="F172" s="4">
        <v>0</v>
      </c>
      <c r="G172" s="5">
        <v>0</v>
      </c>
      <c r="H172" s="5">
        <v>0</v>
      </c>
      <c r="I172" s="6">
        <v>0</v>
      </c>
      <c r="J172" s="7">
        <v>907.2</v>
      </c>
      <c r="K172" s="5">
        <v>24</v>
      </c>
      <c r="L172" s="5">
        <v>24</v>
      </c>
      <c r="M172" s="6">
        <v>907.2</v>
      </c>
      <c r="N172" s="4">
        <v>87526.656000000003</v>
      </c>
      <c r="O172" s="5">
        <v>13.4782407087505</v>
      </c>
      <c r="P172" s="5">
        <v>18.520324208433099</v>
      </c>
      <c r="Q172" s="6">
        <v>87526.656000000003</v>
      </c>
      <c r="R172" s="7">
        <v>1070.46</v>
      </c>
      <c r="S172" s="5">
        <v>83.491441062720696</v>
      </c>
      <c r="T172" s="5">
        <v>110.949049941147</v>
      </c>
      <c r="U172" s="6">
        <v>1070.46</v>
      </c>
      <c r="V172" s="8"/>
    </row>
    <row r="173" spans="1:22" x14ac:dyDescent="0.2">
      <c r="A173" s="2" t="s">
        <v>56</v>
      </c>
      <c r="B173" s="2" t="s">
        <v>52</v>
      </c>
      <c r="C173" s="2">
        <v>1012163</v>
      </c>
      <c r="D173" s="2" t="s">
        <v>141</v>
      </c>
      <c r="E173" s="3" t="s">
        <v>67</v>
      </c>
      <c r="F173" s="4">
        <v>0</v>
      </c>
      <c r="G173" s="5">
        <v>0</v>
      </c>
      <c r="H173" s="5">
        <v>0</v>
      </c>
      <c r="I173" s="6">
        <v>0</v>
      </c>
      <c r="J173" s="7">
        <v>18180.288</v>
      </c>
      <c r="K173" s="5">
        <v>2</v>
      </c>
      <c r="L173" s="5">
        <v>2</v>
      </c>
      <c r="M173" s="6">
        <v>18180.288</v>
      </c>
      <c r="N173" s="4">
        <v>184633.34400000001</v>
      </c>
      <c r="O173" s="5">
        <v>12.674626572327</v>
      </c>
      <c r="P173" s="5">
        <v>19.114878144654099</v>
      </c>
      <c r="Q173" s="6">
        <v>184633.34400000001</v>
      </c>
      <c r="R173" s="7">
        <v>181.44</v>
      </c>
      <c r="S173" s="5">
        <v>32</v>
      </c>
      <c r="T173" s="5">
        <v>39</v>
      </c>
      <c r="U173" s="6">
        <v>181.44</v>
      </c>
      <c r="V173" s="8"/>
    </row>
    <row r="174" spans="1:22" x14ac:dyDescent="0.2">
      <c r="A174" s="2" t="s">
        <v>56</v>
      </c>
      <c r="B174" s="2" t="s">
        <v>52</v>
      </c>
      <c r="C174" s="2">
        <v>1012164</v>
      </c>
      <c r="D174" s="2" t="s">
        <v>143</v>
      </c>
      <c r="E174" s="3" t="s">
        <v>63</v>
      </c>
      <c r="F174" s="4">
        <v>0</v>
      </c>
      <c r="G174" s="5">
        <v>0</v>
      </c>
      <c r="H174" s="5">
        <v>0</v>
      </c>
      <c r="I174" s="6">
        <v>0</v>
      </c>
      <c r="J174" s="7">
        <v>0</v>
      </c>
      <c r="K174" s="5">
        <v>0</v>
      </c>
      <c r="L174" s="5">
        <v>0</v>
      </c>
      <c r="M174" s="6">
        <v>0</v>
      </c>
      <c r="N174" s="4">
        <v>75968.928</v>
      </c>
      <c r="O174" s="5">
        <v>17.994267972295201</v>
      </c>
      <c r="P174" s="5">
        <v>23.6594220205398</v>
      </c>
      <c r="Q174" s="6">
        <v>75968.928</v>
      </c>
      <c r="R174" s="7">
        <v>72.575999999999993</v>
      </c>
      <c r="S174" s="5">
        <v>16</v>
      </c>
      <c r="T174" s="5">
        <v>26</v>
      </c>
      <c r="U174" s="6">
        <v>72.575999999999993</v>
      </c>
      <c r="V174" s="8"/>
    </row>
    <row r="175" spans="1:22" x14ac:dyDescent="0.2">
      <c r="A175" s="2" t="s">
        <v>56</v>
      </c>
      <c r="B175" s="2" t="s">
        <v>52</v>
      </c>
      <c r="C175" s="2">
        <v>1012165</v>
      </c>
      <c r="D175" s="2" t="s">
        <v>62</v>
      </c>
      <c r="E175" s="3" t="s">
        <v>63</v>
      </c>
      <c r="F175" s="4">
        <v>0</v>
      </c>
      <c r="G175" s="5">
        <v>0</v>
      </c>
      <c r="H175" s="5">
        <v>0</v>
      </c>
      <c r="I175" s="6">
        <v>0</v>
      </c>
      <c r="J175" s="7">
        <v>5896.8</v>
      </c>
      <c r="K175" s="5">
        <v>24</v>
      </c>
      <c r="L175" s="5">
        <v>24</v>
      </c>
      <c r="M175" s="6">
        <v>5896.8</v>
      </c>
      <c r="N175" s="4">
        <v>150177.98800000001</v>
      </c>
      <c r="O175" s="5">
        <v>21.0172877399316</v>
      </c>
      <c r="P175" s="5">
        <v>31.016907278049299</v>
      </c>
      <c r="Q175" s="6">
        <v>150177.98800000001</v>
      </c>
      <c r="R175" s="7">
        <v>163.29599999999999</v>
      </c>
      <c r="S175" s="5">
        <v>72.7777777777778</v>
      </c>
      <c r="T175" s="5">
        <v>82.7777777777778</v>
      </c>
      <c r="U175" s="6">
        <v>163.29599999999999</v>
      </c>
      <c r="V175" s="8"/>
    </row>
    <row r="176" spans="1:22" x14ac:dyDescent="0.2">
      <c r="A176" s="2" t="s">
        <v>56</v>
      </c>
      <c r="B176" s="2" t="s">
        <v>52</v>
      </c>
      <c r="C176" s="2">
        <v>1012167</v>
      </c>
      <c r="D176" s="2" t="s">
        <v>71</v>
      </c>
      <c r="E176" s="3" t="s">
        <v>59</v>
      </c>
      <c r="F176" s="4">
        <v>0</v>
      </c>
      <c r="G176" s="5">
        <v>0</v>
      </c>
      <c r="H176" s="5">
        <v>0</v>
      </c>
      <c r="I176" s="6">
        <v>0</v>
      </c>
      <c r="J176" s="7">
        <v>3628.8</v>
      </c>
      <c r="K176" s="5">
        <v>24</v>
      </c>
      <c r="L176" s="5">
        <v>24</v>
      </c>
      <c r="M176" s="6">
        <v>3628.8</v>
      </c>
      <c r="N176" s="4">
        <v>125268.829</v>
      </c>
      <c r="O176" s="5">
        <v>27.8859758958871</v>
      </c>
      <c r="P176" s="5">
        <v>35.630663498898002</v>
      </c>
      <c r="Q176" s="6">
        <v>125268.829</v>
      </c>
      <c r="R176" s="7">
        <v>0</v>
      </c>
      <c r="S176" s="5">
        <v>0</v>
      </c>
      <c r="T176" s="5">
        <v>0</v>
      </c>
      <c r="U176" s="6">
        <v>0</v>
      </c>
      <c r="V176" s="8"/>
    </row>
    <row r="177" spans="1:22" x14ac:dyDescent="0.2">
      <c r="A177" s="2" t="s">
        <v>56</v>
      </c>
      <c r="B177" s="2" t="s">
        <v>52</v>
      </c>
      <c r="C177" s="2">
        <v>1012400</v>
      </c>
      <c r="D177" s="2" t="s">
        <v>220</v>
      </c>
      <c r="E177" s="3" t="s">
        <v>67</v>
      </c>
      <c r="F177" s="4">
        <v>0</v>
      </c>
      <c r="G177" s="5">
        <v>0</v>
      </c>
      <c r="H177" s="5">
        <v>0</v>
      </c>
      <c r="I177" s="6">
        <v>0</v>
      </c>
      <c r="J177" s="7">
        <v>235.2</v>
      </c>
      <c r="K177" s="5">
        <v>2</v>
      </c>
      <c r="L177" s="5">
        <v>2</v>
      </c>
      <c r="M177" s="6">
        <v>235.2</v>
      </c>
      <c r="N177" s="4">
        <v>0</v>
      </c>
      <c r="O177" s="5">
        <v>0</v>
      </c>
      <c r="P177" s="5">
        <v>0</v>
      </c>
      <c r="Q177" s="6">
        <v>0</v>
      </c>
      <c r="R177" s="7">
        <v>0</v>
      </c>
      <c r="S177" s="5">
        <v>0</v>
      </c>
      <c r="T177" s="5">
        <v>0</v>
      </c>
      <c r="U177" s="6">
        <v>0</v>
      </c>
      <c r="V177" s="8"/>
    </row>
    <row r="178" spans="1:22" x14ac:dyDescent="0.2">
      <c r="A178" s="2" t="s">
        <v>56</v>
      </c>
      <c r="B178" s="2" t="s">
        <v>52</v>
      </c>
      <c r="C178" s="2">
        <v>1012483</v>
      </c>
      <c r="D178" s="2" t="s">
        <v>91</v>
      </c>
      <c r="E178" s="3" t="s">
        <v>63</v>
      </c>
      <c r="F178" s="4">
        <v>0</v>
      </c>
      <c r="G178" s="5">
        <v>0</v>
      </c>
      <c r="H178" s="5">
        <v>0</v>
      </c>
      <c r="I178" s="6">
        <v>0</v>
      </c>
      <c r="J178" s="7">
        <v>59875.199999999997</v>
      </c>
      <c r="K178" s="5">
        <v>4.3333333333333304</v>
      </c>
      <c r="L178" s="5">
        <v>4.3333333333333304</v>
      </c>
      <c r="M178" s="6">
        <v>59875.199999999997</v>
      </c>
      <c r="N178" s="4">
        <v>333631.80499999999</v>
      </c>
      <c r="O178" s="5">
        <v>19.337805243118201</v>
      </c>
      <c r="P178" s="5">
        <v>24.123045810935199</v>
      </c>
      <c r="Q178" s="6">
        <v>333631.80499999999</v>
      </c>
      <c r="R178" s="7">
        <v>28068.768</v>
      </c>
      <c r="S178" s="5">
        <v>126.941176470588</v>
      </c>
      <c r="T178" s="5">
        <v>127.980607627666</v>
      </c>
      <c r="U178" s="6">
        <v>28068.768</v>
      </c>
      <c r="V178" s="8"/>
    </row>
    <row r="179" spans="1:22" x14ac:dyDescent="0.2">
      <c r="A179" s="2" t="s">
        <v>56</v>
      </c>
      <c r="B179" s="2" t="s">
        <v>52</v>
      </c>
      <c r="C179" s="2">
        <v>1012518</v>
      </c>
      <c r="D179" s="2" t="s">
        <v>66</v>
      </c>
      <c r="E179" s="3" t="s">
        <v>67</v>
      </c>
      <c r="F179" s="4">
        <v>0</v>
      </c>
      <c r="G179" s="5">
        <v>0</v>
      </c>
      <c r="H179" s="5">
        <v>0</v>
      </c>
      <c r="I179" s="6">
        <v>0</v>
      </c>
      <c r="J179" s="7">
        <v>54432</v>
      </c>
      <c r="K179" s="5">
        <v>6</v>
      </c>
      <c r="L179" s="5">
        <v>6</v>
      </c>
      <c r="M179" s="6">
        <v>54432</v>
      </c>
      <c r="N179" s="4">
        <v>121165.632</v>
      </c>
      <c r="O179" s="5">
        <v>24.532494758909898</v>
      </c>
      <c r="P179" s="5">
        <v>36.859838274932599</v>
      </c>
      <c r="Q179" s="6">
        <v>121165.632</v>
      </c>
      <c r="R179" s="7">
        <v>17853.332999999999</v>
      </c>
      <c r="S179" s="5">
        <v>226</v>
      </c>
      <c r="T179" s="5">
        <v>237</v>
      </c>
      <c r="U179" s="6">
        <v>17853.332999999999</v>
      </c>
      <c r="V179" s="8"/>
    </row>
    <row r="180" spans="1:22" x14ac:dyDescent="0.2">
      <c r="A180" s="2" t="s">
        <v>56</v>
      </c>
      <c r="B180" s="2" t="s">
        <v>52</v>
      </c>
      <c r="C180" s="2">
        <v>1012519</v>
      </c>
      <c r="D180" s="2" t="s">
        <v>216</v>
      </c>
      <c r="E180" s="3" t="s">
        <v>59</v>
      </c>
      <c r="F180" s="4">
        <v>0</v>
      </c>
      <c r="G180" s="5">
        <v>0</v>
      </c>
      <c r="H180" s="5">
        <v>0</v>
      </c>
      <c r="I180" s="6">
        <v>0</v>
      </c>
      <c r="J180" s="7">
        <v>0</v>
      </c>
      <c r="K180" s="5">
        <v>0</v>
      </c>
      <c r="L180" s="5">
        <v>0</v>
      </c>
      <c r="M180" s="6">
        <v>0</v>
      </c>
      <c r="N180" s="4">
        <v>4681.152</v>
      </c>
      <c r="O180" s="5">
        <v>3</v>
      </c>
      <c r="P180" s="5">
        <v>4</v>
      </c>
      <c r="Q180" s="6">
        <v>4681.152</v>
      </c>
      <c r="R180" s="7">
        <v>0</v>
      </c>
      <c r="S180" s="5">
        <v>0</v>
      </c>
      <c r="T180" s="5">
        <v>0</v>
      </c>
      <c r="U180" s="6">
        <v>0</v>
      </c>
      <c r="V180" s="8"/>
    </row>
    <row r="181" spans="1:22" x14ac:dyDescent="0.2">
      <c r="A181" s="2" t="s">
        <v>56</v>
      </c>
      <c r="B181" s="2" t="s">
        <v>52</v>
      </c>
      <c r="C181" s="2">
        <v>1012520</v>
      </c>
      <c r="D181" s="2" t="s">
        <v>58</v>
      </c>
      <c r="E181" s="3" t="s">
        <v>59</v>
      </c>
      <c r="F181" s="4">
        <v>0</v>
      </c>
      <c r="G181" s="5">
        <v>0</v>
      </c>
      <c r="H181" s="5">
        <v>0</v>
      </c>
      <c r="I181" s="6">
        <v>0</v>
      </c>
      <c r="J181" s="7">
        <v>0</v>
      </c>
      <c r="K181" s="5">
        <v>0</v>
      </c>
      <c r="L181" s="5">
        <v>0</v>
      </c>
      <c r="M181" s="6">
        <v>0</v>
      </c>
      <c r="N181" s="4">
        <v>23061.024000000001</v>
      </c>
      <c r="O181" s="5">
        <v>24.675845790716</v>
      </c>
      <c r="P181" s="5">
        <v>26.962234461054301</v>
      </c>
      <c r="Q181" s="6">
        <v>23061.024000000001</v>
      </c>
      <c r="R181" s="7">
        <v>72.575999999999993</v>
      </c>
      <c r="S181" s="5">
        <v>18</v>
      </c>
      <c r="T181" s="5">
        <v>19</v>
      </c>
      <c r="U181" s="6">
        <v>72.575999999999993</v>
      </c>
      <c r="V181" s="8"/>
    </row>
    <row r="182" spans="1:22" x14ac:dyDescent="0.2">
      <c r="A182" s="2" t="s">
        <v>56</v>
      </c>
      <c r="B182" s="2" t="s">
        <v>52</v>
      </c>
      <c r="C182" s="2">
        <v>1012521</v>
      </c>
      <c r="D182" s="2" t="s">
        <v>69</v>
      </c>
      <c r="E182" s="3" t="s">
        <v>59</v>
      </c>
      <c r="F182" s="4">
        <v>0</v>
      </c>
      <c r="G182" s="5">
        <v>0</v>
      </c>
      <c r="H182" s="5">
        <v>0</v>
      </c>
      <c r="I182" s="6">
        <v>0</v>
      </c>
      <c r="J182" s="7">
        <v>18144</v>
      </c>
      <c r="K182" s="5">
        <v>26</v>
      </c>
      <c r="L182" s="5">
        <v>26</v>
      </c>
      <c r="M182" s="6">
        <v>18144</v>
      </c>
      <c r="N182" s="4">
        <v>130237.632</v>
      </c>
      <c r="O182" s="5">
        <v>22.348565059905301</v>
      </c>
      <c r="P182" s="5">
        <v>29.896767901922502</v>
      </c>
      <c r="Q182" s="6">
        <v>130237.632</v>
      </c>
      <c r="R182" s="7">
        <v>36.287999999999997</v>
      </c>
      <c r="S182" s="5">
        <v>53</v>
      </c>
      <c r="T182" s="5">
        <v>74</v>
      </c>
      <c r="U182" s="6">
        <v>36.287999999999997</v>
      </c>
      <c r="V182" s="8"/>
    </row>
    <row r="183" spans="1:22" x14ac:dyDescent="0.2">
      <c r="A183" s="2" t="s">
        <v>56</v>
      </c>
      <c r="B183" s="2" t="s">
        <v>52</v>
      </c>
      <c r="C183" s="2">
        <v>1012522</v>
      </c>
      <c r="D183" s="2" t="s">
        <v>110</v>
      </c>
      <c r="E183" s="3" t="s">
        <v>59</v>
      </c>
      <c r="F183" s="4">
        <v>0</v>
      </c>
      <c r="G183" s="5">
        <v>0</v>
      </c>
      <c r="H183" s="5">
        <v>0</v>
      </c>
      <c r="I183" s="6">
        <v>0</v>
      </c>
      <c r="J183" s="7">
        <v>16964.64</v>
      </c>
      <c r="K183" s="5">
        <v>19</v>
      </c>
      <c r="L183" s="5">
        <v>19</v>
      </c>
      <c r="M183" s="6">
        <v>16964.64</v>
      </c>
      <c r="N183" s="4">
        <v>160465.533</v>
      </c>
      <c r="O183" s="5">
        <v>47.777248837605498</v>
      </c>
      <c r="P183" s="5">
        <v>53.159768066828399</v>
      </c>
      <c r="Q183" s="6">
        <v>160465.533</v>
      </c>
      <c r="R183" s="7">
        <v>4989.6000000000004</v>
      </c>
      <c r="S183" s="5">
        <v>24</v>
      </c>
      <c r="T183" s="5">
        <v>24</v>
      </c>
      <c r="U183" s="6">
        <v>4989.6000000000004</v>
      </c>
      <c r="V183" s="8"/>
    </row>
    <row r="184" spans="1:22" x14ac:dyDescent="0.2">
      <c r="A184" s="2" t="s">
        <v>56</v>
      </c>
      <c r="B184" s="2" t="s">
        <v>52</v>
      </c>
      <c r="C184" s="2">
        <v>1012523</v>
      </c>
      <c r="D184" s="2" t="s">
        <v>117</v>
      </c>
      <c r="E184" s="3" t="s">
        <v>59</v>
      </c>
      <c r="F184" s="4">
        <v>0</v>
      </c>
      <c r="G184" s="5">
        <v>0</v>
      </c>
      <c r="H184" s="5">
        <v>0</v>
      </c>
      <c r="I184" s="6">
        <v>0</v>
      </c>
      <c r="J184" s="7">
        <v>19958.400000000001</v>
      </c>
      <c r="K184" s="5">
        <v>17</v>
      </c>
      <c r="L184" s="5">
        <v>17</v>
      </c>
      <c r="M184" s="6">
        <v>19958.400000000001</v>
      </c>
      <c r="N184" s="4">
        <v>38029.824000000001</v>
      </c>
      <c r="O184" s="5">
        <v>20.158396946564899</v>
      </c>
      <c r="P184" s="5">
        <v>27.110687022900802</v>
      </c>
      <c r="Q184" s="6">
        <v>38029.824000000001</v>
      </c>
      <c r="R184" s="7">
        <v>108.864</v>
      </c>
      <c r="S184" s="5">
        <v>33.3333333333333</v>
      </c>
      <c r="T184" s="5">
        <v>40.1666666666667</v>
      </c>
      <c r="U184" s="6">
        <v>108.864</v>
      </c>
      <c r="V184" s="8"/>
    </row>
    <row r="185" spans="1:22" x14ac:dyDescent="0.2">
      <c r="A185" s="2" t="s">
        <v>56</v>
      </c>
      <c r="B185" s="2" t="s">
        <v>52</v>
      </c>
      <c r="C185" s="2">
        <v>1012524</v>
      </c>
      <c r="D185" s="2" t="s">
        <v>139</v>
      </c>
      <c r="E185" s="3" t="s">
        <v>59</v>
      </c>
      <c r="F185" s="4">
        <v>0</v>
      </c>
      <c r="G185" s="5">
        <v>0</v>
      </c>
      <c r="H185" s="5">
        <v>0</v>
      </c>
      <c r="I185" s="6">
        <v>0</v>
      </c>
      <c r="J185" s="7">
        <v>0</v>
      </c>
      <c r="K185" s="5">
        <v>0</v>
      </c>
      <c r="L185" s="5">
        <v>0</v>
      </c>
      <c r="M185" s="6">
        <v>0</v>
      </c>
      <c r="N185" s="4">
        <v>26308.799999999999</v>
      </c>
      <c r="O185" s="5">
        <v>19.606896551724098</v>
      </c>
      <c r="P185" s="5">
        <v>26.848275862068999</v>
      </c>
      <c r="Q185" s="6">
        <v>26308.799999999999</v>
      </c>
      <c r="R185" s="7">
        <v>0</v>
      </c>
      <c r="S185" s="5">
        <v>0</v>
      </c>
      <c r="T185" s="5">
        <v>0</v>
      </c>
      <c r="U185" s="6">
        <v>0</v>
      </c>
      <c r="V185" s="8"/>
    </row>
    <row r="186" spans="1:22" x14ac:dyDescent="0.2">
      <c r="A186" s="2" t="s">
        <v>56</v>
      </c>
      <c r="B186" s="2" t="s">
        <v>52</v>
      </c>
      <c r="C186" s="2">
        <v>1012579</v>
      </c>
      <c r="D186" s="2" t="s">
        <v>146</v>
      </c>
      <c r="E186" s="3" t="s">
        <v>59</v>
      </c>
      <c r="F186" s="4">
        <v>0</v>
      </c>
      <c r="G186" s="5">
        <v>0</v>
      </c>
      <c r="H186" s="5">
        <v>0</v>
      </c>
      <c r="I186" s="6">
        <v>0</v>
      </c>
      <c r="J186" s="7">
        <v>0</v>
      </c>
      <c r="K186" s="5">
        <v>0</v>
      </c>
      <c r="L186" s="5">
        <v>0</v>
      </c>
      <c r="M186" s="6">
        <v>0</v>
      </c>
      <c r="N186" s="4">
        <v>3048.1379999999999</v>
      </c>
      <c r="O186" s="5">
        <v>18.011908909635999</v>
      </c>
      <c r="P186" s="5">
        <v>18.011908909635999</v>
      </c>
      <c r="Q186" s="6">
        <v>3048.1379999999999</v>
      </c>
      <c r="R186" s="7">
        <v>0</v>
      </c>
      <c r="S186" s="5">
        <v>0</v>
      </c>
      <c r="T186" s="5">
        <v>0</v>
      </c>
      <c r="U186" s="6">
        <v>0</v>
      </c>
      <c r="V186" s="8"/>
    </row>
    <row r="187" spans="1:22" x14ac:dyDescent="0.2">
      <c r="A187" s="2" t="s">
        <v>56</v>
      </c>
      <c r="B187" s="2" t="s">
        <v>52</v>
      </c>
      <c r="C187" s="2">
        <v>1012597</v>
      </c>
      <c r="D187" s="2" t="s">
        <v>148</v>
      </c>
      <c r="E187" s="3" t="s">
        <v>63</v>
      </c>
      <c r="F187" s="4">
        <v>0</v>
      </c>
      <c r="G187" s="5">
        <v>0</v>
      </c>
      <c r="H187" s="5">
        <v>0</v>
      </c>
      <c r="I187" s="6">
        <v>0</v>
      </c>
      <c r="J187" s="7">
        <v>0</v>
      </c>
      <c r="K187" s="5">
        <v>0</v>
      </c>
      <c r="L187" s="5">
        <v>0</v>
      </c>
      <c r="M187" s="6">
        <v>0</v>
      </c>
      <c r="N187" s="4">
        <v>798.3</v>
      </c>
      <c r="O187" s="5">
        <v>28.364325441563299</v>
      </c>
      <c r="P187" s="5">
        <v>28.364325441563299</v>
      </c>
      <c r="Q187" s="6">
        <v>798.3</v>
      </c>
      <c r="R187" s="7">
        <v>0</v>
      </c>
      <c r="S187" s="5">
        <v>0</v>
      </c>
      <c r="T187" s="5">
        <v>0</v>
      </c>
      <c r="U187" s="6">
        <v>0</v>
      </c>
      <c r="V187" s="8"/>
    </row>
    <row r="188" spans="1:22" x14ac:dyDescent="0.2">
      <c r="A188" s="2" t="s">
        <v>56</v>
      </c>
      <c r="B188" s="2" t="s">
        <v>52</v>
      </c>
      <c r="C188" s="2">
        <v>1012806</v>
      </c>
      <c r="D188" s="2" t="s">
        <v>223</v>
      </c>
      <c r="E188" s="3" t="s">
        <v>224</v>
      </c>
      <c r="F188" s="4">
        <v>0</v>
      </c>
      <c r="G188" s="5">
        <v>0</v>
      </c>
      <c r="H188" s="5">
        <v>0</v>
      </c>
      <c r="I188" s="6">
        <v>0</v>
      </c>
      <c r="J188" s="7">
        <v>2267.5</v>
      </c>
      <c r="K188" s="5">
        <v>24</v>
      </c>
      <c r="L188" s="5">
        <v>24</v>
      </c>
      <c r="M188" s="6">
        <v>2267.5</v>
      </c>
      <c r="N188" s="4">
        <v>2285.64</v>
      </c>
      <c r="O188" s="5">
        <v>2</v>
      </c>
      <c r="P188" s="5">
        <v>26</v>
      </c>
      <c r="Q188" s="6">
        <v>2285.64</v>
      </c>
      <c r="R188" s="7">
        <v>0</v>
      </c>
      <c r="S188" s="5">
        <v>0</v>
      </c>
      <c r="T188" s="5">
        <v>0</v>
      </c>
      <c r="U188" s="6">
        <v>0</v>
      </c>
      <c r="V188" s="8"/>
    </row>
    <row r="189" spans="1:22" x14ac:dyDescent="0.2">
      <c r="A189" s="2" t="s">
        <v>56</v>
      </c>
      <c r="B189" s="2" t="s">
        <v>226</v>
      </c>
      <c r="C189" s="2">
        <v>1011748</v>
      </c>
      <c r="D189" s="2" t="s">
        <v>227</v>
      </c>
      <c r="E189" s="3" t="s">
        <v>59</v>
      </c>
      <c r="F189" s="4">
        <v>45600</v>
      </c>
      <c r="G189" s="5">
        <v>3</v>
      </c>
      <c r="H189" s="5">
        <v>3</v>
      </c>
      <c r="I189" s="6">
        <v>45600</v>
      </c>
      <c r="J189" s="7">
        <v>0</v>
      </c>
      <c r="K189" s="5">
        <v>0</v>
      </c>
      <c r="L189" s="5">
        <v>0</v>
      </c>
      <c r="M189" s="6">
        <v>0</v>
      </c>
      <c r="N189" s="4">
        <v>0</v>
      </c>
      <c r="O189" s="5">
        <v>0</v>
      </c>
      <c r="P189" s="5">
        <v>0</v>
      </c>
      <c r="Q189" s="6">
        <v>0</v>
      </c>
      <c r="R189" s="7">
        <v>0</v>
      </c>
      <c r="S189" s="5">
        <v>0</v>
      </c>
      <c r="T189" s="5">
        <v>0</v>
      </c>
      <c r="U189" s="6">
        <v>0</v>
      </c>
      <c r="V189" s="8"/>
    </row>
    <row r="190" spans="1:22" x14ac:dyDescent="0.2">
      <c r="A190" s="2" t="s">
        <v>56</v>
      </c>
      <c r="B190" s="2" t="s">
        <v>150</v>
      </c>
      <c r="C190" s="2">
        <v>1011127</v>
      </c>
      <c r="D190" s="2" t="s">
        <v>229</v>
      </c>
      <c r="E190" s="3" t="s">
        <v>59</v>
      </c>
      <c r="F190" s="4">
        <v>0</v>
      </c>
      <c r="G190" s="5">
        <v>0</v>
      </c>
      <c r="H190" s="5">
        <v>0</v>
      </c>
      <c r="I190" s="6">
        <v>0</v>
      </c>
      <c r="J190" s="7">
        <v>43200</v>
      </c>
      <c r="K190" s="5">
        <v>2</v>
      </c>
      <c r="L190" s="5">
        <v>2</v>
      </c>
      <c r="M190" s="6">
        <v>43200</v>
      </c>
      <c r="N190" s="4">
        <v>16500</v>
      </c>
      <c r="O190" s="5">
        <v>13</v>
      </c>
      <c r="P190" s="5">
        <v>15</v>
      </c>
      <c r="Q190" s="6">
        <v>16500</v>
      </c>
      <c r="R190" s="7">
        <v>0</v>
      </c>
      <c r="S190" s="5">
        <v>0</v>
      </c>
      <c r="T190" s="5">
        <v>0</v>
      </c>
      <c r="U190" s="6">
        <v>0</v>
      </c>
      <c r="V190" s="8"/>
    </row>
    <row r="191" spans="1:22" x14ac:dyDescent="0.2">
      <c r="A191" s="2" t="s">
        <v>56</v>
      </c>
      <c r="B191" s="2" t="s">
        <v>150</v>
      </c>
      <c r="C191" s="2">
        <v>1011150</v>
      </c>
      <c r="D191" s="2" t="s">
        <v>151</v>
      </c>
      <c r="E191" s="3" t="s">
        <v>63</v>
      </c>
      <c r="F191" s="4">
        <v>0</v>
      </c>
      <c r="G191" s="5">
        <v>0</v>
      </c>
      <c r="H191" s="5">
        <v>0</v>
      </c>
      <c r="I191" s="6">
        <v>0</v>
      </c>
      <c r="J191" s="7">
        <v>0</v>
      </c>
      <c r="K191" s="5">
        <v>0</v>
      </c>
      <c r="L191" s="5">
        <v>0</v>
      </c>
      <c r="M191" s="6">
        <v>0</v>
      </c>
      <c r="N191" s="4">
        <v>40527</v>
      </c>
      <c r="O191" s="5">
        <v>25.253164556961998</v>
      </c>
      <c r="P191" s="5">
        <v>31.265822784810101</v>
      </c>
      <c r="Q191" s="6">
        <v>40527</v>
      </c>
      <c r="R191" s="7">
        <v>0</v>
      </c>
      <c r="S191" s="5">
        <v>0</v>
      </c>
      <c r="T191" s="5">
        <v>0</v>
      </c>
      <c r="U191" s="6">
        <v>0</v>
      </c>
      <c r="V191" s="8"/>
    </row>
    <row r="192" spans="1:22" x14ac:dyDescent="0.2">
      <c r="A192" s="2" t="s">
        <v>56</v>
      </c>
      <c r="B192" s="2" t="s">
        <v>150</v>
      </c>
      <c r="C192" s="2">
        <v>1011151</v>
      </c>
      <c r="D192" s="2" t="s">
        <v>153</v>
      </c>
      <c r="E192" s="3" t="s">
        <v>67</v>
      </c>
      <c r="F192" s="4">
        <v>0</v>
      </c>
      <c r="G192" s="5">
        <v>0</v>
      </c>
      <c r="H192" s="5">
        <v>0</v>
      </c>
      <c r="I192" s="6">
        <v>0</v>
      </c>
      <c r="J192" s="7">
        <v>0</v>
      </c>
      <c r="K192" s="5">
        <v>0</v>
      </c>
      <c r="L192" s="5">
        <v>0</v>
      </c>
      <c r="M192" s="6">
        <v>0</v>
      </c>
      <c r="N192" s="4">
        <v>20007</v>
      </c>
      <c r="O192" s="5">
        <v>37</v>
      </c>
      <c r="P192" s="5">
        <v>41</v>
      </c>
      <c r="Q192" s="6">
        <v>20007</v>
      </c>
      <c r="R192" s="7">
        <v>0</v>
      </c>
      <c r="S192" s="5">
        <v>0</v>
      </c>
      <c r="T192" s="5">
        <v>0</v>
      </c>
      <c r="U192" s="6">
        <v>0</v>
      </c>
      <c r="V192" s="8"/>
    </row>
    <row r="193" spans="1:22" x14ac:dyDescent="0.2">
      <c r="A193" s="2" t="s">
        <v>56</v>
      </c>
      <c r="B193" s="2" t="s">
        <v>150</v>
      </c>
      <c r="C193" s="2">
        <v>1012278</v>
      </c>
      <c r="D193" s="2" t="s">
        <v>231</v>
      </c>
      <c r="E193" s="3" t="s">
        <v>63</v>
      </c>
      <c r="F193" s="4">
        <v>0</v>
      </c>
      <c r="G193" s="5">
        <v>0</v>
      </c>
      <c r="H193" s="5">
        <v>0</v>
      </c>
      <c r="I193" s="6">
        <v>0</v>
      </c>
      <c r="J193" s="7">
        <v>0</v>
      </c>
      <c r="K193" s="5">
        <v>0</v>
      </c>
      <c r="L193" s="5">
        <v>0</v>
      </c>
      <c r="M193" s="6">
        <v>0</v>
      </c>
      <c r="N193" s="4">
        <v>169002</v>
      </c>
      <c r="O193" s="5">
        <v>9.2973692619022295</v>
      </c>
      <c r="P193" s="5">
        <v>15.072797955053799</v>
      </c>
      <c r="Q193" s="6">
        <v>169002</v>
      </c>
      <c r="R193" s="7">
        <v>0</v>
      </c>
      <c r="S193" s="5">
        <v>0</v>
      </c>
      <c r="T193" s="5">
        <v>0</v>
      </c>
      <c r="U193" s="6">
        <v>0</v>
      </c>
      <c r="V193" s="8"/>
    </row>
    <row r="194" spans="1:22" x14ac:dyDescent="0.2">
      <c r="A194" s="2" t="s">
        <v>56</v>
      </c>
      <c r="B194" s="2" t="s">
        <v>150</v>
      </c>
      <c r="C194" s="2">
        <v>1012534</v>
      </c>
      <c r="D194" s="2" t="s">
        <v>233</v>
      </c>
      <c r="E194" s="3" t="s">
        <v>234</v>
      </c>
      <c r="F194" s="4">
        <v>0</v>
      </c>
      <c r="G194" s="5">
        <v>0</v>
      </c>
      <c r="H194" s="5">
        <v>0</v>
      </c>
      <c r="I194" s="6">
        <v>0</v>
      </c>
      <c r="J194" s="7">
        <v>0</v>
      </c>
      <c r="K194" s="5">
        <v>0</v>
      </c>
      <c r="L194" s="5">
        <v>0</v>
      </c>
      <c r="M194" s="6">
        <v>0</v>
      </c>
      <c r="N194" s="4">
        <v>19988.884999999998</v>
      </c>
      <c r="O194" s="5">
        <v>4</v>
      </c>
      <c r="P194" s="5">
        <v>6</v>
      </c>
      <c r="Q194" s="6">
        <v>19988.884999999998</v>
      </c>
      <c r="R194" s="7">
        <v>0</v>
      </c>
      <c r="S194" s="5">
        <v>0</v>
      </c>
      <c r="T194" s="5">
        <v>0</v>
      </c>
      <c r="U194" s="6">
        <v>0</v>
      </c>
      <c r="V194" s="8"/>
    </row>
    <row r="195" spans="1:22" x14ac:dyDescent="0.2">
      <c r="A195" s="2" t="s">
        <v>56</v>
      </c>
      <c r="B195" s="2" t="s">
        <v>150</v>
      </c>
      <c r="C195" s="2">
        <v>1012725</v>
      </c>
      <c r="D195" s="2" t="s">
        <v>155</v>
      </c>
      <c r="E195" s="3" t="s">
        <v>67</v>
      </c>
      <c r="F195" s="4">
        <v>0</v>
      </c>
      <c r="G195" s="5">
        <v>0</v>
      </c>
      <c r="H195" s="5">
        <v>0</v>
      </c>
      <c r="I195" s="6">
        <v>0</v>
      </c>
      <c r="J195" s="7">
        <v>19958.400000000001</v>
      </c>
      <c r="K195" s="5">
        <v>2</v>
      </c>
      <c r="L195" s="5">
        <v>2</v>
      </c>
      <c r="M195" s="6">
        <v>19958.400000000001</v>
      </c>
      <c r="N195" s="4">
        <v>19958.400000000001</v>
      </c>
      <c r="O195" s="5">
        <v>37</v>
      </c>
      <c r="P195" s="5">
        <v>41</v>
      </c>
      <c r="Q195" s="6">
        <v>19958.400000000001</v>
      </c>
      <c r="R195" s="7">
        <v>0</v>
      </c>
      <c r="S195" s="5">
        <v>0</v>
      </c>
      <c r="T195" s="5">
        <v>0</v>
      </c>
      <c r="U195" s="6">
        <v>0</v>
      </c>
      <c r="V195" s="8"/>
    </row>
    <row r="196" spans="1:22" x14ac:dyDescent="0.2">
      <c r="A196" s="2" t="s">
        <v>56</v>
      </c>
      <c r="B196" s="2" t="s">
        <v>46</v>
      </c>
      <c r="C196" s="2">
        <v>1012218</v>
      </c>
      <c r="D196" s="2" t="s">
        <v>236</v>
      </c>
      <c r="E196" s="3" t="s">
        <v>63</v>
      </c>
      <c r="F196" s="4">
        <v>0</v>
      </c>
      <c r="G196" s="5">
        <v>0</v>
      </c>
      <c r="H196" s="5">
        <v>0</v>
      </c>
      <c r="I196" s="6">
        <v>0</v>
      </c>
      <c r="J196" s="7">
        <v>0</v>
      </c>
      <c r="K196" s="5">
        <v>0</v>
      </c>
      <c r="L196" s="5">
        <v>0</v>
      </c>
      <c r="M196" s="6">
        <v>0</v>
      </c>
      <c r="N196" s="4">
        <v>9750</v>
      </c>
      <c r="O196" s="5">
        <v>10</v>
      </c>
      <c r="P196" s="5">
        <v>12</v>
      </c>
      <c r="Q196" s="6">
        <v>9750</v>
      </c>
      <c r="R196" s="7">
        <v>0</v>
      </c>
      <c r="S196" s="5">
        <v>0</v>
      </c>
      <c r="T196" s="5">
        <v>0</v>
      </c>
      <c r="U196" s="6">
        <v>0</v>
      </c>
      <c r="V196" s="8"/>
    </row>
    <row r="197" spans="1:22" x14ac:dyDescent="0.2">
      <c r="A197" s="2" t="s">
        <v>56</v>
      </c>
      <c r="B197" s="2" t="s">
        <v>46</v>
      </c>
      <c r="C197" s="2">
        <v>1012275</v>
      </c>
      <c r="D197" s="2" t="s">
        <v>238</v>
      </c>
      <c r="E197" s="3" t="s">
        <v>63</v>
      </c>
      <c r="F197" s="4">
        <v>0</v>
      </c>
      <c r="G197" s="5">
        <v>0</v>
      </c>
      <c r="H197" s="5">
        <v>0</v>
      </c>
      <c r="I197" s="6">
        <v>0</v>
      </c>
      <c r="J197" s="7">
        <v>1728</v>
      </c>
      <c r="K197" s="5">
        <v>12</v>
      </c>
      <c r="L197" s="5">
        <v>12</v>
      </c>
      <c r="M197" s="6">
        <v>1728</v>
      </c>
      <c r="N197" s="4">
        <v>0</v>
      </c>
      <c r="O197" s="5">
        <v>0</v>
      </c>
      <c r="P197" s="5">
        <v>0</v>
      </c>
      <c r="Q197" s="6">
        <v>0</v>
      </c>
      <c r="R197" s="7">
        <v>0</v>
      </c>
      <c r="S197" s="5">
        <v>0</v>
      </c>
      <c r="T197" s="5">
        <v>0</v>
      </c>
      <c r="U197" s="6">
        <v>0</v>
      </c>
      <c r="V197" s="8"/>
    </row>
    <row r="198" spans="1:22" x14ac:dyDescent="0.2">
      <c r="A198" s="2" t="s">
        <v>56</v>
      </c>
      <c r="B198" s="2" t="s">
        <v>46</v>
      </c>
      <c r="C198" s="2">
        <v>1012434</v>
      </c>
      <c r="D198" s="2" t="s">
        <v>240</v>
      </c>
      <c r="E198" s="3" t="s">
        <v>63</v>
      </c>
      <c r="F198" s="4">
        <v>0</v>
      </c>
      <c r="G198" s="5">
        <v>0</v>
      </c>
      <c r="H198" s="5">
        <v>0</v>
      </c>
      <c r="I198" s="6">
        <v>0</v>
      </c>
      <c r="J198" s="7">
        <v>0</v>
      </c>
      <c r="K198" s="5">
        <v>0</v>
      </c>
      <c r="L198" s="5">
        <v>0</v>
      </c>
      <c r="M198" s="6">
        <v>0</v>
      </c>
      <c r="N198" s="4">
        <v>0</v>
      </c>
      <c r="O198" s="5">
        <v>0</v>
      </c>
      <c r="P198" s="5">
        <v>0</v>
      </c>
      <c r="Q198" s="6">
        <v>0</v>
      </c>
      <c r="R198" s="7">
        <v>24000</v>
      </c>
      <c r="S198" s="5">
        <v>14</v>
      </c>
      <c r="T198" s="5">
        <v>37</v>
      </c>
      <c r="U198" s="6">
        <v>24000</v>
      </c>
      <c r="V198" s="8"/>
    </row>
    <row r="199" spans="1:22" x14ac:dyDescent="0.2">
      <c r="A199" s="2" t="s">
        <v>56</v>
      </c>
      <c r="B199" s="2" t="s">
        <v>46</v>
      </c>
      <c r="C199" s="2">
        <v>1012451</v>
      </c>
      <c r="D199" s="2" t="s">
        <v>157</v>
      </c>
      <c r="E199" s="3" t="s">
        <v>63</v>
      </c>
      <c r="F199" s="4">
        <v>0</v>
      </c>
      <c r="G199" s="5">
        <v>0</v>
      </c>
      <c r="H199" s="5">
        <v>0</v>
      </c>
      <c r="I199" s="6">
        <v>0</v>
      </c>
      <c r="J199" s="7">
        <v>4050</v>
      </c>
      <c r="K199" s="5">
        <v>12</v>
      </c>
      <c r="L199" s="5">
        <v>12</v>
      </c>
      <c r="M199" s="6">
        <v>4050</v>
      </c>
      <c r="N199" s="4">
        <v>38866.949999999997</v>
      </c>
      <c r="O199" s="5">
        <v>32.024194077487401</v>
      </c>
      <c r="P199" s="5">
        <v>37.093175564329101</v>
      </c>
      <c r="Q199" s="6">
        <v>38866.949999999997</v>
      </c>
      <c r="R199" s="7">
        <v>0</v>
      </c>
      <c r="S199" s="5">
        <v>0</v>
      </c>
      <c r="T199" s="5">
        <v>0</v>
      </c>
      <c r="U199" s="6">
        <v>0</v>
      </c>
      <c r="V199" s="8"/>
    </row>
    <row r="200" spans="1:22" x14ac:dyDescent="0.2">
      <c r="A200" s="2" t="s">
        <v>56</v>
      </c>
      <c r="B200" s="2" t="s">
        <v>46</v>
      </c>
      <c r="C200" s="2">
        <v>1012453</v>
      </c>
      <c r="D200" s="2" t="s">
        <v>242</v>
      </c>
      <c r="E200" s="3" t="s">
        <v>63</v>
      </c>
      <c r="F200" s="4">
        <v>0</v>
      </c>
      <c r="G200" s="5">
        <v>0</v>
      </c>
      <c r="H200" s="5">
        <v>0</v>
      </c>
      <c r="I200" s="6">
        <v>0</v>
      </c>
      <c r="J200" s="7">
        <v>6900.8</v>
      </c>
      <c r="K200" s="5">
        <v>12</v>
      </c>
      <c r="L200" s="5">
        <v>12</v>
      </c>
      <c r="M200" s="6">
        <v>6900.8</v>
      </c>
      <c r="N200" s="4">
        <v>0</v>
      </c>
      <c r="O200" s="5">
        <v>0</v>
      </c>
      <c r="P200" s="5">
        <v>0</v>
      </c>
      <c r="Q200" s="6">
        <v>0</v>
      </c>
      <c r="R200" s="7">
        <v>0</v>
      </c>
      <c r="S200" s="5">
        <v>0</v>
      </c>
      <c r="T200" s="5">
        <v>0</v>
      </c>
      <c r="U200" s="6">
        <v>0</v>
      </c>
      <c r="V200" s="8"/>
    </row>
    <row r="201" spans="1:22" x14ac:dyDescent="0.2">
      <c r="A201" s="2" t="s">
        <v>56</v>
      </c>
      <c r="B201" s="2" t="s">
        <v>46</v>
      </c>
      <c r="C201" s="2">
        <v>1012525</v>
      </c>
      <c r="D201" s="2" t="s">
        <v>244</v>
      </c>
      <c r="E201" s="3" t="s">
        <v>245</v>
      </c>
      <c r="F201" s="4">
        <v>0</v>
      </c>
      <c r="G201" s="5">
        <v>0</v>
      </c>
      <c r="H201" s="5">
        <v>0</v>
      </c>
      <c r="I201" s="6">
        <v>0</v>
      </c>
      <c r="J201" s="7">
        <v>0</v>
      </c>
      <c r="K201" s="5">
        <v>0</v>
      </c>
      <c r="L201" s="5">
        <v>0</v>
      </c>
      <c r="M201" s="6">
        <v>0</v>
      </c>
      <c r="N201" s="4">
        <v>9680</v>
      </c>
      <c r="O201" s="5">
        <v>13</v>
      </c>
      <c r="P201" s="5">
        <v>13</v>
      </c>
      <c r="Q201" s="6">
        <v>9680</v>
      </c>
      <c r="R201" s="7">
        <v>0</v>
      </c>
      <c r="S201" s="5">
        <v>0</v>
      </c>
      <c r="T201" s="5">
        <v>0</v>
      </c>
      <c r="U201" s="6">
        <v>0</v>
      </c>
      <c r="V201" s="8"/>
    </row>
    <row r="202" spans="1:22" x14ac:dyDescent="0.2">
      <c r="A202" s="2" t="s">
        <v>56</v>
      </c>
      <c r="B202" s="2" t="s">
        <v>46</v>
      </c>
      <c r="C202" s="2">
        <v>1012526</v>
      </c>
      <c r="D202" s="2" t="s">
        <v>247</v>
      </c>
      <c r="E202" s="3" t="s">
        <v>245</v>
      </c>
      <c r="F202" s="4">
        <v>0</v>
      </c>
      <c r="G202" s="5">
        <v>0</v>
      </c>
      <c r="H202" s="5">
        <v>0</v>
      </c>
      <c r="I202" s="6">
        <v>0</v>
      </c>
      <c r="J202" s="7">
        <v>0</v>
      </c>
      <c r="K202" s="5">
        <v>0</v>
      </c>
      <c r="L202" s="5">
        <v>0</v>
      </c>
      <c r="M202" s="6">
        <v>0</v>
      </c>
      <c r="N202" s="4">
        <v>10300</v>
      </c>
      <c r="O202" s="5">
        <v>7</v>
      </c>
      <c r="P202" s="5">
        <v>7</v>
      </c>
      <c r="Q202" s="6">
        <v>10300</v>
      </c>
      <c r="R202" s="7">
        <v>0</v>
      </c>
      <c r="S202" s="5">
        <v>0</v>
      </c>
      <c r="T202" s="5">
        <v>0</v>
      </c>
      <c r="U202" s="6">
        <v>0</v>
      </c>
      <c r="V202" s="8"/>
    </row>
    <row r="203" spans="1:22" x14ac:dyDescent="0.2">
      <c r="A203" s="2" t="s">
        <v>56</v>
      </c>
      <c r="B203" s="2" t="s">
        <v>46</v>
      </c>
      <c r="C203" s="2">
        <v>1012595</v>
      </c>
      <c r="D203" s="2" t="s">
        <v>249</v>
      </c>
      <c r="E203" s="3" t="s">
        <v>59</v>
      </c>
      <c r="F203" s="4">
        <v>0</v>
      </c>
      <c r="G203" s="5">
        <v>0</v>
      </c>
      <c r="H203" s="5">
        <v>0</v>
      </c>
      <c r="I203" s="6">
        <v>0</v>
      </c>
      <c r="J203" s="7">
        <v>5184</v>
      </c>
      <c r="K203" s="5">
        <v>12</v>
      </c>
      <c r="L203" s="5">
        <v>12</v>
      </c>
      <c r="M203" s="6">
        <v>5184</v>
      </c>
      <c r="N203" s="4">
        <v>8800</v>
      </c>
      <c r="O203" s="5">
        <v>10</v>
      </c>
      <c r="P203" s="5">
        <v>12</v>
      </c>
      <c r="Q203" s="6">
        <v>8800</v>
      </c>
      <c r="R203" s="7">
        <v>0</v>
      </c>
      <c r="S203" s="5">
        <v>0</v>
      </c>
      <c r="T203" s="5">
        <v>0</v>
      </c>
      <c r="U203" s="6">
        <v>0</v>
      </c>
      <c r="V203" s="8"/>
    </row>
    <row r="204" spans="1:22" x14ac:dyDescent="0.2">
      <c r="A204" s="2" t="s">
        <v>56</v>
      </c>
      <c r="B204" s="2" t="s">
        <v>46</v>
      </c>
      <c r="C204" s="2">
        <v>1012622</v>
      </c>
      <c r="D204" s="2" t="s">
        <v>251</v>
      </c>
      <c r="E204" s="3" t="s">
        <v>124</v>
      </c>
      <c r="F204" s="4">
        <v>0</v>
      </c>
      <c r="G204" s="5">
        <v>0</v>
      </c>
      <c r="H204" s="5">
        <v>0</v>
      </c>
      <c r="I204" s="6">
        <v>0</v>
      </c>
      <c r="J204" s="7">
        <v>80</v>
      </c>
      <c r="K204" s="5">
        <v>12</v>
      </c>
      <c r="L204" s="5">
        <v>12</v>
      </c>
      <c r="M204" s="6">
        <v>80</v>
      </c>
      <c r="N204" s="4">
        <v>0</v>
      </c>
      <c r="O204" s="5">
        <v>0</v>
      </c>
      <c r="P204" s="5">
        <v>0</v>
      </c>
      <c r="Q204" s="6">
        <v>0</v>
      </c>
      <c r="R204" s="7">
        <v>0</v>
      </c>
      <c r="S204" s="5">
        <v>0</v>
      </c>
      <c r="T204" s="5">
        <v>0</v>
      </c>
      <c r="U204" s="6">
        <v>0</v>
      </c>
      <c r="V204" s="8"/>
    </row>
    <row r="205" spans="1:22" x14ac:dyDescent="0.2">
      <c r="A205" s="2" t="s">
        <v>56</v>
      </c>
      <c r="B205" s="2" t="s">
        <v>37</v>
      </c>
      <c r="C205" s="2">
        <v>1012326</v>
      </c>
      <c r="D205" s="2" t="s">
        <v>253</v>
      </c>
      <c r="E205" s="3" t="s">
        <v>54</v>
      </c>
      <c r="F205" s="4">
        <v>0</v>
      </c>
      <c r="G205" s="5">
        <v>0</v>
      </c>
      <c r="H205" s="5">
        <v>0</v>
      </c>
      <c r="I205" s="6">
        <v>0</v>
      </c>
      <c r="J205" s="7">
        <v>0</v>
      </c>
      <c r="K205" s="5">
        <v>0</v>
      </c>
      <c r="L205" s="5">
        <v>0</v>
      </c>
      <c r="M205" s="6">
        <v>0</v>
      </c>
      <c r="N205" s="4">
        <v>5928</v>
      </c>
      <c r="O205" s="5">
        <v>25</v>
      </c>
      <c r="P205" s="5">
        <v>25</v>
      </c>
      <c r="Q205" s="6">
        <v>5928</v>
      </c>
      <c r="R205" s="7">
        <v>0</v>
      </c>
      <c r="S205" s="5">
        <v>0</v>
      </c>
      <c r="T205" s="5">
        <v>0</v>
      </c>
      <c r="U205" s="6">
        <v>0</v>
      </c>
      <c r="V205" s="8"/>
    </row>
    <row r="206" spans="1:22" x14ac:dyDescent="0.2">
      <c r="A206" s="2" t="s">
        <v>34</v>
      </c>
      <c r="B206" s="2" t="s">
        <v>52</v>
      </c>
      <c r="C206" s="2">
        <v>1020822</v>
      </c>
      <c r="D206" s="2" t="s">
        <v>255</v>
      </c>
      <c r="E206" s="3" t="s">
        <v>172</v>
      </c>
      <c r="F206" s="4">
        <v>0</v>
      </c>
      <c r="G206" s="5">
        <v>0</v>
      </c>
      <c r="H206" s="5">
        <v>0</v>
      </c>
      <c r="I206" s="6">
        <v>0</v>
      </c>
      <c r="J206" s="7">
        <v>0</v>
      </c>
      <c r="K206" s="5">
        <v>0</v>
      </c>
      <c r="L206" s="5">
        <v>0</v>
      </c>
      <c r="M206" s="6">
        <v>0</v>
      </c>
      <c r="N206" s="4">
        <v>10272.08</v>
      </c>
      <c r="O206" s="5">
        <v>18</v>
      </c>
      <c r="P206" s="5">
        <v>24</v>
      </c>
      <c r="Q206" s="6">
        <v>10272.08</v>
      </c>
      <c r="R206" s="7">
        <v>0</v>
      </c>
      <c r="S206" s="5">
        <v>0</v>
      </c>
      <c r="T206" s="5">
        <v>0</v>
      </c>
      <c r="U206" s="6">
        <v>0</v>
      </c>
      <c r="V206" s="8"/>
    </row>
    <row r="207" spans="1:22" x14ac:dyDescent="0.2">
      <c r="A207" s="2" t="s">
        <v>34</v>
      </c>
      <c r="B207" s="2" t="s">
        <v>52</v>
      </c>
      <c r="C207" s="2">
        <v>1020828</v>
      </c>
      <c r="D207" s="2" t="s">
        <v>75</v>
      </c>
      <c r="E207" s="3" t="s">
        <v>76</v>
      </c>
      <c r="F207" s="4">
        <v>0</v>
      </c>
      <c r="G207" s="5">
        <v>0</v>
      </c>
      <c r="H207" s="5">
        <v>0</v>
      </c>
      <c r="I207" s="6">
        <v>0</v>
      </c>
      <c r="J207" s="7">
        <v>0</v>
      </c>
      <c r="K207" s="5">
        <v>0</v>
      </c>
      <c r="L207" s="5">
        <v>0</v>
      </c>
      <c r="M207" s="6">
        <v>0</v>
      </c>
      <c r="N207" s="4">
        <v>35530</v>
      </c>
      <c r="O207" s="5">
        <v>39.026456515620602</v>
      </c>
      <c r="P207" s="5">
        <v>39.718266253869999</v>
      </c>
      <c r="Q207" s="6">
        <v>35530</v>
      </c>
      <c r="R207" s="7">
        <v>0</v>
      </c>
      <c r="S207" s="5">
        <v>0</v>
      </c>
      <c r="T207" s="5">
        <v>0</v>
      </c>
      <c r="U207" s="6">
        <v>0</v>
      </c>
      <c r="V207" s="8"/>
    </row>
    <row r="208" spans="1:22" x14ac:dyDescent="0.2">
      <c r="A208" s="2" t="s">
        <v>34</v>
      </c>
      <c r="B208" s="2" t="s">
        <v>52</v>
      </c>
      <c r="C208" s="2">
        <v>1021398</v>
      </c>
      <c r="D208" s="2" t="s">
        <v>119</v>
      </c>
      <c r="E208" s="3" t="s">
        <v>67</v>
      </c>
      <c r="F208" s="4">
        <v>0</v>
      </c>
      <c r="G208" s="5">
        <v>0</v>
      </c>
      <c r="H208" s="5">
        <v>0</v>
      </c>
      <c r="I208" s="6">
        <v>0</v>
      </c>
      <c r="J208" s="7">
        <v>0</v>
      </c>
      <c r="K208" s="5">
        <v>0</v>
      </c>
      <c r="L208" s="5">
        <v>0</v>
      </c>
      <c r="M208" s="6">
        <v>0</v>
      </c>
      <c r="N208" s="4">
        <v>28350</v>
      </c>
      <c r="O208" s="5">
        <v>26</v>
      </c>
      <c r="P208" s="5">
        <v>44.877248677248701</v>
      </c>
      <c r="Q208" s="6">
        <v>28350</v>
      </c>
      <c r="R208" s="7">
        <v>115</v>
      </c>
      <c r="S208" s="5">
        <v>81</v>
      </c>
      <c r="T208" s="5">
        <v>130</v>
      </c>
      <c r="U208" s="6">
        <v>115</v>
      </c>
      <c r="V208" s="8"/>
    </row>
    <row r="209" spans="1:22" x14ac:dyDescent="0.2">
      <c r="A209" s="2" t="s">
        <v>34</v>
      </c>
      <c r="B209" s="2" t="s">
        <v>52</v>
      </c>
      <c r="C209" s="2">
        <v>1021538</v>
      </c>
      <c r="D209" s="2" t="s">
        <v>177</v>
      </c>
      <c r="E209" s="3" t="s">
        <v>178</v>
      </c>
      <c r="F209" s="4">
        <v>0</v>
      </c>
      <c r="G209" s="5">
        <v>0</v>
      </c>
      <c r="H209" s="5">
        <v>0</v>
      </c>
      <c r="I209" s="6">
        <v>0</v>
      </c>
      <c r="J209" s="7">
        <v>24024.58</v>
      </c>
      <c r="K209" s="5">
        <v>9</v>
      </c>
      <c r="L209" s="5">
        <v>9</v>
      </c>
      <c r="M209" s="6">
        <v>24024.58</v>
      </c>
      <c r="N209" s="4">
        <v>5420.4129999999996</v>
      </c>
      <c r="O209" s="5">
        <v>18.000006641560301</v>
      </c>
      <c r="P209" s="5">
        <v>24.0000088554138</v>
      </c>
      <c r="Q209" s="6">
        <v>5420.4129999999996</v>
      </c>
      <c r="R209" s="7">
        <v>16.939</v>
      </c>
      <c r="S209" s="5">
        <v>18</v>
      </c>
      <c r="T209" s="5">
        <v>24</v>
      </c>
      <c r="U209" s="6">
        <v>16.939</v>
      </c>
      <c r="V209" s="8"/>
    </row>
    <row r="210" spans="1:22" x14ac:dyDescent="0.2">
      <c r="A210" s="2" t="s">
        <v>34</v>
      </c>
      <c r="B210" s="2" t="s">
        <v>52</v>
      </c>
      <c r="C210" s="2">
        <v>1022619</v>
      </c>
      <c r="D210" s="2" t="s">
        <v>159</v>
      </c>
      <c r="E210" s="3" t="s">
        <v>160</v>
      </c>
      <c r="F210" s="4">
        <v>0</v>
      </c>
      <c r="G210" s="5">
        <v>0</v>
      </c>
      <c r="H210" s="5">
        <v>0</v>
      </c>
      <c r="I210" s="6">
        <v>0</v>
      </c>
      <c r="J210" s="7">
        <v>0</v>
      </c>
      <c r="K210" s="5">
        <v>0</v>
      </c>
      <c r="L210" s="5">
        <v>0</v>
      </c>
      <c r="M210" s="6">
        <v>0</v>
      </c>
      <c r="N210" s="4">
        <v>31906.54</v>
      </c>
      <c r="O210" s="5">
        <v>35.058742188905498</v>
      </c>
      <c r="P210" s="5">
        <v>35.058742188905498</v>
      </c>
      <c r="Q210" s="6">
        <v>31906.54</v>
      </c>
      <c r="R210" s="7">
        <v>0</v>
      </c>
      <c r="S210" s="5">
        <v>0</v>
      </c>
      <c r="T210" s="5">
        <v>0</v>
      </c>
      <c r="U210" s="6">
        <v>0</v>
      </c>
      <c r="V210" s="8"/>
    </row>
    <row r="211" spans="1:22" x14ac:dyDescent="0.2">
      <c r="A211" s="2" t="s">
        <v>34</v>
      </c>
      <c r="B211" s="2" t="s">
        <v>52</v>
      </c>
      <c r="C211" s="2">
        <v>1022883</v>
      </c>
      <c r="D211" s="2" t="s">
        <v>121</v>
      </c>
      <c r="E211" s="3" t="s">
        <v>76</v>
      </c>
      <c r="F211" s="4">
        <v>0</v>
      </c>
      <c r="G211" s="5">
        <v>0</v>
      </c>
      <c r="H211" s="5">
        <v>0</v>
      </c>
      <c r="I211" s="6">
        <v>0</v>
      </c>
      <c r="J211" s="7">
        <v>0</v>
      </c>
      <c r="K211" s="5">
        <v>0</v>
      </c>
      <c r="L211" s="5">
        <v>0</v>
      </c>
      <c r="M211" s="6">
        <v>0</v>
      </c>
      <c r="N211" s="4">
        <v>33536</v>
      </c>
      <c r="O211" s="5">
        <v>61.748091603053403</v>
      </c>
      <c r="P211" s="5">
        <v>67.328244274809194</v>
      </c>
      <c r="Q211" s="6">
        <v>33536</v>
      </c>
      <c r="R211" s="7">
        <v>0</v>
      </c>
      <c r="S211" s="5">
        <v>0</v>
      </c>
      <c r="T211" s="5">
        <v>0</v>
      </c>
      <c r="U211" s="6">
        <v>0</v>
      </c>
      <c r="V211" s="8"/>
    </row>
    <row r="212" spans="1:22" x14ac:dyDescent="0.2">
      <c r="A212" s="2" t="s">
        <v>34</v>
      </c>
      <c r="B212" s="2" t="s">
        <v>52</v>
      </c>
      <c r="C212" s="2">
        <v>1023050</v>
      </c>
      <c r="D212" s="2" t="s">
        <v>93</v>
      </c>
      <c r="E212" s="3" t="s">
        <v>43</v>
      </c>
      <c r="F212" s="4">
        <v>0</v>
      </c>
      <c r="G212" s="5">
        <v>0</v>
      </c>
      <c r="H212" s="5">
        <v>0</v>
      </c>
      <c r="I212" s="6">
        <v>0</v>
      </c>
      <c r="J212" s="7">
        <v>0</v>
      </c>
      <c r="K212" s="5">
        <v>0</v>
      </c>
      <c r="L212" s="5">
        <v>0</v>
      </c>
      <c r="M212" s="6">
        <v>0</v>
      </c>
      <c r="N212" s="4">
        <v>0</v>
      </c>
      <c r="O212" s="5">
        <v>0</v>
      </c>
      <c r="P212" s="5">
        <v>0</v>
      </c>
      <c r="Q212" s="6">
        <v>0</v>
      </c>
      <c r="R212" s="7">
        <v>187.99600000000001</v>
      </c>
      <c r="S212" s="5">
        <v>79.570150428732504</v>
      </c>
      <c r="T212" s="5">
        <v>98.369178067618506</v>
      </c>
      <c r="U212" s="6">
        <v>187.99600000000001</v>
      </c>
      <c r="V212" s="8"/>
    </row>
    <row r="213" spans="1:22" x14ac:dyDescent="0.2">
      <c r="A213" s="2" t="s">
        <v>34</v>
      </c>
      <c r="B213" s="2" t="s">
        <v>52</v>
      </c>
      <c r="C213" s="2">
        <v>1023175</v>
      </c>
      <c r="D213" s="2" t="s">
        <v>123</v>
      </c>
      <c r="E213" s="3" t="s">
        <v>124</v>
      </c>
      <c r="F213" s="4">
        <v>0</v>
      </c>
      <c r="G213" s="5">
        <v>0</v>
      </c>
      <c r="H213" s="5">
        <v>0</v>
      </c>
      <c r="I213" s="6">
        <v>0</v>
      </c>
      <c r="J213" s="7">
        <v>0</v>
      </c>
      <c r="K213" s="5">
        <v>0</v>
      </c>
      <c r="L213" s="5">
        <v>0</v>
      </c>
      <c r="M213" s="6">
        <v>0</v>
      </c>
      <c r="N213" s="4">
        <v>46.9</v>
      </c>
      <c r="O213" s="5">
        <v>80</v>
      </c>
      <c r="P213" s="5">
        <v>153</v>
      </c>
      <c r="Q213" s="6">
        <v>46.9</v>
      </c>
      <c r="R213" s="7">
        <v>0</v>
      </c>
      <c r="S213" s="5">
        <v>0</v>
      </c>
      <c r="T213" s="5">
        <v>0</v>
      </c>
      <c r="U213" s="6">
        <v>0</v>
      </c>
      <c r="V213" s="8"/>
    </row>
    <row r="214" spans="1:22" x14ac:dyDescent="0.2">
      <c r="A214" s="2" t="s">
        <v>34</v>
      </c>
      <c r="B214" s="2" t="s">
        <v>52</v>
      </c>
      <c r="C214" s="2">
        <v>1023190</v>
      </c>
      <c r="D214" s="2" t="s">
        <v>258</v>
      </c>
      <c r="E214" s="3" t="s">
        <v>259</v>
      </c>
      <c r="F214" s="4">
        <v>0</v>
      </c>
      <c r="G214" s="5">
        <v>0</v>
      </c>
      <c r="H214" s="5">
        <v>0</v>
      </c>
      <c r="I214" s="6">
        <v>0</v>
      </c>
      <c r="J214" s="7">
        <v>20.626999999999999</v>
      </c>
      <c r="K214" s="5">
        <v>26</v>
      </c>
      <c r="L214" s="5">
        <v>26</v>
      </c>
      <c r="M214" s="6">
        <v>20.626999999999999</v>
      </c>
      <c r="N214" s="4">
        <v>0</v>
      </c>
      <c r="O214" s="5">
        <v>0</v>
      </c>
      <c r="P214" s="5">
        <v>0</v>
      </c>
      <c r="Q214" s="6">
        <v>0</v>
      </c>
      <c r="R214" s="7">
        <v>0</v>
      </c>
      <c r="S214" s="5">
        <v>0</v>
      </c>
      <c r="T214" s="5">
        <v>0</v>
      </c>
      <c r="U214" s="6">
        <v>0</v>
      </c>
      <c r="V214" s="8"/>
    </row>
    <row r="215" spans="1:22" x14ac:dyDescent="0.2">
      <c r="A215" s="2" t="s">
        <v>34</v>
      </c>
      <c r="B215" s="2" t="s">
        <v>52</v>
      </c>
      <c r="C215" s="2">
        <v>1023273</v>
      </c>
      <c r="D215" s="2" t="s">
        <v>261</v>
      </c>
      <c r="E215" s="3" t="s">
        <v>96</v>
      </c>
      <c r="F215" s="4">
        <v>0</v>
      </c>
      <c r="G215" s="5">
        <v>0</v>
      </c>
      <c r="H215" s="5">
        <v>0</v>
      </c>
      <c r="I215" s="6">
        <v>0</v>
      </c>
      <c r="J215" s="7">
        <v>8616.2900000000009</v>
      </c>
      <c r="K215" s="5">
        <v>2</v>
      </c>
      <c r="L215" s="5">
        <v>2</v>
      </c>
      <c r="M215" s="6">
        <v>8616.2900000000009</v>
      </c>
      <c r="N215" s="4">
        <v>18086.16</v>
      </c>
      <c r="O215" s="5">
        <v>2</v>
      </c>
      <c r="P215" s="5">
        <v>9</v>
      </c>
      <c r="Q215" s="6">
        <v>18086.16</v>
      </c>
      <c r="R215" s="7">
        <v>0</v>
      </c>
      <c r="S215" s="5">
        <v>0</v>
      </c>
      <c r="T215" s="5">
        <v>0</v>
      </c>
      <c r="U215" s="6">
        <v>0</v>
      </c>
      <c r="V215" s="8"/>
    </row>
    <row r="216" spans="1:22" x14ac:dyDescent="0.2">
      <c r="A216" s="2" t="s">
        <v>34</v>
      </c>
      <c r="B216" s="2" t="s">
        <v>52</v>
      </c>
      <c r="C216" s="2">
        <v>1023274</v>
      </c>
      <c r="D216" s="2" t="s">
        <v>162</v>
      </c>
      <c r="E216" s="3" t="s">
        <v>96</v>
      </c>
      <c r="F216" s="4">
        <v>0</v>
      </c>
      <c r="G216" s="5">
        <v>0</v>
      </c>
      <c r="H216" s="5">
        <v>0</v>
      </c>
      <c r="I216" s="6">
        <v>0</v>
      </c>
      <c r="J216" s="7">
        <v>14992.85</v>
      </c>
      <c r="K216" s="5">
        <v>2</v>
      </c>
      <c r="L216" s="5">
        <v>2</v>
      </c>
      <c r="M216" s="6">
        <v>14992.85</v>
      </c>
      <c r="N216" s="4">
        <v>20207.008999999998</v>
      </c>
      <c r="O216" s="5">
        <v>27.021582263857098</v>
      </c>
      <c r="P216" s="5">
        <v>27.021582263857098</v>
      </c>
      <c r="Q216" s="6">
        <v>20207.008999999998</v>
      </c>
      <c r="R216" s="7">
        <v>0</v>
      </c>
      <c r="S216" s="5">
        <v>0</v>
      </c>
      <c r="T216" s="5">
        <v>0</v>
      </c>
      <c r="U216" s="6">
        <v>0</v>
      </c>
      <c r="V216" s="8"/>
    </row>
    <row r="217" spans="1:22" x14ac:dyDescent="0.2">
      <c r="A217" s="2" t="s">
        <v>34</v>
      </c>
      <c r="B217" s="2" t="s">
        <v>52</v>
      </c>
      <c r="C217" s="2">
        <v>1023276</v>
      </c>
      <c r="D217" s="2" t="s">
        <v>95</v>
      </c>
      <c r="E217" s="3" t="s">
        <v>96</v>
      </c>
      <c r="F217" s="4">
        <v>0</v>
      </c>
      <c r="G217" s="5">
        <v>0</v>
      </c>
      <c r="H217" s="5">
        <v>0</v>
      </c>
      <c r="I217" s="6">
        <v>0</v>
      </c>
      <c r="J217" s="7">
        <v>18152.34</v>
      </c>
      <c r="K217" s="5">
        <v>2</v>
      </c>
      <c r="L217" s="5">
        <v>2</v>
      </c>
      <c r="M217" s="6">
        <v>18152.34</v>
      </c>
      <c r="N217" s="4">
        <v>2805.9650000000001</v>
      </c>
      <c r="O217" s="5">
        <v>104.991886926601</v>
      </c>
      <c r="P217" s="5">
        <v>107.288816503413</v>
      </c>
      <c r="Q217" s="6">
        <v>2805.9650000000001</v>
      </c>
      <c r="R217" s="7">
        <v>0</v>
      </c>
      <c r="S217" s="5">
        <v>0</v>
      </c>
      <c r="T217" s="5">
        <v>0</v>
      </c>
      <c r="U217" s="6">
        <v>0</v>
      </c>
      <c r="V217" s="8"/>
    </row>
    <row r="218" spans="1:22" x14ac:dyDescent="0.2">
      <c r="A218" s="2" t="s">
        <v>34</v>
      </c>
      <c r="B218" s="2" t="s">
        <v>52</v>
      </c>
      <c r="C218" s="2">
        <v>1023410</v>
      </c>
      <c r="D218" s="2" t="s">
        <v>164</v>
      </c>
      <c r="E218" s="3" t="s">
        <v>67</v>
      </c>
      <c r="F218" s="4">
        <v>0</v>
      </c>
      <c r="G218" s="5">
        <v>0</v>
      </c>
      <c r="H218" s="5">
        <v>0</v>
      </c>
      <c r="I218" s="6">
        <v>0</v>
      </c>
      <c r="J218" s="7">
        <v>96</v>
      </c>
      <c r="K218" s="5">
        <v>24</v>
      </c>
      <c r="L218" s="5">
        <v>24</v>
      </c>
      <c r="M218" s="6">
        <v>96</v>
      </c>
      <c r="N218" s="4">
        <v>24</v>
      </c>
      <c r="O218" s="5">
        <v>45</v>
      </c>
      <c r="P218" s="5">
        <v>45</v>
      </c>
      <c r="Q218" s="6">
        <v>24</v>
      </c>
      <c r="R218" s="7">
        <v>0</v>
      </c>
      <c r="S218" s="5">
        <v>0</v>
      </c>
      <c r="T218" s="5">
        <v>0</v>
      </c>
      <c r="U218" s="6">
        <v>0</v>
      </c>
      <c r="V218" s="8"/>
    </row>
    <row r="219" spans="1:22" x14ac:dyDescent="0.2">
      <c r="A219" s="2" t="s">
        <v>34</v>
      </c>
      <c r="B219" s="2" t="s">
        <v>226</v>
      </c>
      <c r="C219" s="2">
        <v>1020853</v>
      </c>
      <c r="D219" s="2" t="s">
        <v>119</v>
      </c>
      <c r="E219" s="3" t="s">
        <v>67</v>
      </c>
      <c r="F219" s="4">
        <v>0</v>
      </c>
      <c r="G219" s="5">
        <v>0</v>
      </c>
      <c r="H219" s="5">
        <v>0</v>
      </c>
      <c r="I219" s="6">
        <v>0</v>
      </c>
      <c r="J219" s="7">
        <v>0</v>
      </c>
      <c r="K219" s="5">
        <v>0</v>
      </c>
      <c r="L219" s="5">
        <v>0</v>
      </c>
      <c r="M219" s="6">
        <v>0</v>
      </c>
      <c r="N219" s="4">
        <v>20000</v>
      </c>
      <c r="O219" s="5">
        <v>9</v>
      </c>
      <c r="P219" s="5">
        <v>11</v>
      </c>
      <c r="Q219" s="6">
        <v>20000</v>
      </c>
      <c r="R219" s="7">
        <v>0</v>
      </c>
      <c r="S219" s="5">
        <v>0</v>
      </c>
      <c r="T219" s="5">
        <v>0</v>
      </c>
      <c r="U219" s="6">
        <v>0</v>
      </c>
      <c r="V219" s="8"/>
    </row>
    <row r="220" spans="1:22" x14ac:dyDescent="0.2">
      <c r="A220" s="2" t="s">
        <v>34</v>
      </c>
      <c r="B220" s="2" t="s">
        <v>150</v>
      </c>
      <c r="C220" s="2">
        <v>1021272</v>
      </c>
      <c r="D220" s="2" t="s">
        <v>264</v>
      </c>
      <c r="E220" s="3" t="s">
        <v>175</v>
      </c>
      <c r="F220" s="4">
        <v>0</v>
      </c>
      <c r="G220" s="5">
        <v>0</v>
      </c>
      <c r="H220" s="5">
        <v>0</v>
      </c>
      <c r="I220" s="6">
        <v>0</v>
      </c>
      <c r="J220" s="7">
        <v>0</v>
      </c>
      <c r="K220" s="5">
        <v>0</v>
      </c>
      <c r="L220" s="5">
        <v>0</v>
      </c>
      <c r="M220" s="6">
        <v>0</v>
      </c>
      <c r="N220" s="4">
        <v>24002.552</v>
      </c>
      <c r="O220" s="5">
        <v>2</v>
      </c>
      <c r="P220" s="5">
        <v>10</v>
      </c>
      <c r="Q220" s="6">
        <v>24002.552</v>
      </c>
      <c r="R220" s="7">
        <v>0</v>
      </c>
      <c r="S220" s="5">
        <v>0</v>
      </c>
      <c r="T220" s="5">
        <v>0</v>
      </c>
      <c r="U220" s="6">
        <v>0</v>
      </c>
      <c r="V220" s="8"/>
    </row>
    <row r="221" spans="1:22" x14ac:dyDescent="0.2">
      <c r="A221" s="2" t="s">
        <v>34</v>
      </c>
      <c r="B221" s="2" t="s">
        <v>150</v>
      </c>
      <c r="C221" s="2">
        <v>1023218</v>
      </c>
      <c r="D221" s="2" t="s">
        <v>266</v>
      </c>
      <c r="E221" s="3" t="s">
        <v>259</v>
      </c>
      <c r="F221" s="4">
        <v>0</v>
      </c>
      <c r="G221" s="5">
        <v>0</v>
      </c>
      <c r="H221" s="5">
        <v>0</v>
      </c>
      <c r="I221" s="6">
        <v>0</v>
      </c>
      <c r="J221" s="7">
        <v>0</v>
      </c>
      <c r="K221" s="5">
        <v>0</v>
      </c>
      <c r="L221" s="5">
        <v>0</v>
      </c>
      <c r="M221" s="6">
        <v>0</v>
      </c>
      <c r="N221" s="4">
        <v>48000</v>
      </c>
      <c r="O221" s="5">
        <v>2</v>
      </c>
      <c r="P221" s="5">
        <v>7.5</v>
      </c>
      <c r="Q221" s="6">
        <v>48000</v>
      </c>
      <c r="R221" s="7">
        <v>0</v>
      </c>
      <c r="S221" s="5">
        <v>0</v>
      </c>
      <c r="T221" s="5">
        <v>0</v>
      </c>
      <c r="U221" s="6">
        <v>0</v>
      </c>
      <c r="V221" s="8"/>
    </row>
    <row r="222" spans="1:22" x14ac:dyDescent="0.2">
      <c r="A222" s="2" t="s">
        <v>34</v>
      </c>
      <c r="B222" s="2" t="s">
        <v>150</v>
      </c>
      <c r="C222" s="2">
        <v>1023219</v>
      </c>
      <c r="D222" s="2" t="s">
        <v>166</v>
      </c>
      <c r="E222" s="3" t="s">
        <v>167</v>
      </c>
      <c r="F222" s="4">
        <v>0</v>
      </c>
      <c r="G222" s="5">
        <v>0</v>
      </c>
      <c r="H222" s="5">
        <v>0</v>
      </c>
      <c r="I222" s="6">
        <v>0</v>
      </c>
      <c r="J222" s="7">
        <v>0</v>
      </c>
      <c r="K222" s="5">
        <v>0</v>
      </c>
      <c r="L222" s="5">
        <v>0</v>
      </c>
      <c r="M222" s="6">
        <v>0</v>
      </c>
      <c r="N222" s="4">
        <v>24002.992999999999</v>
      </c>
      <c r="O222" s="5">
        <v>2</v>
      </c>
      <c r="P222" s="5">
        <v>9</v>
      </c>
      <c r="Q222" s="6">
        <v>24002.992999999999</v>
      </c>
      <c r="R222" s="7">
        <v>0</v>
      </c>
      <c r="S222" s="5">
        <v>0</v>
      </c>
      <c r="T222" s="5">
        <v>0</v>
      </c>
      <c r="U222" s="6">
        <v>0</v>
      </c>
      <c r="V222" s="8"/>
    </row>
    <row r="223" spans="1:22" x14ac:dyDescent="0.2">
      <c r="A223" s="2" t="s">
        <v>34</v>
      </c>
      <c r="B223" s="2" t="s">
        <v>150</v>
      </c>
      <c r="C223" s="2">
        <v>1023302</v>
      </c>
      <c r="D223" s="2" t="s">
        <v>47</v>
      </c>
      <c r="E223" s="3" t="s">
        <v>48</v>
      </c>
      <c r="F223" s="4">
        <v>0</v>
      </c>
      <c r="G223" s="5">
        <v>0</v>
      </c>
      <c r="H223" s="5">
        <v>0</v>
      </c>
      <c r="I223" s="6">
        <v>0</v>
      </c>
      <c r="J223" s="7">
        <v>47960</v>
      </c>
      <c r="K223" s="5">
        <v>11.507089241034199</v>
      </c>
      <c r="L223" s="5">
        <v>11.507089241034199</v>
      </c>
      <c r="M223" s="6">
        <v>47960</v>
      </c>
      <c r="N223" s="4">
        <v>0</v>
      </c>
      <c r="O223" s="5">
        <v>0</v>
      </c>
      <c r="P223" s="5">
        <v>0</v>
      </c>
      <c r="Q223" s="6">
        <v>0</v>
      </c>
      <c r="R223" s="7">
        <v>0</v>
      </c>
      <c r="S223" s="5">
        <v>0</v>
      </c>
      <c r="T223" s="5">
        <v>0</v>
      </c>
      <c r="U223" s="6">
        <v>0</v>
      </c>
      <c r="V223" s="8"/>
    </row>
    <row r="224" spans="1:22" x14ac:dyDescent="0.2">
      <c r="A224" s="2" t="s">
        <v>34</v>
      </c>
      <c r="B224" s="2" t="s">
        <v>150</v>
      </c>
      <c r="C224" s="2">
        <v>1023324</v>
      </c>
      <c r="D224" s="2" t="s">
        <v>270</v>
      </c>
      <c r="E224" s="3" t="s">
        <v>96</v>
      </c>
      <c r="F224" s="4">
        <v>0</v>
      </c>
      <c r="G224" s="5">
        <v>0</v>
      </c>
      <c r="H224" s="5">
        <v>0</v>
      </c>
      <c r="I224" s="6">
        <v>0</v>
      </c>
      <c r="J224" s="7">
        <v>23995.24</v>
      </c>
      <c r="K224" s="5">
        <v>5</v>
      </c>
      <c r="L224" s="5">
        <v>5</v>
      </c>
      <c r="M224" s="6">
        <v>23995.24</v>
      </c>
      <c r="N224" s="4">
        <v>0</v>
      </c>
      <c r="O224" s="5">
        <v>0</v>
      </c>
      <c r="P224" s="5">
        <v>0</v>
      </c>
      <c r="Q224" s="6">
        <v>0</v>
      </c>
      <c r="R224" s="7">
        <v>0</v>
      </c>
      <c r="S224" s="5">
        <v>0</v>
      </c>
      <c r="T224" s="5">
        <v>0</v>
      </c>
      <c r="U224" s="6">
        <v>0</v>
      </c>
      <c r="V224" s="8"/>
    </row>
    <row r="225" spans="1:22" x14ac:dyDescent="0.2">
      <c r="A225" s="2" t="s">
        <v>34</v>
      </c>
      <c r="B225" s="2" t="s">
        <v>150</v>
      </c>
      <c r="C225" s="2">
        <v>1023421</v>
      </c>
      <c r="D225" s="2" t="s">
        <v>272</v>
      </c>
      <c r="E225" s="3" t="s">
        <v>191</v>
      </c>
      <c r="F225" s="4">
        <v>0</v>
      </c>
      <c r="G225" s="5">
        <v>0</v>
      </c>
      <c r="H225" s="5">
        <v>0</v>
      </c>
      <c r="I225" s="6">
        <v>0</v>
      </c>
      <c r="J225" s="7">
        <v>0</v>
      </c>
      <c r="K225" s="5">
        <v>0</v>
      </c>
      <c r="L225" s="5">
        <v>0</v>
      </c>
      <c r="M225" s="6">
        <v>0</v>
      </c>
      <c r="N225" s="4">
        <v>41049.987000000001</v>
      </c>
      <c r="O225" s="5">
        <v>18.274753412224001</v>
      </c>
      <c r="P225" s="5">
        <v>23.447278071001602</v>
      </c>
      <c r="Q225" s="6">
        <v>41049.987000000001</v>
      </c>
      <c r="R225" s="7">
        <v>0</v>
      </c>
      <c r="S225" s="5">
        <v>0</v>
      </c>
      <c r="T225" s="5">
        <v>0</v>
      </c>
      <c r="U225" s="6">
        <v>0</v>
      </c>
      <c r="V225" s="8"/>
    </row>
    <row r="226" spans="1:22" x14ac:dyDescent="0.2">
      <c r="A226" s="2" t="s">
        <v>34</v>
      </c>
      <c r="B226" s="2" t="s">
        <v>46</v>
      </c>
      <c r="C226" s="2">
        <v>1021731</v>
      </c>
      <c r="D226" s="2" t="s">
        <v>274</v>
      </c>
      <c r="E226" s="3" t="s">
        <v>167</v>
      </c>
      <c r="F226" s="4">
        <v>0</v>
      </c>
      <c r="G226" s="5">
        <v>0</v>
      </c>
      <c r="H226" s="5">
        <v>0</v>
      </c>
      <c r="I226" s="6">
        <v>0</v>
      </c>
      <c r="J226" s="7">
        <v>23820</v>
      </c>
      <c r="K226" s="5">
        <v>2</v>
      </c>
      <c r="L226" s="5">
        <v>2</v>
      </c>
      <c r="M226" s="6">
        <v>23820</v>
      </c>
      <c r="N226" s="4">
        <v>24280</v>
      </c>
      <c r="O226" s="5">
        <v>4</v>
      </c>
      <c r="P226" s="5">
        <v>6</v>
      </c>
      <c r="Q226" s="6">
        <v>24280</v>
      </c>
      <c r="R226" s="7">
        <v>24500</v>
      </c>
      <c r="S226" s="5">
        <v>2</v>
      </c>
      <c r="T226" s="5">
        <v>4</v>
      </c>
      <c r="U226" s="6">
        <v>24500</v>
      </c>
      <c r="V226" s="8"/>
    </row>
    <row r="227" spans="1:22" x14ac:dyDescent="0.2">
      <c r="A227" s="2" t="s">
        <v>34</v>
      </c>
      <c r="B227" s="2" t="s">
        <v>46</v>
      </c>
      <c r="C227" s="2">
        <v>1021732</v>
      </c>
      <c r="D227" s="2" t="s">
        <v>276</v>
      </c>
      <c r="E227" s="3" t="s">
        <v>172</v>
      </c>
      <c r="F227" s="4">
        <v>0</v>
      </c>
      <c r="G227" s="5">
        <v>0</v>
      </c>
      <c r="H227" s="5">
        <v>0</v>
      </c>
      <c r="I227" s="6">
        <v>0</v>
      </c>
      <c r="J227" s="7">
        <v>96160</v>
      </c>
      <c r="K227" s="5">
        <v>2.7504159733777001</v>
      </c>
      <c r="L227" s="5">
        <v>3.4991680532445901</v>
      </c>
      <c r="M227" s="6">
        <v>96160</v>
      </c>
      <c r="N227" s="4">
        <v>73000</v>
      </c>
      <c r="O227" s="5">
        <v>12.5205479452055</v>
      </c>
      <c r="P227" s="5">
        <v>13.8767123287671</v>
      </c>
      <c r="Q227" s="6">
        <v>73000</v>
      </c>
      <c r="R227" s="7">
        <v>24160</v>
      </c>
      <c r="S227" s="5">
        <v>2</v>
      </c>
      <c r="T227" s="5">
        <v>4</v>
      </c>
      <c r="U227" s="6">
        <v>24160</v>
      </c>
      <c r="V227" s="8"/>
    </row>
    <row r="228" spans="1:22" x14ac:dyDescent="0.2">
      <c r="A228" s="2" t="s">
        <v>34</v>
      </c>
      <c r="B228" s="2" t="s">
        <v>46</v>
      </c>
      <c r="C228" s="2">
        <v>1021733</v>
      </c>
      <c r="D228" s="2" t="s">
        <v>270</v>
      </c>
      <c r="E228" s="3" t="s">
        <v>96</v>
      </c>
      <c r="F228" s="4">
        <v>0</v>
      </c>
      <c r="G228" s="5">
        <v>0</v>
      </c>
      <c r="H228" s="5">
        <v>0</v>
      </c>
      <c r="I228" s="6">
        <v>0</v>
      </c>
      <c r="J228" s="7">
        <v>24379.45</v>
      </c>
      <c r="K228" s="5">
        <v>3</v>
      </c>
      <c r="L228" s="5">
        <v>3</v>
      </c>
      <c r="M228" s="6">
        <v>24379.45</v>
      </c>
      <c r="N228" s="4">
        <v>14535.026</v>
      </c>
      <c r="O228" s="5">
        <v>3</v>
      </c>
      <c r="P228" s="5">
        <v>44</v>
      </c>
      <c r="Q228" s="6">
        <v>14535.026</v>
      </c>
      <c r="R228" s="7">
        <v>0</v>
      </c>
      <c r="S228" s="5">
        <v>0</v>
      </c>
      <c r="T228" s="5">
        <v>0</v>
      </c>
      <c r="U228" s="6">
        <v>0</v>
      </c>
      <c r="V228" s="8"/>
    </row>
    <row r="229" spans="1:22" x14ac:dyDescent="0.2">
      <c r="A229" s="2" t="s">
        <v>34</v>
      </c>
      <c r="B229" s="2" t="s">
        <v>46</v>
      </c>
      <c r="C229" s="2">
        <v>1021735</v>
      </c>
      <c r="D229" s="2" t="s">
        <v>279</v>
      </c>
      <c r="E229" s="3" t="s">
        <v>259</v>
      </c>
      <c r="F229" s="4">
        <v>0</v>
      </c>
      <c r="G229" s="5">
        <v>0</v>
      </c>
      <c r="H229" s="5">
        <v>0</v>
      </c>
      <c r="I229" s="6">
        <v>0</v>
      </c>
      <c r="J229" s="7">
        <v>0</v>
      </c>
      <c r="K229" s="5">
        <v>0</v>
      </c>
      <c r="L229" s="5">
        <v>0</v>
      </c>
      <c r="M229" s="6">
        <v>0</v>
      </c>
      <c r="N229" s="4">
        <v>47580</v>
      </c>
      <c r="O229" s="5">
        <v>10.4968474148802</v>
      </c>
      <c r="P229" s="5">
        <v>12</v>
      </c>
      <c r="Q229" s="6">
        <v>47580</v>
      </c>
      <c r="R229" s="7">
        <v>0</v>
      </c>
      <c r="S229" s="5">
        <v>0</v>
      </c>
      <c r="T229" s="5">
        <v>0</v>
      </c>
      <c r="U229" s="6">
        <v>0</v>
      </c>
      <c r="V229" s="8"/>
    </row>
    <row r="230" spans="1:22" x14ac:dyDescent="0.2">
      <c r="A230" s="2" t="s">
        <v>34</v>
      </c>
      <c r="B230" s="2" t="s">
        <v>46</v>
      </c>
      <c r="C230" s="2">
        <v>1021737</v>
      </c>
      <c r="D230" s="2" t="s">
        <v>281</v>
      </c>
      <c r="E230" s="3" t="s">
        <v>259</v>
      </c>
      <c r="F230" s="4">
        <v>0</v>
      </c>
      <c r="G230" s="5">
        <v>0</v>
      </c>
      <c r="H230" s="5">
        <v>0</v>
      </c>
      <c r="I230" s="6">
        <v>0</v>
      </c>
      <c r="J230" s="7">
        <v>23962.57</v>
      </c>
      <c r="K230" s="5">
        <v>3</v>
      </c>
      <c r="L230" s="5">
        <v>3</v>
      </c>
      <c r="M230" s="6">
        <v>23962.57</v>
      </c>
      <c r="N230" s="4">
        <v>0</v>
      </c>
      <c r="O230" s="5">
        <v>0</v>
      </c>
      <c r="P230" s="5">
        <v>0</v>
      </c>
      <c r="Q230" s="6">
        <v>0</v>
      </c>
      <c r="R230" s="7">
        <v>0</v>
      </c>
      <c r="S230" s="5">
        <v>0</v>
      </c>
      <c r="T230" s="5">
        <v>0</v>
      </c>
      <c r="U230" s="6">
        <v>0</v>
      </c>
      <c r="V230" s="8"/>
    </row>
    <row r="231" spans="1:22" x14ac:dyDescent="0.2">
      <c r="A231" s="2" t="s">
        <v>34</v>
      </c>
      <c r="B231" s="2" t="s">
        <v>46</v>
      </c>
      <c r="C231" s="2">
        <v>1021738</v>
      </c>
      <c r="D231" s="2" t="s">
        <v>283</v>
      </c>
      <c r="E231" s="3" t="s">
        <v>259</v>
      </c>
      <c r="F231" s="4">
        <v>0</v>
      </c>
      <c r="G231" s="5">
        <v>0</v>
      </c>
      <c r="H231" s="5">
        <v>0</v>
      </c>
      <c r="I231" s="6">
        <v>0</v>
      </c>
      <c r="J231" s="7">
        <v>0</v>
      </c>
      <c r="K231" s="5">
        <v>0</v>
      </c>
      <c r="L231" s="5">
        <v>0</v>
      </c>
      <c r="M231" s="6">
        <v>0</v>
      </c>
      <c r="N231" s="4">
        <v>23620</v>
      </c>
      <c r="O231" s="5">
        <v>10</v>
      </c>
      <c r="P231" s="5">
        <v>12</v>
      </c>
      <c r="Q231" s="6">
        <v>23620</v>
      </c>
      <c r="R231" s="7">
        <v>24000</v>
      </c>
      <c r="S231" s="5">
        <v>6</v>
      </c>
      <c r="T231" s="5">
        <v>32</v>
      </c>
      <c r="U231" s="6">
        <v>24000</v>
      </c>
      <c r="V231" s="8"/>
    </row>
    <row r="232" spans="1:22" x14ac:dyDescent="0.2">
      <c r="A232" s="2" t="s">
        <v>34</v>
      </c>
      <c r="B232" s="2" t="s">
        <v>46</v>
      </c>
      <c r="C232" s="2">
        <v>1021740</v>
      </c>
      <c r="D232" s="2" t="s">
        <v>285</v>
      </c>
      <c r="E232" s="3" t="s">
        <v>259</v>
      </c>
      <c r="F232" s="4">
        <v>0</v>
      </c>
      <c r="G232" s="5">
        <v>0</v>
      </c>
      <c r="H232" s="5">
        <v>0</v>
      </c>
      <c r="I232" s="6">
        <v>0</v>
      </c>
      <c r="J232" s="7">
        <v>48012.57</v>
      </c>
      <c r="K232" s="5">
        <v>3</v>
      </c>
      <c r="L232" s="5">
        <v>3</v>
      </c>
      <c r="M232" s="6">
        <v>48012.57</v>
      </c>
      <c r="N232" s="4">
        <v>0</v>
      </c>
      <c r="O232" s="5">
        <v>0</v>
      </c>
      <c r="P232" s="5">
        <v>0</v>
      </c>
      <c r="Q232" s="6">
        <v>0</v>
      </c>
      <c r="R232" s="7">
        <v>0</v>
      </c>
      <c r="S232" s="5">
        <v>0</v>
      </c>
      <c r="T232" s="5">
        <v>0</v>
      </c>
      <c r="U232" s="6">
        <v>0</v>
      </c>
      <c r="V232" s="8"/>
    </row>
    <row r="233" spans="1:22" x14ac:dyDescent="0.2">
      <c r="A233" s="2" t="s">
        <v>34</v>
      </c>
      <c r="B233" s="2" t="s">
        <v>46</v>
      </c>
      <c r="C233" s="2">
        <v>1021766</v>
      </c>
      <c r="D233" s="2" t="s">
        <v>287</v>
      </c>
      <c r="E233" s="3" t="s">
        <v>172</v>
      </c>
      <c r="F233" s="4">
        <v>0</v>
      </c>
      <c r="G233" s="5">
        <v>0</v>
      </c>
      <c r="H233" s="5">
        <v>0</v>
      </c>
      <c r="I233" s="6">
        <v>0</v>
      </c>
      <c r="J233" s="7">
        <v>72180</v>
      </c>
      <c r="K233" s="5">
        <v>3</v>
      </c>
      <c r="L233" s="5">
        <v>3</v>
      </c>
      <c r="M233" s="6">
        <v>72180</v>
      </c>
      <c r="N233" s="4">
        <v>0</v>
      </c>
      <c r="O233" s="5">
        <v>0</v>
      </c>
      <c r="P233" s="5">
        <v>0</v>
      </c>
      <c r="Q233" s="6">
        <v>0</v>
      </c>
      <c r="R233" s="7">
        <v>0</v>
      </c>
      <c r="S233" s="5">
        <v>0</v>
      </c>
      <c r="T233" s="5">
        <v>0</v>
      </c>
      <c r="U233" s="6">
        <v>0</v>
      </c>
      <c r="V233" s="8"/>
    </row>
    <row r="234" spans="1:22" x14ac:dyDescent="0.2">
      <c r="A234" s="2" t="s">
        <v>34</v>
      </c>
      <c r="B234" s="2" t="s">
        <v>46</v>
      </c>
      <c r="C234" s="2">
        <v>1021767</v>
      </c>
      <c r="D234" s="2" t="s">
        <v>289</v>
      </c>
      <c r="E234" s="3" t="s">
        <v>172</v>
      </c>
      <c r="F234" s="4">
        <v>0</v>
      </c>
      <c r="G234" s="5">
        <v>0</v>
      </c>
      <c r="H234" s="5">
        <v>0</v>
      </c>
      <c r="I234" s="6">
        <v>0</v>
      </c>
      <c r="J234" s="7">
        <v>99018</v>
      </c>
      <c r="K234" s="5">
        <v>3</v>
      </c>
      <c r="L234" s="5">
        <v>3</v>
      </c>
      <c r="M234" s="6">
        <v>99018</v>
      </c>
      <c r="N234" s="4">
        <v>32418</v>
      </c>
      <c r="O234" s="5">
        <v>6.1488062187673496</v>
      </c>
      <c r="P234" s="5">
        <v>7.6302054414214302</v>
      </c>
      <c r="Q234" s="6">
        <v>32418</v>
      </c>
      <c r="R234" s="7">
        <v>0</v>
      </c>
      <c r="S234" s="5">
        <v>0</v>
      </c>
      <c r="T234" s="5">
        <v>0</v>
      </c>
      <c r="U234" s="6">
        <v>0</v>
      </c>
      <c r="V234" s="8"/>
    </row>
    <row r="235" spans="1:22" x14ac:dyDescent="0.2">
      <c r="A235" s="2" t="s">
        <v>34</v>
      </c>
      <c r="B235" s="2" t="s">
        <v>46</v>
      </c>
      <c r="C235" s="2">
        <v>1021992</v>
      </c>
      <c r="D235" s="2" t="s">
        <v>291</v>
      </c>
      <c r="E235" s="3" t="s">
        <v>48</v>
      </c>
      <c r="F235" s="4">
        <v>0</v>
      </c>
      <c r="G235" s="5">
        <v>0</v>
      </c>
      <c r="H235" s="5">
        <v>0</v>
      </c>
      <c r="I235" s="6">
        <v>0</v>
      </c>
      <c r="J235" s="7">
        <v>0</v>
      </c>
      <c r="K235" s="5">
        <v>0</v>
      </c>
      <c r="L235" s="5">
        <v>0</v>
      </c>
      <c r="M235" s="6">
        <v>0</v>
      </c>
      <c r="N235" s="4">
        <v>24260</v>
      </c>
      <c r="O235" s="5">
        <v>5</v>
      </c>
      <c r="P235" s="5">
        <v>7</v>
      </c>
      <c r="Q235" s="6">
        <v>24260</v>
      </c>
      <c r="R235" s="7">
        <v>0</v>
      </c>
      <c r="S235" s="5">
        <v>0</v>
      </c>
      <c r="T235" s="5">
        <v>0</v>
      </c>
      <c r="U235" s="6">
        <v>0</v>
      </c>
      <c r="V235" s="8"/>
    </row>
    <row r="236" spans="1:22" x14ac:dyDescent="0.2">
      <c r="A236" s="2" t="s">
        <v>34</v>
      </c>
      <c r="B236" s="2" t="s">
        <v>46</v>
      </c>
      <c r="C236" s="2">
        <v>1022080</v>
      </c>
      <c r="D236" s="2" t="s">
        <v>293</v>
      </c>
      <c r="E236" s="3" t="s">
        <v>259</v>
      </c>
      <c r="F236" s="4">
        <v>0</v>
      </c>
      <c r="G236" s="5">
        <v>0</v>
      </c>
      <c r="H236" s="5">
        <v>0</v>
      </c>
      <c r="I236" s="6">
        <v>0</v>
      </c>
      <c r="J236" s="7">
        <v>24010</v>
      </c>
      <c r="K236" s="5">
        <v>3</v>
      </c>
      <c r="L236" s="5">
        <v>3</v>
      </c>
      <c r="M236" s="6">
        <v>24010</v>
      </c>
      <c r="N236" s="4">
        <v>0</v>
      </c>
      <c r="O236" s="5">
        <v>0</v>
      </c>
      <c r="P236" s="5">
        <v>0</v>
      </c>
      <c r="Q236" s="6">
        <v>0</v>
      </c>
      <c r="R236" s="7">
        <v>0</v>
      </c>
      <c r="S236" s="5">
        <v>0</v>
      </c>
      <c r="T236" s="5">
        <v>0</v>
      </c>
      <c r="U236" s="6">
        <v>0</v>
      </c>
      <c r="V236" s="8"/>
    </row>
    <row r="237" spans="1:22" x14ac:dyDescent="0.2">
      <c r="A237" s="2" t="s">
        <v>34</v>
      </c>
      <c r="B237" s="2" t="s">
        <v>46</v>
      </c>
      <c r="C237" s="2">
        <v>1022099</v>
      </c>
      <c r="D237" s="2" t="s">
        <v>295</v>
      </c>
      <c r="E237" s="3" t="s">
        <v>172</v>
      </c>
      <c r="F237" s="4">
        <v>0</v>
      </c>
      <c r="G237" s="5">
        <v>0</v>
      </c>
      <c r="H237" s="5">
        <v>0</v>
      </c>
      <c r="I237" s="6">
        <v>0</v>
      </c>
      <c r="J237" s="7">
        <v>12150</v>
      </c>
      <c r="K237" s="5">
        <v>6</v>
      </c>
      <c r="L237" s="5">
        <v>6</v>
      </c>
      <c r="M237" s="6">
        <v>12150</v>
      </c>
      <c r="N237" s="4">
        <v>0</v>
      </c>
      <c r="O237" s="5">
        <v>0</v>
      </c>
      <c r="P237" s="5">
        <v>0</v>
      </c>
      <c r="Q237" s="6">
        <v>0</v>
      </c>
      <c r="R237" s="7">
        <v>0</v>
      </c>
      <c r="S237" s="5">
        <v>0</v>
      </c>
      <c r="T237" s="5">
        <v>0</v>
      </c>
      <c r="U237" s="6">
        <v>0</v>
      </c>
      <c r="V237" s="8"/>
    </row>
    <row r="238" spans="1:22" x14ac:dyDescent="0.2">
      <c r="A238" s="2" t="s">
        <v>34</v>
      </c>
      <c r="B238" s="2" t="s">
        <v>46</v>
      </c>
      <c r="C238" s="2">
        <v>1022125</v>
      </c>
      <c r="D238" s="2" t="s">
        <v>297</v>
      </c>
      <c r="E238" s="3" t="s">
        <v>167</v>
      </c>
      <c r="F238" s="4">
        <v>0</v>
      </c>
      <c r="G238" s="5">
        <v>0</v>
      </c>
      <c r="H238" s="5">
        <v>0</v>
      </c>
      <c r="I238" s="6">
        <v>0</v>
      </c>
      <c r="J238" s="7">
        <v>0</v>
      </c>
      <c r="K238" s="5">
        <v>0</v>
      </c>
      <c r="L238" s="5">
        <v>0</v>
      </c>
      <c r="M238" s="6">
        <v>0</v>
      </c>
      <c r="N238" s="4">
        <v>24206.43</v>
      </c>
      <c r="O238" s="5">
        <v>11</v>
      </c>
      <c r="P238" s="5">
        <v>12</v>
      </c>
      <c r="Q238" s="6">
        <v>24206.43</v>
      </c>
      <c r="R238" s="7">
        <v>0</v>
      </c>
      <c r="S238" s="5">
        <v>0</v>
      </c>
      <c r="T238" s="5">
        <v>0</v>
      </c>
      <c r="U238" s="6">
        <v>0</v>
      </c>
      <c r="V238" s="8"/>
    </row>
    <row r="239" spans="1:22" x14ac:dyDescent="0.2">
      <c r="A239" s="2" t="s">
        <v>34</v>
      </c>
      <c r="B239" s="2" t="s">
        <v>46</v>
      </c>
      <c r="C239" s="2">
        <v>1022169</v>
      </c>
      <c r="D239" s="2" t="s">
        <v>299</v>
      </c>
      <c r="E239" s="3" t="s">
        <v>181</v>
      </c>
      <c r="F239" s="4">
        <v>0</v>
      </c>
      <c r="G239" s="5">
        <v>0</v>
      </c>
      <c r="H239" s="5">
        <v>0</v>
      </c>
      <c r="I239" s="6">
        <v>0</v>
      </c>
      <c r="J239" s="7">
        <v>0</v>
      </c>
      <c r="K239" s="5">
        <v>0</v>
      </c>
      <c r="L239" s="5">
        <v>0</v>
      </c>
      <c r="M239" s="6">
        <v>0</v>
      </c>
      <c r="N239" s="4">
        <v>48810</v>
      </c>
      <c r="O239" s="5">
        <v>4</v>
      </c>
      <c r="P239" s="5">
        <v>6</v>
      </c>
      <c r="Q239" s="6">
        <v>48810</v>
      </c>
      <c r="R239" s="7">
        <v>0</v>
      </c>
      <c r="S239" s="5">
        <v>0</v>
      </c>
      <c r="T239" s="5">
        <v>0</v>
      </c>
      <c r="U239" s="6">
        <v>0</v>
      </c>
      <c r="V239" s="8"/>
    </row>
    <row r="240" spans="1:22" x14ac:dyDescent="0.2">
      <c r="A240" s="2" t="s">
        <v>34</v>
      </c>
      <c r="B240" s="2" t="s">
        <v>46</v>
      </c>
      <c r="C240" s="2">
        <v>1022183</v>
      </c>
      <c r="D240" s="2" t="s">
        <v>166</v>
      </c>
      <c r="E240" s="3" t="s">
        <v>167</v>
      </c>
      <c r="F240" s="4">
        <v>0</v>
      </c>
      <c r="G240" s="5">
        <v>0</v>
      </c>
      <c r="H240" s="5">
        <v>0</v>
      </c>
      <c r="I240" s="6">
        <v>0</v>
      </c>
      <c r="J240" s="7">
        <v>0</v>
      </c>
      <c r="K240" s="5">
        <v>0</v>
      </c>
      <c r="L240" s="5">
        <v>0</v>
      </c>
      <c r="M240" s="6">
        <v>0</v>
      </c>
      <c r="N240" s="4">
        <v>19274.683000000001</v>
      </c>
      <c r="O240" s="5">
        <v>48</v>
      </c>
      <c r="P240" s="5">
        <v>51</v>
      </c>
      <c r="Q240" s="6">
        <v>19274.683000000001</v>
      </c>
      <c r="R240" s="7">
        <v>25000.143</v>
      </c>
      <c r="S240" s="5">
        <v>13</v>
      </c>
      <c r="T240" s="5">
        <v>27</v>
      </c>
      <c r="U240" s="6">
        <v>25000.143</v>
      </c>
      <c r="V240" s="8"/>
    </row>
    <row r="241" spans="1:22" x14ac:dyDescent="0.2">
      <c r="A241" s="2" t="s">
        <v>34</v>
      </c>
      <c r="B241" s="2" t="s">
        <v>46</v>
      </c>
      <c r="C241" s="2">
        <v>1022193</v>
      </c>
      <c r="D241" s="2" t="s">
        <v>169</v>
      </c>
      <c r="E241" s="3" t="s">
        <v>43</v>
      </c>
      <c r="F241" s="4">
        <v>0</v>
      </c>
      <c r="G241" s="5">
        <v>0</v>
      </c>
      <c r="H241" s="5">
        <v>0</v>
      </c>
      <c r="I241" s="6">
        <v>0</v>
      </c>
      <c r="J241" s="7">
        <v>0</v>
      </c>
      <c r="K241" s="5">
        <v>0</v>
      </c>
      <c r="L241" s="5">
        <v>0</v>
      </c>
      <c r="M241" s="6">
        <v>0</v>
      </c>
      <c r="N241" s="4">
        <v>10621.755999999999</v>
      </c>
      <c r="O241" s="5">
        <v>34</v>
      </c>
      <c r="P241" s="5">
        <v>44</v>
      </c>
      <c r="Q241" s="6">
        <v>10621.755999999999</v>
      </c>
      <c r="R241" s="7">
        <v>0</v>
      </c>
      <c r="S241" s="5">
        <v>0</v>
      </c>
      <c r="T241" s="5">
        <v>0</v>
      </c>
      <c r="U241" s="6">
        <v>0</v>
      </c>
      <c r="V241" s="8"/>
    </row>
    <row r="242" spans="1:22" x14ac:dyDescent="0.2">
      <c r="A242" s="2" t="s">
        <v>34</v>
      </c>
      <c r="B242" s="2" t="s">
        <v>46</v>
      </c>
      <c r="C242" s="2">
        <v>1022212</v>
      </c>
      <c r="D242" s="2" t="s">
        <v>301</v>
      </c>
      <c r="E242" s="3" t="s">
        <v>196</v>
      </c>
      <c r="F242" s="4">
        <v>0</v>
      </c>
      <c r="G242" s="5">
        <v>0</v>
      </c>
      <c r="H242" s="5">
        <v>0</v>
      </c>
      <c r="I242" s="6">
        <v>0</v>
      </c>
      <c r="J242" s="7">
        <v>168014.82</v>
      </c>
      <c r="K242" s="5">
        <v>3.4277288753456401</v>
      </c>
      <c r="L242" s="5">
        <v>3.4277288753456401</v>
      </c>
      <c r="M242" s="6">
        <v>168014.82</v>
      </c>
      <c r="N242" s="4">
        <v>48357.642999999996</v>
      </c>
      <c r="O242" s="5">
        <v>2.4968077124850798</v>
      </c>
      <c r="P242" s="5">
        <v>6.9744616998806199</v>
      </c>
      <c r="Q242" s="6">
        <v>48357.642999999996</v>
      </c>
      <c r="R242" s="7">
        <v>0</v>
      </c>
      <c r="S242" s="5">
        <v>0</v>
      </c>
      <c r="T242" s="5">
        <v>0</v>
      </c>
      <c r="U242" s="6">
        <v>0</v>
      </c>
      <c r="V242" s="8"/>
    </row>
    <row r="243" spans="1:22" x14ac:dyDescent="0.2">
      <c r="A243" s="2" t="s">
        <v>34</v>
      </c>
      <c r="B243" s="2" t="s">
        <v>46</v>
      </c>
      <c r="C243" s="2">
        <v>1022373</v>
      </c>
      <c r="D243" s="2" t="s">
        <v>303</v>
      </c>
      <c r="E243" s="3" t="s">
        <v>181</v>
      </c>
      <c r="F243" s="4">
        <v>0</v>
      </c>
      <c r="G243" s="5">
        <v>0</v>
      </c>
      <c r="H243" s="5">
        <v>0</v>
      </c>
      <c r="I243" s="6">
        <v>0</v>
      </c>
      <c r="J243" s="7">
        <v>0</v>
      </c>
      <c r="K243" s="5">
        <v>0</v>
      </c>
      <c r="L243" s="5">
        <v>0</v>
      </c>
      <c r="M243" s="6">
        <v>0</v>
      </c>
      <c r="N243" s="4">
        <v>23297.434000000001</v>
      </c>
      <c r="O243" s="5">
        <v>11.587831604115699</v>
      </c>
      <c r="P243" s="5">
        <v>29.114425219532801</v>
      </c>
      <c r="Q243" s="6">
        <v>23297.434000000001</v>
      </c>
      <c r="R243" s="7">
        <v>0</v>
      </c>
      <c r="S243" s="5">
        <v>0</v>
      </c>
      <c r="T243" s="5">
        <v>0</v>
      </c>
      <c r="U243" s="6">
        <v>0</v>
      </c>
      <c r="V243" s="8"/>
    </row>
    <row r="244" spans="1:22" x14ac:dyDescent="0.2">
      <c r="A244" s="2" t="s">
        <v>34</v>
      </c>
      <c r="B244" s="2" t="s">
        <v>46</v>
      </c>
      <c r="C244" s="2">
        <v>1022378</v>
      </c>
      <c r="D244" s="2" t="s">
        <v>305</v>
      </c>
      <c r="E244" s="3" t="s">
        <v>172</v>
      </c>
      <c r="F244" s="4">
        <v>0</v>
      </c>
      <c r="G244" s="5">
        <v>0</v>
      </c>
      <c r="H244" s="5">
        <v>0</v>
      </c>
      <c r="I244" s="6">
        <v>0</v>
      </c>
      <c r="J244" s="7">
        <v>0</v>
      </c>
      <c r="K244" s="5">
        <v>0</v>
      </c>
      <c r="L244" s="5">
        <v>0</v>
      </c>
      <c r="M244" s="6">
        <v>0</v>
      </c>
      <c r="N244" s="4">
        <v>0</v>
      </c>
      <c r="O244" s="5">
        <v>0</v>
      </c>
      <c r="P244" s="5">
        <v>0</v>
      </c>
      <c r="Q244" s="6">
        <v>0</v>
      </c>
      <c r="R244" s="7">
        <v>23980</v>
      </c>
      <c r="S244" s="5">
        <v>10</v>
      </c>
      <c r="T244" s="5">
        <v>11</v>
      </c>
      <c r="U244" s="6">
        <v>23980</v>
      </c>
      <c r="V244" s="8"/>
    </row>
    <row r="245" spans="1:22" x14ac:dyDescent="0.2">
      <c r="A245" s="2" t="s">
        <v>34</v>
      </c>
      <c r="B245" s="2" t="s">
        <v>46</v>
      </c>
      <c r="C245" s="2">
        <v>1022379</v>
      </c>
      <c r="D245" s="2" t="s">
        <v>307</v>
      </c>
      <c r="E245" s="3" t="s">
        <v>39</v>
      </c>
      <c r="F245" s="4">
        <v>0</v>
      </c>
      <c r="G245" s="5">
        <v>0</v>
      </c>
      <c r="H245" s="5">
        <v>0</v>
      </c>
      <c r="I245" s="6">
        <v>0</v>
      </c>
      <c r="J245" s="7">
        <v>24041.62</v>
      </c>
      <c r="K245" s="5">
        <v>3</v>
      </c>
      <c r="L245" s="5">
        <v>3</v>
      </c>
      <c r="M245" s="6">
        <v>24041.62</v>
      </c>
      <c r="N245" s="4">
        <v>0</v>
      </c>
      <c r="O245" s="5">
        <v>0</v>
      </c>
      <c r="P245" s="5">
        <v>0</v>
      </c>
      <c r="Q245" s="6">
        <v>0</v>
      </c>
      <c r="R245" s="7">
        <v>7894.067</v>
      </c>
      <c r="S245" s="5">
        <v>12</v>
      </c>
      <c r="T245" s="5">
        <v>12</v>
      </c>
      <c r="U245" s="6">
        <v>7894.067</v>
      </c>
      <c r="V245" s="8"/>
    </row>
    <row r="246" spans="1:22" x14ac:dyDescent="0.2">
      <c r="A246" s="2" t="s">
        <v>34</v>
      </c>
      <c r="B246" s="2" t="s">
        <v>46</v>
      </c>
      <c r="C246" s="2">
        <v>1022388</v>
      </c>
      <c r="D246" s="2" t="s">
        <v>171</v>
      </c>
      <c r="E246" s="3" t="s">
        <v>172</v>
      </c>
      <c r="F246" s="4">
        <v>0</v>
      </c>
      <c r="G246" s="5">
        <v>0</v>
      </c>
      <c r="H246" s="5">
        <v>0</v>
      </c>
      <c r="I246" s="6">
        <v>0</v>
      </c>
      <c r="J246" s="7">
        <v>0</v>
      </c>
      <c r="K246" s="5">
        <v>0</v>
      </c>
      <c r="L246" s="5">
        <v>0</v>
      </c>
      <c r="M246" s="6">
        <v>0</v>
      </c>
      <c r="N246" s="4">
        <v>5140</v>
      </c>
      <c r="O246" s="5">
        <v>48</v>
      </c>
      <c r="P246" s="5">
        <v>51</v>
      </c>
      <c r="Q246" s="6">
        <v>5140</v>
      </c>
      <c r="R246" s="7">
        <v>0</v>
      </c>
      <c r="S246" s="5">
        <v>0</v>
      </c>
      <c r="T246" s="5">
        <v>0</v>
      </c>
      <c r="U246" s="6">
        <v>0</v>
      </c>
      <c r="V246" s="8"/>
    </row>
    <row r="247" spans="1:22" x14ac:dyDescent="0.2">
      <c r="A247" s="2" t="s">
        <v>34</v>
      </c>
      <c r="B247" s="2" t="s">
        <v>46</v>
      </c>
      <c r="C247" s="2">
        <v>1022414</v>
      </c>
      <c r="D247" s="2" t="s">
        <v>309</v>
      </c>
      <c r="E247" s="3" t="s">
        <v>76</v>
      </c>
      <c r="F247" s="4">
        <v>0</v>
      </c>
      <c r="G247" s="5">
        <v>0</v>
      </c>
      <c r="H247" s="5">
        <v>0</v>
      </c>
      <c r="I247" s="6">
        <v>0</v>
      </c>
      <c r="J247" s="7">
        <v>0</v>
      </c>
      <c r="K247" s="5">
        <v>0</v>
      </c>
      <c r="L247" s="5">
        <v>0</v>
      </c>
      <c r="M247" s="6">
        <v>0</v>
      </c>
      <c r="N247" s="4">
        <v>24000</v>
      </c>
      <c r="O247" s="5">
        <v>4</v>
      </c>
      <c r="P247" s="5">
        <v>6</v>
      </c>
      <c r="Q247" s="6">
        <v>24000</v>
      </c>
      <c r="R247" s="7">
        <v>0</v>
      </c>
      <c r="S247" s="5">
        <v>0</v>
      </c>
      <c r="T247" s="5">
        <v>0</v>
      </c>
      <c r="U247" s="6">
        <v>0</v>
      </c>
      <c r="V247" s="8"/>
    </row>
    <row r="248" spans="1:22" x14ac:dyDescent="0.2">
      <c r="A248" s="2" t="s">
        <v>34</v>
      </c>
      <c r="B248" s="2" t="s">
        <v>46</v>
      </c>
      <c r="C248" s="2">
        <v>1022417</v>
      </c>
      <c r="D248" s="2" t="s">
        <v>174</v>
      </c>
      <c r="E248" s="3" t="s">
        <v>175</v>
      </c>
      <c r="F248" s="4">
        <v>0</v>
      </c>
      <c r="G248" s="5">
        <v>0</v>
      </c>
      <c r="H248" s="5">
        <v>0</v>
      </c>
      <c r="I248" s="6">
        <v>0</v>
      </c>
      <c r="J248" s="7">
        <v>0</v>
      </c>
      <c r="K248" s="5">
        <v>0</v>
      </c>
      <c r="L248" s="5">
        <v>0</v>
      </c>
      <c r="M248" s="6">
        <v>0</v>
      </c>
      <c r="N248" s="4">
        <v>7800</v>
      </c>
      <c r="O248" s="5">
        <v>32.076923076923102</v>
      </c>
      <c r="P248" s="5">
        <v>45.923076923076898</v>
      </c>
      <c r="Q248" s="6">
        <v>7800</v>
      </c>
      <c r="R248" s="7">
        <v>0</v>
      </c>
      <c r="S248" s="5">
        <v>0</v>
      </c>
      <c r="T248" s="5">
        <v>0</v>
      </c>
      <c r="U248" s="6">
        <v>0</v>
      </c>
      <c r="V248" s="8"/>
    </row>
    <row r="249" spans="1:22" x14ac:dyDescent="0.2">
      <c r="A249" s="2" t="s">
        <v>34</v>
      </c>
      <c r="B249" s="2" t="s">
        <v>46</v>
      </c>
      <c r="C249" s="2">
        <v>1022568</v>
      </c>
      <c r="D249" s="2" t="s">
        <v>311</v>
      </c>
      <c r="E249" s="3" t="s">
        <v>178</v>
      </c>
      <c r="F249" s="4">
        <v>0</v>
      </c>
      <c r="G249" s="5">
        <v>0</v>
      </c>
      <c r="H249" s="5">
        <v>0</v>
      </c>
      <c r="I249" s="6">
        <v>0</v>
      </c>
      <c r="J249" s="7">
        <v>24014.67</v>
      </c>
      <c r="K249" s="5">
        <v>3</v>
      </c>
      <c r="L249" s="5">
        <v>3</v>
      </c>
      <c r="M249" s="6">
        <v>24014.67</v>
      </c>
      <c r="N249" s="4">
        <v>26683.359</v>
      </c>
      <c r="O249" s="5">
        <v>9.3998941812385794</v>
      </c>
      <c r="P249" s="5">
        <v>20.099179904599001</v>
      </c>
      <c r="Q249" s="6">
        <v>26683.359</v>
      </c>
      <c r="R249" s="7">
        <v>0</v>
      </c>
      <c r="S249" s="5">
        <v>0</v>
      </c>
      <c r="T249" s="5">
        <v>0</v>
      </c>
      <c r="U249" s="6">
        <v>0</v>
      </c>
      <c r="V249" s="8"/>
    </row>
    <row r="250" spans="1:22" x14ac:dyDescent="0.2">
      <c r="A250" s="2" t="s">
        <v>34</v>
      </c>
      <c r="B250" s="2" t="s">
        <v>46</v>
      </c>
      <c r="C250" s="2">
        <v>1022636</v>
      </c>
      <c r="D250" s="2" t="s">
        <v>313</v>
      </c>
      <c r="E250" s="3" t="s">
        <v>172</v>
      </c>
      <c r="F250" s="4">
        <v>0</v>
      </c>
      <c r="G250" s="5">
        <v>0</v>
      </c>
      <c r="H250" s="5">
        <v>0</v>
      </c>
      <c r="I250" s="6">
        <v>0</v>
      </c>
      <c r="J250" s="7">
        <v>23970</v>
      </c>
      <c r="K250" s="5">
        <v>6</v>
      </c>
      <c r="L250" s="5">
        <v>6</v>
      </c>
      <c r="M250" s="6">
        <v>23970</v>
      </c>
      <c r="N250" s="4">
        <v>0</v>
      </c>
      <c r="O250" s="5">
        <v>0</v>
      </c>
      <c r="P250" s="5">
        <v>0</v>
      </c>
      <c r="Q250" s="6">
        <v>0</v>
      </c>
      <c r="R250" s="7">
        <v>0</v>
      </c>
      <c r="S250" s="5">
        <v>0</v>
      </c>
      <c r="T250" s="5">
        <v>0</v>
      </c>
      <c r="U250" s="6">
        <v>0</v>
      </c>
      <c r="V250" s="8"/>
    </row>
    <row r="251" spans="1:22" x14ac:dyDescent="0.2">
      <c r="A251" s="2" t="s">
        <v>34</v>
      </c>
      <c r="B251" s="2" t="s">
        <v>46</v>
      </c>
      <c r="C251" s="2">
        <v>1022637</v>
      </c>
      <c r="D251" s="2" t="s">
        <v>315</v>
      </c>
      <c r="E251" s="3" t="s">
        <v>172</v>
      </c>
      <c r="F251" s="4">
        <v>0</v>
      </c>
      <c r="G251" s="5">
        <v>0</v>
      </c>
      <c r="H251" s="5">
        <v>0</v>
      </c>
      <c r="I251" s="6">
        <v>0</v>
      </c>
      <c r="J251" s="7">
        <v>0</v>
      </c>
      <c r="K251" s="5">
        <v>0</v>
      </c>
      <c r="L251" s="5">
        <v>0</v>
      </c>
      <c r="M251" s="6">
        <v>0</v>
      </c>
      <c r="N251" s="4">
        <v>2175</v>
      </c>
      <c r="O251" s="5">
        <v>18</v>
      </c>
      <c r="P251" s="5">
        <v>18</v>
      </c>
      <c r="Q251" s="6">
        <v>2175</v>
      </c>
      <c r="R251" s="7">
        <v>7770</v>
      </c>
      <c r="S251" s="5">
        <v>12</v>
      </c>
      <c r="T251" s="5">
        <v>12</v>
      </c>
      <c r="U251" s="6">
        <v>7770</v>
      </c>
      <c r="V251" s="8"/>
    </row>
    <row r="252" spans="1:22" x14ac:dyDescent="0.2">
      <c r="A252" s="2" t="s">
        <v>34</v>
      </c>
      <c r="B252" s="2" t="s">
        <v>46</v>
      </c>
      <c r="C252" s="2">
        <v>1022639</v>
      </c>
      <c r="D252" s="2" t="s">
        <v>317</v>
      </c>
      <c r="E252" s="3" t="s">
        <v>196</v>
      </c>
      <c r="F252" s="4">
        <v>0</v>
      </c>
      <c r="G252" s="5">
        <v>0</v>
      </c>
      <c r="H252" s="5">
        <v>0</v>
      </c>
      <c r="I252" s="6">
        <v>0</v>
      </c>
      <c r="J252" s="7">
        <v>91336.34</v>
      </c>
      <c r="K252" s="5">
        <v>3.2453464853091298</v>
      </c>
      <c r="L252" s="5">
        <v>3.2453464853091298</v>
      </c>
      <c r="M252" s="6">
        <v>91336.34</v>
      </c>
      <c r="N252" s="4">
        <v>45393.303999999996</v>
      </c>
      <c r="O252" s="5">
        <v>3.5070647864715898</v>
      </c>
      <c r="P252" s="5">
        <v>8.4882253558806795</v>
      </c>
      <c r="Q252" s="6">
        <v>45393.303999999996</v>
      </c>
      <c r="R252" s="7">
        <v>23315.742999999999</v>
      </c>
      <c r="S252" s="5">
        <v>7</v>
      </c>
      <c r="T252" s="5">
        <v>9</v>
      </c>
      <c r="U252" s="6">
        <v>23315.742999999999</v>
      </c>
      <c r="V252" s="8"/>
    </row>
    <row r="253" spans="1:22" x14ac:dyDescent="0.2">
      <c r="A253" s="2" t="s">
        <v>34</v>
      </c>
      <c r="B253" s="2" t="s">
        <v>46</v>
      </c>
      <c r="C253" s="2">
        <v>1022640</v>
      </c>
      <c r="D253" s="2" t="s">
        <v>319</v>
      </c>
      <c r="E253" s="3" t="s">
        <v>196</v>
      </c>
      <c r="F253" s="4">
        <v>0</v>
      </c>
      <c r="G253" s="5">
        <v>0</v>
      </c>
      <c r="H253" s="5">
        <v>0</v>
      </c>
      <c r="I253" s="6">
        <v>0</v>
      </c>
      <c r="J253" s="7">
        <v>22699.15</v>
      </c>
      <c r="K253" s="5">
        <v>3</v>
      </c>
      <c r="L253" s="5">
        <v>3</v>
      </c>
      <c r="M253" s="6">
        <v>22699.15</v>
      </c>
      <c r="N253" s="4">
        <v>0</v>
      </c>
      <c r="O253" s="5">
        <v>0</v>
      </c>
      <c r="P253" s="5">
        <v>0</v>
      </c>
      <c r="Q253" s="6">
        <v>0</v>
      </c>
      <c r="R253" s="7">
        <v>0</v>
      </c>
      <c r="S253" s="5">
        <v>0</v>
      </c>
      <c r="T253" s="5">
        <v>0</v>
      </c>
      <c r="U253" s="6">
        <v>0</v>
      </c>
      <c r="V253" s="8"/>
    </row>
    <row r="254" spans="1:22" x14ac:dyDescent="0.2">
      <c r="A254" s="2" t="s">
        <v>34</v>
      </c>
      <c r="B254" s="2" t="s">
        <v>46</v>
      </c>
      <c r="C254" s="2">
        <v>1022646</v>
      </c>
      <c r="D254" s="2" t="s">
        <v>177</v>
      </c>
      <c r="E254" s="3" t="s">
        <v>178</v>
      </c>
      <c r="F254" s="4">
        <v>0</v>
      </c>
      <c r="G254" s="5">
        <v>0</v>
      </c>
      <c r="H254" s="5">
        <v>0</v>
      </c>
      <c r="I254" s="6">
        <v>0</v>
      </c>
      <c r="J254" s="7">
        <v>0</v>
      </c>
      <c r="K254" s="5">
        <v>0</v>
      </c>
      <c r="L254" s="5">
        <v>0</v>
      </c>
      <c r="M254" s="6">
        <v>0</v>
      </c>
      <c r="N254" s="4">
        <v>39560.646000000001</v>
      </c>
      <c r="O254" s="5">
        <v>28.857627400725502</v>
      </c>
      <c r="P254" s="5">
        <v>49.699031507220603</v>
      </c>
      <c r="Q254" s="6">
        <v>39560.646000000001</v>
      </c>
      <c r="R254" s="7">
        <v>0</v>
      </c>
      <c r="S254" s="5">
        <v>0</v>
      </c>
      <c r="T254" s="5">
        <v>0</v>
      </c>
      <c r="U254" s="6">
        <v>0</v>
      </c>
      <c r="V254" s="8"/>
    </row>
    <row r="255" spans="1:22" x14ac:dyDescent="0.2">
      <c r="A255" s="2" t="s">
        <v>34</v>
      </c>
      <c r="B255" s="2" t="s">
        <v>46</v>
      </c>
      <c r="C255" s="2">
        <v>1022753</v>
      </c>
      <c r="D255" s="2" t="s">
        <v>321</v>
      </c>
      <c r="E255" s="3" t="s">
        <v>167</v>
      </c>
      <c r="F255" s="4">
        <v>0</v>
      </c>
      <c r="G255" s="5">
        <v>0</v>
      </c>
      <c r="H255" s="5">
        <v>0</v>
      </c>
      <c r="I255" s="6">
        <v>0</v>
      </c>
      <c r="J255" s="7">
        <v>23820</v>
      </c>
      <c r="K255" s="5">
        <v>3</v>
      </c>
      <c r="L255" s="5">
        <v>3</v>
      </c>
      <c r="M255" s="6">
        <v>23820</v>
      </c>
      <c r="N255" s="4">
        <v>0</v>
      </c>
      <c r="O255" s="5">
        <v>0</v>
      </c>
      <c r="P255" s="5">
        <v>0</v>
      </c>
      <c r="Q255" s="6">
        <v>0</v>
      </c>
      <c r="R255" s="7">
        <v>24020</v>
      </c>
      <c r="S255" s="5">
        <v>2</v>
      </c>
      <c r="T255" s="5">
        <v>4</v>
      </c>
      <c r="U255" s="6">
        <v>24020</v>
      </c>
      <c r="V255" s="8"/>
    </row>
    <row r="256" spans="1:22" x14ac:dyDescent="0.2">
      <c r="A256" s="2" t="s">
        <v>34</v>
      </c>
      <c r="B256" s="2" t="s">
        <v>46</v>
      </c>
      <c r="C256" s="2">
        <v>1022851</v>
      </c>
      <c r="D256" s="2" t="s">
        <v>323</v>
      </c>
      <c r="E256" s="3" t="s">
        <v>39</v>
      </c>
      <c r="F256" s="4">
        <v>0</v>
      </c>
      <c r="G256" s="5">
        <v>0</v>
      </c>
      <c r="H256" s="5">
        <v>0</v>
      </c>
      <c r="I256" s="6">
        <v>0</v>
      </c>
      <c r="J256" s="7">
        <v>47366.67</v>
      </c>
      <c r="K256" s="5">
        <v>3.4930785719156501</v>
      </c>
      <c r="L256" s="5">
        <v>3.4930785719156501</v>
      </c>
      <c r="M256" s="6">
        <v>47366.67</v>
      </c>
      <c r="N256" s="4">
        <v>0</v>
      </c>
      <c r="O256" s="5">
        <v>0</v>
      </c>
      <c r="P256" s="5">
        <v>0</v>
      </c>
      <c r="Q256" s="6">
        <v>0</v>
      </c>
      <c r="R256" s="7">
        <v>23858.603999999999</v>
      </c>
      <c r="S256" s="5">
        <v>2</v>
      </c>
      <c r="T256" s="5">
        <v>6</v>
      </c>
      <c r="U256" s="6">
        <v>23858.603999999999</v>
      </c>
      <c r="V256" s="8"/>
    </row>
    <row r="257" spans="1:22" x14ac:dyDescent="0.2">
      <c r="A257" s="2" t="s">
        <v>34</v>
      </c>
      <c r="B257" s="2" t="s">
        <v>46</v>
      </c>
      <c r="C257" s="2">
        <v>1022943</v>
      </c>
      <c r="D257" s="2" t="s">
        <v>325</v>
      </c>
      <c r="E257" s="3" t="s">
        <v>43</v>
      </c>
      <c r="F257" s="4">
        <v>0</v>
      </c>
      <c r="G257" s="5">
        <v>0</v>
      </c>
      <c r="H257" s="5">
        <v>0</v>
      </c>
      <c r="I257" s="6">
        <v>0</v>
      </c>
      <c r="J257" s="7">
        <v>0</v>
      </c>
      <c r="K257" s="5">
        <v>0</v>
      </c>
      <c r="L257" s="5">
        <v>0</v>
      </c>
      <c r="M257" s="6">
        <v>0</v>
      </c>
      <c r="N257" s="4">
        <v>24014.751</v>
      </c>
      <c r="O257" s="5">
        <v>4</v>
      </c>
      <c r="P257" s="5">
        <v>6</v>
      </c>
      <c r="Q257" s="6">
        <v>24014.751</v>
      </c>
      <c r="R257" s="7">
        <v>0</v>
      </c>
      <c r="S257" s="5">
        <v>0</v>
      </c>
      <c r="T257" s="5">
        <v>0</v>
      </c>
      <c r="U257" s="6">
        <v>0</v>
      </c>
      <c r="V257" s="8"/>
    </row>
    <row r="258" spans="1:22" x14ac:dyDescent="0.2">
      <c r="A258" s="2" t="s">
        <v>34</v>
      </c>
      <c r="B258" s="2" t="s">
        <v>46</v>
      </c>
      <c r="C258" s="2">
        <v>1023035</v>
      </c>
      <c r="D258" s="2" t="s">
        <v>327</v>
      </c>
      <c r="E258" s="3" t="s">
        <v>181</v>
      </c>
      <c r="F258" s="4">
        <v>0</v>
      </c>
      <c r="G258" s="5">
        <v>0</v>
      </c>
      <c r="H258" s="5">
        <v>0</v>
      </c>
      <c r="I258" s="6">
        <v>0</v>
      </c>
      <c r="J258" s="7">
        <v>0</v>
      </c>
      <c r="K258" s="5">
        <v>0</v>
      </c>
      <c r="L258" s="5">
        <v>0</v>
      </c>
      <c r="M258" s="6">
        <v>0</v>
      </c>
      <c r="N258" s="4">
        <v>2883.75</v>
      </c>
      <c r="O258" s="5">
        <v>13</v>
      </c>
      <c r="P258" s="5">
        <v>48</v>
      </c>
      <c r="Q258" s="6">
        <v>2883.75</v>
      </c>
      <c r="R258" s="7">
        <v>0</v>
      </c>
      <c r="S258" s="5">
        <v>0</v>
      </c>
      <c r="T258" s="5">
        <v>0</v>
      </c>
      <c r="U258" s="6">
        <v>0</v>
      </c>
      <c r="V258" s="8"/>
    </row>
    <row r="259" spans="1:22" x14ac:dyDescent="0.2">
      <c r="A259" s="2" t="s">
        <v>34</v>
      </c>
      <c r="B259" s="2" t="s">
        <v>46</v>
      </c>
      <c r="C259" s="2">
        <v>1023093</v>
      </c>
      <c r="D259" s="2" t="s">
        <v>180</v>
      </c>
      <c r="E259" s="3" t="s">
        <v>181</v>
      </c>
      <c r="F259" s="4">
        <v>0</v>
      </c>
      <c r="G259" s="5">
        <v>0</v>
      </c>
      <c r="H259" s="5">
        <v>0</v>
      </c>
      <c r="I259" s="6">
        <v>0</v>
      </c>
      <c r="J259" s="7">
        <v>0</v>
      </c>
      <c r="K259" s="5">
        <v>0</v>
      </c>
      <c r="L259" s="5">
        <v>0</v>
      </c>
      <c r="M259" s="6">
        <v>0</v>
      </c>
      <c r="N259" s="4">
        <v>110337</v>
      </c>
      <c r="O259" s="5">
        <v>25.716631773566402</v>
      </c>
      <c r="P259" s="5">
        <v>32.2781659823994</v>
      </c>
      <c r="Q259" s="6">
        <v>110337</v>
      </c>
      <c r="R259" s="7">
        <v>0</v>
      </c>
      <c r="S259" s="5">
        <v>0</v>
      </c>
      <c r="T259" s="5">
        <v>0</v>
      </c>
      <c r="U259" s="6">
        <v>0</v>
      </c>
      <c r="V259" s="8"/>
    </row>
    <row r="260" spans="1:22" x14ac:dyDescent="0.2">
      <c r="A260" s="2" t="s">
        <v>34</v>
      </c>
      <c r="B260" s="2" t="s">
        <v>46</v>
      </c>
      <c r="C260" s="2">
        <v>1023111</v>
      </c>
      <c r="D260" s="2" t="s">
        <v>329</v>
      </c>
      <c r="E260" s="3" t="s">
        <v>48</v>
      </c>
      <c r="F260" s="4">
        <v>0</v>
      </c>
      <c r="G260" s="5">
        <v>0</v>
      </c>
      <c r="H260" s="5">
        <v>0</v>
      </c>
      <c r="I260" s="6">
        <v>0</v>
      </c>
      <c r="J260" s="7">
        <v>0</v>
      </c>
      <c r="K260" s="5">
        <v>0</v>
      </c>
      <c r="L260" s="5">
        <v>0</v>
      </c>
      <c r="M260" s="6">
        <v>0</v>
      </c>
      <c r="N260" s="4">
        <v>7072.4790000000003</v>
      </c>
      <c r="O260" s="5">
        <v>27</v>
      </c>
      <c r="P260" s="5">
        <v>40</v>
      </c>
      <c r="Q260" s="6">
        <v>7072.4790000000003</v>
      </c>
      <c r="R260" s="7">
        <v>0</v>
      </c>
      <c r="S260" s="5">
        <v>0</v>
      </c>
      <c r="T260" s="5">
        <v>0</v>
      </c>
      <c r="U260" s="6">
        <v>0</v>
      </c>
      <c r="V260" s="8"/>
    </row>
    <row r="261" spans="1:22" x14ac:dyDescent="0.2">
      <c r="A261" s="2" t="s">
        <v>34</v>
      </c>
      <c r="B261" s="2" t="s">
        <v>46</v>
      </c>
      <c r="C261" s="2">
        <v>1023143</v>
      </c>
      <c r="D261" s="2" t="s">
        <v>183</v>
      </c>
      <c r="E261" s="3" t="s">
        <v>160</v>
      </c>
      <c r="F261" s="4">
        <v>0</v>
      </c>
      <c r="G261" s="5">
        <v>0</v>
      </c>
      <c r="H261" s="5">
        <v>0</v>
      </c>
      <c r="I261" s="6">
        <v>0</v>
      </c>
      <c r="J261" s="7">
        <v>0</v>
      </c>
      <c r="K261" s="5">
        <v>0</v>
      </c>
      <c r="L261" s="5">
        <v>0</v>
      </c>
      <c r="M261" s="6">
        <v>0</v>
      </c>
      <c r="N261" s="4">
        <v>1520</v>
      </c>
      <c r="O261" s="5">
        <v>48</v>
      </c>
      <c r="P261" s="5">
        <v>48</v>
      </c>
      <c r="Q261" s="6">
        <v>1520</v>
      </c>
      <c r="R261" s="7">
        <v>0</v>
      </c>
      <c r="S261" s="5">
        <v>0</v>
      </c>
      <c r="T261" s="5">
        <v>0</v>
      </c>
      <c r="U261" s="6">
        <v>0</v>
      </c>
      <c r="V261" s="8"/>
    </row>
    <row r="262" spans="1:22" x14ac:dyDescent="0.2">
      <c r="A262" s="2" t="s">
        <v>34</v>
      </c>
      <c r="B262" s="2" t="s">
        <v>46</v>
      </c>
      <c r="C262" s="2">
        <v>1023306</v>
      </c>
      <c r="D262" s="2" t="s">
        <v>174</v>
      </c>
      <c r="E262" s="3" t="s">
        <v>175</v>
      </c>
      <c r="F262" s="4">
        <v>0</v>
      </c>
      <c r="G262" s="5">
        <v>0</v>
      </c>
      <c r="H262" s="5">
        <v>0</v>
      </c>
      <c r="I262" s="6">
        <v>0</v>
      </c>
      <c r="J262" s="7">
        <v>0</v>
      </c>
      <c r="K262" s="5">
        <v>0</v>
      </c>
      <c r="L262" s="5">
        <v>0</v>
      </c>
      <c r="M262" s="6">
        <v>0</v>
      </c>
      <c r="N262" s="4">
        <v>0</v>
      </c>
      <c r="O262" s="5">
        <v>0</v>
      </c>
      <c r="P262" s="5">
        <v>0</v>
      </c>
      <c r="Q262" s="6">
        <v>0</v>
      </c>
      <c r="R262" s="7">
        <v>48040</v>
      </c>
      <c r="S262" s="5">
        <v>9</v>
      </c>
      <c r="T262" s="5">
        <v>10</v>
      </c>
      <c r="U262" s="6">
        <v>48040</v>
      </c>
      <c r="V262" s="8"/>
    </row>
    <row r="263" spans="1:22" x14ac:dyDescent="0.2">
      <c r="A263" s="2" t="s">
        <v>34</v>
      </c>
      <c r="B263" s="2" t="s">
        <v>46</v>
      </c>
      <c r="C263" s="2">
        <v>1023411</v>
      </c>
      <c r="D263" s="2" t="s">
        <v>332</v>
      </c>
      <c r="E263" s="3" t="s">
        <v>96</v>
      </c>
      <c r="F263" s="4">
        <v>0</v>
      </c>
      <c r="G263" s="5">
        <v>0</v>
      </c>
      <c r="H263" s="5">
        <v>0</v>
      </c>
      <c r="I263" s="6">
        <v>0</v>
      </c>
      <c r="J263" s="7">
        <v>72473.77</v>
      </c>
      <c r="K263" s="5">
        <v>4.0132332014741303</v>
      </c>
      <c r="L263" s="5">
        <v>4.0132332014741303</v>
      </c>
      <c r="M263" s="6">
        <v>72473.77</v>
      </c>
      <c r="N263" s="4">
        <v>0</v>
      </c>
      <c r="O263" s="5">
        <v>0</v>
      </c>
      <c r="P263" s="5">
        <v>0</v>
      </c>
      <c r="Q263" s="6">
        <v>0</v>
      </c>
      <c r="R263" s="7">
        <v>6883.9189999999999</v>
      </c>
      <c r="S263" s="5">
        <v>12</v>
      </c>
      <c r="T263" s="5">
        <v>12</v>
      </c>
      <c r="U263" s="6">
        <v>6883.9189999999999</v>
      </c>
      <c r="V263" s="8"/>
    </row>
    <row r="264" spans="1:22" x14ac:dyDescent="0.2">
      <c r="A264" s="2" t="s">
        <v>34</v>
      </c>
      <c r="B264" s="2" t="s">
        <v>46</v>
      </c>
      <c r="C264" s="2">
        <v>1023412</v>
      </c>
      <c r="D264" s="2" t="s">
        <v>334</v>
      </c>
      <c r="E264" s="3" t="s">
        <v>96</v>
      </c>
      <c r="F264" s="4">
        <v>0</v>
      </c>
      <c r="G264" s="5">
        <v>0</v>
      </c>
      <c r="H264" s="5">
        <v>0</v>
      </c>
      <c r="I264" s="6">
        <v>0</v>
      </c>
      <c r="J264" s="7">
        <v>23922.77</v>
      </c>
      <c r="K264" s="5">
        <v>3</v>
      </c>
      <c r="L264" s="5">
        <v>3</v>
      </c>
      <c r="M264" s="6">
        <v>23922.77</v>
      </c>
      <c r="N264" s="4">
        <v>0</v>
      </c>
      <c r="O264" s="5">
        <v>0</v>
      </c>
      <c r="P264" s="5">
        <v>0</v>
      </c>
      <c r="Q264" s="6">
        <v>0</v>
      </c>
      <c r="R264" s="7">
        <v>0</v>
      </c>
      <c r="S264" s="5">
        <v>0</v>
      </c>
      <c r="T264" s="5">
        <v>0</v>
      </c>
      <c r="U264" s="6">
        <v>0</v>
      </c>
      <c r="V264" s="8"/>
    </row>
    <row r="265" spans="1:22" x14ac:dyDescent="0.2">
      <c r="A265" s="2" t="s">
        <v>34</v>
      </c>
      <c r="B265" s="2" t="s">
        <v>37</v>
      </c>
      <c r="C265" s="2">
        <v>1021921</v>
      </c>
      <c r="D265" s="2" t="s">
        <v>185</v>
      </c>
      <c r="E265" s="3" t="s">
        <v>43</v>
      </c>
      <c r="F265" s="4">
        <v>0</v>
      </c>
      <c r="G265" s="5">
        <v>0</v>
      </c>
      <c r="H265" s="5">
        <v>0</v>
      </c>
      <c r="I265" s="6">
        <v>0</v>
      </c>
      <c r="J265" s="7">
        <v>0</v>
      </c>
      <c r="K265" s="5">
        <v>0</v>
      </c>
      <c r="L265" s="5">
        <v>0</v>
      </c>
      <c r="M265" s="6">
        <v>0</v>
      </c>
      <c r="N265" s="4">
        <v>887.12300000000005</v>
      </c>
      <c r="O265" s="5">
        <v>38.720532552983101</v>
      </c>
      <c r="P265" s="5">
        <v>51.066309857821302</v>
      </c>
      <c r="Q265" s="6">
        <v>887.12300000000005</v>
      </c>
      <c r="R265" s="7">
        <v>0</v>
      </c>
      <c r="S265" s="5">
        <v>0</v>
      </c>
      <c r="T265" s="5">
        <v>0</v>
      </c>
      <c r="U265" s="6">
        <v>0</v>
      </c>
      <c r="V265" s="8"/>
    </row>
    <row r="266" spans="1:22" x14ac:dyDescent="0.2">
      <c r="A266" s="2" t="s">
        <v>34</v>
      </c>
      <c r="B266" s="2" t="s">
        <v>37</v>
      </c>
      <c r="C266" s="2">
        <v>1021922</v>
      </c>
      <c r="D266" s="2" t="s">
        <v>119</v>
      </c>
      <c r="E266" s="3" t="s">
        <v>67</v>
      </c>
      <c r="F266" s="4">
        <v>0</v>
      </c>
      <c r="G266" s="5">
        <v>0</v>
      </c>
      <c r="H266" s="5">
        <v>0</v>
      </c>
      <c r="I266" s="6">
        <v>0</v>
      </c>
      <c r="J266" s="7">
        <v>0</v>
      </c>
      <c r="K266" s="5">
        <v>0</v>
      </c>
      <c r="L266" s="5">
        <v>0</v>
      </c>
      <c r="M266" s="6">
        <v>0</v>
      </c>
      <c r="N266" s="4">
        <v>2330</v>
      </c>
      <c r="O266" s="5">
        <v>33.974248927038602</v>
      </c>
      <c r="P266" s="5">
        <v>34.618025751072999</v>
      </c>
      <c r="Q266" s="6">
        <v>2330</v>
      </c>
      <c r="R266" s="7">
        <v>0</v>
      </c>
      <c r="S266" s="5">
        <v>0</v>
      </c>
      <c r="T266" s="5">
        <v>0</v>
      </c>
      <c r="U266" s="6">
        <v>0</v>
      </c>
      <c r="V266" s="8"/>
    </row>
    <row r="267" spans="1:22" x14ac:dyDescent="0.2">
      <c r="A267" s="2" t="s">
        <v>34</v>
      </c>
      <c r="B267" s="2" t="s">
        <v>37</v>
      </c>
      <c r="C267" s="2">
        <v>1021924</v>
      </c>
      <c r="D267" s="2" t="s">
        <v>188</v>
      </c>
      <c r="E267" s="3" t="s">
        <v>43</v>
      </c>
      <c r="F267" s="4">
        <v>0</v>
      </c>
      <c r="G267" s="5">
        <v>0</v>
      </c>
      <c r="H267" s="5">
        <v>0</v>
      </c>
      <c r="I267" s="6">
        <v>0</v>
      </c>
      <c r="J267" s="7">
        <v>0</v>
      </c>
      <c r="K267" s="5">
        <v>0</v>
      </c>
      <c r="L267" s="5">
        <v>0</v>
      </c>
      <c r="M267" s="6">
        <v>0</v>
      </c>
      <c r="N267" s="4">
        <v>3506.1970000000001</v>
      </c>
      <c r="O267" s="5">
        <v>30.5792820540318</v>
      </c>
      <c r="P267" s="5">
        <v>43.025372789948797</v>
      </c>
      <c r="Q267" s="6">
        <v>3506.1970000000001</v>
      </c>
      <c r="R267" s="7">
        <v>0</v>
      </c>
      <c r="S267" s="5">
        <v>0</v>
      </c>
      <c r="T267" s="5">
        <v>0</v>
      </c>
      <c r="U267" s="6">
        <v>0</v>
      </c>
      <c r="V267" s="8"/>
    </row>
    <row r="268" spans="1:22" x14ac:dyDescent="0.2">
      <c r="A268" s="2" t="s">
        <v>34</v>
      </c>
      <c r="B268" s="2" t="s">
        <v>37</v>
      </c>
      <c r="C268" s="2">
        <v>1021929</v>
      </c>
      <c r="D268" s="2" t="s">
        <v>336</v>
      </c>
      <c r="E268" s="3" t="s">
        <v>178</v>
      </c>
      <c r="F268" s="4">
        <v>0</v>
      </c>
      <c r="G268" s="5">
        <v>0</v>
      </c>
      <c r="H268" s="5">
        <v>0</v>
      </c>
      <c r="I268" s="6">
        <v>0</v>
      </c>
      <c r="J268" s="7">
        <v>0</v>
      </c>
      <c r="K268" s="5">
        <v>0</v>
      </c>
      <c r="L268" s="5">
        <v>0</v>
      </c>
      <c r="M268" s="6">
        <v>0</v>
      </c>
      <c r="N268" s="4">
        <v>50</v>
      </c>
      <c r="O268" s="5">
        <v>30</v>
      </c>
      <c r="P268" s="5">
        <v>30</v>
      </c>
      <c r="Q268" s="6">
        <v>50</v>
      </c>
      <c r="R268" s="7">
        <v>0</v>
      </c>
      <c r="S268" s="5">
        <v>0</v>
      </c>
      <c r="T268" s="5">
        <v>0</v>
      </c>
      <c r="U268" s="6">
        <v>0</v>
      </c>
      <c r="V268" s="8"/>
    </row>
    <row r="269" spans="1:22" x14ac:dyDescent="0.2">
      <c r="A269" s="2" t="s">
        <v>34</v>
      </c>
      <c r="B269" s="2" t="s">
        <v>37</v>
      </c>
      <c r="C269" s="2">
        <v>1021931</v>
      </c>
      <c r="D269" s="2" t="s">
        <v>190</v>
      </c>
      <c r="E269" s="3" t="s">
        <v>191</v>
      </c>
      <c r="F269" s="4">
        <v>0</v>
      </c>
      <c r="G269" s="5">
        <v>0</v>
      </c>
      <c r="H269" s="5">
        <v>0</v>
      </c>
      <c r="I269" s="6">
        <v>0</v>
      </c>
      <c r="J269" s="7">
        <v>0</v>
      </c>
      <c r="K269" s="5">
        <v>0</v>
      </c>
      <c r="L269" s="5">
        <v>0</v>
      </c>
      <c r="M269" s="6">
        <v>0</v>
      </c>
      <c r="N269" s="4">
        <v>631.03300000000002</v>
      </c>
      <c r="O269" s="5">
        <v>27.3720978142189</v>
      </c>
      <c r="P269" s="5">
        <v>27.3720978142189</v>
      </c>
      <c r="Q269" s="6">
        <v>631.03300000000002</v>
      </c>
      <c r="R269" s="7">
        <v>0</v>
      </c>
      <c r="S269" s="5">
        <v>0</v>
      </c>
      <c r="T269" s="5">
        <v>0</v>
      </c>
      <c r="U269" s="6">
        <v>0</v>
      </c>
      <c r="V269" s="8"/>
    </row>
    <row r="270" spans="1:22" x14ac:dyDescent="0.2">
      <c r="A270" s="2" t="s">
        <v>34</v>
      </c>
      <c r="B270" s="2" t="s">
        <v>37</v>
      </c>
      <c r="C270" s="2">
        <v>1021944</v>
      </c>
      <c r="D270" s="2" t="s">
        <v>193</v>
      </c>
      <c r="E270" s="3" t="s">
        <v>181</v>
      </c>
      <c r="F270" s="4">
        <v>0</v>
      </c>
      <c r="G270" s="5">
        <v>0</v>
      </c>
      <c r="H270" s="5">
        <v>0</v>
      </c>
      <c r="I270" s="6">
        <v>0</v>
      </c>
      <c r="J270" s="7">
        <v>0</v>
      </c>
      <c r="K270" s="5">
        <v>0</v>
      </c>
      <c r="L270" s="5">
        <v>0</v>
      </c>
      <c r="M270" s="6">
        <v>0</v>
      </c>
      <c r="N270" s="4">
        <v>2400</v>
      </c>
      <c r="O270" s="5">
        <v>34</v>
      </c>
      <c r="P270" s="5">
        <v>35</v>
      </c>
      <c r="Q270" s="6">
        <v>2400</v>
      </c>
      <c r="R270" s="7">
        <v>0</v>
      </c>
      <c r="S270" s="5">
        <v>0</v>
      </c>
      <c r="T270" s="5">
        <v>0</v>
      </c>
      <c r="U270" s="6">
        <v>0</v>
      </c>
      <c r="V270" s="8"/>
    </row>
    <row r="271" spans="1:22" x14ac:dyDescent="0.2">
      <c r="A271" s="2" t="s">
        <v>34</v>
      </c>
      <c r="B271" s="2" t="s">
        <v>37</v>
      </c>
      <c r="C271" s="2">
        <v>1021945</v>
      </c>
      <c r="D271" s="2" t="s">
        <v>195</v>
      </c>
      <c r="E271" s="3" t="s">
        <v>196</v>
      </c>
      <c r="F271" s="4">
        <v>0</v>
      </c>
      <c r="G271" s="5">
        <v>0</v>
      </c>
      <c r="H271" s="5">
        <v>0</v>
      </c>
      <c r="I271" s="6">
        <v>0</v>
      </c>
      <c r="J271" s="7">
        <v>0</v>
      </c>
      <c r="K271" s="5">
        <v>0</v>
      </c>
      <c r="L271" s="5">
        <v>0</v>
      </c>
      <c r="M271" s="6">
        <v>0</v>
      </c>
      <c r="N271" s="4">
        <v>2400</v>
      </c>
      <c r="O271" s="5">
        <v>34</v>
      </c>
      <c r="P271" s="5">
        <v>35</v>
      </c>
      <c r="Q271" s="6">
        <v>2400</v>
      </c>
      <c r="R271" s="7">
        <v>0</v>
      </c>
      <c r="S271" s="5">
        <v>0</v>
      </c>
      <c r="T271" s="5">
        <v>0</v>
      </c>
      <c r="U271" s="6">
        <v>0</v>
      </c>
      <c r="V271" s="8"/>
    </row>
    <row r="272" spans="1:22" x14ac:dyDescent="0.2">
      <c r="A272" s="2" t="s">
        <v>34</v>
      </c>
      <c r="B272" s="2" t="s">
        <v>37</v>
      </c>
      <c r="C272" s="2">
        <v>1021952</v>
      </c>
      <c r="D272" s="2" t="s">
        <v>75</v>
      </c>
      <c r="E272" s="3" t="s">
        <v>76</v>
      </c>
      <c r="F272" s="4">
        <v>0</v>
      </c>
      <c r="G272" s="5">
        <v>0</v>
      </c>
      <c r="H272" s="5">
        <v>0</v>
      </c>
      <c r="I272" s="6">
        <v>0</v>
      </c>
      <c r="J272" s="7">
        <v>0</v>
      </c>
      <c r="K272" s="5">
        <v>0</v>
      </c>
      <c r="L272" s="5">
        <v>0</v>
      </c>
      <c r="M272" s="6">
        <v>0</v>
      </c>
      <c r="N272" s="4">
        <v>6110</v>
      </c>
      <c r="O272" s="5">
        <v>47.076923076923102</v>
      </c>
      <c r="P272" s="5">
        <v>47.2438625204583</v>
      </c>
      <c r="Q272" s="6">
        <v>6110</v>
      </c>
      <c r="R272" s="7">
        <v>0</v>
      </c>
      <c r="S272" s="5">
        <v>0</v>
      </c>
      <c r="T272" s="5">
        <v>0</v>
      </c>
      <c r="U272" s="6">
        <v>0</v>
      </c>
      <c r="V272" s="8"/>
    </row>
    <row r="273" spans="1:22" x14ac:dyDescent="0.2">
      <c r="A273" s="2" t="s">
        <v>34</v>
      </c>
      <c r="B273" s="2" t="s">
        <v>37</v>
      </c>
      <c r="C273" s="2">
        <v>1022101</v>
      </c>
      <c r="D273" s="2" t="s">
        <v>338</v>
      </c>
      <c r="E273" s="3" t="s">
        <v>43</v>
      </c>
      <c r="F273" s="4">
        <v>0</v>
      </c>
      <c r="G273" s="5">
        <v>0</v>
      </c>
      <c r="H273" s="5">
        <v>0</v>
      </c>
      <c r="I273" s="6">
        <v>0</v>
      </c>
      <c r="J273" s="7">
        <v>0</v>
      </c>
      <c r="K273" s="5">
        <v>0</v>
      </c>
      <c r="L273" s="5">
        <v>0</v>
      </c>
      <c r="M273" s="6">
        <v>0</v>
      </c>
      <c r="N273" s="4">
        <v>852.99</v>
      </c>
      <c r="O273" s="5">
        <v>16</v>
      </c>
      <c r="P273" s="5">
        <v>17</v>
      </c>
      <c r="Q273" s="6">
        <v>852.99</v>
      </c>
      <c r="R273" s="7">
        <v>0</v>
      </c>
      <c r="S273" s="5">
        <v>0</v>
      </c>
      <c r="T273" s="5">
        <v>0</v>
      </c>
      <c r="U273" s="6">
        <v>0</v>
      </c>
      <c r="V273" s="8"/>
    </row>
    <row r="274" spans="1:22" x14ac:dyDescent="0.2">
      <c r="A274" s="2" t="s">
        <v>34</v>
      </c>
      <c r="B274" s="2" t="s">
        <v>37</v>
      </c>
      <c r="C274" s="2">
        <v>1022141</v>
      </c>
      <c r="D274" s="2" t="s">
        <v>127</v>
      </c>
      <c r="E274" s="3" t="s">
        <v>96</v>
      </c>
      <c r="F274" s="4">
        <v>0</v>
      </c>
      <c r="G274" s="5">
        <v>0</v>
      </c>
      <c r="H274" s="5">
        <v>0</v>
      </c>
      <c r="I274" s="6">
        <v>0</v>
      </c>
      <c r="J274" s="7">
        <v>0</v>
      </c>
      <c r="K274" s="5">
        <v>0</v>
      </c>
      <c r="L274" s="5">
        <v>0</v>
      </c>
      <c r="M274" s="6">
        <v>0</v>
      </c>
      <c r="N274" s="4">
        <v>907.28300000000002</v>
      </c>
      <c r="O274" s="5">
        <v>90</v>
      </c>
      <c r="P274" s="5">
        <v>90</v>
      </c>
      <c r="Q274" s="6">
        <v>907.28300000000002</v>
      </c>
      <c r="R274" s="7">
        <v>0</v>
      </c>
      <c r="S274" s="5">
        <v>0</v>
      </c>
      <c r="T274" s="5">
        <v>0</v>
      </c>
      <c r="U274" s="6">
        <v>0</v>
      </c>
      <c r="V274" s="8"/>
    </row>
    <row r="275" spans="1:22" x14ac:dyDescent="0.2">
      <c r="A275" s="2" t="s">
        <v>34</v>
      </c>
      <c r="B275" s="2" t="s">
        <v>37</v>
      </c>
      <c r="C275" s="2">
        <v>1022293</v>
      </c>
      <c r="D275" s="2" t="s">
        <v>340</v>
      </c>
      <c r="E275" s="3" t="s">
        <v>160</v>
      </c>
      <c r="F275" s="4">
        <v>0</v>
      </c>
      <c r="G275" s="5">
        <v>0</v>
      </c>
      <c r="H275" s="5">
        <v>0</v>
      </c>
      <c r="I275" s="6">
        <v>0</v>
      </c>
      <c r="J275" s="7">
        <v>0</v>
      </c>
      <c r="K275" s="5">
        <v>0</v>
      </c>
      <c r="L275" s="5">
        <v>0</v>
      </c>
      <c r="M275" s="6">
        <v>0</v>
      </c>
      <c r="N275" s="4">
        <v>730</v>
      </c>
      <c r="O275" s="5">
        <v>21.780821917808201</v>
      </c>
      <c r="P275" s="5">
        <v>22.575342465753401</v>
      </c>
      <c r="Q275" s="6">
        <v>730</v>
      </c>
      <c r="R275" s="7">
        <v>0</v>
      </c>
      <c r="S275" s="5">
        <v>0</v>
      </c>
      <c r="T275" s="5">
        <v>0</v>
      </c>
      <c r="U275" s="6">
        <v>0</v>
      </c>
      <c r="V275" s="8"/>
    </row>
    <row r="276" spans="1:22" x14ac:dyDescent="0.2">
      <c r="A276" s="2" t="s">
        <v>34</v>
      </c>
      <c r="B276" s="2" t="s">
        <v>37</v>
      </c>
      <c r="C276" s="2">
        <v>1022515</v>
      </c>
      <c r="D276" s="2" t="s">
        <v>198</v>
      </c>
      <c r="E276" s="3" t="s">
        <v>178</v>
      </c>
      <c r="F276" s="4">
        <v>0</v>
      </c>
      <c r="G276" s="5">
        <v>0</v>
      </c>
      <c r="H276" s="5">
        <v>0</v>
      </c>
      <c r="I276" s="6">
        <v>0</v>
      </c>
      <c r="J276" s="7">
        <v>0</v>
      </c>
      <c r="K276" s="5">
        <v>0</v>
      </c>
      <c r="L276" s="5">
        <v>0</v>
      </c>
      <c r="M276" s="6">
        <v>0</v>
      </c>
      <c r="N276" s="4">
        <v>7439.0789999999997</v>
      </c>
      <c r="O276" s="5">
        <v>44.946578333151201</v>
      </c>
      <c r="P276" s="5">
        <v>44.946578333151201</v>
      </c>
      <c r="Q276" s="6">
        <v>7439.0789999999997</v>
      </c>
      <c r="R276" s="7">
        <v>0</v>
      </c>
      <c r="S276" s="5">
        <v>0</v>
      </c>
      <c r="T276" s="5">
        <v>0</v>
      </c>
      <c r="U276" s="6">
        <v>0</v>
      </c>
      <c r="V276" s="8"/>
    </row>
    <row r="277" spans="1:22" x14ac:dyDescent="0.2">
      <c r="A277" s="2" t="s">
        <v>34</v>
      </c>
      <c r="B277" s="2" t="s">
        <v>37</v>
      </c>
      <c r="C277" s="2">
        <v>1022561</v>
      </c>
      <c r="D277" s="2" t="s">
        <v>342</v>
      </c>
      <c r="E277" s="3" t="s">
        <v>43</v>
      </c>
      <c r="F277" s="4">
        <v>0</v>
      </c>
      <c r="G277" s="5">
        <v>0</v>
      </c>
      <c r="H277" s="5">
        <v>0</v>
      </c>
      <c r="I277" s="6">
        <v>0</v>
      </c>
      <c r="J277" s="7">
        <v>0</v>
      </c>
      <c r="K277" s="5">
        <v>0</v>
      </c>
      <c r="L277" s="5">
        <v>0</v>
      </c>
      <c r="M277" s="6">
        <v>0</v>
      </c>
      <c r="N277" s="4">
        <v>2007.799</v>
      </c>
      <c r="O277" s="5">
        <v>25</v>
      </c>
      <c r="P277" s="5">
        <v>25</v>
      </c>
      <c r="Q277" s="6">
        <v>2007.799</v>
      </c>
      <c r="R277" s="7">
        <v>0</v>
      </c>
      <c r="S277" s="5">
        <v>0</v>
      </c>
      <c r="T277" s="5">
        <v>0</v>
      </c>
      <c r="U277" s="6">
        <v>0</v>
      </c>
      <c r="V277" s="8"/>
    </row>
    <row r="278" spans="1:22" x14ac:dyDescent="0.2">
      <c r="A278" s="2" t="s">
        <v>34</v>
      </c>
      <c r="B278" s="2" t="s">
        <v>37</v>
      </c>
      <c r="C278" s="2">
        <v>1022621</v>
      </c>
      <c r="D278" s="2" t="s">
        <v>200</v>
      </c>
      <c r="E278" s="3" t="s">
        <v>178</v>
      </c>
      <c r="F278" s="4">
        <v>0</v>
      </c>
      <c r="G278" s="5">
        <v>0</v>
      </c>
      <c r="H278" s="5">
        <v>0</v>
      </c>
      <c r="I278" s="6">
        <v>0</v>
      </c>
      <c r="J278" s="7">
        <v>0</v>
      </c>
      <c r="K278" s="5">
        <v>0</v>
      </c>
      <c r="L278" s="5">
        <v>0</v>
      </c>
      <c r="M278" s="6">
        <v>0</v>
      </c>
      <c r="N278" s="4">
        <v>25913.477999999999</v>
      </c>
      <c r="O278" s="5">
        <v>29.873246617069299</v>
      </c>
      <c r="P278" s="5">
        <v>30.260860352284599</v>
      </c>
      <c r="Q278" s="6">
        <v>25913.477999999999</v>
      </c>
      <c r="R278" s="7">
        <v>0</v>
      </c>
      <c r="S278" s="5">
        <v>0</v>
      </c>
      <c r="T278" s="5">
        <v>0</v>
      </c>
      <c r="U278" s="6">
        <v>0</v>
      </c>
      <c r="V278" s="8"/>
    </row>
    <row r="279" spans="1:22" x14ac:dyDescent="0.2">
      <c r="A279" s="2" t="s">
        <v>34</v>
      </c>
      <c r="B279" s="2" t="s">
        <v>37</v>
      </c>
      <c r="C279" s="2">
        <v>1022751</v>
      </c>
      <c r="D279" s="2" t="s">
        <v>38</v>
      </c>
      <c r="E279" s="3" t="s">
        <v>39</v>
      </c>
      <c r="F279" s="4">
        <v>0</v>
      </c>
      <c r="G279" s="5">
        <v>0</v>
      </c>
      <c r="H279" s="5">
        <v>0</v>
      </c>
      <c r="I279" s="6">
        <v>0</v>
      </c>
      <c r="J279" s="7">
        <v>0</v>
      </c>
      <c r="K279" s="5">
        <v>0</v>
      </c>
      <c r="L279" s="5">
        <v>0</v>
      </c>
      <c r="M279" s="6">
        <v>0</v>
      </c>
      <c r="N279" s="4">
        <v>4004</v>
      </c>
      <c r="O279" s="5">
        <v>16</v>
      </c>
      <c r="P279" s="5">
        <v>17</v>
      </c>
      <c r="Q279" s="6">
        <v>4004</v>
      </c>
      <c r="R279" s="7">
        <v>0</v>
      </c>
      <c r="S279" s="5">
        <v>0</v>
      </c>
      <c r="T279" s="5">
        <v>0</v>
      </c>
      <c r="U279" s="6">
        <v>0</v>
      </c>
      <c r="V279" s="8"/>
    </row>
    <row r="280" spans="1:22" x14ac:dyDescent="0.2">
      <c r="A280" s="2" t="s">
        <v>34</v>
      </c>
      <c r="B280" s="2" t="s">
        <v>37</v>
      </c>
      <c r="C280" s="2">
        <v>1022863</v>
      </c>
      <c r="D280" s="2" t="s">
        <v>202</v>
      </c>
      <c r="E280" s="3" t="s">
        <v>43</v>
      </c>
      <c r="F280" s="4">
        <v>0</v>
      </c>
      <c r="G280" s="5">
        <v>0</v>
      </c>
      <c r="H280" s="5">
        <v>0</v>
      </c>
      <c r="I280" s="6">
        <v>0</v>
      </c>
      <c r="J280" s="7">
        <v>0</v>
      </c>
      <c r="K280" s="5">
        <v>0</v>
      </c>
      <c r="L280" s="5">
        <v>0</v>
      </c>
      <c r="M280" s="6">
        <v>0</v>
      </c>
      <c r="N280" s="4">
        <v>48410.608</v>
      </c>
      <c r="O280" s="5">
        <v>28.757611678828699</v>
      </c>
      <c r="P280" s="5">
        <v>29.2326859848569</v>
      </c>
      <c r="Q280" s="6">
        <v>48410.608</v>
      </c>
      <c r="R280" s="7">
        <v>0</v>
      </c>
      <c r="S280" s="5">
        <v>0</v>
      </c>
      <c r="T280" s="5">
        <v>0</v>
      </c>
      <c r="U280" s="6">
        <v>0</v>
      </c>
      <c r="V280" s="8"/>
    </row>
    <row r="281" spans="1:22" x14ac:dyDescent="0.2">
      <c r="A281" s="2" t="s">
        <v>34</v>
      </c>
      <c r="B281" s="2" t="s">
        <v>37</v>
      </c>
      <c r="C281" s="2">
        <v>1022864</v>
      </c>
      <c r="D281" s="2" t="s">
        <v>42</v>
      </c>
      <c r="E281" s="3" t="s">
        <v>43</v>
      </c>
      <c r="F281" s="4">
        <v>0</v>
      </c>
      <c r="G281" s="5">
        <v>0</v>
      </c>
      <c r="H281" s="5">
        <v>0</v>
      </c>
      <c r="I281" s="6">
        <v>0</v>
      </c>
      <c r="J281" s="7">
        <v>0</v>
      </c>
      <c r="K281" s="5">
        <v>0</v>
      </c>
      <c r="L281" s="5">
        <v>0</v>
      </c>
      <c r="M281" s="6">
        <v>0</v>
      </c>
      <c r="N281" s="4">
        <v>19694.993999999999</v>
      </c>
      <c r="O281" s="5">
        <v>20.1655182022396</v>
      </c>
      <c r="P281" s="5">
        <v>21.0894657292102</v>
      </c>
      <c r="Q281" s="6">
        <v>19694.993999999999</v>
      </c>
      <c r="R281" s="7">
        <v>0</v>
      </c>
      <c r="S281" s="5">
        <v>0</v>
      </c>
      <c r="T281" s="5">
        <v>0</v>
      </c>
      <c r="U281" s="6">
        <v>0</v>
      </c>
      <c r="V281" s="8"/>
    </row>
    <row r="282" spans="1:22" x14ac:dyDescent="0.2">
      <c r="A282" s="2" t="s">
        <v>34</v>
      </c>
      <c r="B282" s="2" t="s">
        <v>37</v>
      </c>
      <c r="C282" s="2">
        <v>1022865</v>
      </c>
      <c r="D282" s="2" t="s">
        <v>344</v>
      </c>
      <c r="E282" s="3" t="s">
        <v>178</v>
      </c>
      <c r="F282" s="4">
        <v>0</v>
      </c>
      <c r="G282" s="5">
        <v>0</v>
      </c>
      <c r="H282" s="5">
        <v>0</v>
      </c>
      <c r="I282" s="6">
        <v>0</v>
      </c>
      <c r="J282" s="7">
        <v>0</v>
      </c>
      <c r="K282" s="5">
        <v>0</v>
      </c>
      <c r="L282" s="5">
        <v>0</v>
      </c>
      <c r="M282" s="6">
        <v>0</v>
      </c>
      <c r="N282" s="4">
        <v>5944.1850000000004</v>
      </c>
      <c r="O282" s="5">
        <v>25.8817839619729</v>
      </c>
      <c r="P282" s="5">
        <v>25.980788955929199</v>
      </c>
      <c r="Q282" s="6">
        <v>5944.1850000000004</v>
      </c>
      <c r="R282" s="7">
        <v>0</v>
      </c>
      <c r="S282" s="5">
        <v>0</v>
      </c>
      <c r="T282" s="5">
        <v>0</v>
      </c>
      <c r="U282" s="6">
        <v>0</v>
      </c>
      <c r="V282" s="8"/>
    </row>
    <row r="283" spans="1:22" x14ac:dyDescent="0.2">
      <c r="A283" s="2" t="s">
        <v>34</v>
      </c>
      <c r="B283" s="2" t="s">
        <v>37</v>
      </c>
      <c r="C283" s="2">
        <v>1022866</v>
      </c>
      <c r="D283" s="2" t="s">
        <v>204</v>
      </c>
      <c r="E283" s="3" t="s">
        <v>178</v>
      </c>
      <c r="F283" s="4">
        <v>0</v>
      </c>
      <c r="G283" s="5">
        <v>0</v>
      </c>
      <c r="H283" s="5">
        <v>0</v>
      </c>
      <c r="I283" s="6">
        <v>0</v>
      </c>
      <c r="J283" s="7">
        <v>0</v>
      </c>
      <c r="K283" s="5">
        <v>0</v>
      </c>
      <c r="L283" s="5">
        <v>0</v>
      </c>
      <c r="M283" s="6">
        <v>0</v>
      </c>
      <c r="N283" s="4">
        <v>37227.790999999997</v>
      </c>
      <c r="O283" s="5">
        <v>30.479210759510298</v>
      </c>
      <c r="P283" s="5">
        <v>30.911439306189301</v>
      </c>
      <c r="Q283" s="6">
        <v>37227.790999999997</v>
      </c>
      <c r="R283" s="7">
        <v>0</v>
      </c>
      <c r="S283" s="5">
        <v>0</v>
      </c>
      <c r="T283" s="5">
        <v>0</v>
      </c>
      <c r="U283" s="6">
        <v>0</v>
      </c>
      <c r="V283" s="8"/>
    </row>
    <row r="284" spans="1:22" x14ac:dyDescent="0.2">
      <c r="A284" s="2" t="s">
        <v>34</v>
      </c>
      <c r="B284" s="2" t="s">
        <v>37</v>
      </c>
      <c r="C284" s="2">
        <v>1023123</v>
      </c>
      <c r="D284" s="2" t="s">
        <v>346</v>
      </c>
      <c r="E284" s="3" t="s">
        <v>43</v>
      </c>
      <c r="F284" s="4">
        <v>0</v>
      </c>
      <c r="G284" s="5">
        <v>0</v>
      </c>
      <c r="H284" s="5">
        <v>0</v>
      </c>
      <c r="I284" s="6">
        <v>0</v>
      </c>
      <c r="J284" s="7">
        <v>0</v>
      </c>
      <c r="K284" s="5">
        <v>0</v>
      </c>
      <c r="L284" s="5">
        <v>0</v>
      </c>
      <c r="M284" s="6">
        <v>0</v>
      </c>
      <c r="N284" s="4">
        <v>3748.9879999999998</v>
      </c>
      <c r="O284" s="5">
        <v>20.5965652597448</v>
      </c>
      <c r="P284" s="5">
        <v>20.5965652597448</v>
      </c>
      <c r="Q284" s="6">
        <v>3748.9879999999998</v>
      </c>
      <c r="R284" s="7">
        <v>0</v>
      </c>
      <c r="S284" s="5">
        <v>0</v>
      </c>
      <c r="T284" s="5">
        <v>0</v>
      </c>
      <c r="U284" s="6">
        <v>0</v>
      </c>
      <c r="V284" s="8"/>
    </row>
    <row r="285" spans="1:22" x14ac:dyDescent="0.2">
      <c r="A285" s="2" t="s">
        <v>34</v>
      </c>
      <c r="B285" s="2" t="s">
        <v>37</v>
      </c>
      <c r="C285" s="2">
        <v>1023265</v>
      </c>
      <c r="D285" s="2" t="s">
        <v>348</v>
      </c>
      <c r="E285" s="3" t="s">
        <v>191</v>
      </c>
      <c r="F285" s="4">
        <v>0</v>
      </c>
      <c r="G285" s="5">
        <v>0</v>
      </c>
      <c r="H285" s="5">
        <v>0</v>
      </c>
      <c r="I285" s="6">
        <v>0</v>
      </c>
      <c r="J285" s="7">
        <v>0</v>
      </c>
      <c r="K285" s="5">
        <v>0</v>
      </c>
      <c r="L285" s="5">
        <v>0</v>
      </c>
      <c r="M285" s="6">
        <v>0</v>
      </c>
      <c r="N285" s="4">
        <v>2002.9590000000001</v>
      </c>
      <c r="O285" s="5">
        <v>16</v>
      </c>
      <c r="P285" s="5">
        <v>17</v>
      </c>
      <c r="Q285" s="6">
        <v>2002.9590000000001</v>
      </c>
      <c r="R285" s="7">
        <v>0</v>
      </c>
      <c r="S285" s="5">
        <v>0</v>
      </c>
      <c r="T285" s="5">
        <v>0</v>
      </c>
      <c r="U285" s="6">
        <v>0</v>
      </c>
      <c r="V285" s="8"/>
    </row>
    <row r="286" spans="1:22" x14ac:dyDescent="0.2">
      <c r="A286" s="2" t="s">
        <v>50</v>
      </c>
      <c r="B286" s="2" t="s">
        <v>52</v>
      </c>
      <c r="C286" s="2">
        <v>1030228</v>
      </c>
      <c r="D286" s="2" t="s">
        <v>206</v>
      </c>
      <c r="E286" s="3" t="s">
        <v>207</v>
      </c>
      <c r="F286" s="4">
        <v>0</v>
      </c>
      <c r="G286" s="5">
        <v>0</v>
      </c>
      <c r="H286" s="5">
        <v>0</v>
      </c>
      <c r="I286" s="6">
        <v>0</v>
      </c>
      <c r="J286" s="7">
        <v>0</v>
      </c>
      <c r="K286" s="5">
        <v>0</v>
      </c>
      <c r="L286" s="5">
        <v>0</v>
      </c>
      <c r="M286" s="6">
        <v>0</v>
      </c>
      <c r="N286" s="4">
        <v>163.29599999999999</v>
      </c>
      <c r="O286" s="5">
        <v>40</v>
      </c>
      <c r="P286" s="5">
        <v>45</v>
      </c>
      <c r="Q286" s="6">
        <v>163.29599999999999</v>
      </c>
      <c r="R286" s="7">
        <v>0</v>
      </c>
      <c r="S286" s="5">
        <v>0</v>
      </c>
      <c r="T286" s="5">
        <v>0</v>
      </c>
      <c r="U286" s="6">
        <v>0</v>
      </c>
      <c r="V286" s="8"/>
    </row>
    <row r="287" spans="1:22" x14ac:dyDescent="0.2">
      <c r="A287" s="2" t="s">
        <v>50</v>
      </c>
      <c r="B287" s="2" t="s">
        <v>52</v>
      </c>
      <c r="C287" s="2">
        <v>1030239</v>
      </c>
      <c r="D287" s="2" t="s">
        <v>209</v>
      </c>
      <c r="E287" s="3" t="s">
        <v>63</v>
      </c>
      <c r="F287" s="4">
        <v>0</v>
      </c>
      <c r="G287" s="5">
        <v>0</v>
      </c>
      <c r="H287" s="5">
        <v>0</v>
      </c>
      <c r="I287" s="6">
        <v>0</v>
      </c>
      <c r="J287" s="7">
        <v>0</v>
      </c>
      <c r="K287" s="5">
        <v>0</v>
      </c>
      <c r="L287" s="5">
        <v>0</v>
      </c>
      <c r="M287" s="6">
        <v>0</v>
      </c>
      <c r="N287" s="4">
        <v>6315.04</v>
      </c>
      <c r="O287" s="5">
        <v>19</v>
      </c>
      <c r="P287" s="5">
        <v>24</v>
      </c>
      <c r="Q287" s="6">
        <v>6315.04</v>
      </c>
      <c r="R287" s="7">
        <v>95.27</v>
      </c>
      <c r="S287" s="5">
        <v>48</v>
      </c>
      <c r="T287" s="5">
        <v>48</v>
      </c>
      <c r="U287" s="6">
        <v>95.27</v>
      </c>
      <c r="V287" s="8"/>
    </row>
    <row r="288" spans="1:22" x14ac:dyDescent="0.2">
      <c r="A288" s="2" t="s">
        <v>50</v>
      </c>
      <c r="B288" s="2" t="s">
        <v>52</v>
      </c>
      <c r="C288" s="2">
        <v>1030321</v>
      </c>
      <c r="D288" s="2" t="s">
        <v>350</v>
      </c>
      <c r="E288" s="3" t="s">
        <v>132</v>
      </c>
      <c r="F288" s="4">
        <v>0</v>
      </c>
      <c r="G288" s="5">
        <v>0</v>
      </c>
      <c r="H288" s="5">
        <v>0</v>
      </c>
      <c r="I288" s="6">
        <v>0</v>
      </c>
      <c r="J288" s="7">
        <v>3892.18</v>
      </c>
      <c r="K288" s="5">
        <v>2</v>
      </c>
      <c r="L288" s="5">
        <v>2</v>
      </c>
      <c r="M288" s="6">
        <v>3892.18</v>
      </c>
      <c r="N288" s="4">
        <v>3648.73</v>
      </c>
      <c r="O288" s="5">
        <v>17</v>
      </c>
      <c r="P288" s="5">
        <v>17</v>
      </c>
      <c r="Q288" s="6">
        <v>3648.73</v>
      </c>
      <c r="R288" s="7">
        <v>0</v>
      </c>
      <c r="S288" s="5">
        <v>0</v>
      </c>
      <c r="T288" s="5">
        <v>0</v>
      </c>
      <c r="U288" s="6">
        <v>0</v>
      </c>
      <c r="V288" s="8"/>
    </row>
    <row r="289" spans="1:22" x14ac:dyDescent="0.2">
      <c r="A289" s="2" t="s">
        <v>50</v>
      </c>
      <c r="B289" s="2" t="s">
        <v>52</v>
      </c>
      <c r="C289" s="2">
        <v>1030360</v>
      </c>
      <c r="D289" s="2" t="s">
        <v>352</v>
      </c>
      <c r="E289" s="3" t="s">
        <v>132</v>
      </c>
      <c r="F289" s="4">
        <v>0</v>
      </c>
      <c r="G289" s="5">
        <v>0</v>
      </c>
      <c r="H289" s="5">
        <v>0</v>
      </c>
      <c r="I289" s="6">
        <v>0</v>
      </c>
      <c r="J289" s="7">
        <v>3935.6</v>
      </c>
      <c r="K289" s="5">
        <v>7.1661957516007702</v>
      </c>
      <c r="L289" s="5">
        <v>7.1661957516007702</v>
      </c>
      <c r="M289" s="6">
        <v>3935.6</v>
      </c>
      <c r="N289" s="4">
        <v>4709.3</v>
      </c>
      <c r="O289" s="5">
        <v>17</v>
      </c>
      <c r="P289" s="5">
        <v>17</v>
      </c>
      <c r="Q289" s="6">
        <v>4709.3</v>
      </c>
      <c r="R289" s="7">
        <v>0</v>
      </c>
      <c r="S289" s="5">
        <v>0</v>
      </c>
      <c r="T289" s="5">
        <v>0</v>
      </c>
      <c r="U289" s="6">
        <v>0</v>
      </c>
      <c r="V289" s="8"/>
    </row>
    <row r="290" spans="1:22" x14ac:dyDescent="0.2">
      <c r="A290" s="2" t="s">
        <v>50</v>
      </c>
      <c r="B290" s="2" t="s">
        <v>52</v>
      </c>
      <c r="C290" s="2">
        <v>1030366</v>
      </c>
      <c r="D290" s="2" t="s">
        <v>354</v>
      </c>
      <c r="E290" s="3" t="s">
        <v>132</v>
      </c>
      <c r="F290" s="4">
        <v>0</v>
      </c>
      <c r="G290" s="5">
        <v>0</v>
      </c>
      <c r="H290" s="5">
        <v>0</v>
      </c>
      <c r="I290" s="6">
        <v>0</v>
      </c>
      <c r="J290" s="7">
        <v>871.23</v>
      </c>
      <c r="K290" s="5">
        <v>2</v>
      </c>
      <c r="L290" s="5">
        <v>2</v>
      </c>
      <c r="M290" s="6">
        <v>871.23</v>
      </c>
      <c r="N290" s="4">
        <v>871.32</v>
      </c>
      <c r="O290" s="5">
        <v>17</v>
      </c>
      <c r="P290" s="5">
        <v>17</v>
      </c>
      <c r="Q290" s="6">
        <v>871.32</v>
      </c>
      <c r="R290" s="7">
        <v>0</v>
      </c>
      <c r="S290" s="5">
        <v>0</v>
      </c>
      <c r="T290" s="5">
        <v>0</v>
      </c>
      <c r="U290" s="6">
        <v>0</v>
      </c>
      <c r="V290" s="8"/>
    </row>
    <row r="291" spans="1:22" x14ac:dyDescent="0.2">
      <c r="A291" s="2" t="s">
        <v>50</v>
      </c>
      <c r="B291" s="2" t="s">
        <v>52</v>
      </c>
      <c r="C291" s="2">
        <v>1030370</v>
      </c>
      <c r="D291" s="2" t="s">
        <v>356</v>
      </c>
      <c r="E291" s="3" t="s">
        <v>181</v>
      </c>
      <c r="F291" s="4">
        <v>0</v>
      </c>
      <c r="G291" s="5">
        <v>0</v>
      </c>
      <c r="H291" s="5">
        <v>0</v>
      </c>
      <c r="I291" s="6">
        <v>0</v>
      </c>
      <c r="J291" s="7">
        <v>7872.76</v>
      </c>
      <c r="K291" s="5">
        <v>12</v>
      </c>
      <c r="L291" s="5">
        <v>12</v>
      </c>
      <c r="M291" s="6">
        <v>7872.76</v>
      </c>
      <c r="N291" s="4">
        <v>2.4359999999999999</v>
      </c>
      <c r="O291" s="5">
        <v>74</v>
      </c>
      <c r="P291" s="5">
        <v>74</v>
      </c>
      <c r="Q291" s="6">
        <v>2.4359999999999999</v>
      </c>
      <c r="R291" s="7">
        <v>0</v>
      </c>
      <c r="S291" s="5">
        <v>0</v>
      </c>
      <c r="T291" s="5">
        <v>0</v>
      </c>
      <c r="U291" s="6">
        <v>0</v>
      </c>
      <c r="V291" s="8"/>
    </row>
    <row r="292" spans="1:22" x14ac:dyDescent="0.2">
      <c r="A292" s="2" t="s">
        <v>50</v>
      </c>
      <c r="B292" s="2" t="s">
        <v>52</v>
      </c>
      <c r="C292" s="2">
        <v>1030376</v>
      </c>
      <c r="D292" s="2" t="s">
        <v>358</v>
      </c>
      <c r="E292" s="3" t="s">
        <v>132</v>
      </c>
      <c r="F292" s="4">
        <v>0</v>
      </c>
      <c r="G292" s="5">
        <v>0</v>
      </c>
      <c r="H292" s="5">
        <v>0</v>
      </c>
      <c r="I292" s="6">
        <v>0</v>
      </c>
      <c r="J292" s="7">
        <v>5639.7550000000001</v>
      </c>
      <c r="K292" s="5">
        <v>2</v>
      </c>
      <c r="L292" s="5">
        <v>2</v>
      </c>
      <c r="M292" s="6">
        <v>5639.7550000000001</v>
      </c>
      <c r="N292" s="4">
        <v>4004.7</v>
      </c>
      <c r="O292" s="5">
        <v>17</v>
      </c>
      <c r="P292" s="5">
        <v>17</v>
      </c>
      <c r="Q292" s="6">
        <v>4004.7</v>
      </c>
      <c r="R292" s="7">
        <v>0</v>
      </c>
      <c r="S292" s="5">
        <v>0</v>
      </c>
      <c r="T292" s="5">
        <v>0</v>
      </c>
      <c r="U292" s="6">
        <v>0</v>
      </c>
      <c r="V292" s="8"/>
    </row>
    <row r="293" spans="1:22" x14ac:dyDescent="0.2">
      <c r="A293" s="2" t="s">
        <v>50</v>
      </c>
      <c r="B293" s="2" t="s">
        <v>52</v>
      </c>
      <c r="C293" s="2">
        <v>1030379</v>
      </c>
      <c r="D293" s="2" t="s">
        <v>98</v>
      </c>
      <c r="E293" s="3" t="s">
        <v>79</v>
      </c>
      <c r="F293" s="4">
        <v>0</v>
      </c>
      <c r="G293" s="5">
        <v>0</v>
      </c>
      <c r="H293" s="5">
        <v>0</v>
      </c>
      <c r="I293" s="6">
        <v>0</v>
      </c>
      <c r="J293" s="7">
        <v>135288.12</v>
      </c>
      <c r="K293" s="5">
        <v>15.898900509520001</v>
      </c>
      <c r="L293" s="5">
        <v>15.898900509520001</v>
      </c>
      <c r="M293" s="6">
        <v>135288.12</v>
      </c>
      <c r="N293" s="4">
        <v>320842.18</v>
      </c>
      <c r="O293" s="5">
        <v>13.8804771866343</v>
      </c>
      <c r="P293" s="5">
        <v>20.8243907954995</v>
      </c>
      <c r="Q293" s="6">
        <v>320842.18</v>
      </c>
      <c r="R293" s="7">
        <v>1088.4000000000001</v>
      </c>
      <c r="S293" s="5">
        <v>20.45</v>
      </c>
      <c r="T293" s="5">
        <v>48.933333333333302</v>
      </c>
      <c r="U293" s="6">
        <v>1088.4000000000001</v>
      </c>
      <c r="V293" s="8"/>
    </row>
    <row r="294" spans="1:22" x14ac:dyDescent="0.2">
      <c r="A294" s="2" t="s">
        <v>50</v>
      </c>
      <c r="B294" s="2" t="s">
        <v>52</v>
      </c>
      <c r="C294" s="2">
        <v>1030424</v>
      </c>
      <c r="D294" s="2" t="s">
        <v>360</v>
      </c>
      <c r="E294" s="3" t="s">
        <v>79</v>
      </c>
      <c r="F294" s="4">
        <v>0</v>
      </c>
      <c r="G294" s="5">
        <v>0</v>
      </c>
      <c r="H294" s="5">
        <v>0</v>
      </c>
      <c r="I294" s="6">
        <v>0</v>
      </c>
      <c r="J294" s="7">
        <v>0</v>
      </c>
      <c r="K294" s="5">
        <v>0</v>
      </c>
      <c r="L294" s="5">
        <v>0</v>
      </c>
      <c r="M294" s="6">
        <v>0</v>
      </c>
      <c r="N294" s="4">
        <v>23409.214</v>
      </c>
      <c r="O294" s="5">
        <v>5.0000006407733304</v>
      </c>
      <c r="P294" s="5">
        <v>12.000001537856001</v>
      </c>
      <c r="Q294" s="6">
        <v>23409.214</v>
      </c>
      <c r="R294" s="7">
        <v>0</v>
      </c>
      <c r="S294" s="5">
        <v>0</v>
      </c>
      <c r="T294" s="5">
        <v>0</v>
      </c>
      <c r="U294" s="6">
        <v>0</v>
      </c>
      <c r="V294" s="8"/>
    </row>
    <row r="295" spans="1:22" x14ac:dyDescent="0.2">
      <c r="A295" s="2" t="s">
        <v>50</v>
      </c>
      <c r="B295" s="2" t="s">
        <v>52</v>
      </c>
      <c r="C295" s="2">
        <v>1030452</v>
      </c>
      <c r="D295" s="2" t="s">
        <v>78</v>
      </c>
      <c r="E295" s="3" t="s">
        <v>79</v>
      </c>
      <c r="F295" s="4">
        <v>0</v>
      </c>
      <c r="G295" s="5">
        <v>0</v>
      </c>
      <c r="H295" s="5">
        <v>0</v>
      </c>
      <c r="I295" s="6">
        <v>0</v>
      </c>
      <c r="J295" s="7">
        <v>23418.762999999999</v>
      </c>
      <c r="K295" s="5">
        <v>9.1354918276426496</v>
      </c>
      <c r="L295" s="5">
        <v>9.1354918276426496</v>
      </c>
      <c r="M295" s="6">
        <v>23418.762999999999</v>
      </c>
      <c r="N295" s="4">
        <v>57542.769</v>
      </c>
      <c r="O295" s="5">
        <v>25.787503430709101</v>
      </c>
      <c r="P295" s="5">
        <v>30.674715966484001</v>
      </c>
      <c r="Q295" s="6">
        <v>57542.769</v>
      </c>
      <c r="R295" s="7">
        <v>111.70699999999999</v>
      </c>
      <c r="S295" s="5">
        <v>41</v>
      </c>
      <c r="T295" s="5">
        <v>55</v>
      </c>
      <c r="U295" s="6">
        <v>111.70699999999999</v>
      </c>
      <c r="V295" s="8"/>
    </row>
    <row r="296" spans="1:22" x14ac:dyDescent="0.2">
      <c r="A296" s="2" t="s">
        <v>50</v>
      </c>
      <c r="B296" s="2" t="s">
        <v>52</v>
      </c>
      <c r="C296" s="2">
        <v>1030461</v>
      </c>
      <c r="D296" s="2" t="s">
        <v>129</v>
      </c>
      <c r="E296" s="3" t="s">
        <v>79</v>
      </c>
      <c r="F296" s="4">
        <v>0</v>
      </c>
      <c r="G296" s="5">
        <v>0</v>
      </c>
      <c r="H296" s="5">
        <v>0</v>
      </c>
      <c r="I296" s="6">
        <v>0</v>
      </c>
      <c r="J296" s="7">
        <v>3528.2849999999999</v>
      </c>
      <c r="K296" s="5">
        <v>26</v>
      </c>
      <c r="L296" s="5">
        <v>26</v>
      </c>
      <c r="M296" s="6">
        <v>3528.2849999999999</v>
      </c>
      <c r="N296" s="4">
        <v>8804.0560000000005</v>
      </c>
      <c r="O296" s="5">
        <v>9.0638404617144595</v>
      </c>
      <c r="P296" s="5">
        <v>12.0756263931079</v>
      </c>
      <c r="Q296" s="6">
        <v>8804.0560000000005</v>
      </c>
      <c r="R296" s="7">
        <v>0</v>
      </c>
      <c r="S296" s="5">
        <v>0</v>
      </c>
      <c r="T296" s="5">
        <v>0</v>
      </c>
      <c r="U296" s="6">
        <v>0</v>
      </c>
      <c r="V296" s="8"/>
    </row>
    <row r="297" spans="1:22" x14ac:dyDescent="0.2">
      <c r="A297" s="2" t="s">
        <v>50</v>
      </c>
      <c r="B297" s="2" t="s">
        <v>52</v>
      </c>
      <c r="C297" s="2">
        <v>1030735</v>
      </c>
      <c r="D297" s="2" t="s">
        <v>362</v>
      </c>
      <c r="E297" s="3" t="s">
        <v>54</v>
      </c>
      <c r="F297" s="4">
        <v>0</v>
      </c>
      <c r="G297" s="5">
        <v>0</v>
      </c>
      <c r="H297" s="5">
        <v>0</v>
      </c>
      <c r="I297" s="6">
        <v>0</v>
      </c>
      <c r="J297" s="7">
        <v>19051.2</v>
      </c>
      <c r="K297" s="5">
        <v>19</v>
      </c>
      <c r="L297" s="5">
        <v>19</v>
      </c>
      <c r="M297" s="6">
        <v>19051.2</v>
      </c>
      <c r="N297" s="4">
        <v>0</v>
      </c>
      <c r="O297" s="5">
        <v>0</v>
      </c>
      <c r="P297" s="5">
        <v>0</v>
      </c>
      <c r="Q297" s="6">
        <v>0</v>
      </c>
      <c r="R297" s="7">
        <v>0</v>
      </c>
      <c r="S297" s="5">
        <v>0</v>
      </c>
      <c r="T297" s="5">
        <v>0</v>
      </c>
      <c r="U297" s="6">
        <v>0</v>
      </c>
      <c r="V297" s="8"/>
    </row>
    <row r="298" spans="1:22" x14ac:dyDescent="0.2">
      <c r="A298" s="2" t="s">
        <v>50</v>
      </c>
      <c r="B298" s="2" t="s">
        <v>52</v>
      </c>
      <c r="C298" s="2">
        <v>1030745</v>
      </c>
      <c r="D298" s="2" t="s">
        <v>53</v>
      </c>
      <c r="E298" s="3" t="s">
        <v>54</v>
      </c>
      <c r="F298" s="4">
        <v>0</v>
      </c>
      <c r="G298" s="5">
        <v>0</v>
      </c>
      <c r="H298" s="5">
        <v>0</v>
      </c>
      <c r="I298" s="6">
        <v>0</v>
      </c>
      <c r="J298" s="7">
        <v>0</v>
      </c>
      <c r="K298" s="5">
        <v>0</v>
      </c>
      <c r="L298" s="5">
        <v>0</v>
      </c>
      <c r="M298" s="6">
        <v>0</v>
      </c>
      <c r="N298" s="4">
        <v>1106.7840000000001</v>
      </c>
      <c r="O298" s="5">
        <v>79</v>
      </c>
      <c r="P298" s="5">
        <v>81</v>
      </c>
      <c r="Q298" s="6">
        <v>1106.7840000000001</v>
      </c>
      <c r="R298" s="7">
        <v>0</v>
      </c>
      <c r="S298" s="5">
        <v>0</v>
      </c>
      <c r="T298" s="5">
        <v>0</v>
      </c>
      <c r="U298" s="6">
        <v>0</v>
      </c>
      <c r="V298" s="8"/>
    </row>
    <row r="299" spans="1:22" x14ac:dyDescent="0.2">
      <c r="A299" s="2" t="s">
        <v>50</v>
      </c>
      <c r="B299" s="2" t="s">
        <v>52</v>
      </c>
      <c r="C299" s="2">
        <v>1030773</v>
      </c>
      <c r="D299" s="2" t="s">
        <v>211</v>
      </c>
      <c r="E299" s="3" t="s">
        <v>79</v>
      </c>
      <c r="F299" s="4">
        <v>0</v>
      </c>
      <c r="G299" s="5">
        <v>0</v>
      </c>
      <c r="H299" s="5">
        <v>0</v>
      </c>
      <c r="I299" s="6">
        <v>0</v>
      </c>
      <c r="J299" s="7">
        <v>0</v>
      </c>
      <c r="K299" s="5">
        <v>0</v>
      </c>
      <c r="L299" s="5">
        <v>0</v>
      </c>
      <c r="M299" s="6">
        <v>0</v>
      </c>
      <c r="N299" s="4">
        <v>15022</v>
      </c>
      <c r="O299" s="5">
        <v>45</v>
      </c>
      <c r="P299" s="5">
        <v>46</v>
      </c>
      <c r="Q299" s="6">
        <v>15022</v>
      </c>
      <c r="R299" s="7">
        <v>0</v>
      </c>
      <c r="S299" s="5">
        <v>0</v>
      </c>
      <c r="T299" s="5">
        <v>0</v>
      </c>
      <c r="U299" s="6">
        <v>0</v>
      </c>
      <c r="V299" s="8"/>
    </row>
    <row r="300" spans="1:22" x14ac:dyDescent="0.2">
      <c r="A300" s="2" t="s">
        <v>50</v>
      </c>
      <c r="B300" s="2" t="s">
        <v>52</v>
      </c>
      <c r="C300" s="2">
        <v>1030782</v>
      </c>
      <c r="D300" s="2" t="s">
        <v>81</v>
      </c>
      <c r="E300" s="3" t="s">
        <v>79</v>
      </c>
      <c r="F300" s="4">
        <v>0</v>
      </c>
      <c r="G300" s="5">
        <v>0</v>
      </c>
      <c r="H300" s="5">
        <v>0</v>
      </c>
      <c r="I300" s="6">
        <v>0</v>
      </c>
      <c r="J300" s="7">
        <v>17152.16</v>
      </c>
      <c r="K300" s="5">
        <v>19.609737782296801</v>
      </c>
      <c r="L300" s="5">
        <v>19.609737782296801</v>
      </c>
      <c r="M300" s="6">
        <v>17152.16</v>
      </c>
      <c r="N300" s="4">
        <v>41821.796000000002</v>
      </c>
      <c r="O300" s="5">
        <v>27.444300192177302</v>
      </c>
      <c r="P300" s="5">
        <v>34.813262443344101</v>
      </c>
      <c r="Q300" s="6">
        <v>41821.796000000002</v>
      </c>
      <c r="R300" s="7">
        <v>107.334</v>
      </c>
      <c r="S300" s="5">
        <v>35.000531052602199</v>
      </c>
      <c r="T300" s="5">
        <v>58.279352302159602</v>
      </c>
      <c r="U300" s="6">
        <v>107.334</v>
      </c>
      <c r="V300" s="8"/>
    </row>
    <row r="301" spans="1:22" x14ac:dyDescent="0.2">
      <c r="A301" s="2" t="s">
        <v>50</v>
      </c>
      <c r="B301" s="2" t="s">
        <v>52</v>
      </c>
      <c r="C301" s="2">
        <v>1030783</v>
      </c>
      <c r="D301" s="2" t="s">
        <v>131</v>
      </c>
      <c r="E301" s="3" t="s">
        <v>132</v>
      </c>
      <c r="F301" s="4">
        <v>0</v>
      </c>
      <c r="G301" s="5">
        <v>0</v>
      </c>
      <c r="H301" s="5">
        <v>0</v>
      </c>
      <c r="I301" s="6">
        <v>0</v>
      </c>
      <c r="J301" s="7">
        <v>2260.12</v>
      </c>
      <c r="K301" s="5">
        <v>2</v>
      </c>
      <c r="L301" s="5">
        <v>2</v>
      </c>
      <c r="M301" s="6">
        <v>2260.12</v>
      </c>
      <c r="N301" s="4">
        <v>0</v>
      </c>
      <c r="O301" s="5">
        <v>0</v>
      </c>
      <c r="P301" s="5">
        <v>0</v>
      </c>
      <c r="Q301" s="6">
        <v>0</v>
      </c>
      <c r="R301" s="7">
        <v>16.885999999999999</v>
      </c>
      <c r="S301" s="5">
        <v>81</v>
      </c>
      <c r="T301" s="5">
        <v>89</v>
      </c>
      <c r="U301" s="6">
        <v>16.885999999999999</v>
      </c>
      <c r="V301" s="8"/>
    </row>
    <row r="302" spans="1:22" x14ac:dyDescent="0.2">
      <c r="A302" s="2" t="s">
        <v>50</v>
      </c>
      <c r="B302" s="2" t="s">
        <v>52</v>
      </c>
      <c r="C302" s="2">
        <v>1030784</v>
      </c>
      <c r="D302" s="2" t="s">
        <v>364</v>
      </c>
      <c r="E302" s="3" t="s">
        <v>132</v>
      </c>
      <c r="F302" s="4">
        <v>0</v>
      </c>
      <c r="G302" s="5">
        <v>0</v>
      </c>
      <c r="H302" s="5">
        <v>0</v>
      </c>
      <c r="I302" s="6">
        <v>0</v>
      </c>
      <c r="J302" s="7">
        <v>3403.27</v>
      </c>
      <c r="K302" s="5">
        <v>2</v>
      </c>
      <c r="L302" s="5">
        <v>2</v>
      </c>
      <c r="M302" s="6">
        <v>3403.27</v>
      </c>
      <c r="N302" s="4">
        <v>0</v>
      </c>
      <c r="O302" s="5">
        <v>0</v>
      </c>
      <c r="P302" s="5">
        <v>0</v>
      </c>
      <c r="Q302" s="6">
        <v>0</v>
      </c>
      <c r="R302" s="7">
        <v>0</v>
      </c>
      <c r="S302" s="5">
        <v>0</v>
      </c>
      <c r="T302" s="5">
        <v>0</v>
      </c>
      <c r="U302" s="6">
        <v>0</v>
      </c>
      <c r="V302" s="8"/>
    </row>
    <row r="303" spans="1:22" x14ac:dyDescent="0.2">
      <c r="A303" s="2" t="s">
        <v>50</v>
      </c>
      <c r="B303" s="2" t="s">
        <v>52</v>
      </c>
      <c r="C303" s="2">
        <v>1030785</v>
      </c>
      <c r="D303" s="2" t="s">
        <v>366</v>
      </c>
      <c r="E303" s="3" t="s">
        <v>132</v>
      </c>
      <c r="F303" s="4">
        <v>0</v>
      </c>
      <c r="G303" s="5">
        <v>0</v>
      </c>
      <c r="H303" s="5">
        <v>0</v>
      </c>
      <c r="I303" s="6">
        <v>0</v>
      </c>
      <c r="J303" s="7">
        <v>133.19999999999999</v>
      </c>
      <c r="K303" s="5">
        <v>2</v>
      </c>
      <c r="L303" s="5">
        <v>2</v>
      </c>
      <c r="M303" s="6">
        <v>133.19999999999999</v>
      </c>
      <c r="N303" s="4">
        <v>0</v>
      </c>
      <c r="O303" s="5">
        <v>0</v>
      </c>
      <c r="P303" s="5">
        <v>0</v>
      </c>
      <c r="Q303" s="6">
        <v>0</v>
      </c>
      <c r="R303" s="7">
        <v>0</v>
      </c>
      <c r="S303" s="5">
        <v>0</v>
      </c>
      <c r="T303" s="5">
        <v>0</v>
      </c>
      <c r="U303" s="6">
        <v>0</v>
      </c>
      <c r="V303" s="8"/>
    </row>
    <row r="304" spans="1:22" x14ac:dyDescent="0.2">
      <c r="A304" s="2" t="s">
        <v>50</v>
      </c>
      <c r="B304" s="2" t="s">
        <v>52</v>
      </c>
      <c r="C304" s="2">
        <v>1030818</v>
      </c>
      <c r="D304" s="2" t="s">
        <v>134</v>
      </c>
      <c r="E304" s="3" t="s">
        <v>79</v>
      </c>
      <c r="F304" s="4">
        <v>0</v>
      </c>
      <c r="G304" s="5">
        <v>0</v>
      </c>
      <c r="H304" s="5">
        <v>0</v>
      </c>
      <c r="I304" s="6">
        <v>0</v>
      </c>
      <c r="J304" s="7">
        <v>0</v>
      </c>
      <c r="K304" s="5">
        <v>0</v>
      </c>
      <c r="L304" s="5">
        <v>0</v>
      </c>
      <c r="M304" s="6">
        <v>0</v>
      </c>
      <c r="N304" s="4">
        <v>25813.22</v>
      </c>
      <c r="O304" s="5">
        <v>47.704146170063197</v>
      </c>
      <c r="P304" s="5">
        <v>53.557976106816596</v>
      </c>
      <c r="Q304" s="6">
        <v>25813.22</v>
      </c>
      <c r="R304" s="7">
        <v>0</v>
      </c>
      <c r="S304" s="5">
        <v>0</v>
      </c>
      <c r="T304" s="5">
        <v>0</v>
      </c>
      <c r="U304" s="6">
        <v>0</v>
      </c>
      <c r="V304" s="8"/>
    </row>
    <row r="305" spans="1:22" x14ac:dyDescent="0.2">
      <c r="A305" s="2" t="s">
        <v>50</v>
      </c>
      <c r="B305" s="2" t="s">
        <v>226</v>
      </c>
      <c r="C305" s="2">
        <v>1030265</v>
      </c>
      <c r="D305" s="2" t="s">
        <v>368</v>
      </c>
      <c r="E305" s="3" t="s">
        <v>79</v>
      </c>
      <c r="F305" s="4">
        <v>0</v>
      </c>
      <c r="G305" s="5">
        <v>0</v>
      </c>
      <c r="H305" s="5">
        <v>0</v>
      </c>
      <c r="I305" s="6">
        <v>0</v>
      </c>
      <c r="J305" s="7">
        <v>0</v>
      </c>
      <c r="K305" s="5">
        <v>0</v>
      </c>
      <c r="L305" s="5">
        <v>0</v>
      </c>
      <c r="M305" s="6">
        <v>0</v>
      </c>
      <c r="N305" s="4">
        <v>21600</v>
      </c>
      <c r="O305" s="5">
        <v>3</v>
      </c>
      <c r="P305" s="5">
        <v>6</v>
      </c>
      <c r="Q305" s="6">
        <v>21600</v>
      </c>
      <c r="R305" s="7">
        <v>0</v>
      </c>
      <c r="S305" s="5">
        <v>0</v>
      </c>
      <c r="T305" s="5">
        <v>0</v>
      </c>
      <c r="U305" s="6">
        <v>0</v>
      </c>
      <c r="V305" s="8"/>
    </row>
    <row r="306" spans="1:22" x14ac:dyDescent="0.2">
      <c r="A306" s="2" t="s">
        <v>50</v>
      </c>
      <c r="B306" s="2" t="s">
        <v>150</v>
      </c>
      <c r="C306" s="2">
        <v>1030337</v>
      </c>
      <c r="D306" s="2" t="s">
        <v>370</v>
      </c>
      <c r="E306" s="3" t="s">
        <v>79</v>
      </c>
      <c r="F306" s="4">
        <v>0</v>
      </c>
      <c r="G306" s="5">
        <v>0</v>
      </c>
      <c r="H306" s="5">
        <v>0</v>
      </c>
      <c r="I306" s="6">
        <v>0</v>
      </c>
      <c r="J306" s="7">
        <v>24000</v>
      </c>
      <c r="K306" s="5">
        <v>5</v>
      </c>
      <c r="L306" s="5">
        <v>5</v>
      </c>
      <c r="M306" s="6">
        <v>24000</v>
      </c>
      <c r="N306" s="4">
        <v>168000</v>
      </c>
      <c r="O306" s="5">
        <v>8.28571428571429</v>
      </c>
      <c r="P306" s="5">
        <v>13.5714285714286</v>
      </c>
      <c r="Q306" s="6">
        <v>168000</v>
      </c>
      <c r="R306" s="7">
        <v>0</v>
      </c>
      <c r="S306" s="5">
        <v>0</v>
      </c>
      <c r="T306" s="5">
        <v>0</v>
      </c>
      <c r="U306" s="6">
        <v>0</v>
      </c>
      <c r="V306" s="8"/>
    </row>
    <row r="307" spans="1:22" x14ac:dyDescent="0.2">
      <c r="A307" s="2" t="s">
        <v>50</v>
      </c>
      <c r="B307" s="2" t="s">
        <v>150</v>
      </c>
      <c r="C307" s="2">
        <v>1030658</v>
      </c>
      <c r="D307" s="2" t="s">
        <v>372</v>
      </c>
      <c r="E307" s="3" t="s">
        <v>207</v>
      </c>
      <c r="F307" s="4">
        <v>0</v>
      </c>
      <c r="G307" s="5">
        <v>0</v>
      </c>
      <c r="H307" s="5">
        <v>0</v>
      </c>
      <c r="I307" s="6">
        <v>0</v>
      </c>
      <c r="J307" s="7">
        <v>48034.720000000001</v>
      </c>
      <c r="K307" s="5">
        <v>5</v>
      </c>
      <c r="L307" s="5">
        <v>5</v>
      </c>
      <c r="M307" s="6">
        <v>48034.720000000001</v>
      </c>
      <c r="N307" s="4">
        <v>144104.16</v>
      </c>
      <c r="O307" s="5">
        <v>16.8333333333333</v>
      </c>
      <c r="P307" s="5">
        <v>20.1666666666667</v>
      </c>
      <c r="Q307" s="6">
        <v>144104.16</v>
      </c>
      <c r="R307" s="7">
        <v>0</v>
      </c>
      <c r="S307" s="5">
        <v>0</v>
      </c>
      <c r="T307" s="5">
        <v>0</v>
      </c>
      <c r="U307" s="6">
        <v>0</v>
      </c>
      <c r="V307" s="8"/>
    </row>
    <row r="308" spans="1:22" x14ac:dyDescent="0.2">
      <c r="A308" s="2" t="s">
        <v>50</v>
      </c>
      <c r="B308" s="2" t="s">
        <v>150</v>
      </c>
      <c r="C308" s="2">
        <v>1030792</v>
      </c>
      <c r="D308" s="2" t="s">
        <v>374</v>
      </c>
      <c r="E308" s="3" t="s">
        <v>79</v>
      </c>
      <c r="F308" s="4">
        <v>0</v>
      </c>
      <c r="G308" s="5">
        <v>0</v>
      </c>
      <c r="H308" s="5">
        <v>0</v>
      </c>
      <c r="I308" s="6">
        <v>0</v>
      </c>
      <c r="J308" s="7">
        <v>0</v>
      </c>
      <c r="K308" s="5">
        <v>0</v>
      </c>
      <c r="L308" s="5">
        <v>0</v>
      </c>
      <c r="M308" s="6">
        <v>0</v>
      </c>
      <c r="N308" s="4">
        <v>72000</v>
      </c>
      <c r="O308" s="5">
        <v>21.3333333333333</v>
      </c>
      <c r="P308" s="5">
        <v>27.3333333333333</v>
      </c>
      <c r="Q308" s="6">
        <v>72000</v>
      </c>
      <c r="R308" s="7">
        <v>0</v>
      </c>
      <c r="S308" s="5">
        <v>0</v>
      </c>
      <c r="T308" s="5">
        <v>0</v>
      </c>
      <c r="U308" s="6">
        <v>0</v>
      </c>
      <c r="V308" s="8"/>
    </row>
    <row r="309" spans="1:22" x14ac:dyDescent="0.2">
      <c r="A309" s="2" t="s">
        <v>50</v>
      </c>
      <c r="B309" s="2" t="s">
        <v>150</v>
      </c>
      <c r="C309" s="2">
        <v>1030810</v>
      </c>
      <c r="D309" s="2" t="s">
        <v>376</v>
      </c>
      <c r="E309" s="3" t="s">
        <v>214</v>
      </c>
      <c r="F309" s="4">
        <v>0</v>
      </c>
      <c r="G309" s="5">
        <v>0</v>
      </c>
      <c r="H309" s="5">
        <v>0</v>
      </c>
      <c r="I309" s="6">
        <v>0</v>
      </c>
      <c r="J309" s="7">
        <v>21600</v>
      </c>
      <c r="K309" s="5">
        <v>5</v>
      </c>
      <c r="L309" s="5">
        <v>5</v>
      </c>
      <c r="M309" s="6">
        <v>21600</v>
      </c>
      <c r="N309" s="4">
        <v>21600</v>
      </c>
      <c r="O309" s="5">
        <v>11</v>
      </c>
      <c r="P309" s="5">
        <v>13</v>
      </c>
      <c r="Q309" s="6">
        <v>21600</v>
      </c>
      <c r="R309" s="7">
        <v>0</v>
      </c>
      <c r="S309" s="5">
        <v>0</v>
      </c>
      <c r="T309" s="5">
        <v>0</v>
      </c>
      <c r="U309" s="6">
        <v>0</v>
      </c>
      <c r="V309" s="8"/>
    </row>
    <row r="310" spans="1:22" x14ac:dyDescent="0.2">
      <c r="A310" s="2" t="s">
        <v>50</v>
      </c>
      <c r="B310" s="2" t="s">
        <v>46</v>
      </c>
      <c r="C310" s="2">
        <v>1030525</v>
      </c>
      <c r="D310" s="2" t="s">
        <v>378</v>
      </c>
      <c r="E310" s="3" t="s">
        <v>63</v>
      </c>
      <c r="F310" s="4">
        <v>0</v>
      </c>
      <c r="G310" s="5">
        <v>0</v>
      </c>
      <c r="H310" s="5">
        <v>0</v>
      </c>
      <c r="I310" s="6">
        <v>0</v>
      </c>
      <c r="J310" s="7">
        <v>0</v>
      </c>
      <c r="K310" s="5">
        <v>0</v>
      </c>
      <c r="L310" s="5">
        <v>0</v>
      </c>
      <c r="M310" s="6">
        <v>0</v>
      </c>
      <c r="N310" s="4">
        <v>24000</v>
      </c>
      <c r="O310" s="5">
        <v>4</v>
      </c>
      <c r="P310" s="5">
        <v>6</v>
      </c>
      <c r="Q310" s="6">
        <v>24000</v>
      </c>
      <c r="R310" s="7">
        <v>0</v>
      </c>
      <c r="S310" s="5">
        <v>0</v>
      </c>
      <c r="T310" s="5">
        <v>0</v>
      </c>
      <c r="U310" s="6">
        <v>0</v>
      </c>
      <c r="V310" s="8"/>
    </row>
    <row r="311" spans="1:22" x14ac:dyDescent="0.2">
      <c r="A311" s="2" t="s">
        <v>50</v>
      </c>
      <c r="B311" s="2" t="s">
        <v>46</v>
      </c>
      <c r="C311" s="2">
        <v>1030683</v>
      </c>
      <c r="D311" s="2" t="s">
        <v>380</v>
      </c>
      <c r="E311" s="3" t="s">
        <v>214</v>
      </c>
      <c r="F311" s="4">
        <v>0</v>
      </c>
      <c r="G311" s="5">
        <v>0</v>
      </c>
      <c r="H311" s="5">
        <v>0</v>
      </c>
      <c r="I311" s="6">
        <v>0</v>
      </c>
      <c r="J311" s="7">
        <v>23925</v>
      </c>
      <c r="K311" s="5">
        <v>2</v>
      </c>
      <c r="L311" s="5">
        <v>2</v>
      </c>
      <c r="M311" s="6">
        <v>23925</v>
      </c>
      <c r="N311" s="4">
        <v>24000</v>
      </c>
      <c r="O311" s="5">
        <v>2</v>
      </c>
      <c r="P311" s="5">
        <v>4</v>
      </c>
      <c r="Q311" s="6">
        <v>24000</v>
      </c>
      <c r="R311" s="7">
        <v>0</v>
      </c>
      <c r="S311" s="5">
        <v>0</v>
      </c>
      <c r="T311" s="5">
        <v>0</v>
      </c>
      <c r="U311" s="6">
        <v>0</v>
      </c>
      <c r="V311" s="8"/>
    </row>
    <row r="312" spans="1:22" x14ac:dyDescent="0.2">
      <c r="A312" s="2" t="s">
        <v>50</v>
      </c>
      <c r="B312" s="2" t="s">
        <v>46</v>
      </c>
      <c r="C312" s="2">
        <v>1030686</v>
      </c>
      <c r="D312" s="2" t="s">
        <v>382</v>
      </c>
      <c r="E312" s="3" t="s">
        <v>54</v>
      </c>
      <c r="F312" s="4">
        <v>0</v>
      </c>
      <c r="G312" s="5">
        <v>0</v>
      </c>
      <c r="H312" s="5">
        <v>0</v>
      </c>
      <c r="I312" s="6">
        <v>0</v>
      </c>
      <c r="J312" s="7">
        <v>0</v>
      </c>
      <c r="K312" s="5">
        <v>0</v>
      </c>
      <c r="L312" s="5">
        <v>0</v>
      </c>
      <c r="M312" s="6">
        <v>0</v>
      </c>
      <c r="N312" s="4">
        <v>0</v>
      </c>
      <c r="O312" s="5">
        <v>0</v>
      </c>
      <c r="P312" s="5">
        <v>0</v>
      </c>
      <c r="Q312" s="6">
        <v>0</v>
      </c>
      <c r="R312" s="7">
        <v>24000</v>
      </c>
      <c r="S312" s="5">
        <v>2</v>
      </c>
      <c r="T312" s="5">
        <v>24</v>
      </c>
      <c r="U312" s="6">
        <v>24000</v>
      </c>
      <c r="V312" s="8"/>
    </row>
    <row r="313" spans="1:22" x14ac:dyDescent="0.2">
      <c r="A313" s="2" t="s">
        <v>50</v>
      </c>
      <c r="B313" s="2" t="s">
        <v>46</v>
      </c>
      <c r="C313" s="2">
        <v>1030791</v>
      </c>
      <c r="D313" s="2" t="s">
        <v>213</v>
      </c>
      <c r="E313" s="3" t="s">
        <v>214</v>
      </c>
      <c r="F313" s="4">
        <v>0</v>
      </c>
      <c r="G313" s="5">
        <v>0</v>
      </c>
      <c r="H313" s="5">
        <v>0</v>
      </c>
      <c r="I313" s="6">
        <v>0</v>
      </c>
      <c r="J313" s="7">
        <v>0</v>
      </c>
      <c r="K313" s="5">
        <v>0</v>
      </c>
      <c r="L313" s="5">
        <v>0</v>
      </c>
      <c r="M313" s="6">
        <v>0</v>
      </c>
      <c r="N313" s="4">
        <v>3675</v>
      </c>
      <c r="O313" s="5">
        <v>34</v>
      </c>
      <c r="P313" s="5">
        <v>54</v>
      </c>
      <c r="Q313" s="6">
        <v>3675</v>
      </c>
      <c r="R313" s="7">
        <v>0</v>
      </c>
      <c r="S313" s="5">
        <v>0</v>
      </c>
      <c r="T313" s="5">
        <v>0</v>
      </c>
      <c r="U313" s="6">
        <v>0</v>
      </c>
      <c r="V313" s="8"/>
    </row>
    <row r="314" spans="1:22" x14ac:dyDescent="0.2">
      <c r="A314" s="2" t="s">
        <v>103</v>
      </c>
      <c r="B314" s="2" t="s">
        <v>52</v>
      </c>
      <c r="C314" s="2">
        <v>1100570</v>
      </c>
      <c r="D314" s="2" t="s">
        <v>105</v>
      </c>
      <c r="E314" s="3" t="s">
        <v>106</v>
      </c>
      <c r="F314" s="4">
        <v>0</v>
      </c>
      <c r="G314" s="5">
        <v>0</v>
      </c>
      <c r="H314" s="5">
        <v>0</v>
      </c>
      <c r="I314" s="6">
        <v>0</v>
      </c>
      <c r="J314" s="7">
        <v>0</v>
      </c>
      <c r="K314" s="5">
        <v>0</v>
      </c>
      <c r="L314" s="5">
        <v>0</v>
      </c>
      <c r="M314" s="6">
        <v>0</v>
      </c>
      <c r="N314" s="4">
        <v>244.8</v>
      </c>
      <c r="O314" s="5">
        <v>122</v>
      </c>
      <c r="P314" s="5">
        <v>130</v>
      </c>
      <c r="Q314" s="6">
        <v>244.8</v>
      </c>
      <c r="R314" s="7">
        <v>0</v>
      </c>
      <c r="S314" s="5">
        <v>0</v>
      </c>
      <c r="T314" s="5">
        <v>0</v>
      </c>
      <c r="U314" s="6">
        <v>0</v>
      </c>
      <c r="V314" s="8"/>
    </row>
    <row r="315" spans="1:22" x14ac:dyDescent="0.2">
      <c r="A315" s="2" t="s">
        <v>103</v>
      </c>
      <c r="B315" s="2" t="s">
        <v>52</v>
      </c>
      <c r="C315" s="2">
        <v>1100573</v>
      </c>
      <c r="D315" s="2" t="s">
        <v>136</v>
      </c>
      <c r="E315" s="3" t="s">
        <v>106</v>
      </c>
      <c r="F315" s="4">
        <v>0</v>
      </c>
      <c r="G315" s="5">
        <v>0</v>
      </c>
      <c r="H315" s="5">
        <v>0</v>
      </c>
      <c r="I315" s="6">
        <v>0</v>
      </c>
      <c r="J315" s="7">
        <v>0</v>
      </c>
      <c r="K315" s="5">
        <v>0</v>
      </c>
      <c r="L315" s="5">
        <v>0</v>
      </c>
      <c r="M315" s="6">
        <v>0</v>
      </c>
      <c r="N315" s="4">
        <v>1481.04</v>
      </c>
      <c r="O315" s="5">
        <v>41.314049586776903</v>
      </c>
      <c r="P315" s="5">
        <v>55.338842975206603</v>
      </c>
      <c r="Q315" s="6">
        <v>1481.04</v>
      </c>
      <c r="R315" s="7">
        <v>0</v>
      </c>
      <c r="S315" s="5">
        <v>0</v>
      </c>
      <c r="T315" s="5">
        <v>0</v>
      </c>
      <c r="U315" s="6">
        <v>0</v>
      </c>
      <c r="V315" s="8"/>
    </row>
    <row r="316" spans="1:22" x14ac:dyDescent="0.2">
      <c r="A316" s="2" t="s">
        <v>103</v>
      </c>
      <c r="B316" s="2" t="s">
        <v>52</v>
      </c>
      <c r="C316" s="2">
        <v>1100574</v>
      </c>
      <c r="D316" s="2" t="s">
        <v>384</v>
      </c>
      <c r="E316" s="3" t="s">
        <v>106</v>
      </c>
      <c r="F316" s="4">
        <v>0</v>
      </c>
      <c r="G316" s="5">
        <v>0</v>
      </c>
      <c r="H316" s="5">
        <v>0</v>
      </c>
      <c r="I316" s="6">
        <v>0</v>
      </c>
      <c r="J316" s="7">
        <v>0</v>
      </c>
      <c r="K316" s="5">
        <v>0</v>
      </c>
      <c r="L316" s="5">
        <v>0</v>
      </c>
      <c r="M316" s="6">
        <v>0</v>
      </c>
      <c r="N316" s="4">
        <v>612</v>
      </c>
      <c r="O316" s="5">
        <v>2</v>
      </c>
      <c r="P316" s="5">
        <v>26</v>
      </c>
      <c r="Q316" s="6">
        <v>612</v>
      </c>
      <c r="R316" s="7">
        <v>0</v>
      </c>
      <c r="S316" s="5">
        <v>0</v>
      </c>
      <c r="T316" s="5">
        <v>0</v>
      </c>
      <c r="U316" s="6">
        <v>0</v>
      </c>
      <c r="V316" s="8"/>
    </row>
    <row r="317" spans="1:22" x14ac:dyDescent="0.2">
      <c r="A317" s="2" t="s">
        <v>103</v>
      </c>
      <c r="B317" s="2" t="s">
        <v>52</v>
      </c>
      <c r="C317" s="2">
        <v>1100602</v>
      </c>
      <c r="D317" s="2" t="s">
        <v>108</v>
      </c>
      <c r="E317" s="3" t="s">
        <v>106</v>
      </c>
      <c r="F317" s="4">
        <v>0</v>
      </c>
      <c r="G317" s="5">
        <v>0</v>
      </c>
      <c r="H317" s="5">
        <v>0</v>
      </c>
      <c r="I317" s="6">
        <v>0</v>
      </c>
      <c r="J317" s="7">
        <v>0</v>
      </c>
      <c r="K317" s="5">
        <v>0</v>
      </c>
      <c r="L317" s="5">
        <v>0</v>
      </c>
      <c r="M317" s="6">
        <v>0</v>
      </c>
      <c r="N317" s="4">
        <v>0</v>
      </c>
      <c r="O317" s="5">
        <v>0</v>
      </c>
      <c r="P317" s="5">
        <v>0</v>
      </c>
      <c r="Q317" s="6">
        <v>0</v>
      </c>
      <c r="R317" s="7">
        <v>501.84</v>
      </c>
      <c r="S317" s="5">
        <v>118.975609756098</v>
      </c>
      <c r="T317" s="5">
        <v>127.317073170732</v>
      </c>
      <c r="U317" s="6">
        <v>501.84</v>
      </c>
      <c r="V317" s="8"/>
    </row>
    <row r="318" spans="1:22" x14ac:dyDescent="0.2">
      <c r="A318" s="2" t="s">
        <v>56</v>
      </c>
      <c r="B318" s="2" t="s">
        <v>52</v>
      </c>
      <c r="C318" s="2">
        <v>1011701</v>
      </c>
      <c r="D318" s="2" t="s">
        <v>83</v>
      </c>
      <c r="E318" s="3" t="s">
        <v>59</v>
      </c>
      <c r="F318" s="4">
        <v>0</v>
      </c>
      <c r="G318" s="5">
        <v>0</v>
      </c>
      <c r="H318" s="5">
        <v>0</v>
      </c>
      <c r="I318" s="6">
        <v>0</v>
      </c>
      <c r="J318" s="7">
        <v>0</v>
      </c>
      <c r="K318" s="5">
        <v>0</v>
      </c>
      <c r="L318" s="5">
        <v>0</v>
      </c>
      <c r="M318" s="6">
        <v>0</v>
      </c>
      <c r="N318" s="4">
        <v>77624.187000000005</v>
      </c>
      <c r="O318" s="5">
        <v>25.683863561753</v>
      </c>
      <c r="P318" s="5">
        <v>33.267215719760102</v>
      </c>
      <c r="Q318" s="6">
        <v>77624.187000000005</v>
      </c>
      <c r="R318" s="7">
        <v>431.07799999999997</v>
      </c>
      <c r="S318" s="5">
        <v>45.552593730136998</v>
      </c>
      <c r="T318" s="5">
        <v>46.351929349212902</v>
      </c>
      <c r="U318" s="6">
        <v>431.07799999999997</v>
      </c>
      <c r="V318" s="8"/>
    </row>
    <row r="319" spans="1:22" x14ac:dyDescent="0.2">
      <c r="A319" s="2" t="s">
        <v>56</v>
      </c>
      <c r="B319" s="2" t="s">
        <v>52</v>
      </c>
      <c r="C319" s="2">
        <v>1012107</v>
      </c>
      <c r="D319" s="2" t="s">
        <v>216</v>
      </c>
      <c r="E319" s="3" t="s">
        <v>59</v>
      </c>
      <c r="F319" s="4">
        <v>0</v>
      </c>
      <c r="G319" s="5">
        <v>0</v>
      </c>
      <c r="H319" s="5">
        <v>0</v>
      </c>
      <c r="I319" s="6">
        <v>0</v>
      </c>
      <c r="J319" s="7">
        <v>0</v>
      </c>
      <c r="K319" s="5">
        <v>0</v>
      </c>
      <c r="L319" s="5">
        <v>0</v>
      </c>
      <c r="M319" s="6">
        <v>0</v>
      </c>
      <c r="N319" s="4">
        <v>14642.208000000001</v>
      </c>
      <c r="O319" s="5">
        <v>3</v>
      </c>
      <c r="P319" s="5">
        <v>4</v>
      </c>
      <c r="Q319" s="6">
        <v>14642.208000000001</v>
      </c>
      <c r="R319" s="7">
        <v>0</v>
      </c>
      <c r="S319" s="5">
        <v>0</v>
      </c>
      <c r="T319" s="5">
        <v>0</v>
      </c>
      <c r="U319" s="6">
        <v>0</v>
      </c>
      <c r="V319" s="8"/>
    </row>
    <row r="320" spans="1:22" x14ac:dyDescent="0.2">
      <c r="A320" s="2" t="s">
        <v>56</v>
      </c>
      <c r="B320" s="2" t="s">
        <v>52</v>
      </c>
      <c r="C320" s="2">
        <v>1012108</v>
      </c>
      <c r="D320" s="2" t="s">
        <v>58</v>
      </c>
      <c r="E320" s="3" t="s">
        <v>59</v>
      </c>
      <c r="F320" s="4">
        <v>0</v>
      </c>
      <c r="G320" s="5">
        <v>0</v>
      </c>
      <c r="H320" s="5">
        <v>0</v>
      </c>
      <c r="I320" s="6">
        <v>0</v>
      </c>
      <c r="J320" s="7">
        <v>0</v>
      </c>
      <c r="K320" s="5">
        <v>0</v>
      </c>
      <c r="L320" s="5">
        <v>0</v>
      </c>
      <c r="M320" s="6">
        <v>0</v>
      </c>
      <c r="N320" s="4">
        <v>46176.146000000001</v>
      </c>
      <c r="O320" s="5">
        <v>26.2382207904488</v>
      </c>
      <c r="P320" s="5">
        <v>38.4699778539335</v>
      </c>
      <c r="Q320" s="6">
        <v>46176.146000000001</v>
      </c>
      <c r="R320" s="7">
        <v>8237.3760000000002</v>
      </c>
      <c r="S320" s="5">
        <v>18.1321585903084</v>
      </c>
      <c r="T320" s="5">
        <v>27.149779735682799</v>
      </c>
      <c r="U320" s="6">
        <v>8237.3760000000002</v>
      </c>
      <c r="V320" s="8"/>
    </row>
    <row r="321" spans="1:22" x14ac:dyDescent="0.2">
      <c r="A321" s="2" t="s">
        <v>56</v>
      </c>
      <c r="B321" s="2" t="s">
        <v>52</v>
      </c>
      <c r="C321" s="2">
        <v>1012109</v>
      </c>
      <c r="D321" s="2" t="s">
        <v>69</v>
      </c>
      <c r="E321" s="3" t="s">
        <v>59</v>
      </c>
      <c r="F321" s="4">
        <v>0</v>
      </c>
      <c r="G321" s="5">
        <v>0</v>
      </c>
      <c r="H321" s="5">
        <v>0</v>
      </c>
      <c r="I321" s="6">
        <v>0</v>
      </c>
      <c r="J321" s="7">
        <v>0</v>
      </c>
      <c r="K321" s="5">
        <v>0</v>
      </c>
      <c r="L321" s="5">
        <v>0</v>
      </c>
      <c r="M321" s="6">
        <v>0</v>
      </c>
      <c r="N321" s="4">
        <v>475554.17300000001</v>
      </c>
      <c r="O321" s="5">
        <v>28.876513254779098</v>
      </c>
      <c r="P321" s="5">
        <v>36.360947731605798</v>
      </c>
      <c r="Q321" s="6">
        <v>475554.17300000001</v>
      </c>
      <c r="R321" s="7">
        <v>598.65599999999995</v>
      </c>
      <c r="S321" s="5">
        <v>73.0763309813983</v>
      </c>
      <c r="T321" s="5">
        <v>81.107921744708193</v>
      </c>
      <c r="U321" s="6">
        <v>598.65599999999995</v>
      </c>
      <c r="V321" s="8"/>
    </row>
    <row r="322" spans="1:22" x14ac:dyDescent="0.2">
      <c r="A322" s="2" t="s">
        <v>56</v>
      </c>
      <c r="B322" s="2" t="s">
        <v>52</v>
      </c>
      <c r="C322" s="2">
        <v>1012110</v>
      </c>
      <c r="D322" s="2" t="s">
        <v>110</v>
      </c>
      <c r="E322" s="3" t="s">
        <v>59</v>
      </c>
      <c r="F322" s="4">
        <v>0</v>
      </c>
      <c r="G322" s="5">
        <v>0</v>
      </c>
      <c r="H322" s="5">
        <v>0</v>
      </c>
      <c r="I322" s="6">
        <v>0</v>
      </c>
      <c r="J322" s="7">
        <v>22952.16</v>
      </c>
      <c r="K322" s="5">
        <v>19</v>
      </c>
      <c r="L322" s="5">
        <v>19</v>
      </c>
      <c r="M322" s="6">
        <v>22952.16</v>
      </c>
      <c r="N322" s="4">
        <v>375725.95199999999</v>
      </c>
      <c r="O322" s="5">
        <v>35.747344021634198</v>
      </c>
      <c r="P322" s="5">
        <v>48.765501255553403</v>
      </c>
      <c r="Q322" s="6">
        <v>375725.95199999999</v>
      </c>
      <c r="R322" s="7">
        <v>15077.664000000001</v>
      </c>
      <c r="S322" s="5">
        <v>24.305655836341799</v>
      </c>
      <c r="T322" s="5">
        <v>24.365824308062599</v>
      </c>
      <c r="U322" s="6">
        <v>15077.664000000001</v>
      </c>
      <c r="V322" s="8"/>
    </row>
    <row r="323" spans="1:22" x14ac:dyDescent="0.2">
      <c r="A323" s="2" t="s">
        <v>56</v>
      </c>
      <c r="B323" s="2" t="s">
        <v>52</v>
      </c>
      <c r="C323" s="2">
        <v>1012111</v>
      </c>
      <c r="D323" s="2" t="s">
        <v>117</v>
      </c>
      <c r="E323" s="3" t="s">
        <v>59</v>
      </c>
      <c r="F323" s="4">
        <v>0</v>
      </c>
      <c r="G323" s="5">
        <v>0</v>
      </c>
      <c r="H323" s="5">
        <v>0</v>
      </c>
      <c r="I323" s="6">
        <v>0</v>
      </c>
      <c r="J323" s="7">
        <v>39916.800000000003</v>
      </c>
      <c r="K323" s="5">
        <v>21.5</v>
      </c>
      <c r="L323" s="5">
        <v>21.5</v>
      </c>
      <c r="M323" s="6">
        <v>39916.800000000003</v>
      </c>
      <c r="N323" s="4">
        <v>87708.096000000005</v>
      </c>
      <c r="O323" s="5">
        <v>31.549441456350799</v>
      </c>
      <c r="P323" s="5">
        <v>35.6139842780306</v>
      </c>
      <c r="Q323" s="6">
        <v>87708.096000000005</v>
      </c>
      <c r="R323" s="7">
        <v>7257.6</v>
      </c>
      <c r="S323" s="5">
        <v>20</v>
      </c>
      <c r="T323" s="5">
        <v>27</v>
      </c>
      <c r="U323" s="6">
        <v>7257.6</v>
      </c>
      <c r="V323" s="8"/>
    </row>
    <row r="324" spans="1:22" x14ac:dyDescent="0.2">
      <c r="A324" s="2" t="s">
        <v>56</v>
      </c>
      <c r="B324" s="2" t="s">
        <v>52</v>
      </c>
      <c r="C324" s="2">
        <v>1012112</v>
      </c>
      <c r="D324" s="2" t="s">
        <v>139</v>
      </c>
      <c r="E324" s="3" t="s">
        <v>59</v>
      </c>
      <c r="F324" s="4">
        <v>0</v>
      </c>
      <c r="G324" s="5">
        <v>0</v>
      </c>
      <c r="H324" s="5">
        <v>0</v>
      </c>
      <c r="I324" s="6">
        <v>0</v>
      </c>
      <c r="J324" s="7">
        <v>0</v>
      </c>
      <c r="K324" s="5">
        <v>0</v>
      </c>
      <c r="L324" s="5">
        <v>0</v>
      </c>
      <c r="M324" s="6">
        <v>0</v>
      </c>
      <c r="N324" s="4">
        <v>55520.639999999999</v>
      </c>
      <c r="O324" s="5">
        <v>12.1862745098039</v>
      </c>
      <c r="P324" s="5">
        <v>28.1421568627451</v>
      </c>
      <c r="Q324" s="6">
        <v>55520.639999999999</v>
      </c>
      <c r="R324" s="7">
        <v>0</v>
      </c>
      <c r="S324" s="5">
        <v>0</v>
      </c>
      <c r="T324" s="5">
        <v>0</v>
      </c>
      <c r="U324" s="6">
        <v>0</v>
      </c>
      <c r="V324" s="8"/>
    </row>
    <row r="325" spans="1:22" x14ac:dyDescent="0.2">
      <c r="A325" s="2" t="s">
        <v>56</v>
      </c>
      <c r="B325" s="2" t="s">
        <v>52</v>
      </c>
      <c r="C325" s="2">
        <v>1012145</v>
      </c>
      <c r="D325" s="2" t="s">
        <v>85</v>
      </c>
      <c r="E325" s="3" t="s">
        <v>59</v>
      </c>
      <c r="F325" s="4">
        <v>0</v>
      </c>
      <c r="G325" s="5">
        <v>0</v>
      </c>
      <c r="H325" s="5">
        <v>0</v>
      </c>
      <c r="I325" s="6">
        <v>0</v>
      </c>
      <c r="J325" s="7">
        <v>0</v>
      </c>
      <c r="K325" s="5">
        <v>0</v>
      </c>
      <c r="L325" s="5">
        <v>0</v>
      </c>
      <c r="M325" s="6">
        <v>0</v>
      </c>
      <c r="N325" s="4">
        <v>44332.684000000001</v>
      </c>
      <c r="O325" s="5">
        <v>73.339546191248004</v>
      </c>
      <c r="P325" s="5">
        <v>99.267017828201006</v>
      </c>
      <c r="Q325" s="6">
        <v>44332.684000000001</v>
      </c>
      <c r="R325" s="7">
        <v>21735.23</v>
      </c>
      <c r="S325" s="5">
        <v>13.818181818181801</v>
      </c>
      <c r="T325" s="5">
        <v>22.090909090909101</v>
      </c>
      <c r="U325" s="6">
        <v>21735.23</v>
      </c>
      <c r="V325" s="8"/>
    </row>
    <row r="326" spans="1:22" x14ac:dyDescent="0.2">
      <c r="A326" s="2" t="s">
        <v>56</v>
      </c>
      <c r="B326" s="2" t="s">
        <v>52</v>
      </c>
      <c r="C326" s="2">
        <v>1012147</v>
      </c>
      <c r="D326" s="2" t="s">
        <v>218</v>
      </c>
      <c r="E326" s="3" t="s">
        <v>67</v>
      </c>
      <c r="F326" s="4">
        <v>0</v>
      </c>
      <c r="G326" s="5">
        <v>0</v>
      </c>
      <c r="H326" s="5">
        <v>0</v>
      </c>
      <c r="I326" s="6">
        <v>0</v>
      </c>
      <c r="J326" s="7">
        <v>0</v>
      </c>
      <c r="K326" s="5">
        <v>0</v>
      </c>
      <c r="L326" s="5">
        <v>0</v>
      </c>
      <c r="M326" s="6">
        <v>0</v>
      </c>
      <c r="N326" s="4">
        <v>9330.2000000000007</v>
      </c>
      <c r="O326" s="5">
        <v>9</v>
      </c>
      <c r="P326" s="5">
        <v>89</v>
      </c>
      <c r="Q326" s="6">
        <v>9330.2000000000007</v>
      </c>
      <c r="R326" s="7">
        <v>0</v>
      </c>
      <c r="S326" s="5">
        <v>0</v>
      </c>
      <c r="T326" s="5">
        <v>0</v>
      </c>
      <c r="U326" s="6">
        <v>0</v>
      </c>
      <c r="V326" s="8"/>
    </row>
    <row r="327" spans="1:22" x14ac:dyDescent="0.2">
      <c r="A327" s="2" t="s">
        <v>56</v>
      </c>
      <c r="B327" s="2" t="s">
        <v>52</v>
      </c>
      <c r="C327" s="2">
        <v>1012148</v>
      </c>
      <c r="D327" s="2" t="s">
        <v>112</v>
      </c>
      <c r="E327" s="3" t="s">
        <v>63</v>
      </c>
      <c r="F327" s="4">
        <v>0</v>
      </c>
      <c r="G327" s="5">
        <v>0</v>
      </c>
      <c r="H327" s="5">
        <v>0</v>
      </c>
      <c r="I327" s="6">
        <v>0</v>
      </c>
      <c r="J327" s="7">
        <v>19759.3</v>
      </c>
      <c r="K327" s="5">
        <v>19</v>
      </c>
      <c r="L327" s="5">
        <v>19</v>
      </c>
      <c r="M327" s="6">
        <v>19759.3</v>
      </c>
      <c r="N327" s="4">
        <v>99281.501000000004</v>
      </c>
      <c r="O327" s="5">
        <v>33.025330197213698</v>
      </c>
      <c r="P327" s="5">
        <v>39.939750316627503</v>
      </c>
      <c r="Q327" s="6">
        <v>99281.501000000004</v>
      </c>
      <c r="R327" s="7">
        <v>0</v>
      </c>
      <c r="S327" s="5">
        <v>0</v>
      </c>
      <c r="T327" s="5">
        <v>0</v>
      </c>
      <c r="U327" s="6">
        <v>0</v>
      </c>
      <c r="V327" s="8"/>
    </row>
    <row r="328" spans="1:22" x14ac:dyDescent="0.2">
      <c r="A328" s="2" t="s">
        <v>56</v>
      </c>
      <c r="B328" s="2" t="s">
        <v>52</v>
      </c>
      <c r="C328" s="2">
        <v>1012157</v>
      </c>
      <c r="D328" s="2" t="s">
        <v>100</v>
      </c>
      <c r="E328" s="3" t="s">
        <v>63</v>
      </c>
      <c r="F328" s="4">
        <v>0</v>
      </c>
      <c r="G328" s="5">
        <v>0</v>
      </c>
      <c r="H328" s="5">
        <v>0</v>
      </c>
      <c r="I328" s="6">
        <v>0</v>
      </c>
      <c r="J328" s="7">
        <v>0</v>
      </c>
      <c r="K328" s="5">
        <v>0</v>
      </c>
      <c r="L328" s="5">
        <v>0</v>
      </c>
      <c r="M328" s="6">
        <v>0</v>
      </c>
      <c r="N328" s="4">
        <v>798.32299999999998</v>
      </c>
      <c r="O328" s="5">
        <v>112.113573077564</v>
      </c>
      <c r="P328" s="5">
        <v>118.090861718878</v>
      </c>
      <c r="Q328" s="6">
        <v>798.32299999999998</v>
      </c>
      <c r="R328" s="7">
        <v>0</v>
      </c>
      <c r="S328" s="5">
        <v>0</v>
      </c>
      <c r="T328" s="5">
        <v>0</v>
      </c>
      <c r="U328" s="6">
        <v>0</v>
      </c>
      <c r="V328" s="8"/>
    </row>
    <row r="329" spans="1:22" x14ac:dyDescent="0.2">
      <c r="A329" s="2" t="s">
        <v>56</v>
      </c>
      <c r="B329" s="2" t="s">
        <v>52</v>
      </c>
      <c r="C329" s="2">
        <v>1012158</v>
      </c>
      <c r="D329" s="2" t="s">
        <v>87</v>
      </c>
      <c r="E329" s="3" t="s">
        <v>67</v>
      </c>
      <c r="F329" s="4">
        <v>0</v>
      </c>
      <c r="G329" s="5">
        <v>0</v>
      </c>
      <c r="H329" s="5">
        <v>0</v>
      </c>
      <c r="I329" s="6">
        <v>0</v>
      </c>
      <c r="J329" s="7">
        <v>1814.4</v>
      </c>
      <c r="K329" s="5">
        <v>24</v>
      </c>
      <c r="L329" s="5">
        <v>24</v>
      </c>
      <c r="M329" s="6">
        <v>1814.4</v>
      </c>
      <c r="N329" s="4">
        <v>134265.60000000001</v>
      </c>
      <c r="O329" s="5">
        <v>25.200135135135099</v>
      </c>
      <c r="P329" s="5">
        <v>32.980675675675698</v>
      </c>
      <c r="Q329" s="6">
        <v>134265.60000000001</v>
      </c>
      <c r="R329" s="7">
        <v>72.575999999999993</v>
      </c>
      <c r="S329" s="5">
        <v>36</v>
      </c>
      <c r="T329" s="5">
        <v>45.25</v>
      </c>
      <c r="U329" s="6">
        <v>72.575999999999993</v>
      </c>
      <c r="V329" s="8"/>
    </row>
    <row r="330" spans="1:22" x14ac:dyDescent="0.2">
      <c r="A330" s="2" t="s">
        <v>56</v>
      </c>
      <c r="B330" s="2" t="s">
        <v>52</v>
      </c>
      <c r="C330" s="2">
        <v>1012159</v>
      </c>
      <c r="D330" s="2" t="s">
        <v>89</v>
      </c>
      <c r="E330" s="3" t="s">
        <v>63</v>
      </c>
      <c r="F330" s="4">
        <v>0</v>
      </c>
      <c r="G330" s="5">
        <v>0</v>
      </c>
      <c r="H330" s="5">
        <v>0</v>
      </c>
      <c r="I330" s="6">
        <v>0</v>
      </c>
      <c r="J330" s="7">
        <v>36288</v>
      </c>
      <c r="K330" s="5">
        <v>2</v>
      </c>
      <c r="L330" s="5">
        <v>2</v>
      </c>
      <c r="M330" s="6">
        <v>36288</v>
      </c>
      <c r="N330" s="4">
        <v>58695.839999999997</v>
      </c>
      <c r="O330" s="5">
        <v>18.829057187017</v>
      </c>
      <c r="P330" s="5">
        <v>27.3625965996909</v>
      </c>
      <c r="Q330" s="6">
        <v>58695.839999999997</v>
      </c>
      <c r="R330" s="7">
        <v>217.72800000000001</v>
      </c>
      <c r="S330" s="5">
        <v>126.083333333333</v>
      </c>
      <c r="T330" s="5">
        <v>142.583333333333</v>
      </c>
      <c r="U330" s="6">
        <v>217.72800000000001</v>
      </c>
      <c r="V330" s="8"/>
    </row>
    <row r="331" spans="1:22" x14ac:dyDescent="0.2">
      <c r="A331" s="2" t="s">
        <v>56</v>
      </c>
      <c r="B331" s="2" t="s">
        <v>52</v>
      </c>
      <c r="C331" s="2">
        <v>1012160</v>
      </c>
      <c r="D331" s="2" t="s">
        <v>73</v>
      </c>
      <c r="E331" s="3" t="s">
        <v>59</v>
      </c>
      <c r="F331" s="4">
        <v>0</v>
      </c>
      <c r="G331" s="5">
        <v>0</v>
      </c>
      <c r="H331" s="5">
        <v>0</v>
      </c>
      <c r="I331" s="6">
        <v>0</v>
      </c>
      <c r="J331" s="7">
        <v>3628.8</v>
      </c>
      <c r="K331" s="5">
        <v>24</v>
      </c>
      <c r="L331" s="5">
        <v>24</v>
      </c>
      <c r="M331" s="6">
        <v>3628.8</v>
      </c>
      <c r="N331" s="4">
        <v>54867.455999999998</v>
      </c>
      <c r="O331" s="5">
        <v>13.361441798941801</v>
      </c>
      <c r="P331" s="5">
        <v>20.060185185185201</v>
      </c>
      <c r="Q331" s="6">
        <v>54867.455999999998</v>
      </c>
      <c r="R331" s="7">
        <v>0</v>
      </c>
      <c r="S331" s="5">
        <v>0</v>
      </c>
      <c r="T331" s="5">
        <v>0</v>
      </c>
      <c r="U331" s="6">
        <v>0</v>
      </c>
      <c r="V331" s="8"/>
    </row>
    <row r="332" spans="1:22" x14ac:dyDescent="0.2">
      <c r="A332" s="2" t="s">
        <v>56</v>
      </c>
      <c r="B332" s="2" t="s">
        <v>52</v>
      </c>
      <c r="C332" s="2">
        <v>1012161</v>
      </c>
      <c r="D332" s="2" t="s">
        <v>102</v>
      </c>
      <c r="E332" s="3" t="s">
        <v>63</v>
      </c>
      <c r="F332" s="4">
        <v>0</v>
      </c>
      <c r="G332" s="5">
        <v>0</v>
      </c>
      <c r="H332" s="5">
        <v>0</v>
      </c>
      <c r="I332" s="6">
        <v>0</v>
      </c>
      <c r="J332" s="7">
        <v>907.2</v>
      </c>
      <c r="K332" s="5">
        <v>24</v>
      </c>
      <c r="L332" s="5">
        <v>24</v>
      </c>
      <c r="M332" s="6">
        <v>907.2</v>
      </c>
      <c r="N332" s="4">
        <v>87526.656000000003</v>
      </c>
      <c r="O332" s="5">
        <v>13.478233830845801</v>
      </c>
      <c r="P332" s="5">
        <v>18.520315091210598</v>
      </c>
      <c r="Q332" s="6">
        <v>87526.656000000003</v>
      </c>
      <c r="R332" s="7">
        <v>1070.46</v>
      </c>
      <c r="S332" s="5">
        <v>83.491441062720696</v>
      </c>
      <c r="T332" s="5">
        <v>110.949049941147</v>
      </c>
      <c r="U332" s="6">
        <v>1070.46</v>
      </c>
      <c r="V332" s="8"/>
    </row>
    <row r="333" spans="1:22" x14ac:dyDescent="0.2">
      <c r="A333" s="2" t="s">
        <v>56</v>
      </c>
      <c r="B333" s="2" t="s">
        <v>52</v>
      </c>
      <c r="C333" s="2">
        <v>1012163</v>
      </c>
      <c r="D333" s="2" t="s">
        <v>141</v>
      </c>
      <c r="E333" s="3" t="s">
        <v>67</v>
      </c>
      <c r="F333" s="4">
        <v>0</v>
      </c>
      <c r="G333" s="5">
        <v>0</v>
      </c>
      <c r="H333" s="5">
        <v>0</v>
      </c>
      <c r="I333" s="6">
        <v>0</v>
      </c>
      <c r="J333" s="7">
        <v>18180.288</v>
      </c>
      <c r="K333" s="5">
        <v>2</v>
      </c>
      <c r="L333" s="5">
        <v>2</v>
      </c>
      <c r="M333" s="6">
        <v>18180.288</v>
      </c>
      <c r="N333" s="4">
        <v>184633.34400000001</v>
      </c>
      <c r="O333" s="5">
        <v>12.674626572327</v>
      </c>
      <c r="P333" s="5">
        <v>19.114878144654099</v>
      </c>
      <c r="Q333" s="6">
        <v>184633.34400000001</v>
      </c>
      <c r="R333" s="7">
        <v>181.44</v>
      </c>
      <c r="S333" s="5">
        <v>32</v>
      </c>
      <c r="T333" s="5">
        <v>39</v>
      </c>
      <c r="U333" s="6">
        <v>181.44</v>
      </c>
      <c r="V333" s="8"/>
    </row>
    <row r="334" spans="1:22" x14ac:dyDescent="0.2">
      <c r="A334" s="2" t="s">
        <v>56</v>
      </c>
      <c r="B334" s="2" t="s">
        <v>52</v>
      </c>
      <c r="C334" s="2">
        <v>1012164</v>
      </c>
      <c r="D334" s="2" t="s">
        <v>143</v>
      </c>
      <c r="E334" s="3" t="s">
        <v>63</v>
      </c>
      <c r="F334" s="4">
        <v>0</v>
      </c>
      <c r="G334" s="5">
        <v>0</v>
      </c>
      <c r="H334" s="5">
        <v>0</v>
      </c>
      <c r="I334" s="6">
        <v>0</v>
      </c>
      <c r="J334" s="7">
        <v>0</v>
      </c>
      <c r="K334" s="5">
        <v>0</v>
      </c>
      <c r="L334" s="5">
        <v>0</v>
      </c>
      <c r="M334" s="6">
        <v>0</v>
      </c>
      <c r="N334" s="4">
        <v>75968.928</v>
      </c>
      <c r="O334" s="5">
        <v>17.994267972295201</v>
      </c>
      <c r="P334" s="5">
        <v>23.6594220205398</v>
      </c>
      <c r="Q334" s="6">
        <v>75968.928</v>
      </c>
      <c r="R334" s="7">
        <v>72.575999999999993</v>
      </c>
      <c r="S334" s="5">
        <v>16</v>
      </c>
      <c r="T334" s="5">
        <v>26</v>
      </c>
      <c r="U334" s="6">
        <v>72.575999999999993</v>
      </c>
      <c r="V334" s="8"/>
    </row>
    <row r="335" spans="1:22" x14ac:dyDescent="0.2">
      <c r="A335" s="2" t="s">
        <v>56</v>
      </c>
      <c r="B335" s="2" t="s">
        <v>52</v>
      </c>
      <c r="C335" s="2">
        <v>1012165</v>
      </c>
      <c r="D335" s="2" t="s">
        <v>62</v>
      </c>
      <c r="E335" s="3" t="s">
        <v>63</v>
      </c>
      <c r="F335" s="4">
        <v>0</v>
      </c>
      <c r="G335" s="5">
        <v>0</v>
      </c>
      <c r="H335" s="5">
        <v>0</v>
      </c>
      <c r="I335" s="6">
        <v>0</v>
      </c>
      <c r="J335" s="7">
        <v>5896.8</v>
      </c>
      <c r="K335" s="5">
        <v>24</v>
      </c>
      <c r="L335" s="5">
        <v>24</v>
      </c>
      <c r="M335" s="6">
        <v>5896.8</v>
      </c>
      <c r="N335" s="4">
        <v>150177.98800000001</v>
      </c>
      <c r="O335" s="5">
        <v>21.0172877399316</v>
      </c>
      <c r="P335" s="5">
        <v>31.016907278049299</v>
      </c>
      <c r="Q335" s="6">
        <v>150177.98800000001</v>
      </c>
      <c r="R335" s="7">
        <v>163.29599999999999</v>
      </c>
      <c r="S335" s="5">
        <v>72.7777777777778</v>
      </c>
      <c r="T335" s="5">
        <v>82.7777777777778</v>
      </c>
      <c r="U335" s="6">
        <v>163.29599999999999</v>
      </c>
      <c r="V335" s="8"/>
    </row>
    <row r="336" spans="1:22" x14ac:dyDescent="0.2">
      <c r="A336" s="2" t="s">
        <v>56</v>
      </c>
      <c r="B336" s="2" t="s">
        <v>52</v>
      </c>
      <c r="C336" s="2">
        <v>1012167</v>
      </c>
      <c r="D336" s="2" t="s">
        <v>71</v>
      </c>
      <c r="E336" s="3" t="s">
        <v>59</v>
      </c>
      <c r="F336" s="4">
        <v>0</v>
      </c>
      <c r="G336" s="5">
        <v>0</v>
      </c>
      <c r="H336" s="5">
        <v>0</v>
      </c>
      <c r="I336" s="6">
        <v>0</v>
      </c>
      <c r="J336" s="7">
        <v>3628.8</v>
      </c>
      <c r="K336" s="5">
        <v>24</v>
      </c>
      <c r="L336" s="5">
        <v>24</v>
      </c>
      <c r="M336" s="6">
        <v>3628.8</v>
      </c>
      <c r="N336" s="4">
        <v>125268.829</v>
      </c>
      <c r="O336" s="5">
        <v>27.8859758958871</v>
      </c>
      <c r="P336" s="5">
        <v>35.630663498898002</v>
      </c>
      <c r="Q336" s="6">
        <v>125268.829</v>
      </c>
      <c r="R336" s="7">
        <v>0</v>
      </c>
      <c r="S336" s="5">
        <v>0</v>
      </c>
      <c r="T336" s="5">
        <v>0</v>
      </c>
      <c r="U336" s="6">
        <v>0</v>
      </c>
      <c r="V336" s="8"/>
    </row>
    <row r="337" spans="1:22" x14ac:dyDescent="0.2">
      <c r="A337" s="2" t="s">
        <v>56</v>
      </c>
      <c r="B337" s="2" t="s">
        <v>52</v>
      </c>
      <c r="C337" s="2">
        <v>1012400</v>
      </c>
      <c r="D337" s="2" t="s">
        <v>220</v>
      </c>
      <c r="E337" s="3" t="s">
        <v>67</v>
      </c>
      <c r="F337" s="4">
        <v>0</v>
      </c>
      <c r="G337" s="5">
        <v>0</v>
      </c>
      <c r="H337" s="5">
        <v>0</v>
      </c>
      <c r="I337" s="6">
        <v>0</v>
      </c>
      <c r="J337" s="7">
        <v>235.2</v>
      </c>
      <c r="K337" s="5">
        <v>2</v>
      </c>
      <c r="L337" s="5">
        <v>2</v>
      </c>
      <c r="M337" s="6">
        <v>235.2</v>
      </c>
      <c r="N337" s="4">
        <v>0</v>
      </c>
      <c r="O337" s="5">
        <v>0</v>
      </c>
      <c r="P337" s="5">
        <v>0</v>
      </c>
      <c r="Q337" s="6">
        <v>0</v>
      </c>
      <c r="R337" s="7">
        <v>0</v>
      </c>
      <c r="S337" s="5">
        <v>0</v>
      </c>
      <c r="T337" s="5">
        <v>0</v>
      </c>
      <c r="U337" s="6">
        <v>0</v>
      </c>
      <c r="V337" s="8"/>
    </row>
    <row r="338" spans="1:22" x14ac:dyDescent="0.2">
      <c r="A338" s="2" t="s">
        <v>56</v>
      </c>
      <c r="B338" s="2" t="s">
        <v>52</v>
      </c>
      <c r="C338" s="2">
        <v>1012483</v>
      </c>
      <c r="D338" s="2" t="s">
        <v>91</v>
      </c>
      <c r="E338" s="3" t="s">
        <v>63</v>
      </c>
      <c r="F338" s="4">
        <v>0</v>
      </c>
      <c r="G338" s="5">
        <v>0</v>
      </c>
      <c r="H338" s="5">
        <v>0</v>
      </c>
      <c r="I338" s="6">
        <v>0</v>
      </c>
      <c r="J338" s="7">
        <v>59875.199999999997</v>
      </c>
      <c r="K338" s="5">
        <v>4.3333333333333304</v>
      </c>
      <c r="L338" s="5">
        <v>4.3333333333333304</v>
      </c>
      <c r="M338" s="6">
        <v>59875.199999999997</v>
      </c>
      <c r="N338" s="4">
        <v>333631.80499999999</v>
      </c>
      <c r="O338" s="5">
        <v>19.337805243118201</v>
      </c>
      <c r="P338" s="5">
        <v>24.123045810935199</v>
      </c>
      <c r="Q338" s="6">
        <v>333631.80499999999</v>
      </c>
      <c r="R338" s="7">
        <v>28068.768</v>
      </c>
      <c r="S338" s="5">
        <v>126.941176470588</v>
      </c>
      <c r="T338" s="5">
        <v>127.980607627666</v>
      </c>
      <c r="U338" s="6">
        <v>28068.768</v>
      </c>
      <c r="V338" s="8"/>
    </row>
    <row r="339" spans="1:22" x14ac:dyDescent="0.2">
      <c r="A339" s="2" t="s">
        <v>56</v>
      </c>
      <c r="B339" s="2" t="s">
        <v>52</v>
      </c>
      <c r="C339" s="2">
        <v>1012518</v>
      </c>
      <c r="D339" s="2" t="s">
        <v>66</v>
      </c>
      <c r="E339" s="3" t="s">
        <v>67</v>
      </c>
      <c r="F339" s="4">
        <v>0</v>
      </c>
      <c r="G339" s="5">
        <v>0</v>
      </c>
      <c r="H339" s="5">
        <v>0</v>
      </c>
      <c r="I339" s="6">
        <v>0</v>
      </c>
      <c r="J339" s="7">
        <v>54432</v>
      </c>
      <c r="K339" s="5">
        <v>6</v>
      </c>
      <c r="L339" s="5">
        <v>6</v>
      </c>
      <c r="M339" s="6">
        <v>54432</v>
      </c>
      <c r="N339" s="4">
        <v>121165.632</v>
      </c>
      <c r="O339" s="5">
        <v>24.532494758909898</v>
      </c>
      <c r="P339" s="5">
        <v>36.859838274932599</v>
      </c>
      <c r="Q339" s="6">
        <v>121165.632</v>
      </c>
      <c r="R339" s="7">
        <v>17853.332999999999</v>
      </c>
      <c r="S339" s="5">
        <v>226</v>
      </c>
      <c r="T339" s="5">
        <v>237</v>
      </c>
      <c r="U339" s="6">
        <v>17853.332999999999</v>
      </c>
      <c r="V339" s="8"/>
    </row>
    <row r="340" spans="1:22" x14ac:dyDescent="0.2">
      <c r="A340" s="2" t="s">
        <v>56</v>
      </c>
      <c r="B340" s="2" t="s">
        <v>52</v>
      </c>
      <c r="C340" s="2">
        <v>1012519</v>
      </c>
      <c r="D340" s="2" t="s">
        <v>216</v>
      </c>
      <c r="E340" s="3" t="s">
        <v>59</v>
      </c>
      <c r="F340" s="4">
        <v>0</v>
      </c>
      <c r="G340" s="5">
        <v>0</v>
      </c>
      <c r="H340" s="5">
        <v>0</v>
      </c>
      <c r="I340" s="6">
        <v>0</v>
      </c>
      <c r="J340" s="7">
        <v>0</v>
      </c>
      <c r="K340" s="5">
        <v>0</v>
      </c>
      <c r="L340" s="5">
        <v>0</v>
      </c>
      <c r="M340" s="6">
        <v>0</v>
      </c>
      <c r="N340" s="4">
        <v>4681.152</v>
      </c>
      <c r="O340" s="5">
        <v>3</v>
      </c>
      <c r="P340" s="5">
        <v>4</v>
      </c>
      <c r="Q340" s="6">
        <v>4681.152</v>
      </c>
      <c r="R340" s="7">
        <v>0</v>
      </c>
      <c r="S340" s="5">
        <v>0</v>
      </c>
      <c r="T340" s="5">
        <v>0</v>
      </c>
      <c r="U340" s="6">
        <v>0</v>
      </c>
      <c r="V340" s="8"/>
    </row>
    <row r="341" spans="1:22" x14ac:dyDescent="0.2">
      <c r="A341" s="2" t="s">
        <v>56</v>
      </c>
      <c r="B341" s="2" t="s">
        <v>52</v>
      </c>
      <c r="C341" s="2">
        <v>1012520</v>
      </c>
      <c r="D341" s="2" t="s">
        <v>58</v>
      </c>
      <c r="E341" s="3" t="s">
        <v>59</v>
      </c>
      <c r="F341" s="4">
        <v>0</v>
      </c>
      <c r="G341" s="5">
        <v>0</v>
      </c>
      <c r="H341" s="5">
        <v>0</v>
      </c>
      <c r="I341" s="6">
        <v>0</v>
      </c>
      <c r="J341" s="7">
        <v>0</v>
      </c>
      <c r="K341" s="5">
        <v>0</v>
      </c>
      <c r="L341" s="5">
        <v>0</v>
      </c>
      <c r="M341" s="6">
        <v>0</v>
      </c>
      <c r="N341" s="4">
        <v>23061.024000000001</v>
      </c>
      <c r="O341" s="5">
        <v>24.675845790716</v>
      </c>
      <c r="P341" s="5">
        <v>26.962234461054301</v>
      </c>
      <c r="Q341" s="6">
        <v>23061.024000000001</v>
      </c>
      <c r="R341" s="7">
        <v>72.575999999999993</v>
      </c>
      <c r="S341" s="5">
        <v>18</v>
      </c>
      <c r="T341" s="5">
        <v>19</v>
      </c>
      <c r="U341" s="6">
        <v>72.575999999999993</v>
      </c>
      <c r="V341" s="8"/>
    </row>
    <row r="342" spans="1:22" x14ac:dyDescent="0.2">
      <c r="A342" s="2" t="s">
        <v>56</v>
      </c>
      <c r="B342" s="2" t="s">
        <v>52</v>
      </c>
      <c r="C342" s="2">
        <v>1012521</v>
      </c>
      <c r="D342" s="2" t="s">
        <v>69</v>
      </c>
      <c r="E342" s="3" t="s">
        <v>59</v>
      </c>
      <c r="F342" s="4">
        <v>0</v>
      </c>
      <c r="G342" s="5">
        <v>0</v>
      </c>
      <c r="H342" s="5">
        <v>0</v>
      </c>
      <c r="I342" s="6">
        <v>0</v>
      </c>
      <c r="J342" s="7">
        <v>18144</v>
      </c>
      <c r="K342" s="5">
        <v>26</v>
      </c>
      <c r="L342" s="5">
        <v>26</v>
      </c>
      <c r="M342" s="6">
        <v>18144</v>
      </c>
      <c r="N342" s="4">
        <v>130237.632</v>
      </c>
      <c r="O342" s="5">
        <v>22.348565059905301</v>
      </c>
      <c r="P342" s="5">
        <v>29.896767901922502</v>
      </c>
      <c r="Q342" s="6">
        <v>130237.632</v>
      </c>
      <c r="R342" s="7">
        <v>36.287999999999997</v>
      </c>
      <c r="S342" s="5">
        <v>53</v>
      </c>
      <c r="T342" s="5">
        <v>74</v>
      </c>
      <c r="U342" s="6">
        <v>36.287999999999997</v>
      </c>
      <c r="V342" s="8"/>
    </row>
    <row r="343" spans="1:22" x14ac:dyDescent="0.2">
      <c r="A343" s="2" t="s">
        <v>56</v>
      </c>
      <c r="B343" s="2" t="s">
        <v>52</v>
      </c>
      <c r="C343" s="2">
        <v>1012522</v>
      </c>
      <c r="D343" s="2" t="s">
        <v>110</v>
      </c>
      <c r="E343" s="3" t="s">
        <v>59</v>
      </c>
      <c r="F343" s="4">
        <v>0</v>
      </c>
      <c r="G343" s="5">
        <v>0</v>
      </c>
      <c r="H343" s="5">
        <v>0</v>
      </c>
      <c r="I343" s="6">
        <v>0</v>
      </c>
      <c r="J343" s="7">
        <v>16964.64</v>
      </c>
      <c r="K343" s="5">
        <v>19</v>
      </c>
      <c r="L343" s="5">
        <v>19</v>
      </c>
      <c r="M343" s="6">
        <v>16964.64</v>
      </c>
      <c r="N343" s="4">
        <v>160465.533</v>
      </c>
      <c r="O343" s="5">
        <v>47.777248837605498</v>
      </c>
      <c r="P343" s="5">
        <v>53.159768066828399</v>
      </c>
      <c r="Q343" s="6">
        <v>160465.533</v>
      </c>
      <c r="R343" s="7">
        <v>4989.6000000000004</v>
      </c>
      <c r="S343" s="5">
        <v>24</v>
      </c>
      <c r="T343" s="5">
        <v>24</v>
      </c>
      <c r="U343" s="6">
        <v>4989.6000000000004</v>
      </c>
      <c r="V343" s="8"/>
    </row>
    <row r="344" spans="1:22" x14ac:dyDescent="0.2">
      <c r="A344" s="2" t="s">
        <v>56</v>
      </c>
      <c r="B344" s="2" t="s">
        <v>52</v>
      </c>
      <c r="C344" s="2">
        <v>1012523</v>
      </c>
      <c r="D344" s="2" t="s">
        <v>117</v>
      </c>
      <c r="E344" s="3" t="s">
        <v>59</v>
      </c>
      <c r="F344" s="4">
        <v>0</v>
      </c>
      <c r="G344" s="5">
        <v>0</v>
      </c>
      <c r="H344" s="5">
        <v>0</v>
      </c>
      <c r="I344" s="6">
        <v>0</v>
      </c>
      <c r="J344" s="7">
        <v>19958.400000000001</v>
      </c>
      <c r="K344" s="5">
        <v>17</v>
      </c>
      <c r="L344" s="5">
        <v>17</v>
      </c>
      <c r="M344" s="6">
        <v>19958.400000000001</v>
      </c>
      <c r="N344" s="4">
        <v>38029.824000000001</v>
      </c>
      <c r="O344" s="5">
        <v>20.158396946564899</v>
      </c>
      <c r="P344" s="5">
        <v>27.110687022900802</v>
      </c>
      <c r="Q344" s="6">
        <v>38029.824000000001</v>
      </c>
      <c r="R344" s="7">
        <v>108.864</v>
      </c>
      <c r="S344" s="5">
        <v>33.3333333333333</v>
      </c>
      <c r="T344" s="5">
        <v>40.1666666666667</v>
      </c>
      <c r="U344" s="6">
        <v>108.864</v>
      </c>
      <c r="V344" s="8"/>
    </row>
    <row r="345" spans="1:22" x14ac:dyDescent="0.2">
      <c r="A345" s="2" t="s">
        <v>56</v>
      </c>
      <c r="B345" s="2" t="s">
        <v>52</v>
      </c>
      <c r="C345" s="2">
        <v>1012524</v>
      </c>
      <c r="D345" s="2" t="s">
        <v>139</v>
      </c>
      <c r="E345" s="3" t="s">
        <v>59</v>
      </c>
      <c r="F345" s="4">
        <v>0</v>
      </c>
      <c r="G345" s="5">
        <v>0</v>
      </c>
      <c r="H345" s="5">
        <v>0</v>
      </c>
      <c r="I345" s="6">
        <v>0</v>
      </c>
      <c r="J345" s="7">
        <v>0</v>
      </c>
      <c r="K345" s="5">
        <v>0</v>
      </c>
      <c r="L345" s="5">
        <v>0</v>
      </c>
      <c r="M345" s="6">
        <v>0</v>
      </c>
      <c r="N345" s="4">
        <v>26308.799999999999</v>
      </c>
      <c r="O345" s="5">
        <v>19.606896551724098</v>
      </c>
      <c r="P345" s="5">
        <v>26.848275862068999</v>
      </c>
      <c r="Q345" s="6">
        <v>26308.799999999999</v>
      </c>
      <c r="R345" s="7">
        <v>0</v>
      </c>
      <c r="S345" s="5">
        <v>0</v>
      </c>
      <c r="T345" s="5">
        <v>0</v>
      </c>
      <c r="U345" s="6">
        <v>0</v>
      </c>
      <c r="V345" s="8"/>
    </row>
    <row r="346" spans="1:22" x14ac:dyDescent="0.2">
      <c r="A346" s="2" t="s">
        <v>56</v>
      </c>
      <c r="B346" s="2" t="s">
        <v>52</v>
      </c>
      <c r="C346" s="2">
        <v>1012579</v>
      </c>
      <c r="D346" s="2" t="s">
        <v>146</v>
      </c>
      <c r="E346" s="3" t="s">
        <v>59</v>
      </c>
      <c r="F346" s="4">
        <v>0</v>
      </c>
      <c r="G346" s="5">
        <v>0</v>
      </c>
      <c r="H346" s="5">
        <v>0</v>
      </c>
      <c r="I346" s="6">
        <v>0</v>
      </c>
      <c r="J346" s="7">
        <v>0</v>
      </c>
      <c r="K346" s="5">
        <v>0</v>
      </c>
      <c r="L346" s="5">
        <v>0</v>
      </c>
      <c r="M346" s="6">
        <v>0</v>
      </c>
      <c r="N346" s="4">
        <v>3048.1379999999999</v>
      </c>
      <c r="O346" s="5">
        <v>18.011908909635999</v>
      </c>
      <c r="P346" s="5">
        <v>18.011908909635999</v>
      </c>
      <c r="Q346" s="6">
        <v>3048.1379999999999</v>
      </c>
      <c r="R346" s="7">
        <v>0</v>
      </c>
      <c r="S346" s="5">
        <v>0</v>
      </c>
      <c r="T346" s="5">
        <v>0</v>
      </c>
      <c r="U346" s="6">
        <v>0</v>
      </c>
      <c r="V346" s="8"/>
    </row>
    <row r="347" spans="1:22" x14ac:dyDescent="0.2">
      <c r="A347" s="2" t="s">
        <v>56</v>
      </c>
      <c r="B347" s="2" t="s">
        <v>52</v>
      </c>
      <c r="C347" s="2">
        <v>1012597</v>
      </c>
      <c r="D347" s="2" t="s">
        <v>148</v>
      </c>
      <c r="E347" s="3" t="s">
        <v>63</v>
      </c>
      <c r="F347" s="4">
        <v>0</v>
      </c>
      <c r="G347" s="5">
        <v>0</v>
      </c>
      <c r="H347" s="5">
        <v>0</v>
      </c>
      <c r="I347" s="6">
        <v>0</v>
      </c>
      <c r="J347" s="7">
        <v>0</v>
      </c>
      <c r="K347" s="5">
        <v>0</v>
      </c>
      <c r="L347" s="5">
        <v>0</v>
      </c>
      <c r="M347" s="6">
        <v>0</v>
      </c>
      <c r="N347" s="4">
        <v>798.3</v>
      </c>
      <c r="O347" s="5">
        <v>28.364325441563299</v>
      </c>
      <c r="P347" s="5">
        <v>28.364325441563299</v>
      </c>
      <c r="Q347" s="6">
        <v>798.3</v>
      </c>
      <c r="R347" s="7">
        <v>0</v>
      </c>
      <c r="S347" s="5">
        <v>0</v>
      </c>
      <c r="T347" s="5">
        <v>0</v>
      </c>
      <c r="U347" s="6">
        <v>0</v>
      </c>
      <c r="V347" s="8"/>
    </row>
    <row r="348" spans="1:22" x14ac:dyDescent="0.2">
      <c r="A348" s="2" t="s">
        <v>56</v>
      </c>
      <c r="B348" s="2" t="s">
        <v>52</v>
      </c>
      <c r="C348" s="2">
        <v>1012806</v>
      </c>
      <c r="D348" s="2" t="s">
        <v>223</v>
      </c>
      <c r="E348" s="3" t="s">
        <v>224</v>
      </c>
      <c r="F348" s="4">
        <v>0</v>
      </c>
      <c r="G348" s="5">
        <v>0</v>
      </c>
      <c r="H348" s="5">
        <v>0</v>
      </c>
      <c r="I348" s="6">
        <v>0</v>
      </c>
      <c r="J348" s="7">
        <v>2267.5</v>
      </c>
      <c r="K348" s="5">
        <v>24</v>
      </c>
      <c r="L348" s="5">
        <v>24</v>
      </c>
      <c r="M348" s="6">
        <v>2267.5</v>
      </c>
      <c r="N348" s="4">
        <v>2285.64</v>
      </c>
      <c r="O348" s="5">
        <v>2</v>
      </c>
      <c r="P348" s="5">
        <v>26</v>
      </c>
      <c r="Q348" s="6">
        <v>2285.64</v>
      </c>
      <c r="R348" s="7">
        <v>0</v>
      </c>
      <c r="S348" s="5">
        <v>0</v>
      </c>
      <c r="T348" s="5">
        <v>0</v>
      </c>
      <c r="U348" s="6">
        <v>0</v>
      </c>
      <c r="V348" s="8"/>
    </row>
    <row r="349" spans="1:22" x14ac:dyDescent="0.2">
      <c r="A349" s="2" t="s">
        <v>56</v>
      </c>
      <c r="B349" s="2" t="s">
        <v>226</v>
      </c>
      <c r="C349" s="2">
        <v>1011748</v>
      </c>
      <c r="D349" s="2" t="s">
        <v>227</v>
      </c>
      <c r="E349" s="3" t="s">
        <v>59</v>
      </c>
      <c r="F349" s="4">
        <v>45600</v>
      </c>
      <c r="G349" s="5">
        <v>3</v>
      </c>
      <c r="H349" s="5">
        <v>3</v>
      </c>
      <c r="I349" s="6">
        <v>45600</v>
      </c>
      <c r="J349" s="7">
        <v>0</v>
      </c>
      <c r="K349" s="5">
        <v>0</v>
      </c>
      <c r="L349" s="5">
        <v>0</v>
      </c>
      <c r="M349" s="6">
        <v>0</v>
      </c>
      <c r="N349" s="4">
        <v>0</v>
      </c>
      <c r="O349" s="5">
        <v>0</v>
      </c>
      <c r="P349" s="5">
        <v>0</v>
      </c>
      <c r="Q349" s="6">
        <v>0</v>
      </c>
      <c r="R349" s="7">
        <v>0</v>
      </c>
      <c r="S349" s="5">
        <v>0</v>
      </c>
      <c r="T349" s="5">
        <v>0</v>
      </c>
      <c r="U349" s="6">
        <v>0</v>
      </c>
      <c r="V349" s="8"/>
    </row>
    <row r="350" spans="1:22" x14ac:dyDescent="0.2">
      <c r="A350" s="2" t="s">
        <v>56</v>
      </c>
      <c r="B350" s="2" t="s">
        <v>150</v>
      </c>
      <c r="C350" s="2">
        <v>1011127</v>
      </c>
      <c r="D350" s="2" t="s">
        <v>229</v>
      </c>
      <c r="E350" s="3" t="s">
        <v>59</v>
      </c>
      <c r="F350" s="4">
        <v>0</v>
      </c>
      <c r="G350" s="5">
        <v>0</v>
      </c>
      <c r="H350" s="5">
        <v>0</v>
      </c>
      <c r="I350" s="6">
        <v>0</v>
      </c>
      <c r="J350" s="7">
        <v>43200</v>
      </c>
      <c r="K350" s="5">
        <v>2</v>
      </c>
      <c r="L350" s="5">
        <v>2</v>
      </c>
      <c r="M350" s="6">
        <v>43200</v>
      </c>
      <c r="N350" s="4">
        <v>16500</v>
      </c>
      <c r="O350" s="5">
        <v>13</v>
      </c>
      <c r="P350" s="5">
        <v>15</v>
      </c>
      <c r="Q350" s="6">
        <v>16500</v>
      </c>
      <c r="R350" s="7">
        <v>0</v>
      </c>
      <c r="S350" s="5">
        <v>0</v>
      </c>
      <c r="T350" s="5">
        <v>0</v>
      </c>
      <c r="U350" s="6">
        <v>0</v>
      </c>
      <c r="V350" s="8"/>
    </row>
    <row r="351" spans="1:22" x14ac:dyDescent="0.2">
      <c r="A351" s="2" t="s">
        <v>56</v>
      </c>
      <c r="B351" s="2" t="s">
        <v>150</v>
      </c>
      <c r="C351" s="2">
        <v>1011150</v>
      </c>
      <c r="D351" s="2" t="s">
        <v>151</v>
      </c>
      <c r="E351" s="3" t="s">
        <v>63</v>
      </c>
      <c r="F351" s="4">
        <v>0</v>
      </c>
      <c r="G351" s="5">
        <v>0</v>
      </c>
      <c r="H351" s="5">
        <v>0</v>
      </c>
      <c r="I351" s="6">
        <v>0</v>
      </c>
      <c r="J351" s="7">
        <v>0</v>
      </c>
      <c r="K351" s="5">
        <v>0</v>
      </c>
      <c r="L351" s="5">
        <v>0</v>
      </c>
      <c r="M351" s="6">
        <v>0</v>
      </c>
      <c r="N351" s="4">
        <v>40527</v>
      </c>
      <c r="O351" s="5">
        <v>25.253164556961998</v>
      </c>
      <c r="P351" s="5">
        <v>31.265822784810101</v>
      </c>
      <c r="Q351" s="6">
        <v>40527</v>
      </c>
      <c r="R351" s="7">
        <v>0</v>
      </c>
      <c r="S351" s="5">
        <v>0</v>
      </c>
      <c r="T351" s="5">
        <v>0</v>
      </c>
      <c r="U351" s="6">
        <v>0</v>
      </c>
      <c r="V351" s="8"/>
    </row>
    <row r="352" spans="1:22" x14ac:dyDescent="0.2">
      <c r="A352" s="2" t="s">
        <v>56</v>
      </c>
      <c r="B352" s="2" t="s">
        <v>150</v>
      </c>
      <c r="C352" s="2">
        <v>1011151</v>
      </c>
      <c r="D352" s="2" t="s">
        <v>153</v>
      </c>
      <c r="E352" s="3" t="s">
        <v>67</v>
      </c>
      <c r="F352" s="4">
        <v>0</v>
      </c>
      <c r="G352" s="5">
        <v>0</v>
      </c>
      <c r="H352" s="5">
        <v>0</v>
      </c>
      <c r="I352" s="6">
        <v>0</v>
      </c>
      <c r="J352" s="7">
        <v>0</v>
      </c>
      <c r="K352" s="5">
        <v>0</v>
      </c>
      <c r="L352" s="5">
        <v>0</v>
      </c>
      <c r="M352" s="6">
        <v>0</v>
      </c>
      <c r="N352" s="4">
        <v>20007</v>
      </c>
      <c r="O352" s="5">
        <v>37</v>
      </c>
      <c r="P352" s="5">
        <v>41</v>
      </c>
      <c r="Q352" s="6">
        <v>20007</v>
      </c>
      <c r="R352" s="7">
        <v>0</v>
      </c>
      <c r="S352" s="5">
        <v>0</v>
      </c>
      <c r="T352" s="5">
        <v>0</v>
      </c>
      <c r="U352" s="6">
        <v>0</v>
      </c>
      <c r="V352" s="8"/>
    </row>
    <row r="353" spans="1:22" x14ac:dyDescent="0.2">
      <c r="A353" s="2" t="s">
        <v>56</v>
      </c>
      <c r="B353" s="2" t="s">
        <v>150</v>
      </c>
      <c r="C353" s="2">
        <v>1012278</v>
      </c>
      <c r="D353" s="2" t="s">
        <v>231</v>
      </c>
      <c r="E353" s="3" t="s">
        <v>63</v>
      </c>
      <c r="F353" s="4">
        <v>0</v>
      </c>
      <c r="G353" s="5">
        <v>0</v>
      </c>
      <c r="H353" s="5">
        <v>0</v>
      </c>
      <c r="I353" s="6">
        <v>0</v>
      </c>
      <c r="J353" s="7">
        <v>0</v>
      </c>
      <c r="K353" s="5">
        <v>0</v>
      </c>
      <c r="L353" s="5">
        <v>0</v>
      </c>
      <c r="M353" s="6">
        <v>0</v>
      </c>
      <c r="N353" s="4">
        <v>124983</v>
      </c>
      <c r="O353" s="5">
        <v>5.8801036941023996</v>
      </c>
      <c r="P353" s="5">
        <v>11.800604882264</v>
      </c>
      <c r="Q353" s="6">
        <v>124983</v>
      </c>
      <c r="R353" s="7">
        <v>0</v>
      </c>
      <c r="S353" s="5">
        <v>0</v>
      </c>
      <c r="T353" s="5">
        <v>0</v>
      </c>
      <c r="U353" s="6">
        <v>0</v>
      </c>
      <c r="V353" s="8"/>
    </row>
    <row r="354" spans="1:22" x14ac:dyDescent="0.2">
      <c r="A354" s="2" t="s">
        <v>56</v>
      </c>
      <c r="B354" s="2" t="s">
        <v>150</v>
      </c>
      <c r="C354" s="2">
        <v>1012534</v>
      </c>
      <c r="D354" s="2" t="s">
        <v>233</v>
      </c>
      <c r="E354" s="3" t="s">
        <v>234</v>
      </c>
      <c r="F354" s="4">
        <v>0</v>
      </c>
      <c r="G354" s="5">
        <v>0</v>
      </c>
      <c r="H354" s="5">
        <v>0</v>
      </c>
      <c r="I354" s="6">
        <v>0</v>
      </c>
      <c r="J354" s="7">
        <v>0</v>
      </c>
      <c r="K354" s="5">
        <v>0</v>
      </c>
      <c r="L354" s="5">
        <v>0</v>
      </c>
      <c r="M354" s="6">
        <v>0</v>
      </c>
      <c r="N354" s="4">
        <v>19988.884999999998</v>
      </c>
      <c r="O354" s="5">
        <v>4</v>
      </c>
      <c r="P354" s="5">
        <v>6</v>
      </c>
      <c r="Q354" s="6">
        <v>19988.884999999998</v>
      </c>
      <c r="R354" s="7">
        <v>0</v>
      </c>
      <c r="S354" s="5">
        <v>0</v>
      </c>
      <c r="T354" s="5">
        <v>0</v>
      </c>
      <c r="U354" s="6">
        <v>0</v>
      </c>
      <c r="V354" s="8"/>
    </row>
    <row r="355" spans="1:22" x14ac:dyDescent="0.2">
      <c r="A355" s="2" t="s">
        <v>56</v>
      </c>
      <c r="B355" s="2" t="s">
        <v>150</v>
      </c>
      <c r="C355" s="2">
        <v>1012725</v>
      </c>
      <c r="D355" s="2" t="s">
        <v>155</v>
      </c>
      <c r="E355" s="3" t="s">
        <v>67</v>
      </c>
      <c r="F355" s="4">
        <v>0</v>
      </c>
      <c r="G355" s="5">
        <v>0</v>
      </c>
      <c r="H355" s="5">
        <v>0</v>
      </c>
      <c r="I355" s="6">
        <v>0</v>
      </c>
      <c r="J355" s="7">
        <v>19958.400000000001</v>
      </c>
      <c r="K355" s="5">
        <v>2</v>
      </c>
      <c r="L355" s="5">
        <v>2</v>
      </c>
      <c r="M355" s="6">
        <v>19958.400000000001</v>
      </c>
      <c r="N355" s="4">
        <v>19958.400000000001</v>
      </c>
      <c r="O355" s="5">
        <v>37</v>
      </c>
      <c r="P355" s="5">
        <v>41</v>
      </c>
      <c r="Q355" s="6">
        <v>19958.400000000001</v>
      </c>
      <c r="R355" s="7">
        <v>0</v>
      </c>
      <c r="S355" s="5">
        <v>0</v>
      </c>
      <c r="T355" s="5">
        <v>0</v>
      </c>
      <c r="U355" s="6">
        <v>0</v>
      </c>
      <c r="V355" s="8"/>
    </row>
    <row r="356" spans="1:22" x14ac:dyDescent="0.2">
      <c r="A356" s="2" t="s">
        <v>56</v>
      </c>
      <c r="B356" s="2" t="s">
        <v>46</v>
      </c>
      <c r="C356" s="2">
        <v>1012218</v>
      </c>
      <c r="D356" s="2" t="s">
        <v>236</v>
      </c>
      <c r="E356" s="3" t="s">
        <v>63</v>
      </c>
      <c r="F356" s="4">
        <v>0</v>
      </c>
      <c r="G356" s="5">
        <v>0</v>
      </c>
      <c r="H356" s="5">
        <v>0</v>
      </c>
      <c r="I356" s="6">
        <v>0</v>
      </c>
      <c r="J356" s="7">
        <v>0</v>
      </c>
      <c r="K356" s="5">
        <v>0</v>
      </c>
      <c r="L356" s="5">
        <v>0</v>
      </c>
      <c r="M356" s="6">
        <v>0</v>
      </c>
      <c r="N356" s="4">
        <v>9750</v>
      </c>
      <c r="O356" s="5">
        <v>10</v>
      </c>
      <c r="P356" s="5">
        <v>12</v>
      </c>
      <c r="Q356" s="6">
        <v>9750</v>
      </c>
      <c r="R356" s="7">
        <v>0</v>
      </c>
      <c r="S356" s="5">
        <v>0</v>
      </c>
      <c r="T356" s="5">
        <v>0</v>
      </c>
      <c r="U356" s="6">
        <v>0</v>
      </c>
      <c r="V356" s="8"/>
    </row>
    <row r="357" spans="1:22" x14ac:dyDescent="0.2">
      <c r="A357" s="2" t="s">
        <v>56</v>
      </c>
      <c r="B357" s="2" t="s">
        <v>46</v>
      </c>
      <c r="C357" s="2">
        <v>1012275</v>
      </c>
      <c r="D357" s="2" t="s">
        <v>238</v>
      </c>
      <c r="E357" s="3" t="s">
        <v>63</v>
      </c>
      <c r="F357" s="4">
        <v>0</v>
      </c>
      <c r="G357" s="5">
        <v>0</v>
      </c>
      <c r="H357" s="5">
        <v>0</v>
      </c>
      <c r="I357" s="6">
        <v>0</v>
      </c>
      <c r="J357" s="7">
        <v>1728</v>
      </c>
      <c r="K357" s="5">
        <v>12</v>
      </c>
      <c r="L357" s="5">
        <v>12</v>
      </c>
      <c r="M357" s="6">
        <v>1728</v>
      </c>
      <c r="N357" s="4">
        <v>0</v>
      </c>
      <c r="O357" s="5">
        <v>0</v>
      </c>
      <c r="P357" s="5">
        <v>0</v>
      </c>
      <c r="Q357" s="6">
        <v>0</v>
      </c>
      <c r="R357" s="7">
        <v>0</v>
      </c>
      <c r="S357" s="5">
        <v>0</v>
      </c>
      <c r="T357" s="5">
        <v>0</v>
      </c>
      <c r="U357" s="6">
        <v>0</v>
      </c>
      <c r="V357" s="8"/>
    </row>
    <row r="358" spans="1:22" x14ac:dyDescent="0.2">
      <c r="A358" s="2" t="s">
        <v>56</v>
      </c>
      <c r="B358" s="2" t="s">
        <v>46</v>
      </c>
      <c r="C358" s="2">
        <v>1012434</v>
      </c>
      <c r="D358" s="2" t="s">
        <v>240</v>
      </c>
      <c r="E358" s="3" t="s">
        <v>63</v>
      </c>
      <c r="F358" s="4">
        <v>0</v>
      </c>
      <c r="G358" s="5">
        <v>0</v>
      </c>
      <c r="H358" s="5">
        <v>0</v>
      </c>
      <c r="I358" s="6">
        <v>0</v>
      </c>
      <c r="J358" s="7">
        <v>0</v>
      </c>
      <c r="K358" s="5">
        <v>0</v>
      </c>
      <c r="L358" s="5">
        <v>0</v>
      </c>
      <c r="M358" s="6">
        <v>0</v>
      </c>
      <c r="N358" s="4">
        <v>0</v>
      </c>
      <c r="O358" s="5">
        <v>0</v>
      </c>
      <c r="P358" s="5">
        <v>0</v>
      </c>
      <c r="Q358" s="6">
        <v>0</v>
      </c>
      <c r="R358" s="7">
        <v>24000</v>
      </c>
      <c r="S358" s="5">
        <v>14</v>
      </c>
      <c r="T358" s="5">
        <v>37</v>
      </c>
      <c r="U358" s="6">
        <v>24000</v>
      </c>
      <c r="V358" s="8"/>
    </row>
    <row r="359" spans="1:22" x14ac:dyDescent="0.2">
      <c r="A359" s="2" t="s">
        <v>56</v>
      </c>
      <c r="B359" s="2" t="s">
        <v>46</v>
      </c>
      <c r="C359" s="2">
        <v>1012451</v>
      </c>
      <c r="D359" s="2" t="s">
        <v>157</v>
      </c>
      <c r="E359" s="3" t="s">
        <v>63</v>
      </c>
      <c r="F359" s="4">
        <v>0</v>
      </c>
      <c r="G359" s="5">
        <v>0</v>
      </c>
      <c r="H359" s="5">
        <v>0</v>
      </c>
      <c r="I359" s="6">
        <v>0</v>
      </c>
      <c r="J359" s="7">
        <v>4050</v>
      </c>
      <c r="K359" s="5">
        <v>12</v>
      </c>
      <c r="L359" s="5">
        <v>12</v>
      </c>
      <c r="M359" s="6">
        <v>4050</v>
      </c>
      <c r="N359" s="4">
        <v>38866.949999999997</v>
      </c>
      <c r="O359" s="5">
        <v>32.024194077487401</v>
      </c>
      <c r="P359" s="5">
        <v>37.093175564329101</v>
      </c>
      <c r="Q359" s="6">
        <v>38866.949999999997</v>
      </c>
      <c r="R359" s="7">
        <v>0</v>
      </c>
      <c r="S359" s="5">
        <v>0</v>
      </c>
      <c r="T359" s="5">
        <v>0</v>
      </c>
      <c r="U359" s="6">
        <v>0</v>
      </c>
      <c r="V359" s="8"/>
    </row>
    <row r="360" spans="1:22" x14ac:dyDescent="0.2">
      <c r="A360" s="2" t="s">
        <v>56</v>
      </c>
      <c r="B360" s="2" t="s">
        <v>46</v>
      </c>
      <c r="C360" s="2">
        <v>1012453</v>
      </c>
      <c r="D360" s="2" t="s">
        <v>242</v>
      </c>
      <c r="E360" s="3" t="s">
        <v>63</v>
      </c>
      <c r="F360" s="4">
        <v>0</v>
      </c>
      <c r="G360" s="5">
        <v>0</v>
      </c>
      <c r="H360" s="5">
        <v>0</v>
      </c>
      <c r="I360" s="6">
        <v>0</v>
      </c>
      <c r="J360" s="7">
        <v>6900.8</v>
      </c>
      <c r="K360" s="5">
        <v>12</v>
      </c>
      <c r="L360" s="5">
        <v>12</v>
      </c>
      <c r="M360" s="6">
        <v>6900.8</v>
      </c>
      <c r="N360" s="4">
        <v>0</v>
      </c>
      <c r="O360" s="5">
        <v>0</v>
      </c>
      <c r="P360" s="5">
        <v>0</v>
      </c>
      <c r="Q360" s="6">
        <v>0</v>
      </c>
      <c r="R360" s="7">
        <v>0</v>
      </c>
      <c r="S360" s="5">
        <v>0</v>
      </c>
      <c r="T360" s="5">
        <v>0</v>
      </c>
      <c r="U360" s="6">
        <v>0</v>
      </c>
      <c r="V360" s="8"/>
    </row>
    <row r="361" spans="1:22" x14ac:dyDescent="0.2">
      <c r="A361" s="2" t="s">
        <v>56</v>
      </c>
      <c r="B361" s="2" t="s">
        <v>46</v>
      </c>
      <c r="C361" s="2">
        <v>1012525</v>
      </c>
      <c r="D361" s="2" t="s">
        <v>244</v>
      </c>
      <c r="E361" s="3" t="s">
        <v>245</v>
      </c>
      <c r="F361" s="4">
        <v>0</v>
      </c>
      <c r="G361" s="5">
        <v>0</v>
      </c>
      <c r="H361" s="5">
        <v>0</v>
      </c>
      <c r="I361" s="6">
        <v>0</v>
      </c>
      <c r="J361" s="7">
        <v>0</v>
      </c>
      <c r="K361" s="5">
        <v>0</v>
      </c>
      <c r="L361" s="5">
        <v>0</v>
      </c>
      <c r="M361" s="6">
        <v>0</v>
      </c>
      <c r="N361" s="4">
        <v>9680</v>
      </c>
      <c r="O361" s="5">
        <v>13</v>
      </c>
      <c r="P361" s="5">
        <v>13</v>
      </c>
      <c r="Q361" s="6">
        <v>9680</v>
      </c>
      <c r="R361" s="7">
        <v>0</v>
      </c>
      <c r="S361" s="5">
        <v>0</v>
      </c>
      <c r="T361" s="5">
        <v>0</v>
      </c>
      <c r="U361" s="6">
        <v>0</v>
      </c>
      <c r="V361" s="8"/>
    </row>
    <row r="362" spans="1:22" x14ac:dyDescent="0.2">
      <c r="A362" s="2" t="s">
        <v>56</v>
      </c>
      <c r="B362" s="2" t="s">
        <v>46</v>
      </c>
      <c r="C362" s="2">
        <v>1012526</v>
      </c>
      <c r="D362" s="2" t="s">
        <v>247</v>
      </c>
      <c r="E362" s="3" t="s">
        <v>245</v>
      </c>
      <c r="F362" s="4">
        <v>0</v>
      </c>
      <c r="G362" s="5">
        <v>0</v>
      </c>
      <c r="H362" s="5">
        <v>0</v>
      </c>
      <c r="I362" s="6">
        <v>0</v>
      </c>
      <c r="J362" s="7">
        <v>0</v>
      </c>
      <c r="K362" s="5">
        <v>0</v>
      </c>
      <c r="L362" s="5">
        <v>0</v>
      </c>
      <c r="M362" s="6">
        <v>0</v>
      </c>
      <c r="N362" s="4">
        <v>10300</v>
      </c>
      <c r="O362" s="5">
        <v>7</v>
      </c>
      <c r="P362" s="5">
        <v>7</v>
      </c>
      <c r="Q362" s="6">
        <v>10300</v>
      </c>
      <c r="R362" s="7">
        <v>0</v>
      </c>
      <c r="S362" s="5">
        <v>0</v>
      </c>
      <c r="T362" s="5">
        <v>0</v>
      </c>
      <c r="U362" s="6">
        <v>0</v>
      </c>
      <c r="V362" s="8"/>
    </row>
    <row r="363" spans="1:22" x14ac:dyDescent="0.2">
      <c r="A363" s="2" t="s">
        <v>56</v>
      </c>
      <c r="B363" s="2" t="s">
        <v>46</v>
      </c>
      <c r="C363" s="2">
        <v>1012595</v>
      </c>
      <c r="D363" s="2" t="s">
        <v>249</v>
      </c>
      <c r="E363" s="3" t="s">
        <v>59</v>
      </c>
      <c r="F363" s="4">
        <v>0</v>
      </c>
      <c r="G363" s="5">
        <v>0</v>
      </c>
      <c r="H363" s="5">
        <v>0</v>
      </c>
      <c r="I363" s="6">
        <v>0</v>
      </c>
      <c r="J363" s="7">
        <v>5184</v>
      </c>
      <c r="K363" s="5">
        <v>12</v>
      </c>
      <c r="L363" s="5">
        <v>12</v>
      </c>
      <c r="M363" s="6">
        <v>5184</v>
      </c>
      <c r="N363" s="4">
        <v>8800</v>
      </c>
      <c r="O363" s="5">
        <v>10</v>
      </c>
      <c r="P363" s="5">
        <v>12</v>
      </c>
      <c r="Q363" s="6">
        <v>8800</v>
      </c>
      <c r="R363" s="7">
        <v>0</v>
      </c>
      <c r="S363" s="5">
        <v>0</v>
      </c>
      <c r="T363" s="5">
        <v>0</v>
      </c>
      <c r="U363" s="6">
        <v>0</v>
      </c>
      <c r="V363" s="8"/>
    </row>
    <row r="364" spans="1:22" x14ac:dyDescent="0.2">
      <c r="A364" s="2" t="s">
        <v>56</v>
      </c>
      <c r="B364" s="2" t="s">
        <v>46</v>
      </c>
      <c r="C364" s="2">
        <v>1012622</v>
      </c>
      <c r="D364" s="2" t="s">
        <v>251</v>
      </c>
      <c r="E364" s="3" t="s">
        <v>124</v>
      </c>
      <c r="F364" s="4">
        <v>0</v>
      </c>
      <c r="G364" s="5">
        <v>0</v>
      </c>
      <c r="H364" s="5">
        <v>0</v>
      </c>
      <c r="I364" s="6">
        <v>0</v>
      </c>
      <c r="J364" s="7">
        <v>80</v>
      </c>
      <c r="K364" s="5">
        <v>12</v>
      </c>
      <c r="L364" s="5">
        <v>12</v>
      </c>
      <c r="M364" s="6">
        <v>80</v>
      </c>
      <c r="N364" s="4">
        <v>0</v>
      </c>
      <c r="O364" s="5">
        <v>0</v>
      </c>
      <c r="P364" s="5">
        <v>0</v>
      </c>
      <c r="Q364" s="6">
        <v>0</v>
      </c>
      <c r="R364" s="7">
        <v>0</v>
      </c>
      <c r="S364" s="5">
        <v>0</v>
      </c>
      <c r="T364" s="5">
        <v>0</v>
      </c>
      <c r="U364" s="6">
        <v>0</v>
      </c>
      <c r="V364" s="8"/>
    </row>
    <row r="365" spans="1:22" x14ac:dyDescent="0.2">
      <c r="A365" s="2" t="s">
        <v>56</v>
      </c>
      <c r="B365" s="2" t="s">
        <v>37</v>
      </c>
      <c r="C365" s="2">
        <v>1012326</v>
      </c>
      <c r="D365" s="2" t="s">
        <v>253</v>
      </c>
      <c r="E365" s="3" t="s">
        <v>54</v>
      </c>
      <c r="F365" s="4">
        <v>0</v>
      </c>
      <c r="G365" s="5">
        <v>0</v>
      </c>
      <c r="H365" s="5">
        <v>0</v>
      </c>
      <c r="I365" s="6">
        <v>0</v>
      </c>
      <c r="J365" s="7">
        <v>0</v>
      </c>
      <c r="K365" s="5">
        <v>0</v>
      </c>
      <c r="L365" s="5">
        <v>0</v>
      </c>
      <c r="M365" s="6">
        <v>0</v>
      </c>
      <c r="N365" s="4">
        <v>5928</v>
      </c>
      <c r="O365" s="5">
        <v>25</v>
      </c>
      <c r="P365" s="5">
        <v>25</v>
      </c>
      <c r="Q365" s="6">
        <v>5928</v>
      </c>
      <c r="R365" s="7">
        <v>0</v>
      </c>
      <c r="S365" s="5">
        <v>0</v>
      </c>
      <c r="T365" s="5">
        <v>0</v>
      </c>
      <c r="U365" s="6">
        <v>0</v>
      </c>
      <c r="V365" s="8"/>
    </row>
    <row r="366" spans="1:22" x14ac:dyDescent="0.2">
      <c r="A366" s="2" t="s">
        <v>34</v>
      </c>
      <c r="B366" s="2" t="s">
        <v>52</v>
      </c>
      <c r="C366" s="2">
        <v>1020822</v>
      </c>
      <c r="D366" s="2" t="s">
        <v>255</v>
      </c>
      <c r="E366" s="3" t="s">
        <v>172</v>
      </c>
      <c r="F366" s="4">
        <v>0</v>
      </c>
      <c r="G366" s="5">
        <v>0</v>
      </c>
      <c r="H366" s="5">
        <v>0</v>
      </c>
      <c r="I366" s="6">
        <v>0</v>
      </c>
      <c r="J366" s="7">
        <v>0</v>
      </c>
      <c r="K366" s="5">
        <v>0</v>
      </c>
      <c r="L366" s="5">
        <v>0</v>
      </c>
      <c r="M366" s="6">
        <v>0</v>
      </c>
      <c r="N366" s="4">
        <v>10272.08</v>
      </c>
      <c r="O366" s="5">
        <v>18</v>
      </c>
      <c r="P366" s="5">
        <v>24</v>
      </c>
      <c r="Q366" s="6">
        <v>10272.08</v>
      </c>
      <c r="R366" s="7">
        <v>0</v>
      </c>
      <c r="S366" s="5">
        <v>0</v>
      </c>
      <c r="T366" s="5">
        <v>0</v>
      </c>
      <c r="U366" s="6">
        <v>0</v>
      </c>
      <c r="V366" s="8"/>
    </row>
    <row r="367" spans="1:22" x14ac:dyDescent="0.2">
      <c r="A367" s="2" t="s">
        <v>34</v>
      </c>
      <c r="B367" s="2" t="s">
        <v>52</v>
      </c>
      <c r="C367" s="2">
        <v>1020828</v>
      </c>
      <c r="D367" s="2" t="s">
        <v>75</v>
      </c>
      <c r="E367" s="3" t="s">
        <v>76</v>
      </c>
      <c r="F367" s="4">
        <v>0</v>
      </c>
      <c r="G367" s="5">
        <v>0</v>
      </c>
      <c r="H367" s="5">
        <v>0</v>
      </c>
      <c r="I367" s="6">
        <v>0</v>
      </c>
      <c r="J367" s="7">
        <v>0</v>
      </c>
      <c r="K367" s="5">
        <v>0</v>
      </c>
      <c r="L367" s="5">
        <v>0</v>
      </c>
      <c r="M367" s="6">
        <v>0</v>
      </c>
      <c r="N367" s="4">
        <v>35530</v>
      </c>
      <c r="O367" s="5">
        <v>39.026456515620602</v>
      </c>
      <c r="P367" s="5">
        <v>39.718266253869999</v>
      </c>
      <c r="Q367" s="6">
        <v>35530</v>
      </c>
      <c r="R367" s="7">
        <v>0</v>
      </c>
      <c r="S367" s="5">
        <v>0</v>
      </c>
      <c r="T367" s="5">
        <v>0</v>
      </c>
      <c r="U367" s="6">
        <v>0</v>
      </c>
      <c r="V367" s="8"/>
    </row>
    <row r="368" spans="1:22" x14ac:dyDescent="0.2">
      <c r="A368" s="2" t="s">
        <v>34</v>
      </c>
      <c r="B368" s="2" t="s">
        <v>52</v>
      </c>
      <c r="C368" s="2">
        <v>1021398</v>
      </c>
      <c r="D368" s="2" t="s">
        <v>119</v>
      </c>
      <c r="E368" s="3" t="s">
        <v>67</v>
      </c>
      <c r="F368" s="4">
        <v>0</v>
      </c>
      <c r="G368" s="5">
        <v>0</v>
      </c>
      <c r="H368" s="5">
        <v>0</v>
      </c>
      <c r="I368" s="6">
        <v>0</v>
      </c>
      <c r="J368" s="7">
        <v>0</v>
      </c>
      <c r="K368" s="5">
        <v>0</v>
      </c>
      <c r="L368" s="5">
        <v>0</v>
      </c>
      <c r="M368" s="6">
        <v>0</v>
      </c>
      <c r="N368" s="4">
        <v>28350</v>
      </c>
      <c r="O368" s="5">
        <v>26</v>
      </c>
      <c r="P368" s="5">
        <v>44.877248677248701</v>
      </c>
      <c r="Q368" s="6">
        <v>28350</v>
      </c>
      <c r="R368" s="7">
        <v>115</v>
      </c>
      <c r="S368" s="5">
        <v>81</v>
      </c>
      <c r="T368" s="5">
        <v>130</v>
      </c>
      <c r="U368" s="6">
        <v>115</v>
      </c>
      <c r="V368" s="8"/>
    </row>
    <row r="369" spans="1:22" x14ac:dyDescent="0.2">
      <c r="A369" s="2" t="s">
        <v>34</v>
      </c>
      <c r="B369" s="2" t="s">
        <v>52</v>
      </c>
      <c r="C369" s="2">
        <v>1021538</v>
      </c>
      <c r="D369" s="2" t="s">
        <v>177</v>
      </c>
      <c r="E369" s="3" t="s">
        <v>178</v>
      </c>
      <c r="F369" s="4">
        <v>0</v>
      </c>
      <c r="G369" s="5">
        <v>0</v>
      </c>
      <c r="H369" s="5">
        <v>0</v>
      </c>
      <c r="I369" s="6">
        <v>0</v>
      </c>
      <c r="J369" s="7">
        <v>24024.58</v>
      </c>
      <c r="K369" s="5">
        <v>9</v>
      </c>
      <c r="L369" s="5">
        <v>9</v>
      </c>
      <c r="M369" s="6">
        <v>24024.58</v>
      </c>
      <c r="N369" s="4">
        <v>5420.4129999999996</v>
      </c>
      <c r="O369" s="5">
        <v>18</v>
      </c>
      <c r="P369" s="5">
        <v>24</v>
      </c>
      <c r="Q369" s="6">
        <v>5420.4129999999996</v>
      </c>
      <c r="R369" s="7">
        <v>16.939</v>
      </c>
      <c r="S369" s="5">
        <v>18</v>
      </c>
      <c r="T369" s="5">
        <v>24</v>
      </c>
      <c r="U369" s="6">
        <v>16.939</v>
      </c>
      <c r="V369" s="8"/>
    </row>
    <row r="370" spans="1:22" x14ac:dyDescent="0.2">
      <c r="A370" s="2" t="s">
        <v>34</v>
      </c>
      <c r="B370" s="2" t="s">
        <v>52</v>
      </c>
      <c r="C370" s="2">
        <v>1022619</v>
      </c>
      <c r="D370" s="2" t="s">
        <v>159</v>
      </c>
      <c r="E370" s="3" t="s">
        <v>160</v>
      </c>
      <c r="F370" s="4">
        <v>0</v>
      </c>
      <c r="G370" s="5">
        <v>0</v>
      </c>
      <c r="H370" s="5">
        <v>0</v>
      </c>
      <c r="I370" s="6">
        <v>0</v>
      </c>
      <c r="J370" s="7">
        <v>0</v>
      </c>
      <c r="K370" s="5">
        <v>0</v>
      </c>
      <c r="L370" s="5">
        <v>0</v>
      </c>
      <c r="M370" s="6">
        <v>0</v>
      </c>
      <c r="N370" s="4">
        <v>31906.54</v>
      </c>
      <c r="O370" s="5">
        <v>35.058742188905498</v>
      </c>
      <c r="P370" s="5">
        <v>35.058742188905498</v>
      </c>
      <c r="Q370" s="6">
        <v>31906.54</v>
      </c>
      <c r="R370" s="7">
        <v>0</v>
      </c>
      <c r="S370" s="5">
        <v>0</v>
      </c>
      <c r="T370" s="5">
        <v>0</v>
      </c>
      <c r="U370" s="6">
        <v>0</v>
      </c>
      <c r="V370" s="8"/>
    </row>
    <row r="371" spans="1:22" x14ac:dyDescent="0.2">
      <c r="A371" s="2" t="s">
        <v>34</v>
      </c>
      <c r="B371" s="2" t="s">
        <v>52</v>
      </c>
      <c r="C371" s="2">
        <v>1022883</v>
      </c>
      <c r="D371" s="2" t="s">
        <v>121</v>
      </c>
      <c r="E371" s="3" t="s">
        <v>76</v>
      </c>
      <c r="F371" s="4">
        <v>0</v>
      </c>
      <c r="G371" s="5">
        <v>0</v>
      </c>
      <c r="H371" s="5">
        <v>0</v>
      </c>
      <c r="I371" s="6">
        <v>0</v>
      </c>
      <c r="J371" s="7">
        <v>0</v>
      </c>
      <c r="K371" s="5">
        <v>0</v>
      </c>
      <c r="L371" s="5">
        <v>0</v>
      </c>
      <c r="M371" s="6">
        <v>0</v>
      </c>
      <c r="N371" s="4">
        <v>33536</v>
      </c>
      <c r="O371" s="5">
        <v>61.748091603053403</v>
      </c>
      <c r="P371" s="5">
        <v>67.328244274809194</v>
      </c>
      <c r="Q371" s="6">
        <v>33536</v>
      </c>
      <c r="R371" s="7">
        <v>0</v>
      </c>
      <c r="S371" s="5">
        <v>0</v>
      </c>
      <c r="T371" s="5">
        <v>0</v>
      </c>
      <c r="U371" s="6">
        <v>0</v>
      </c>
      <c r="V371" s="8"/>
    </row>
    <row r="372" spans="1:22" x14ac:dyDescent="0.2">
      <c r="A372" s="2" t="s">
        <v>34</v>
      </c>
      <c r="B372" s="2" t="s">
        <v>52</v>
      </c>
      <c r="C372" s="2">
        <v>1023050</v>
      </c>
      <c r="D372" s="2" t="s">
        <v>93</v>
      </c>
      <c r="E372" s="3" t="s">
        <v>43</v>
      </c>
      <c r="F372" s="4">
        <v>0</v>
      </c>
      <c r="G372" s="5">
        <v>0</v>
      </c>
      <c r="H372" s="5">
        <v>0</v>
      </c>
      <c r="I372" s="6">
        <v>0</v>
      </c>
      <c r="J372" s="7">
        <v>0</v>
      </c>
      <c r="K372" s="5">
        <v>0</v>
      </c>
      <c r="L372" s="5">
        <v>0</v>
      </c>
      <c r="M372" s="6">
        <v>0</v>
      </c>
      <c r="N372" s="4">
        <v>0</v>
      </c>
      <c r="O372" s="5">
        <v>0</v>
      </c>
      <c r="P372" s="5">
        <v>0</v>
      </c>
      <c r="Q372" s="6">
        <v>0</v>
      </c>
      <c r="R372" s="7">
        <v>187.99600000000001</v>
      </c>
      <c r="S372" s="5">
        <v>79.570150428732504</v>
      </c>
      <c r="T372" s="5">
        <v>98.369178067618506</v>
      </c>
      <c r="U372" s="6">
        <v>187.99600000000001</v>
      </c>
      <c r="V372" s="8"/>
    </row>
    <row r="373" spans="1:22" x14ac:dyDescent="0.2">
      <c r="A373" s="2" t="s">
        <v>34</v>
      </c>
      <c r="B373" s="2" t="s">
        <v>52</v>
      </c>
      <c r="C373" s="2">
        <v>1023175</v>
      </c>
      <c r="D373" s="2" t="s">
        <v>123</v>
      </c>
      <c r="E373" s="3" t="s">
        <v>124</v>
      </c>
      <c r="F373" s="4">
        <v>0</v>
      </c>
      <c r="G373" s="5">
        <v>0</v>
      </c>
      <c r="H373" s="5">
        <v>0</v>
      </c>
      <c r="I373" s="6">
        <v>0</v>
      </c>
      <c r="J373" s="7">
        <v>0</v>
      </c>
      <c r="K373" s="5">
        <v>0</v>
      </c>
      <c r="L373" s="5">
        <v>0</v>
      </c>
      <c r="M373" s="6">
        <v>0</v>
      </c>
      <c r="N373" s="4">
        <v>46.9</v>
      </c>
      <c r="O373" s="5">
        <v>80</v>
      </c>
      <c r="P373" s="5">
        <v>153</v>
      </c>
      <c r="Q373" s="6">
        <v>46.9</v>
      </c>
      <c r="R373" s="7">
        <v>0</v>
      </c>
      <c r="S373" s="5">
        <v>0</v>
      </c>
      <c r="T373" s="5">
        <v>0</v>
      </c>
      <c r="U373" s="6">
        <v>0</v>
      </c>
      <c r="V373" s="8"/>
    </row>
    <row r="374" spans="1:22" x14ac:dyDescent="0.2">
      <c r="A374" s="2" t="s">
        <v>34</v>
      </c>
      <c r="B374" s="2" t="s">
        <v>52</v>
      </c>
      <c r="C374" s="2">
        <v>1023190</v>
      </c>
      <c r="D374" s="2" t="s">
        <v>258</v>
      </c>
      <c r="E374" s="3" t="s">
        <v>259</v>
      </c>
      <c r="F374" s="4">
        <v>0</v>
      </c>
      <c r="G374" s="5">
        <v>0</v>
      </c>
      <c r="H374" s="5">
        <v>0</v>
      </c>
      <c r="I374" s="6">
        <v>0</v>
      </c>
      <c r="J374" s="7">
        <v>20.626999999999999</v>
      </c>
      <c r="K374" s="5">
        <v>26</v>
      </c>
      <c r="L374" s="5">
        <v>26</v>
      </c>
      <c r="M374" s="6">
        <v>20.626999999999999</v>
      </c>
      <c r="N374" s="4">
        <v>0</v>
      </c>
      <c r="O374" s="5">
        <v>0</v>
      </c>
      <c r="P374" s="5">
        <v>0</v>
      </c>
      <c r="Q374" s="6">
        <v>0</v>
      </c>
      <c r="R374" s="7">
        <v>0</v>
      </c>
      <c r="S374" s="5">
        <v>0</v>
      </c>
      <c r="T374" s="5">
        <v>0</v>
      </c>
      <c r="U374" s="6">
        <v>0</v>
      </c>
      <c r="V374" s="8"/>
    </row>
    <row r="375" spans="1:22" x14ac:dyDescent="0.2">
      <c r="A375" s="2" t="s">
        <v>34</v>
      </c>
      <c r="B375" s="2" t="s">
        <v>52</v>
      </c>
      <c r="C375" s="2">
        <v>1023273</v>
      </c>
      <c r="D375" s="2" t="s">
        <v>261</v>
      </c>
      <c r="E375" s="3" t="s">
        <v>96</v>
      </c>
      <c r="F375" s="4">
        <v>0</v>
      </c>
      <c r="G375" s="5">
        <v>0</v>
      </c>
      <c r="H375" s="5">
        <v>0</v>
      </c>
      <c r="I375" s="6">
        <v>0</v>
      </c>
      <c r="J375" s="7">
        <v>8616.2900000000009</v>
      </c>
      <c r="K375" s="5">
        <v>2</v>
      </c>
      <c r="L375" s="5">
        <v>2</v>
      </c>
      <c r="M375" s="6">
        <v>8616.2900000000009</v>
      </c>
      <c r="N375" s="4">
        <v>18086.16</v>
      </c>
      <c r="O375" s="5">
        <v>2</v>
      </c>
      <c r="P375" s="5">
        <v>9</v>
      </c>
      <c r="Q375" s="6">
        <v>18086.16</v>
      </c>
      <c r="R375" s="7">
        <v>0</v>
      </c>
      <c r="S375" s="5">
        <v>0</v>
      </c>
      <c r="T375" s="5">
        <v>0</v>
      </c>
      <c r="U375" s="6">
        <v>0</v>
      </c>
      <c r="V375" s="8"/>
    </row>
    <row r="376" spans="1:22" x14ac:dyDescent="0.2">
      <c r="A376" s="2" t="s">
        <v>34</v>
      </c>
      <c r="B376" s="2" t="s">
        <v>52</v>
      </c>
      <c r="C376" s="2">
        <v>1023274</v>
      </c>
      <c r="D376" s="2" t="s">
        <v>162</v>
      </c>
      <c r="E376" s="3" t="s">
        <v>96</v>
      </c>
      <c r="F376" s="4">
        <v>0</v>
      </c>
      <c r="G376" s="5">
        <v>0</v>
      </c>
      <c r="H376" s="5">
        <v>0</v>
      </c>
      <c r="I376" s="6">
        <v>0</v>
      </c>
      <c r="J376" s="7">
        <v>14992.85</v>
      </c>
      <c r="K376" s="5">
        <v>2</v>
      </c>
      <c r="L376" s="5">
        <v>2</v>
      </c>
      <c r="M376" s="6">
        <v>14992.85</v>
      </c>
      <c r="N376" s="4">
        <v>20207.008999999998</v>
      </c>
      <c r="O376" s="5">
        <v>27.021568902156702</v>
      </c>
      <c r="P376" s="5">
        <v>27.021568902156702</v>
      </c>
      <c r="Q376" s="6">
        <v>20207.008999999998</v>
      </c>
      <c r="R376" s="7">
        <v>0</v>
      </c>
      <c r="S376" s="5">
        <v>0</v>
      </c>
      <c r="T376" s="5">
        <v>0</v>
      </c>
      <c r="U376" s="6">
        <v>0</v>
      </c>
      <c r="V376" s="8"/>
    </row>
    <row r="377" spans="1:22" x14ac:dyDescent="0.2">
      <c r="A377" s="2" t="s">
        <v>34</v>
      </c>
      <c r="B377" s="2" t="s">
        <v>52</v>
      </c>
      <c r="C377" s="2">
        <v>1023276</v>
      </c>
      <c r="D377" s="2" t="s">
        <v>95</v>
      </c>
      <c r="E377" s="3" t="s">
        <v>96</v>
      </c>
      <c r="F377" s="4">
        <v>0</v>
      </c>
      <c r="G377" s="5">
        <v>0</v>
      </c>
      <c r="H377" s="5">
        <v>0</v>
      </c>
      <c r="I377" s="6">
        <v>0</v>
      </c>
      <c r="J377" s="7">
        <v>18152.34</v>
      </c>
      <c r="K377" s="5">
        <v>2</v>
      </c>
      <c r="L377" s="5">
        <v>2</v>
      </c>
      <c r="M377" s="6">
        <v>18152.34</v>
      </c>
      <c r="N377" s="4">
        <v>2805.9650000000001</v>
      </c>
      <c r="O377" s="5">
        <v>104.991681649629</v>
      </c>
      <c r="P377" s="5">
        <v>107.288594120026</v>
      </c>
      <c r="Q377" s="6">
        <v>2805.9650000000001</v>
      </c>
      <c r="R377" s="7">
        <v>0</v>
      </c>
      <c r="S377" s="5">
        <v>0</v>
      </c>
      <c r="T377" s="5">
        <v>0</v>
      </c>
      <c r="U377" s="6">
        <v>0</v>
      </c>
      <c r="V377" s="8"/>
    </row>
    <row r="378" spans="1:22" x14ac:dyDescent="0.2">
      <c r="A378" s="2" t="s">
        <v>34</v>
      </c>
      <c r="B378" s="2" t="s">
        <v>52</v>
      </c>
      <c r="C378" s="2">
        <v>1023410</v>
      </c>
      <c r="D378" s="2" t="s">
        <v>164</v>
      </c>
      <c r="E378" s="3" t="s">
        <v>67</v>
      </c>
      <c r="F378" s="4">
        <v>0</v>
      </c>
      <c r="G378" s="5">
        <v>0</v>
      </c>
      <c r="H378" s="5">
        <v>0</v>
      </c>
      <c r="I378" s="6">
        <v>0</v>
      </c>
      <c r="J378" s="7">
        <v>96</v>
      </c>
      <c r="K378" s="5">
        <v>24</v>
      </c>
      <c r="L378" s="5">
        <v>24</v>
      </c>
      <c r="M378" s="6">
        <v>96</v>
      </c>
      <c r="N378" s="4">
        <v>24</v>
      </c>
      <c r="O378" s="5">
        <v>45</v>
      </c>
      <c r="P378" s="5">
        <v>45</v>
      </c>
      <c r="Q378" s="6">
        <v>24</v>
      </c>
      <c r="R378" s="7">
        <v>0</v>
      </c>
      <c r="S378" s="5">
        <v>0</v>
      </c>
      <c r="T378" s="5">
        <v>0</v>
      </c>
      <c r="U378" s="6">
        <v>0</v>
      </c>
      <c r="V378" s="8"/>
    </row>
    <row r="379" spans="1:22" x14ac:dyDescent="0.2">
      <c r="A379" s="2" t="s">
        <v>34</v>
      </c>
      <c r="B379" s="2" t="s">
        <v>226</v>
      </c>
      <c r="C379" s="2">
        <v>1020853</v>
      </c>
      <c r="D379" s="2" t="s">
        <v>119</v>
      </c>
      <c r="E379" s="3" t="s">
        <v>67</v>
      </c>
      <c r="F379" s="4">
        <v>0</v>
      </c>
      <c r="G379" s="5">
        <v>0</v>
      </c>
      <c r="H379" s="5">
        <v>0</v>
      </c>
      <c r="I379" s="6">
        <v>0</v>
      </c>
      <c r="J379" s="7">
        <v>0</v>
      </c>
      <c r="K379" s="5">
        <v>0</v>
      </c>
      <c r="L379" s="5">
        <v>0</v>
      </c>
      <c r="M379" s="6">
        <v>0</v>
      </c>
      <c r="N379" s="4">
        <v>20000</v>
      </c>
      <c r="O379" s="5">
        <v>9</v>
      </c>
      <c r="P379" s="5">
        <v>11</v>
      </c>
      <c r="Q379" s="6">
        <v>20000</v>
      </c>
      <c r="R379" s="7">
        <v>0</v>
      </c>
      <c r="S379" s="5">
        <v>0</v>
      </c>
      <c r="T379" s="5">
        <v>0</v>
      </c>
      <c r="U379" s="6">
        <v>0</v>
      </c>
      <c r="V379" s="8"/>
    </row>
    <row r="380" spans="1:22" x14ac:dyDescent="0.2">
      <c r="A380" s="2" t="s">
        <v>34</v>
      </c>
      <c r="B380" s="2" t="s">
        <v>150</v>
      </c>
      <c r="C380" s="2">
        <v>1021272</v>
      </c>
      <c r="D380" s="2" t="s">
        <v>264</v>
      </c>
      <c r="E380" s="3" t="s">
        <v>175</v>
      </c>
      <c r="F380" s="4">
        <v>0</v>
      </c>
      <c r="G380" s="5">
        <v>0</v>
      </c>
      <c r="H380" s="5">
        <v>0</v>
      </c>
      <c r="I380" s="6">
        <v>0</v>
      </c>
      <c r="J380" s="7">
        <v>0</v>
      </c>
      <c r="K380" s="5">
        <v>0</v>
      </c>
      <c r="L380" s="5">
        <v>0</v>
      </c>
      <c r="M380" s="6">
        <v>0</v>
      </c>
      <c r="N380" s="4">
        <v>24002.552</v>
      </c>
      <c r="O380" s="5">
        <v>2</v>
      </c>
      <c r="P380" s="5">
        <v>10</v>
      </c>
      <c r="Q380" s="6">
        <v>24002.552</v>
      </c>
      <c r="R380" s="7">
        <v>0</v>
      </c>
      <c r="S380" s="5">
        <v>0</v>
      </c>
      <c r="T380" s="5">
        <v>0</v>
      </c>
      <c r="U380" s="6">
        <v>0</v>
      </c>
      <c r="V380" s="8"/>
    </row>
    <row r="381" spans="1:22" x14ac:dyDescent="0.2">
      <c r="A381" s="2" t="s">
        <v>34</v>
      </c>
      <c r="B381" s="2" t="s">
        <v>150</v>
      </c>
      <c r="C381" s="2">
        <v>1023218</v>
      </c>
      <c r="D381" s="2" t="s">
        <v>266</v>
      </c>
      <c r="E381" s="3" t="s">
        <v>259</v>
      </c>
      <c r="F381" s="4">
        <v>0</v>
      </c>
      <c r="G381" s="5">
        <v>0</v>
      </c>
      <c r="H381" s="5">
        <v>0</v>
      </c>
      <c r="I381" s="6">
        <v>0</v>
      </c>
      <c r="J381" s="7">
        <v>0</v>
      </c>
      <c r="K381" s="5">
        <v>0</v>
      </c>
      <c r="L381" s="5">
        <v>0</v>
      </c>
      <c r="M381" s="6">
        <v>0</v>
      </c>
      <c r="N381" s="4">
        <v>48000</v>
      </c>
      <c r="O381" s="5">
        <v>2</v>
      </c>
      <c r="P381" s="5">
        <v>7.5</v>
      </c>
      <c r="Q381" s="6">
        <v>48000</v>
      </c>
      <c r="R381" s="7">
        <v>0</v>
      </c>
      <c r="S381" s="5">
        <v>0</v>
      </c>
      <c r="T381" s="5">
        <v>0</v>
      </c>
      <c r="U381" s="6">
        <v>0</v>
      </c>
      <c r="V381" s="8"/>
    </row>
    <row r="382" spans="1:22" x14ac:dyDescent="0.2">
      <c r="A382" s="2" t="s">
        <v>34</v>
      </c>
      <c r="B382" s="2" t="s">
        <v>150</v>
      </c>
      <c r="C382" s="2">
        <v>1023219</v>
      </c>
      <c r="D382" s="2" t="s">
        <v>166</v>
      </c>
      <c r="E382" s="3" t="s">
        <v>167</v>
      </c>
      <c r="F382" s="4">
        <v>0</v>
      </c>
      <c r="G382" s="5">
        <v>0</v>
      </c>
      <c r="H382" s="5">
        <v>0</v>
      </c>
      <c r="I382" s="6">
        <v>0</v>
      </c>
      <c r="J382" s="7">
        <v>0</v>
      </c>
      <c r="K382" s="5">
        <v>0</v>
      </c>
      <c r="L382" s="5">
        <v>0</v>
      </c>
      <c r="M382" s="6">
        <v>0</v>
      </c>
      <c r="N382" s="4">
        <v>24002.992999999999</v>
      </c>
      <c r="O382" s="5">
        <v>2</v>
      </c>
      <c r="P382" s="5">
        <v>9</v>
      </c>
      <c r="Q382" s="6">
        <v>24002.992999999999</v>
      </c>
      <c r="R382" s="7">
        <v>0</v>
      </c>
      <c r="S382" s="5">
        <v>0</v>
      </c>
      <c r="T382" s="5">
        <v>0</v>
      </c>
      <c r="U382" s="6">
        <v>0</v>
      </c>
      <c r="V382" s="8"/>
    </row>
    <row r="383" spans="1:22" x14ac:dyDescent="0.2">
      <c r="A383" s="2" t="s">
        <v>34</v>
      </c>
      <c r="B383" s="2" t="s">
        <v>150</v>
      </c>
      <c r="C383" s="2">
        <v>1023302</v>
      </c>
      <c r="D383" s="2" t="s">
        <v>47</v>
      </c>
      <c r="E383" s="3" t="s">
        <v>48</v>
      </c>
      <c r="F383" s="4">
        <v>0</v>
      </c>
      <c r="G383" s="5">
        <v>0</v>
      </c>
      <c r="H383" s="5">
        <v>0</v>
      </c>
      <c r="I383" s="6">
        <v>0</v>
      </c>
      <c r="J383" s="7">
        <v>47960</v>
      </c>
      <c r="K383" s="5">
        <v>11.507089241034199</v>
      </c>
      <c r="L383" s="5">
        <v>11.507089241034199</v>
      </c>
      <c r="M383" s="6">
        <v>47960</v>
      </c>
      <c r="N383" s="4">
        <v>0</v>
      </c>
      <c r="O383" s="5">
        <v>0</v>
      </c>
      <c r="P383" s="5">
        <v>0</v>
      </c>
      <c r="Q383" s="6">
        <v>0</v>
      </c>
      <c r="R383" s="7">
        <v>0</v>
      </c>
      <c r="S383" s="5">
        <v>0</v>
      </c>
      <c r="T383" s="5">
        <v>0</v>
      </c>
      <c r="U383" s="6">
        <v>0</v>
      </c>
      <c r="V383" s="8"/>
    </row>
    <row r="384" spans="1:22" x14ac:dyDescent="0.2">
      <c r="A384" s="2" t="s">
        <v>34</v>
      </c>
      <c r="B384" s="2" t="s">
        <v>150</v>
      </c>
      <c r="C384" s="2">
        <v>1023324</v>
      </c>
      <c r="D384" s="2" t="s">
        <v>270</v>
      </c>
      <c r="E384" s="3" t="s">
        <v>96</v>
      </c>
      <c r="F384" s="4">
        <v>0</v>
      </c>
      <c r="G384" s="5">
        <v>0</v>
      </c>
      <c r="H384" s="5">
        <v>0</v>
      </c>
      <c r="I384" s="6">
        <v>0</v>
      </c>
      <c r="J384" s="7">
        <v>23995.24</v>
      </c>
      <c r="K384" s="5">
        <v>5</v>
      </c>
      <c r="L384" s="5">
        <v>5</v>
      </c>
      <c r="M384" s="6">
        <v>23995.24</v>
      </c>
      <c r="N384" s="4">
        <v>0</v>
      </c>
      <c r="O384" s="5">
        <v>0</v>
      </c>
      <c r="P384" s="5">
        <v>0</v>
      </c>
      <c r="Q384" s="6">
        <v>0</v>
      </c>
      <c r="R384" s="7">
        <v>0</v>
      </c>
      <c r="S384" s="5">
        <v>0</v>
      </c>
      <c r="T384" s="5">
        <v>0</v>
      </c>
      <c r="U384" s="6">
        <v>0</v>
      </c>
      <c r="V384" s="8"/>
    </row>
    <row r="385" spans="1:22" x14ac:dyDescent="0.2">
      <c r="A385" s="2" t="s">
        <v>34</v>
      </c>
      <c r="B385" s="2" t="s">
        <v>150</v>
      </c>
      <c r="C385" s="2">
        <v>1023421</v>
      </c>
      <c r="D385" s="2" t="s">
        <v>272</v>
      </c>
      <c r="E385" s="3" t="s">
        <v>191</v>
      </c>
      <c r="F385" s="4">
        <v>0</v>
      </c>
      <c r="G385" s="5">
        <v>0</v>
      </c>
      <c r="H385" s="5">
        <v>0</v>
      </c>
      <c r="I385" s="6">
        <v>0</v>
      </c>
      <c r="J385" s="7">
        <v>0</v>
      </c>
      <c r="K385" s="5">
        <v>0</v>
      </c>
      <c r="L385" s="5">
        <v>0</v>
      </c>
      <c r="M385" s="6">
        <v>0</v>
      </c>
      <c r="N385" s="4">
        <v>41049.987000000001</v>
      </c>
      <c r="O385" s="5">
        <v>18.274753412224001</v>
      </c>
      <c r="P385" s="5">
        <v>23.447278071001602</v>
      </c>
      <c r="Q385" s="6">
        <v>41049.987000000001</v>
      </c>
      <c r="R385" s="7">
        <v>0</v>
      </c>
      <c r="S385" s="5">
        <v>0</v>
      </c>
      <c r="T385" s="5">
        <v>0</v>
      </c>
      <c r="U385" s="6">
        <v>0</v>
      </c>
      <c r="V385" s="8"/>
    </row>
    <row r="386" spans="1:22" x14ac:dyDescent="0.2">
      <c r="A386" s="2" t="s">
        <v>34</v>
      </c>
      <c r="B386" s="2" t="s">
        <v>46</v>
      </c>
      <c r="C386" s="2">
        <v>1021731</v>
      </c>
      <c r="D386" s="2" t="s">
        <v>274</v>
      </c>
      <c r="E386" s="3" t="s">
        <v>167</v>
      </c>
      <c r="F386" s="4">
        <v>0</v>
      </c>
      <c r="G386" s="5">
        <v>0</v>
      </c>
      <c r="H386" s="5">
        <v>0</v>
      </c>
      <c r="I386" s="6">
        <v>0</v>
      </c>
      <c r="J386" s="7">
        <v>23820</v>
      </c>
      <c r="K386" s="5">
        <v>2</v>
      </c>
      <c r="L386" s="5">
        <v>2</v>
      </c>
      <c r="M386" s="6">
        <v>23820</v>
      </c>
      <c r="N386" s="4">
        <v>24280</v>
      </c>
      <c r="O386" s="5">
        <v>4</v>
      </c>
      <c r="P386" s="5">
        <v>6</v>
      </c>
      <c r="Q386" s="6">
        <v>24280</v>
      </c>
      <c r="R386" s="7">
        <v>24500</v>
      </c>
      <c r="S386" s="5">
        <v>2</v>
      </c>
      <c r="T386" s="5">
        <v>4</v>
      </c>
      <c r="U386" s="6">
        <v>24500</v>
      </c>
      <c r="V386" s="8"/>
    </row>
    <row r="387" spans="1:22" x14ac:dyDescent="0.2">
      <c r="A387" s="2" t="s">
        <v>34</v>
      </c>
      <c r="B387" s="2" t="s">
        <v>46</v>
      </c>
      <c r="C387" s="2">
        <v>1021732</v>
      </c>
      <c r="D387" s="2" t="s">
        <v>276</v>
      </c>
      <c r="E387" s="3" t="s">
        <v>172</v>
      </c>
      <c r="F387" s="4">
        <v>0</v>
      </c>
      <c r="G387" s="5">
        <v>0</v>
      </c>
      <c r="H387" s="5">
        <v>0</v>
      </c>
      <c r="I387" s="6">
        <v>0</v>
      </c>
      <c r="J387" s="7">
        <v>96160</v>
      </c>
      <c r="K387" s="5">
        <v>2.7504159733777001</v>
      </c>
      <c r="L387" s="5">
        <v>3.4991680532445901</v>
      </c>
      <c r="M387" s="6">
        <v>96160</v>
      </c>
      <c r="N387" s="4">
        <v>73000</v>
      </c>
      <c r="O387" s="5">
        <v>12.5205479452055</v>
      </c>
      <c r="P387" s="5">
        <v>13.8767123287671</v>
      </c>
      <c r="Q387" s="6">
        <v>73000</v>
      </c>
      <c r="R387" s="7">
        <v>24160</v>
      </c>
      <c r="S387" s="5">
        <v>2</v>
      </c>
      <c r="T387" s="5">
        <v>4</v>
      </c>
      <c r="U387" s="6">
        <v>24160</v>
      </c>
      <c r="V387" s="8"/>
    </row>
    <row r="388" spans="1:22" x14ac:dyDescent="0.2">
      <c r="A388" s="2" t="s">
        <v>34</v>
      </c>
      <c r="B388" s="2" t="s">
        <v>46</v>
      </c>
      <c r="C388" s="2">
        <v>1021733</v>
      </c>
      <c r="D388" s="2" t="s">
        <v>270</v>
      </c>
      <c r="E388" s="3" t="s">
        <v>96</v>
      </c>
      <c r="F388" s="4">
        <v>0</v>
      </c>
      <c r="G388" s="5">
        <v>0</v>
      </c>
      <c r="H388" s="5">
        <v>0</v>
      </c>
      <c r="I388" s="6">
        <v>0</v>
      </c>
      <c r="J388" s="7">
        <v>24379.45</v>
      </c>
      <c r="K388" s="5">
        <v>3</v>
      </c>
      <c r="L388" s="5">
        <v>3</v>
      </c>
      <c r="M388" s="6">
        <v>24379.45</v>
      </c>
      <c r="N388" s="4">
        <v>14535.026</v>
      </c>
      <c r="O388" s="5">
        <v>3</v>
      </c>
      <c r="P388" s="5">
        <v>44</v>
      </c>
      <c r="Q388" s="6">
        <v>14535.026</v>
      </c>
      <c r="R388" s="7">
        <v>0</v>
      </c>
      <c r="S388" s="5">
        <v>0</v>
      </c>
      <c r="T388" s="5">
        <v>0</v>
      </c>
      <c r="U388" s="6">
        <v>0</v>
      </c>
      <c r="V388" s="8"/>
    </row>
    <row r="389" spans="1:22" x14ac:dyDescent="0.2">
      <c r="A389" s="2" t="s">
        <v>34</v>
      </c>
      <c r="B389" s="2" t="s">
        <v>46</v>
      </c>
      <c r="C389" s="2">
        <v>1021735</v>
      </c>
      <c r="D389" s="2" t="s">
        <v>279</v>
      </c>
      <c r="E389" s="3" t="s">
        <v>259</v>
      </c>
      <c r="F389" s="4">
        <v>0</v>
      </c>
      <c r="G389" s="5">
        <v>0</v>
      </c>
      <c r="H389" s="5">
        <v>0</v>
      </c>
      <c r="I389" s="6">
        <v>0</v>
      </c>
      <c r="J389" s="7">
        <v>0</v>
      </c>
      <c r="K389" s="5">
        <v>0</v>
      </c>
      <c r="L389" s="5">
        <v>0</v>
      </c>
      <c r="M389" s="6">
        <v>0</v>
      </c>
      <c r="N389" s="4">
        <v>47580</v>
      </c>
      <c r="O389" s="5">
        <v>10.4968474148802</v>
      </c>
      <c r="P389" s="5">
        <v>12</v>
      </c>
      <c r="Q389" s="6">
        <v>47580</v>
      </c>
      <c r="R389" s="7">
        <v>0</v>
      </c>
      <c r="S389" s="5">
        <v>0</v>
      </c>
      <c r="T389" s="5">
        <v>0</v>
      </c>
      <c r="U389" s="6">
        <v>0</v>
      </c>
      <c r="V389" s="8"/>
    </row>
    <row r="390" spans="1:22" x14ac:dyDescent="0.2">
      <c r="A390" s="2" t="s">
        <v>34</v>
      </c>
      <c r="B390" s="2" t="s">
        <v>46</v>
      </c>
      <c r="C390" s="2">
        <v>1021737</v>
      </c>
      <c r="D390" s="2" t="s">
        <v>281</v>
      </c>
      <c r="E390" s="3" t="s">
        <v>259</v>
      </c>
      <c r="F390" s="4">
        <v>0</v>
      </c>
      <c r="G390" s="5">
        <v>0</v>
      </c>
      <c r="H390" s="5">
        <v>0</v>
      </c>
      <c r="I390" s="6">
        <v>0</v>
      </c>
      <c r="J390" s="7">
        <v>23962.57</v>
      </c>
      <c r="K390" s="5">
        <v>3</v>
      </c>
      <c r="L390" s="5">
        <v>3</v>
      </c>
      <c r="M390" s="6">
        <v>23962.57</v>
      </c>
      <c r="N390" s="4">
        <v>0</v>
      </c>
      <c r="O390" s="5">
        <v>0</v>
      </c>
      <c r="P390" s="5">
        <v>0</v>
      </c>
      <c r="Q390" s="6">
        <v>0</v>
      </c>
      <c r="R390" s="7">
        <v>0</v>
      </c>
      <c r="S390" s="5">
        <v>0</v>
      </c>
      <c r="T390" s="5">
        <v>0</v>
      </c>
      <c r="U390" s="6">
        <v>0</v>
      </c>
      <c r="V390" s="8"/>
    </row>
    <row r="391" spans="1:22" x14ac:dyDescent="0.2">
      <c r="A391" s="2" t="s">
        <v>34</v>
      </c>
      <c r="B391" s="2" t="s">
        <v>46</v>
      </c>
      <c r="C391" s="2">
        <v>1021738</v>
      </c>
      <c r="D391" s="2" t="s">
        <v>283</v>
      </c>
      <c r="E391" s="3" t="s">
        <v>259</v>
      </c>
      <c r="F391" s="4">
        <v>0</v>
      </c>
      <c r="G391" s="5">
        <v>0</v>
      </c>
      <c r="H391" s="5">
        <v>0</v>
      </c>
      <c r="I391" s="6">
        <v>0</v>
      </c>
      <c r="J391" s="7">
        <v>0</v>
      </c>
      <c r="K391" s="5">
        <v>0</v>
      </c>
      <c r="L391" s="5">
        <v>0</v>
      </c>
      <c r="M391" s="6">
        <v>0</v>
      </c>
      <c r="N391" s="4">
        <v>23620</v>
      </c>
      <c r="O391" s="5">
        <v>10</v>
      </c>
      <c r="P391" s="5">
        <v>12</v>
      </c>
      <c r="Q391" s="6">
        <v>23620</v>
      </c>
      <c r="R391" s="7">
        <v>24000</v>
      </c>
      <c r="S391" s="5">
        <v>6</v>
      </c>
      <c r="T391" s="5">
        <v>32</v>
      </c>
      <c r="U391" s="6">
        <v>24000</v>
      </c>
      <c r="V391" s="8"/>
    </row>
    <row r="392" spans="1:22" x14ac:dyDescent="0.2">
      <c r="A392" s="2" t="s">
        <v>34</v>
      </c>
      <c r="B392" s="2" t="s">
        <v>46</v>
      </c>
      <c r="C392" s="2">
        <v>1021740</v>
      </c>
      <c r="D392" s="2" t="s">
        <v>285</v>
      </c>
      <c r="E392" s="3" t="s">
        <v>259</v>
      </c>
      <c r="F392" s="4">
        <v>0</v>
      </c>
      <c r="G392" s="5">
        <v>0</v>
      </c>
      <c r="H392" s="5">
        <v>0</v>
      </c>
      <c r="I392" s="6">
        <v>0</v>
      </c>
      <c r="J392" s="7">
        <v>48012.57</v>
      </c>
      <c r="K392" s="5">
        <v>3</v>
      </c>
      <c r="L392" s="5">
        <v>3</v>
      </c>
      <c r="M392" s="6">
        <v>48012.57</v>
      </c>
      <c r="N392" s="4">
        <v>0</v>
      </c>
      <c r="O392" s="5">
        <v>0</v>
      </c>
      <c r="P392" s="5">
        <v>0</v>
      </c>
      <c r="Q392" s="6">
        <v>0</v>
      </c>
      <c r="R392" s="7">
        <v>0</v>
      </c>
      <c r="S392" s="5">
        <v>0</v>
      </c>
      <c r="T392" s="5">
        <v>0</v>
      </c>
      <c r="U392" s="6">
        <v>0</v>
      </c>
      <c r="V392" s="8"/>
    </row>
    <row r="393" spans="1:22" x14ac:dyDescent="0.2">
      <c r="A393" s="2" t="s">
        <v>34</v>
      </c>
      <c r="B393" s="2" t="s">
        <v>46</v>
      </c>
      <c r="C393" s="2">
        <v>1021766</v>
      </c>
      <c r="D393" s="2" t="s">
        <v>287</v>
      </c>
      <c r="E393" s="3" t="s">
        <v>172</v>
      </c>
      <c r="F393" s="4">
        <v>0</v>
      </c>
      <c r="G393" s="5">
        <v>0</v>
      </c>
      <c r="H393" s="5">
        <v>0</v>
      </c>
      <c r="I393" s="6">
        <v>0</v>
      </c>
      <c r="J393" s="7">
        <v>72180</v>
      </c>
      <c r="K393" s="5">
        <v>3</v>
      </c>
      <c r="L393" s="5">
        <v>3</v>
      </c>
      <c r="M393" s="6">
        <v>72180</v>
      </c>
      <c r="N393" s="4">
        <v>0</v>
      </c>
      <c r="O393" s="5">
        <v>0</v>
      </c>
      <c r="P393" s="5">
        <v>0</v>
      </c>
      <c r="Q393" s="6">
        <v>0</v>
      </c>
      <c r="R393" s="7">
        <v>0</v>
      </c>
      <c r="S393" s="5">
        <v>0</v>
      </c>
      <c r="T393" s="5">
        <v>0</v>
      </c>
      <c r="U393" s="6">
        <v>0</v>
      </c>
      <c r="V393" s="8"/>
    </row>
    <row r="394" spans="1:22" x14ac:dyDescent="0.2">
      <c r="A394" s="2" t="s">
        <v>34</v>
      </c>
      <c r="B394" s="2" t="s">
        <v>46</v>
      </c>
      <c r="C394" s="2">
        <v>1021767</v>
      </c>
      <c r="D394" s="2" t="s">
        <v>289</v>
      </c>
      <c r="E394" s="3" t="s">
        <v>172</v>
      </c>
      <c r="F394" s="4">
        <v>0</v>
      </c>
      <c r="G394" s="5">
        <v>0</v>
      </c>
      <c r="H394" s="5">
        <v>0</v>
      </c>
      <c r="I394" s="6">
        <v>0</v>
      </c>
      <c r="J394" s="7">
        <v>99018</v>
      </c>
      <c r="K394" s="5">
        <v>3</v>
      </c>
      <c r="L394" s="5">
        <v>3</v>
      </c>
      <c r="M394" s="6">
        <v>99018</v>
      </c>
      <c r="N394" s="4">
        <v>32418</v>
      </c>
      <c r="O394" s="5">
        <v>6.1488062187673496</v>
      </c>
      <c r="P394" s="5">
        <v>7.6302054414214302</v>
      </c>
      <c r="Q394" s="6">
        <v>32418</v>
      </c>
      <c r="R394" s="7">
        <v>0</v>
      </c>
      <c r="S394" s="5">
        <v>0</v>
      </c>
      <c r="T394" s="5">
        <v>0</v>
      </c>
      <c r="U394" s="6">
        <v>0</v>
      </c>
      <c r="V394" s="8"/>
    </row>
    <row r="395" spans="1:22" x14ac:dyDescent="0.2">
      <c r="A395" s="2" t="s">
        <v>34</v>
      </c>
      <c r="B395" s="2" t="s">
        <v>46</v>
      </c>
      <c r="C395" s="2">
        <v>1021992</v>
      </c>
      <c r="D395" s="2" t="s">
        <v>291</v>
      </c>
      <c r="E395" s="3" t="s">
        <v>48</v>
      </c>
      <c r="F395" s="4">
        <v>0</v>
      </c>
      <c r="G395" s="5">
        <v>0</v>
      </c>
      <c r="H395" s="5">
        <v>0</v>
      </c>
      <c r="I395" s="6">
        <v>0</v>
      </c>
      <c r="J395" s="7">
        <v>0</v>
      </c>
      <c r="K395" s="5">
        <v>0</v>
      </c>
      <c r="L395" s="5">
        <v>0</v>
      </c>
      <c r="M395" s="6">
        <v>0</v>
      </c>
      <c r="N395" s="4">
        <v>24260</v>
      </c>
      <c r="O395" s="5">
        <v>5</v>
      </c>
      <c r="P395" s="5">
        <v>7</v>
      </c>
      <c r="Q395" s="6">
        <v>24260</v>
      </c>
      <c r="R395" s="7">
        <v>0</v>
      </c>
      <c r="S395" s="5">
        <v>0</v>
      </c>
      <c r="T395" s="5">
        <v>0</v>
      </c>
      <c r="U395" s="6">
        <v>0</v>
      </c>
      <c r="V395" s="8"/>
    </row>
    <row r="396" spans="1:22" x14ac:dyDescent="0.2">
      <c r="A396" s="2" t="s">
        <v>34</v>
      </c>
      <c r="B396" s="2" t="s">
        <v>46</v>
      </c>
      <c r="C396" s="2">
        <v>1022080</v>
      </c>
      <c r="D396" s="2" t="s">
        <v>293</v>
      </c>
      <c r="E396" s="3" t="s">
        <v>259</v>
      </c>
      <c r="F396" s="4">
        <v>0</v>
      </c>
      <c r="G396" s="5">
        <v>0</v>
      </c>
      <c r="H396" s="5">
        <v>0</v>
      </c>
      <c r="I396" s="6">
        <v>0</v>
      </c>
      <c r="J396" s="7">
        <v>24010</v>
      </c>
      <c r="K396" s="5">
        <v>3</v>
      </c>
      <c r="L396" s="5">
        <v>3</v>
      </c>
      <c r="M396" s="6">
        <v>24010</v>
      </c>
      <c r="N396" s="4">
        <v>0</v>
      </c>
      <c r="O396" s="5">
        <v>0</v>
      </c>
      <c r="P396" s="5">
        <v>0</v>
      </c>
      <c r="Q396" s="6">
        <v>0</v>
      </c>
      <c r="R396" s="7">
        <v>0</v>
      </c>
      <c r="S396" s="5">
        <v>0</v>
      </c>
      <c r="T396" s="5">
        <v>0</v>
      </c>
      <c r="U396" s="6">
        <v>0</v>
      </c>
      <c r="V396" s="8"/>
    </row>
    <row r="397" spans="1:22" x14ac:dyDescent="0.2">
      <c r="A397" s="2" t="s">
        <v>34</v>
      </c>
      <c r="B397" s="2" t="s">
        <v>46</v>
      </c>
      <c r="C397" s="2">
        <v>1022099</v>
      </c>
      <c r="D397" s="2" t="s">
        <v>295</v>
      </c>
      <c r="E397" s="3" t="s">
        <v>172</v>
      </c>
      <c r="F397" s="4">
        <v>0</v>
      </c>
      <c r="G397" s="5">
        <v>0</v>
      </c>
      <c r="H397" s="5">
        <v>0</v>
      </c>
      <c r="I397" s="6">
        <v>0</v>
      </c>
      <c r="J397" s="7">
        <v>12150</v>
      </c>
      <c r="K397" s="5">
        <v>6</v>
      </c>
      <c r="L397" s="5">
        <v>6</v>
      </c>
      <c r="M397" s="6">
        <v>12150</v>
      </c>
      <c r="N397" s="4">
        <v>0</v>
      </c>
      <c r="O397" s="5">
        <v>0</v>
      </c>
      <c r="P397" s="5">
        <v>0</v>
      </c>
      <c r="Q397" s="6">
        <v>0</v>
      </c>
      <c r="R397" s="7">
        <v>0</v>
      </c>
      <c r="S397" s="5">
        <v>0</v>
      </c>
      <c r="T397" s="5">
        <v>0</v>
      </c>
      <c r="U397" s="6">
        <v>0</v>
      </c>
      <c r="V397" s="8"/>
    </row>
    <row r="398" spans="1:22" x14ac:dyDescent="0.2">
      <c r="A398" s="2" t="s">
        <v>34</v>
      </c>
      <c r="B398" s="2" t="s">
        <v>46</v>
      </c>
      <c r="C398" s="2">
        <v>1022125</v>
      </c>
      <c r="D398" s="2" t="s">
        <v>297</v>
      </c>
      <c r="E398" s="3" t="s">
        <v>167</v>
      </c>
      <c r="F398" s="4">
        <v>0</v>
      </c>
      <c r="G398" s="5">
        <v>0</v>
      </c>
      <c r="H398" s="5">
        <v>0</v>
      </c>
      <c r="I398" s="6">
        <v>0</v>
      </c>
      <c r="J398" s="7">
        <v>0</v>
      </c>
      <c r="K398" s="5">
        <v>0</v>
      </c>
      <c r="L398" s="5">
        <v>0</v>
      </c>
      <c r="M398" s="6">
        <v>0</v>
      </c>
      <c r="N398" s="4">
        <v>24206.43</v>
      </c>
      <c r="O398" s="5">
        <v>11</v>
      </c>
      <c r="P398" s="5">
        <v>12</v>
      </c>
      <c r="Q398" s="6">
        <v>24206.43</v>
      </c>
      <c r="R398" s="7">
        <v>0</v>
      </c>
      <c r="S398" s="5">
        <v>0</v>
      </c>
      <c r="T398" s="5">
        <v>0</v>
      </c>
      <c r="U398" s="6">
        <v>0</v>
      </c>
      <c r="V398" s="8"/>
    </row>
    <row r="399" spans="1:22" x14ac:dyDescent="0.2">
      <c r="A399" s="2" t="s">
        <v>34</v>
      </c>
      <c r="B399" s="2" t="s">
        <v>46</v>
      </c>
      <c r="C399" s="2">
        <v>1022169</v>
      </c>
      <c r="D399" s="2" t="s">
        <v>299</v>
      </c>
      <c r="E399" s="3" t="s">
        <v>181</v>
      </c>
      <c r="F399" s="4">
        <v>0</v>
      </c>
      <c r="G399" s="5">
        <v>0</v>
      </c>
      <c r="H399" s="5">
        <v>0</v>
      </c>
      <c r="I399" s="6">
        <v>0</v>
      </c>
      <c r="J399" s="7">
        <v>0</v>
      </c>
      <c r="K399" s="5">
        <v>0</v>
      </c>
      <c r="L399" s="5">
        <v>0</v>
      </c>
      <c r="M399" s="6">
        <v>0</v>
      </c>
      <c r="N399" s="4">
        <v>48810</v>
      </c>
      <c r="O399" s="5">
        <v>4</v>
      </c>
      <c r="P399" s="5">
        <v>6</v>
      </c>
      <c r="Q399" s="6">
        <v>48810</v>
      </c>
      <c r="R399" s="7">
        <v>0</v>
      </c>
      <c r="S399" s="5">
        <v>0</v>
      </c>
      <c r="T399" s="5">
        <v>0</v>
      </c>
      <c r="U399" s="6">
        <v>0</v>
      </c>
      <c r="V399" s="8"/>
    </row>
    <row r="400" spans="1:22" x14ac:dyDescent="0.2">
      <c r="A400" s="2" t="s">
        <v>34</v>
      </c>
      <c r="B400" s="2" t="s">
        <v>46</v>
      </c>
      <c r="C400" s="2">
        <v>1022183</v>
      </c>
      <c r="D400" s="2" t="s">
        <v>166</v>
      </c>
      <c r="E400" s="3" t="s">
        <v>167</v>
      </c>
      <c r="F400" s="4">
        <v>0</v>
      </c>
      <c r="G400" s="5">
        <v>0</v>
      </c>
      <c r="H400" s="5">
        <v>0</v>
      </c>
      <c r="I400" s="6">
        <v>0</v>
      </c>
      <c r="J400" s="7">
        <v>0</v>
      </c>
      <c r="K400" s="5">
        <v>0</v>
      </c>
      <c r="L400" s="5">
        <v>0</v>
      </c>
      <c r="M400" s="6">
        <v>0</v>
      </c>
      <c r="N400" s="4">
        <v>19274.683000000001</v>
      </c>
      <c r="O400" s="5">
        <v>48</v>
      </c>
      <c r="P400" s="5">
        <v>51</v>
      </c>
      <c r="Q400" s="6">
        <v>19274.683000000001</v>
      </c>
      <c r="R400" s="7">
        <v>25000.143</v>
      </c>
      <c r="S400" s="5">
        <v>13</v>
      </c>
      <c r="T400" s="5">
        <v>27</v>
      </c>
      <c r="U400" s="6">
        <v>25000.143</v>
      </c>
      <c r="V400" s="8"/>
    </row>
    <row r="401" spans="1:22" x14ac:dyDescent="0.2">
      <c r="A401" s="2" t="s">
        <v>34</v>
      </c>
      <c r="B401" s="2" t="s">
        <v>46</v>
      </c>
      <c r="C401" s="2">
        <v>1022193</v>
      </c>
      <c r="D401" s="2" t="s">
        <v>169</v>
      </c>
      <c r="E401" s="3" t="s">
        <v>43</v>
      </c>
      <c r="F401" s="4">
        <v>0</v>
      </c>
      <c r="G401" s="5">
        <v>0</v>
      </c>
      <c r="H401" s="5">
        <v>0</v>
      </c>
      <c r="I401" s="6">
        <v>0</v>
      </c>
      <c r="J401" s="7">
        <v>0</v>
      </c>
      <c r="K401" s="5">
        <v>0</v>
      </c>
      <c r="L401" s="5">
        <v>0</v>
      </c>
      <c r="M401" s="6">
        <v>0</v>
      </c>
      <c r="N401" s="4">
        <v>10621.755999999999</v>
      </c>
      <c r="O401" s="5">
        <v>34</v>
      </c>
      <c r="P401" s="5">
        <v>44</v>
      </c>
      <c r="Q401" s="6">
        <v>10621.755999999999</v>
      </c>
      <c r="R401" s="7">
        <v>0</v>
      </c>
      <c r="S401" s="5">
        <v>0</v>
      </c>
      <c r="T401" s="5">
        <v>0</v>
      </c>
      <c r="U401" s="6">
        <v>0</v>
      </c>
      <c r="V401" s="8"/>
    </row>
    <row r="402" spans="1:22" x14ac:dyDescent="0.2">
      <c r="A402" s="2" t="s">
        <v>34</v>
      </c>
      <c r="B402" s="2" t="s">
        <v>46</v>
      </c>
      <c r="C402" s="2">
        <v>1022212</v>
      </c>
      <c r="D402" s="2" t="s">
        <v>301</v>
      </c>
      <c r="E402" s="3" t="s">
        <v>196</v>
      </c>
      <c r="F402" s="4">
        <v>0</v>
      </c>
      <c r="G402" s="5">
        <v>0</v>
      </c>
      <c r="H402" s="5">
        <v>0</v>
      </c>
      <c r="I402" s="6">
        <v>0</v>
      </c>
      <c r="J402" s="7">
        <v>168014.82</v>
      </c>
      <c r="K402" s="5">
        <v>3.4277288753456401</v>
      </c>
      <c r="L402" s="5">
        <v>3.4277288753456401</v>
      </c>
      <c r="M402" s="6">
        <v>168014.82</v>
      </c>
      <c r="N402" s="4">
        <v>48357.642999999996</v>
      </c>
      <c r="O402" s="5">
        <v>2.4968077124850798</v>
      </c>
      <c r="P402" s="5">
        <v>6.9744616998806199</v>
      </c>
      <c r="Q402" s="6">
        <v>48357.642999999996</v>
      </c>
      <c r="R402" s="7">
        <v>0</v>
      </c>
      <c r="S402" s="5">
        <v>0</v>
      </c>
      <c r="T402" s="5">
        <v>0</v>
      </c>
      <c r="U402" s="6">
        <v>0</v>
      </c>
      <c r="V402" s="8"/>
    </row>
    <row r="403" spans="1:22" x14ac:dyDescent="0.2">
      <c r="A403" s="2" t="s">
        <v>34</v>
      </c>
      <c r="B403" s="2" t="s">
        <v>46</v>
      </c>
      <c r="C403" s="2">
        <v>1022373</v>
      </c>
      <c r="D403" s="2" t="s">
        <v>303</v>
      </c>
      <c r="E403" s="3" t="s">
        <v>181</v>
      </c>
      <c r="F403" s="4">
        <v>0</v>
      </c>
      <c r="G403" s="5">
        <v>0</v>
      </c>
      <c r="H403" s="5">
        <v>0</v>
      </c>
      <c r="I403" s="6">
        <v>0</v>
      </c>
      <c r="J403" s="7">
        <v>0</v>
      </c>
      <c r="K403" s="5">
        <v>0</v>
      </c>
      <c r="L403" s="5">
        <v>0</v>
      </c>
      <c r="M403" s="6">
        <v>0</v>
      </c>
      <c r="N403" s="4">
        <v>23297.434000000001</v>
      </c>
      <c r="O403" s="5">
        <v>11.587831604115699</v>
      </c>
      <c r="P403" s="5">
        <v>29.114425219532801</v>
      </c>
      <c r="Q403" s="6">
        <v>23297.434000000001</v>
      </c>
      <c r="R403" s="7">
        <v>0</v>
      </c>
      <c r="S403" s="5">
        <v>0</v>
      </c>
      <c r="T403" s="5">
        <v>0</v>
      </c>
      <c r="U403" s="6">
        <v>0</v>
      </c>
      <c r="V403" s="8"/>
    </row>
    <row r="404" spans="1:22" x14ac:dyDescent="0.2">
      <c r="A404" s="2" t="s">
        <v>34</v>
      </c>
      <c r="B404" s="2" t="s">
        <v>46</v>
      </c>
      <c r="C404" s="2">
        <v>1022378</v>
      </c>
      <c r="D404" s="2" t="s">
        <v>305</v>
      </c>
      <c r="E404" s="3" t="s">
        <v>172</v>
      </c>
      <c r="F404" s="4">
        <v>0</v>
      </c>
      <c r="G404" s="5">
        <v>0</v>
      </c>
      <c r="H404" s="5">
        <v>0</v>
      </c>
      <c r="I404" s="6">
        <v>0</v>
      </c>
      <c r="J404" s="7">
        <v>0</v>
      </c>
      <c r="K404" s="5">
        <v>0</v>
      </c>
      <c r="L404" s="5">
        <v>0</v>
      </c>
      <c r="M404" s="6">
        <v>0</v>
      </c>
      <c r="N404" s="4">
        <v>0</v>
      </c>
      <c r="O404" s="5">
        <v>0</v>
      </c>
      <c r="P404" s="5">
        <v>0</v>
      </c>
      <c r="Q404" s="6">
        <v>0</v>
      </c>
      <c r="R404" s="7">
        <v>23980</v>
      </c>
      <c r="S404" s="5">
        <v>10</v>
      </c>
      <c r="T404" s="5">
        <v>11</v>
      </c>
      <c r="U404" s="6">
        <v>23980</v>
      </c>
      <c r="V404" s="8"/>
    </row>
    <row r="405" spans="1:22" x14ac:dyDescent="0.2">
      <c r="A405" s="2" t="s">
        <v>34</v>
      </c>
      <c r="B405" s="2" t="s">
        <v>46</v>
      </c>
      <c r="C405" s="2">
        <v>1022379</v>
      </c>
      <c r="D405" s="2" t="s">
        <v>307</v>
      </c>
      <c r="E405" s="3" t="s">
        <v>39</v>
      </c>
      <c r="F405" s="4">
        <v>0</v>
      </c>
      <c r="G405" s="5">
        <v>0</v>
      </c>
      <c r="H405" s="5">
        <v>0</v>
      </c>
      <c r="I405" s="6">
        <v>0</v>
      </c>
      <c r="J405" s="7">
        <v>24041.62</v>
      </c>
      <c r="K405" s="5">
        <v>3</v>
      </c>
      <c r="L405" s="5">
        <v>3</v>
      </c>
      <c r="M405" s="6">
        <v>24041.62</v>
      </c>
      <c r="N405" s="4">
        <v>0</v>
      </c>
      <c r="O405" s="5">
        <v>0</v>
      </c>
      <c r="P405" s="5">
        <v>0</v>
      </c>
      <c r="Q405" s="6">
        <v>0</v>
      </c>
      <c r="R405" s="7">
        <v>7894.067</v>
      </c>
      <c r="S405" s="5">
        <v>12</v>
      </c>
      <c r="T405" s="5">
        <v>12</v>
      </c>
      <c r="U405" s="6">
        <v>7894.067</v>
      </c>
      <c r="V405" s="8"/>
    </row>
    <row r="406" spans="1:22" x14ac:dyDescent="0.2">
      <c r="A406" s="2" t="s">
        <v>34</v>
      </c>
      <c r="B406" s="2" t="s">
        <v>46</v>
      </c>
      <c r="C406" s="2">
        <v>1022388</v>
      </c>
      <c r="D406" s="2" t="s">
        <v>171</v>
      </c>
      <c r="E406" s="3" t="s">
        <v>172</v>
      </c>
      <c r="F406" s="4">
        <v>0</v>
      </c>
      <c r="G406" s="5">
        <v>0</v>
      </c>
      <c r="H406" s="5">
        <v>0</v>
      </c>
      <c r="I406" s="6">
        <v>0</v>
      </c>
      <c r="J406" s="7">
        <v>0</v>
      </c>
      <c r="K406" s="5">
        <v>0</v>
      </c>
      <c r="L406" s="5">
        <v>0</v>
      </c>
      <c r="M406" s="6">
        <v>0</v>
      </c>
      <c r="N406" s="4">
        <v>5140</v>
      </c>
      <c r="O406" s="5">
        <v>48</v>
      </c>
      <c r="P406" s="5">
        <v>51</v>
      </c>
      <c r="Q406" s="6">
        <v>5140</v>
      </c>
      <c r="R406" s="7">
        <v>0</v>
      </c>
      <c r="S406" s="5">
        <v>0</v>
      </c>
      <c r="T406" s="5">
        <v>0</v>
      </c>
      <c r="U406" s="6">
        <v>0</v>
      </c>
      <c r="V406" s="8"/>
    </row>
    <row r="407" spans="1:22" x14ac:dyDescent="0.2">
      <c r="A407" s="2" t="s">
        <v>34</v>
      </c>
      <c r="B407" s="2" t="s">
        <v>46</v>
      </c>
      <c r="C407" s="2">
        <v>1022414</v>
      </c>
      <c r="D407" s="2" t="s">
        <v>309</v>
      </c>
      <c r="E407" s="3" t="s">
        <v>76</v>
      </c>
      <c r="F407" s="4">
        <v>0</v>
      </c>
      <c r="G407" s="5">
        <v>0</v>
      </c>
      <c r="H407" s="5">
        <v>0</v>
      </c>
      <c r="I407" s="6">
        <v>0</v>
      </c>
      <c r="J407" s="7">
        <v>0</v>
      </c>
      <c r="K407" s="5">
        <v>0</v>
      </c>
      <c r="L407" s="5">
        <v>0</v>
      </c>
      <c r="M407" s="6">
        <v>0</v>
      </c>
      <c r="N407" s="4">
        <v>24000</v>
      </c>
      <c r="O407" s="5">
        <v>4</v>
      </c>
      <c r="P407" s="5">
        <v>6</v>
      </c>
      <c r="Q407" s="6">
        <v>24000</v>
      </c>
      <c r="R407" s="7">
        <v>0</v>
      </c>
      <c r="S407" s="5">
        <v>0</v>
      </c>
      <c r="T407" s="5">
        <v>0</v>
      </c>
      <c r="U407" s="6">
        <v>0</v>
      </c>
      <c r="V407" s="8"/>
    </row>
    <row r="408" spans="1:22" x14ac:dyDescent="0.2">
      <c r="A408" s="2" t="s">
        <v>34</v>
      </c>
      <c r="B408" s="2" t="s">
        <v>46</v>
      </c>
      <c r="C408" s="2">
        <v>1022417</v>
      </c>
      <c r="D408" s="2" t="s">
        <v>174</v>
      </c>
      <c r="E408" s="3" t="s">
        <v>175</v>
      </c>
      <c r="F408" s="4">
        <v>0</v>
      </c>
      <c r="G408" s="5">
        <v>0</v>
      </c>
      <c r="H408" s="5">
        <v>0</v>
      </c>
      <c r="I408" s="6">
        <v>0</v>
      </c>
      <c r="J408" s="7">
        <v>0</v>
      </c>
      <c r="K408" s="5">
        <v>0</v>
      </c>
      <c r="L408" s="5">
        <v>0</v>
      </c>
      <c r="M408" s="6">
        <v>0</v>
      </c>
      <c r="N408" s="4">
        <v>7800</v>
      </c>
      <c r="O408" s="5">
        <v>32.076923076923102</v>
      </c>
      <c r="P408" s="5">
        <v>45.923076923076898</v>
      </c>
      <c r="Q408" s="6">
        <v>7800</v>
      </c>
      <c r="R408" s="7">
        <v>0</v>
      </c>
      <c r="S408" s="5">
        <v>0</v>
      </c>
      <c r="T408" s="5">
        <v>0</v>
      </c>
      <c r="U408" s="6">
        <v>0</v>
      </c>
      <c r="V408" s="8"/>
    </row>
    <row r="409" spans="1:22" x14ac:dyDescent="0.2">
      <c r="A409" s="2" t="s">
        <v>34</v>
      </c>
      <c r="B409" s="2" t="s">
        <v>46</v>
      </c>
      <c r="C409" s="2">
        <v>1022568</v>
      </c>
      <c r="D409" s="2" t="s">
        <v>311</v>
      </c>
      <c r="E409" s="3" t="s">
        <v>178</v>
      </c>
      <c r="F409" s="4">
        <v>0</v>
      </c>
      <c r="G409" s="5">
        <v>0</v>
      </c>
      <c r="H409" s="5">
        <v>0</v>
      </c>
      <c r="I409" s="6">
        <v>0</v>
      </c>
      <c r="J409" s="7">
        <v>24014.67</v>
      </c>
      <c r="K409" s="5">
        <v>3</v>
      </c>
      <c r="L409" s="5">
        <v>3</v>
      </c>
      <c r="M409" s="6">
        <v>24014.67</v>
      </c>
      <c r="N409" s="4">
        <v>26683.359</v>
      </c>
      <c r="O409" s="5">
        <v>9.3998941812385794</v>
      </c>
      <c r="P409" s="5">
        <v>20.099179904599001</v>
      </c>
      <c r="Q409" s="6">
        <v>26683.359</v>
      </c>
      <c r="R409" s="7">
        <v>0</v>
      </c>
      <c r="S409" s="5">
        <v>0</v>
      </c>
      <c r="T409" s="5">
        <v>0</v>
      </c>
      <c r="U409" s="6">
        <v>0</v>
      </c>
      <c r="V409" s="8"/>
    </row>
    <row r="410" spans="1:22" x14ac:dyDescent="0.2">
      <c r="A410" s="2" t="s">
        <v>34</v>
      </c>
      <c r="B410" s="2" t="s">
        <v>46</v>
      </c>
      <c r="C410" s="2">
        <v>1022636</v>
      </c>
      <c r="D410" s="2" t="s">
        <v>313</v>
      </c>
      <c r="E410" s="3" t="s">
        <v>172</v>
      </c>
      <c r="F410" s="4">
        <v>0</v>
      </c>
      <c r="G410" s="5">
        <v>0</v>
      </c>
      <c r="H410" s="5">
        <v>0</v>
      </c>
      <c r="I410" s="6">
        <v>0</v>
      </c>
      <c r="J410" s="7">
        <v>23970</v>
      </c>
      <c r="K410" s="5">
        <v>6</v>
      </c>
      <c r="L410" s="5">
        <v>6</v>
      </c>
      <c r="M410" s="6">
        <v>23970</v>
      </c>
      <c r="N410" s="4">
        <v>0</v>
      </c>
      <c r="O410" s="5">
        <v>0</v>
      </c>
      <c r="P410" s="5">
        <v>0</v>
      </c>
      <c r="Q410" s="6">
        <v>0</v>
      </c>
      <c r="R410" s="7">
        <v>0</v>
      </c>
      <c r="S410" s="5">
        <v>0</v>
      </c>
      <c r="T410" s="5">
        <v>0</v>
      </c>
      <c r="U410" s="6">
        <v>0</v>
      </c>
      <c r="V410" s="8"/>
    </row>
    <row r="411" spans="1:22" x14ac:dyDescent="0.2">
      <c r="A411" s="2" t="s">
        <v>34</v>
      </c>
      <c r="B411" s="2" t="s">
        <v>46</v>
      </c>
      <c r="C411" s="2">
        <v>1022637</v>
      </c>
      <c r="D411" s="2" t="s">
        <v>315</v>
      </c>
      <c r="E411" s="3" t="s">
        <v>172</v>
      </c>
      <c r="F411" s="4">
        <v>0</v>
      </c>
      <c r="G411" s="5">
        <v>0</v>
      </c>
      <c r="H411" s="5">
        <v>0</v>
      </c>
      <c r="I411" s="6">
        <v>0</v>
      </c>
      <c r="J411" s="7">
        <v>0</v>
      </c>
      <c r="K411" s="5">
        <v>0</v>
      </c>
      <c r="L411" s="5">
        <v>0</v>
      </c>
      <c r="M411" s="6">
        <v>0</v>
      </c>
      <c r="N411" s="4">
        <v>2175</v>
      </c>
      <c r="O411" s="5">
        <v>18</v>
      </c>
      <c r="P411" s="5">
        <v>18</v>
      </c>
      <c r="Q411" s="6">
        <v>2175</v>
      </c>
      <c r="R411" s="7">
        <v>7770</v>
      </c>
      <c r="S411" s="5">
        <v>12</v>
      </c>
      <c r="T411" s="5">
        <v>12</v>
      </c>
      <c r="U411" s="6">
        <v>7770</v>
      </c>
      <c r="V411" s="8"/>
    </row>
    <row r="412" spans="1:22" x14ac:dyDescent="0.2">
      <c r="A412" s="2" t="s">
        <v>34</v>
      </c>
      <c r="B412" s="2" t="s">
        <v>46</v>
      </c>
      <c r="C412" s="2">
        <v>1022639</v>
      </c>
      <c r="D412" s="2" t="s">
        <v>317</v>
      </c>
      <c r="E412" s="3" t="s">
        <v>196</v>
      </c>
      <c r="F412" s="4">
        <v>0</v>
      </c>
      <c r="G412" s="5">
        <v>0</v>
      </c>
      <c r="H412" s="5">
        <v>0</v>
      </c>
      <c r="I412" s="6">
        <v>0</v>
      </c>
      <c r="J412" s="7">
        <v>91336.34</v>
      </c>
      <c r="K412" s="5">
        <v>3.2453464853091298</v>
      </c>
      <c r="L412" s="5">
        <v>3.2453464853091298</v>
      </c>
      <c r="M412" s="6">
        <v>91336.34</v>
      </c>
      <c r="N412" s="4">
        <v>45393.303999999996</v>
      </c>
      <c r="O412" s="5">
        <v>3.5070647864715898</v>
      </c>
      <c r="P412" s="5">
        <v>8.4882253558806795</v>
      </c>
      <c r="Q412" s="6">
        <v>45393.303999999996</v>
      </c>
      <c r="R412" s="7">
        <v>23315.742999999999</v>
      </c>
      <c r="S412" s="5">
        <v>7</v>
      </c>
      <c r="T412" s="5">
        <v>9</v>
      </c>
      <c r="U412" s="6">
        <v>23315.742999999999</v>
      </c>
      <c r="V412" s="8"/>
    </row>
    <row r="413" spans="1:22" x14ac:dyDescent="0.2">
      <c r="A413" s="2" t="s">
        <v>34</v>
      </c>
      <c r="B413" s="2" t="s">
        <v>46</v>
      </c>
      <c r="C413" s="2">
        <v>1022640</v>
      </c>
      <c r="D413" s="2" t="s">
        <v>319</v>
      </c>
      <c r="E413" s="3" t="s">
        <v>196</v>
      </c>
      <c r="F413" s="4">
        <v>0</v>
      </c>
      <c r="G413" s="5">
        <v>0</v>
      </c>
      <c r="H413" s="5">
        <v>0</v>
      </c>
      <c r="I413" s="6">
        <v>0</v>
      </c>
      <c r="J413" s="7">
        <v>22699.15</v>
      </c>
      <c r="K413" s="5">
        <v>3</v>
      </c>
      <c r="L413" s="5">
        <v>3</v>
      </c>
      <c r="M413" s="6">
        <v>22699.15</v>
      </c>
      <c r="N413" s="4">
        <v>0</v>
      </c>
      <c r="O413" s="5">
        <v>0</v>
      </c>
      <c r="P413" s="5">
        <v>0</v>
      </c>
      <c r="Q413" s="6">
        <v>0</v>
      </c>
      <c r="R413" s="7">
        <v>0</v>
      </c>
      <c r="S413" s="5">
        <v>0</v>
      </c>
      <c r="T413" s="5">
        <v>0</v>
      </c>
      <c r="U413" s="6">
        <v>0</v>
      </c>
      <c r="V413" s="8"/>
    </row>
    <row r="414" spans="1:22" x14ac:dyDescent="0.2">
      <c r="A414" s="2" t="s">
        <v>34</v>
      </c>
      <c r="B414" s="2" t="s">
        <v>46</v>
      </c>
      <c r="C414" s="2">
        <v>1022646</v>
      </c>
      <c r="D414" s="2" t="s">
        <v>177</v>
      </c>
      <c r="E414" s="3" t="s">
        <v>178</v>
      </c>
      <c r="F414" s="4">
        <v>0</v>
      </c>
      <c r="G414" s="5">
        <v>0</v>
      </c>
      <c r="H414" s="5">
        <v>0</v>
      </c>
      <c r="I414" s="6">
        <v>0</v>
      </c>
      <c r="J414" s="7">
        <v>0</v>
      </c>
      <c r="K414" s="5">
        <v>0</v>
      </c>
      <c r="L414" s="5">
        <v>0</v>
      </c>
      <c r="M414" s="6">
        <v>0</v>
      </c>
      <c r="N414" s="4">
        <v>39560.646000000001</v>
      </c>
      <c r="O414" s="5">
        <v>28.857627400725502</v>
      </c>
      <c r="P414" s="5">
        <v>49.699031507220603</v>
      </c>
      <c r="Q414" s="6">
        <v>39560.646000000001</v>
      </c>
      <c r="R414" s="7">
        <v>0</v>
      </c>
      <c r="S414" s="5">
        <v>0</v>
      </c>
      <c r="T414" s="5">
        <v>0</v>
      </c>
      <c r="U414" s="6">
        <v>0</v>
      </c>
      <c r="V414" s="8"/>
    </row>
    <row r="415" spans="1:22" x14ac:dyDescent="0.2">
      <c r="A415" s="2" t="s">
        <v>34</v>
      </c>
      <c r="B415" s="2" t="s">
        <v>46</v>
      </c>
      <c r="C415" s="2">
        <v>1022753</v>
      </c>
      <c r="D415" s="2" t="s">
        <v>321</v>
      </c>
      <c r="E415" s="3" t="s">
        <v>167</v>
      </c>
      <c r="F415" s="4">
        <v>0</v>
      </c>
      <c r="G415" s="5">
        <v>0</v>
      </c>
      <c r="H415" s="5">
        <v>0</v>
      </c>
      <c r="I415" s="6">
        <v>0</v>
      </c>
      <c r="J415" s="7">
        <v>23820</v>
      </c>
      <c r="K415" s="5">
        <v>3</v>
      </c>
      <c r="L415" s="5">
        <v>3</v>
      </c>
      <c r="M415" s="6">
        <v>23820</v>
      </c>
      <c r="N415" s="4">
        <v>0</v>
      </c>
      <c r="O415" s="5">
        <v>0</v>
      </c>
      <c r="P415" s="5">
        <v>0</v>
      </c>
      <c r="Q415" s="6">
        <v>0</v>
      </c>
      <c r="R415" s="7">
        <v>24020</v>
      </c>
      <c r="S415" s="5">
        <v>2</v>
      </c>
      <c r="T415" s="5">
        <v>4</v>
      </c>
      <c r="U415" s="6">
        <v>24020</v>
      </c>
      <c r="V415" s="8"/>
    </row>
    <row r="416" spans="1:22" x14ac:dyDescent="0.2">
      <c r="A416" s="2" t="s">
        <v>34</v>
      </c>
      <c r="B416" s="2" t="s">
        <v>46</v>
      </c>
      <c r="C416" s="2">
        <v>1022851</v>
      </c>
      <c r="D416" s="2" t="s">
        <v>323</v>
      </c>
      <c r="E416" s="3" t="s">
        <v>39</v>
      </c>
      <c r="F416" s="4">
        <v>0</v>
      </c>
      <c r="G416" s="5">
        <v>0</v>
      </c>
      <c r="H416" s="5">
        <v>0</v>
      </c>
      <c r="I416" s="6">
        <v>0</v>
      </c>
      <c r="J416" s="7">
        <v>47366.67</v>
      </c>
      <c r="K416" s="5">
        <v>3.4930785719156501</v>
      </c>
      <c r="L416" s="5">
        <v>3.4930785719156501</v>
      </c>
      <c r="M416" s="6">
        <v>47366.67</v>
      </c>
      <c r="N416" s="4">
        <v>0</v>
      </c>
      <c r="O416" s="5">
        <v>0</v>
      </c>
      <c r="P416" s="5">
        <v>0</v>
      </c>
      <c r="Q416" s="6">
        <v>0</v>
      </c>
      <c r="R416" s="7">
        <v>23858.603999999999</v>
      </c>
      <c r="S416" s="5">
        <v>2</v>
      </c>
      <c r="T416" s="5">
        <v>6</v>
      </c>
      <c r="U416" s="6">
        <v>23858.603999999999</v>
      </c>
      <c r="V416" s="8"/>
    </row>
    <row r="417" spans="1:22" x14ac:dyDescent="0.2">
      <c r="A417" s="2" t="s">
        <v>34</v>
      </c>
      <c r="B417" s="2" t="s">
        <v>46</v>
      </c>
      <c r="C417" s="2">
        <v>1022943</v>
      </c>
      <c r="D417" s="2" t="s">
        <v>325</v>
      </c>
      <c r="E417" s="3" t="s">
        <v>43</v>
      </c>
      <c r="F417" s="4">
        <v>0</v>
      </c>
      <c r="G417" s="5">
        <v>0</v>
      </c>
      <c r="H417" s="5">
        <v>0</v>
      </c>
      <c r="I417" s="6">
        <v>0</v>
      </c>
      <c r="J417" s="7">
        <v>0</v>
      </c>
      <c r="K417" s="5">
        <v>0</v>
      </c>
      <c r="L417" s="5">
        <v>0</v>
      </c>
      <c r="M417" s="6">
        <v>0</v>
      </c>
      <c r="N417" s="4">
        <v>24014.751</v>
      </c>
      <c r="O417" s="5">
        <v>4</v>
      </c>
      <c r="P417" s="5">
        <v>6</v>
      </c>
      <c r="Q417" s="6">
        <v>24014.751</v>
      </c>
      <c r="R417" s="7">
        <v>0</v>
      </c>
      <c r="S417" s="5">
        <v>0</v>
      </c>
      <c r="T417" s="5">
        <v>0</v>
      </c>
      <c r="U417" s="6">
        <v>0</v>
      </c>
      <c r="V417" s="8"/>
    </row>
    <row r="418" spans="1:22" x14ac:dyDescent="0.2">
      <c r="A418" s="2" t="s">
        <v>34</v>
      </c>
      <c r="B418" s="2" t="s">
        <v>46</v>
      </c>
      <c r="C418" s="2">
        <v>1023035</v>
      </c>
      <c r="D418" s="2" t="s">
        <v>327</v>
      </c>
      <c r="E418" s="3" t="s">
        <v>181</v>
      </c>
      <c r="F418" s="4">
        <v>0</v>
      </c>
      <c r="G418" s="5">
        <v>0</v>
      </c>
      <c r="H418" s="5">
        <v>0</v>
      </c>
      <c r="I418" s="6">
        <v>0</v>
      </c>
      <c r="J418" s="7">
        <v>0</v>
      </c>
      <c r="K418" s="5">
        <v>0</v>
      </c>
      <c r="L418" s="5">
        <v>0</v>
      </c>
      <c r="M418" s="6">
        <v>0</v>
      </c>
      <c r="N418" s="4">
        <v>2883.75</v>
      </c>
      <c r="O418" s="5">
        <v>13</v>
      </c>
      <c r="P418" s="5">
        <v>48</v>
      </c>
      <c r="Q418" s="6">
        <v>2883.75</v>
      </c>
      <c r="R418" s="7">
        <v>0</v>
      </c>
      <c r="S418" s="5">
        <v>0</v>
      </c>
      <c r="T418" s="5">
        <v>0</v>
      </c>
      <c r="U418" s="6">
        <v>0</v>
      </c>
      <c r="V418" s="8"/>
    </row>
    <row r="419" spans="1:22" x14ac:dyDescent="0.2">
      <c r="A419" s="2" t="s">
        <v>34</v>
      </c>
      <c r="B419" s="2" t="s">
        <v>46</v>
      </c>
      <c r="C419" s="2">
        <v>1023093</v>
      </c>
      <c r="D419" s="2" t="s">
        <v>180</v>
      </c>
      <c r="E419" s="3" t="s">
        <v>181</v>
      </c>
      <c r="F419" s="4">
        <v>0</v>
      </c>
      <c r="G419" s="5">
        <v>0</v>
      </c>
      <c r="H419" s="5">
        <v>0</v>
      </c>
      <c r="I419" s="6">
        <v>0</v>
      </c>
      <c r="J419" s="7">
        <v>0</v>
      </c>
      <c r="K419" s="5">
        <v>0</v>
      </c>
      <c r="L419" s="5">
        <v>0</v>
      </c>
      <c r="M419" s="6">
        <v>0</v>
      </c>
      <c r="N419" s="4">
        <v>110337</v>
      </c>
      <c r="O419" s="5">
        <v>25.716631773566402</v>
      </c>
      <c r="P419" s="5">
        <v>32.2781659823994</v>
      </c>
      <c r="Q419" s="6">
        <v>110337</v>
      </c>
      <c r="R419" s="7">
        <v>0</v>
      </c>
      <c r="S419" s="5">
        <v>0</v>
      </c>
      <c r="T419" s="5">
        <v>0</v>
      </c>
      <c r="U419" s="6">
        <v>0</v>
      </c>
      <c r="V419" s="8"/>
    </row>
    <row r="420" spans="1:22" x14ac:dyDescent="0.2">
      <c r="A420" s="2" t="s">
        <v>34</v>
      </c>
      <c r="B420" s="2" t="s">
        <v>46</v>
      </c>
      <c r="C420" s="2">
        <v>1023111</v>
      </c>
      <c r="D420" s="2" t="s">
        <v>329</v>
      </c>
      <c r="E420" s="3" t="s">
        <v>48</v>
      </c>
      <c r="F420" s="4">
        <v>0</v>
      </c>
      <c r="G420" s="5">
        <v>0</v>
      </c>
      <c r="H420" s="5">
        <v>0</v>
      </c>
      <c r="I420" s="6">
        <v>0</v>
      </c>
      <c r="J420" s="7">
        <v>0</v>
      </c>
      <c r="K420" s="5">
        <v>0</v>
      </c>
      <c r="L420" s="5">
        <v>0</v>
      </c>
      <c r="M420" s="6">
        <v>0</v>
      </c>
      <c r="N420" s="4">
        <v>7072.4790000000003</v>
      </c>
      <c r="O420" s="5">
        <v>27</v>
      </c>
      <c r="P420" s="5">
        <v>40</v>
      </c>
      <c r="Q420" s="6">
        <v>7072.4790000000003</v>
      </c>
      <c r="R420" s="7">
        <v>0</v>
      </c>
      <c r="S420" s="5">
        <v>0</v>
      </c>
      <c r="T420" s="5">
        <v>0</v>
      </c>
      <c r="U420" s="6">
        <v>0</v>
      </c>
      <c r="V420" s="8"/>
    </row>
    <row r="421" spans="1:22" x14ac:dyDescent="0.2">
      <c r="A421" s="2" t="s">
        <v>34</v>
      </c>
      <c r="B421" s="2" t="s">
        <v>46</v>
      </c>
      <c r="C421" s="2">
        <v>1023143</v>
      </c>
      <c r="D421" s="2" t="s">
        <v>183</v>
      </c>
      <c r="E421" s="3" t="s">
        <v>160</v>
      </c>
      <c r="F421" s="4">
        <v>0</v>
      </c>
      <c r="G421" s="5">
        <v>0</v>
      </c>
      <c r="H421" s="5">
        <v>0</v>
      </c>
      <c r="I421" s="6">
        <v>0</v>
      </c>
      <c r="J421" s="7">
        <v>0</v>
      </c>
      <c r="K421" s="5">
        <v>0</v>
      </c>
      <c r="L421" s="5">
        <v>0</v>
      </c>
      <c r="M421" s="6">
        <v>0</v>
      </c>
      <c r="N421" s="4">
        <v>1520</v>
      </c>
      <c r="O421" s="5">
        <v>48</v>
      </c>
      <c r="P421" s="5">
        <v>48</v>
      </c>
      <c r="Q421" s="6">
        <v>1520</v>
      </c>
      <c r="R421" s="7">
        <v>0</v>
      </c>
      <c r="S421" s="5">
        <v>0</v>
      </c>
      <c r="T421" s="5">
        <v>0</v>
      </c>
      <c r="U421" s="6">
        <v>0</v>
      </c>
      <c r="V421" s="8"/>
    </row>
    <row r="422" spans="1:22" x14ac:dyDescent="0.2">
      <c r="A422" s="2" t="s">
        <v>34</v>
      </c>
      <c r="B422" s="2" t="s">
        <v>46</v>
      </c>
      <c r="C422" s="2">
        <v>1023306</v>
      </c>
      <c r="D422" s="2" t="s">
        <v>174</v>
      </c>
      <c r="E422" s="3" t="s">
        <v>175</v>
      </c>
      <c r="F422" s="4">
        <v>0</v>
      </c>
      <c r="G422" s="5">
        <v>0</v>
      </c>
      <c r="H422" s="5">
        <v>0</v>
      </c>
      <c r="I422" s="6">
        <v>0</v>
      </c>
      <c r="J422" s="7">
        <v>0</v>
      </c>
      <c r="K422" s="5">
        <v>0</v>
      </c>
      <c r="L422" s="5">
        <v>0</v>
      </c>
      <c r="M422" s="6">
        <v>0</v>
      </c>
      <c r="N422" s="4">
        <v>0</v>
      </c>
      <c r="O422" s="5">
        <v>0</v>
      </c>
      <c r="P422" s="5">
        <v>0</v>
      </c>
      <c r="Q422" s="6">
        <v>0</v>
      </c>
      <c r="R422" s="7">
        <v>48040</v>
      </c>
      <c r="S422" s="5">
        <v>9</v>
      </c>
      <c r="T422" s="5">
        <v>10</v>
      </c>
      <c r="U422" s="6">
        <v>48040</v>
      </c>
      <c r="V422" s="8"/>
    </row>
    <row r="423" spans="1:22" x14ac:dyDescent="0.2">
      <c r="A423" s="2" t="s">
        <v>34</v>
      </c>
      <c r="B423" s="2" t="s">
        <v>46</v>
      </c>
      <c r="C423" s="2">
        <v>1023411</v>
      </c>
      <c r="D423" s="2" t="s">
        <v>332</v>
      </c>
      <c r="E423" s="3" t="s">
        <v>96</v>
      </c>
      <c r="F423" s="4">
        <v>0</v>
      </c>
      <c r="G423" s="5">
        <v>0</v>
      </c>
      <c r="H423" s="5">
        <v>0</v>
      </c>
      <c r="I423" s="6">
        <v>0</v>
      </c>
      <c r="J423" s="7">
        <v>72473.77</v>
      </c>
      <c r="K423" s="5">
        <v>4.0132332014741303</v>
      </c>
      <c r="L423" s="5">
        <v>4.0132332014741303</v>
      </c>
      <c r="M423" s="6">
        <v>72473.77</v>
      </c>
      <c r="N423" s="4">
        <v>0</v>
      </c>
      <c r="O423" s="5">
        <v>0</v>
      </c>
      <c r="P423" s="5">
        <v>0</v>
      </c>
      <c r="Q423" s="6">
        <v>0</v>
      </c>
      <c r="R423" s="7">
        <v>6883.9189999999999</v>
      </c>
      <c r="S423" s="5">
        <v>12</v>
      </c>
      <c r="T423" s="5">
        <v>12</v>
      </c>
      <c r="U423" s="6">
        <v>6883.9189999999999</v>
      </c>
      <c r="V423" s="8"/>
    </row>
    <row r="424" spans="1:22" x14ac:dyDescent="0.2">
      <c r="A424" s="2" t="s">
        <v>34</v>
      </c>
      <c r="B424" s="2" t="s">
        <v>46</v>
      </c>
      <c r="C424" s="2">
        <v>1023412</v>
      </c>
      <c r="D424" s="2" t="s">
        <v>334</v>
      </c>
      <c r="E424" s="3" t="s">
        <v>96</v>
      </c>
      <c r="F424" s="4">
        <v>0</v>
      </c>
      <c r="G424" s="5">
        <v>0</v>
      </c>
      <c r="H424" s="5">
        <v>0</v>
      </c>
      <c r="I424" s="6">
        <v>0</v>
      </c>
      <c r="J424" s="7">
        <v>23922.77</v>
      </c>
      <c r="K424" s="5">
        <v>3</v>
      </c>
      <c r="L424" s="5">
        <v>3</v>
      </c>
      <c r="M424" s="6">
        <v>23922.77</v>
      </c>
      <c r="N424" s="4">
        <v>0</v>
      </c>
      <c r="O424" s="5">
        <v>0</v>
      </c>
      <c r="P424" s="5">
        <v>0</v>
      </c>
      <c r="Q424" s="6">
        <v>0</v>
      </c>
      <c r="R424" s="7">
        <v>0</v>
      </c>
      <c r="S424" s="5">
        <v>0</v>
      </c>
      <c r="T424" s="5">
        <v>0</v>
      </c>
      <c r="U424" s="6">
        <v>0</v>
      </c>
      <c r="V424" s="8"/>
    </row>
    <row r="425" spans="1:22" x14ac:dyDescent="0.2">
      <c r="A425" s="2" t="s">
        <v>34</v>
      </c>
      <c r="B425" s="2" t="s">
        <v>37</v>
      </c>
      <c r="C425" s="2">
        <v>1021921</v>
      </c>
      <c r="D425" s="2" t="s">
        <v>185</v>
      </c>
      <c r="E425" s="3" t="s">
        <v>43</v>
      </c>
      <c r="F425" s="4">
        <v>0</v>
      </c>
      <c r="G425" s="5">
        <v>0</v>
      </c>
      <c r="H425" s="5">
        <v>0</v>
      </c>
      <c r="I425" s="6">
        <v>0</v>
      </c>
      <c r="J425" s="7">
        <v>0</v>
      </c>
      <c r="K425" s="5">
        <v>0</v>
      </c>
      <c r="L425" s="5">
        <v>0</v>
      </c>
      <c r="M425" s="6">
        <v>0</v>
      </c>
      <c r="N425" s="4">
        <v>887.12300000000005</v>
      </c>
      <c r="O425" s="5">
        <v>38.720532552983101</v>
      </c>
      <c r="P425" s="5">
        <v>51.066309857821302</v>
      </c>
      <c r="Q425" s="6">
        <v>887.12300000000005</v>
      </c>
      <c r="R425" s="7">
        <v>0</v>
      </c>
      <c r="S425" s="5">
        <v>0</v>
      </c>
      <c r="T425" s="5">
        <v>0</v>
      </c>
      <c r="U425" s="6">
        <v>0</v>
      </c>
      <c r="V425" s="8"/>
    </row>
    <row r="426" spans="1:22" x14ac:dyDescent="0.2">
      <c r="A426" s="2" t="s">
        <v>34</v>
      </c>
      <c r="B426" s="2" t="s">
        <v>37</v>
      </c>
      <c r="C426" s="2">
        <v>1021922</v>
      </c>
      <c r="D426" s="2" t="s">
        <v>119</v>
      </c>
      <c r="E426" s="3" t="s">
        <v>67</v>
      </c>
      <c r="F426" s="4">
        <v>0</v>
      </c>
      <c r="G426" s="5">
        <v>0</v>
      </c>
      <c r="H426" s="5">
        <v>0</v>
      </c>
      <c r="I426" s="6">
        <v>0</v>
      </c>
      <c r="J426" s="7">
        <v>0</v>
      </c>
      <c r="K426" s="5">
        <v>0</v>
      </c>
      <c r="L426" s="5">
        <v>0</v>
      </c>
      <c r="M426" s="6">
        <v>0</v>
      </c>
      <c r="N426" s="4">
        <v>2330</v>
      </c>
      <c r="O426" s="5">
        <v>33.974248927038602</v>
      </c>
      <c r="P426" s="5">
        <v>34.618025751072999</v>
      </c>
      <c r="Q426" s="6">
        <v>2330</v>
      </c>
      <c r="R426" s="7">
        <v>0</v>
      </c>
      <c r="S426" s="5">
        <v>0</v>
      </c>
      <c r="T426" s="5">
        <v>0</v>
      </c>
      <c r="U426" s="6">
        <v>0</v>
      </c>
      <c r="V426" s="8"/>
    </row>
    <row r="427" spans="1:22" x14ac:dyDescent="0.2">
      <c r="A427" s="2" t="s">
        <v>34</v>
      </c>
      <c r="B427" s="2" t="s">
        <v>37</v>
      </c>
      <c r="C427" s="2">
        <v>1021924</v>
      </c>
      <c r="D427" s="2" t="s">
        <v>188</v>
      </c>
      <c r="E427" s="3" t="s">
        <v>43</v>
      </c>
      <c r="F427" s="4">
        <v>0</v>
      </c>
      <c r="G427" s="5">
        <v>0</v>
      </c>
      <c r="H427" s="5">
        <v>0</v>
      </c>
      <c r="I427" s="6">
        <v>0</v>
      </c>
      <c r="J427" s="7">
        <v>0</v>
      </c>
      <c r="K427" s="5">
        <v>0</v>
      </c>
      <c r="L427" s="5">
        <v>0</v>
      </c>
      <c r="M427" s="6">
        <v>0</v>
      </c>
      <c r="N427" s="4">
        <v>3506.1970000000001</v>
      </c>
      <c r="O427" s="5">
        <v>30.5792820540318</v>
      </c>
      <c r="P427" s="5">
        <v>43.025372789948797</v>
      </c>
      <c r="Q427" s="6">
        <v>3506.1970000000001</v>
      </c>
      <c r="R427" s="7">
        <v>0</v>
      </c>
      <c r="S427" s="5">
        <v>0</v>
      </c>
      <c r="T427" s="5">
        <v>0</v>
      </c>
      <c r="U427" s="6">
        <v>0</v>
      </c>
      <c r="V427" s="8"/>
    </row>
    <row r="428" spans="1:22" x14ac:dyDescent="0.2">
      <c r="A428" s="2" t="s">
        <v>34</v>
      </c>
      <c r="B428" s="2" t="s">
        <v>37</v>
      </c>
      <c r="C428" s="2">
        <v>1021929</v>
      </c>
      <c r="D428" s="2" t="s">
        <v>336</v>
      </c>
      <c r="E428" s="3" t="s">
        <v>178</v>
      </c>
      <c r="F428" s="4">
        <v>0</v>
      </c>
      <c r="G428" s="5">
        <v>0</v>
      </c>
      <c r="H428" s="5">
        <v>0</v>
      </c>
      <c r="I428" s="6">
        <v>0</v>
      </c>
      <c r="J428" s="7">
        <v>0</v>
      </c>
      <c r="K428" s="5">
        <v>0</v>
      </c>
      <c r="L428" s="5">
        <v>0</v>
      </c>
      <c r="M428" s="6">
        <v>0</v>
      </c>
      <c r="N428" s="4">
        <v>50</v>
      </c>
      <c r="O428" s="5">
        <v>30</v>
      </c>
      <c r="P428" s="5">
        <v>30</v>
      </c>
      <c r="Q428" s="6">
        <v>50</v>
      </c>
      <c r="R428" s="7">
        <v>0</v>
      </c>
      <c r="S428" s="5">
        <v>0</v>
      </c>
      <c r="T428" s="5">
        <v>0</v>
      </c>
      <c r="U428" s="6">
        <v>0</v>
      </c>
      <c r="V428" s="8"/>
    </row>
    <row r="429" spans="1:22" x14ac:dyDescent="0.2">
      <c r="A429" s="2" t="s">
        <v>34</v>
      </c>
      <c r="B429" s="2" t="s">
        <v>37</v>
      </c>
      <c r="C429" s="2">
        <v>1021931</v>
      </c>
      <c r="D429" s="2" t="s">
        <v>190</v>
      </c>
      <c r="E429" s="3" t="s">
        <v>191</v>
      </c>
      <c r="F429" s="4">
        <v>0</v>
      </c>
      <c r="G429" s="5">
        <v>0</v>
      </c>
      <c r="H429" s="5">
        <v>0</v>
      </c>
      <c r="I429" s="6">
        <v>0</v>
      </c>
      <c r="J429" s="7">
        <v>0</v>
      </c>
      <c r="K429" s="5">
        <v>0</v>
      </c>
      <c r="L429" s="5">
        <v>0</v>
      </c>
      <c r="M429" s="6">
        <v>0</v>
      </c>
      <c r="N429" s="4">
        <v>631.03300000000002</v>
      </c>
      <c r="O429" s="5">
        <v>27.3720978142189</v>
      </c>
      <c r="P429" s="5">
        <v>27.3720978142189</v>
      </c>
      <c r="Q429" s="6">
        <v>631.03300000000002</v>
      </c>
      <c r="R429" s="7">
        <v>0</v>
      </c>
      <c r="S429" s="5">
        <v>0</v>
      </c>
      <c r="T429" s="5">
        <v>0</v>
      </c>
      <c r="U429" s="6">
        <v>0</v>
      </c>
      <c r="V429" s="8"/>
    </row>
    <row r="430" spans="1:22" x14ac:dyDescent="0.2">
      <c r="A430" s="2" t="s">
        <v>34</v>
      </c>
      <c r="B430" s="2" t="s">
        <v>37</v>
      </c>
      <c r="C430" s="2">
        <v>1021944</v>
      </c>
      <c r="D430" s="2" t="s">
        <v>193</v>
      </c>
      <c r="E430" s="3" t="s">
        <v>181</v>
      </c>
      <c r="F430" s="4">
        <v>0</v>
      </c>
      <c r="G430" s="5">
        <v>0</v>
      </c>
      <c r="H430" s="5">
        <v>0</v>
      </c>
      <c r="I430" s="6">
        <v>0</v>
      </c>
      <c r="J430" s="7">
        <v>0</v>
      </c>
      <c r="K430" s="5">
        <v>0</v>
      </c>
      <c r="L430" s="5">
        <v>0</v>
      </c>
      <c r="M430" s="6">
        <v>0</v>
      </c>
      <c r="N430" s="4">
        <v>2400</v>
      </c>
      <c r="O430" s="5">
        <v>34</v>
      </c>
      <c r="P430" s="5">
        <v>35</v>
      </c>
      <c r="Q430" s="6">
        <v>2400</v>
      </c>
      <c r="R430" s="7">
        <v>0</v>
      </c>
      <c r="S430" s="5">
        <v>0</v>
      </c>
      <c r="T430" s="5">
        <v>0</v>
      </c>
      <c r="U430" s="6">
        <v>0</v>
      </c>
      <c r="V430" s="8"/>
    </row>
    <row r="431" spans="1:22" x14ac:dyDescent="0.2">
      <c r="A431" s="2" t="s">
        <v>34</v>
      </c>
      <c r="B431" s="2" t="s">
        <v>37</v>
      </c>
      <c r="C431" s="2">
        <v>1021945</v>
      </c>
      <c r="D431" s="2" t="s">
        <v>195</v>
      </c>
      <c r="E431" s="3" t="s">
        <v>196</v>
      </c>
      <c r="F431" s="4">
        <v>0</v>
      </c>
      <c r="G431" s="5">
        <v>0</v>
      </c>
      <c r="H431" s="5">
        <v>0</v>
      </c>
      <c r="I431" s="6">
        <v>0</v>
      </c>
      <c r="J431" s="7">
        <v>0</v>
      </c>
      <c r="K431" s="5">
        <v>0</v>
      </c>
      <c r="L431" s="5">
        <v>0</v>
      </c>
      <c r="M431" s="6">
        <v>0</v>
      </c>
      <c r="N431" s="4">
        <v>2400</v>
      </c>
      <c r="O431" s="5">
        <v>34</v>
      </c>
      <c r="P431" s="5">
        <v>35</v>
      </c>
      <c r="Q431" s="6">
        <v>2400</v>
      </c>
      <c r="R431" s="7">
        <v>0</v>
      </c>
      <c r="S431" s="5">
        <v>0</v>
      </c>
      <c r="T431" s="5">
        <v>0</v>
      </c>
      <c r="U431" s="6">
        <v>0</v>
      </c>
      <c r="V431" s="8"/>
    </row>
    <row r="432" spans="1:22" x14ac:dyDescent="0.2">
      <c r="A432" s="2" t="s">
        <v>34</v>
      </c>
      <c r="B432" s="2" t="s">
        <v>37</v>
      </c>
      <c r="C432" s="2">
        <v>1021952</v>
      </c>
      <c r="D432" s="2" t="s">
        <v>75</v>
      </c>
      <c r="E432" s="3" t="s">
        <v>76</v>
      </c>
      <c r="F432" s="4">
        <v>0</v>
      </c>
      <c r="G432" s="5">
        <v>0</v>
      </c>
      <c r="H432" s="5">
        <v>0</v>
      </c>
      <c r="I432" s="6">
        <v>0</v>
      </c>
      <c r="J432" s="7">
        <v>0</v>
      </c>
      <c r="K432" s="5">
        <v>0</v>
      </c>
      <c r="L432" s="5">
        <v>0</v>
      </c>
      <c r="M432" s="6">
        <v>0</v>
      </c>
      <c r="N432" s="4">
        <v>6110</v>
      </c>
      <c r="O432" s="5">
        <v>47.076923076923102</v>
      </c>
      <c r="P432" s="5">
        <v>47.2438625204583</v>
      </c>
      <c r="Q432" s="6">
        <v>6110</v>
      </c>
      <c r="R432" s="7">
        <v>0</v>
      </c>
      <c r="S432" s="5">
        <v>0</v>
      </c>
      <c r="T432" s="5">
        <v>0</v>
      </c>
      <c r="U432" s="6">
        <v>0</v>
      </c>
      <c r="V432" s="8"/>
    </row>
    <row r="433" spans="1:22" x14ac:dyDescent="0.2">
      <c r="A433" s="2" t="s">
        <v>34</v>
      </c>
      <c r="B433" s="2" t="s">
        <v>37</v>
      </c>
      <c r="C433" s="2">
        <v>1022101</v>
      </c>
      <c r="D433" s="2" t="s">
        <v>338</v>
      </c>
      <c r="E433" s="3" t="s">
        <v>43</v>
      </c>
      <c r="F433" s="4">
        <v>0</v>
      </c>
      <c r="G433" s="5">
        <v>0</v>
      </c>
      <c r="H433" s="5">
        <v>0</v>
      </c>
      <c r="I433" s="6">
        <v>0</v>
      </c>
      <c r="J433" s="7">
        <v>0</v>
      </c>
      <c r="K433" s="5">
        <v>0</v>
      </c>
      <c r="L433" s="5">
        <v>0</v>
      </c>
      <c r="M433" s="6">
        <v>0</v>
      </c>
      <c r="N433" s="4">
        <v>852.99</v>
      </c>
      <c r="O433" s="5">
        <v>16</v>
      </c>
      <c r="P433" s="5">
        <v>17</v>
      </c>
      <c r="Q433" s="6">
        <v>852.99</v>
      </c>
      <c r="R433" s="7">
        <v>0</v>
      </c>
      <c r="S433" s="5">
        <v>0</v>
      </c>
      <c r="T433" s="5">
        <v>0</v>
      </c>
      <c r="U433" s="6">
        <v>0</v>
      </c>
      <c r="V433" s="8"/>
    </row>
    <row r="434" spans="1:22" x14ac:dyDescent="0.2">
      <c r="A434" s="2" t="s">
        <v>34</v>
      </c>
      <c r="B434" s="2" t="s">
        <v>37</v>
      </c>
      <c r="C434" s="2">
        <v>1022141</v>
      </c>
      <c r="D434" s="2" t="s">
        <v>127</v>
      </c>
      <c r="E434" s="3" t="s">
        <v>96</v>
      </c>
      <c r="F434" s="4">
        <v>0</v>
      </c>
      <c r="G434" s="5">
        <v>0</v>
      </c>
      <c r="H434" s="5">
        <v>0</v>
      </c>
      <c r="I434" s="6">
        <v>0</v>
      </c>
      <c r="J434" s="7">
        <v>0</v>
      </c>
      <c r="K434" s="5">
        <v>0</v>
      </c>
      <c r="L434" s="5">
        <v>0</v>
      </c>
      <c r="M434" s="6">
        <v>0</v>
      </c>
      <c r="N434" s="4">
        <v>907.28300000000002</v>
      </c>
      <c r="O434" s="5">
        <v>90</v>
      </c>
      <c r="P434" s="5">
        <v>90</v>
      </c>
      <c r="Q434" s="6">
        <v>907.28300000000002</v>
      </c>
      <c r="R434" s="7">
        <v>0</v>
      </c>
      <c r="S434" s="5">
        <v>0</v>
      </c>
      <c r="T434" s="5">
        <v>0</v>
      </c>
      <c r="U434" s="6">
        <v>0</v>
      </c>
      <c r="V434" s="8"/>
    </row>
    <row r="435" spans="1:22" x14ac:dyDescent="0.2">
      <c r="A435" s="2" t="s">
        <v>34</v>
      </c>
      <c r="B435" s="2" t="s">
        <v>37</v>
      </c>
      <c r="C435" s="2">
        <v>1022293</v>
      </c>
      <c r="D435" s="2" t="s">
        <v>340</v>
      </c>
      <c r="E435" s="3" t="s">
        <v>160</v>
      </c>
      <c r="F435" s="4">
        <v>0</v>
      </c>
      <c r="G435" s="5">
        <v>0</v>
      </c>
      <c r="H435" s="5">
        <v>0</v>
      </c>
      <c r="I435" s="6">
        <v>0</v>
      </c>
      <c r="J435" s="7">
        <v>0</v>
      </c>
      <c r="K435" s="5">
        <v>0</v>
      </c>
      <c r="L435" s="5">
        <v>0</v>
      </c>
      <c r="M435" s="6">
        <v>0</v>
      </c>
      <c r="N435" s="4">
        <v>730</v>
      </c>
      <c r="O435" s="5">
        <v>21.780821917808201</v>
      </c>
      <c r="P435" s="5">
        <v>22.575342465753401</v>
      </c>
      <c r="Q435" s="6">
        <v>730</v>
      </c>
      <c r="R435" s="7">
        <v>0</v>
      </c>
      <c r="S435" s="5">
        <v>0</v>
      </c>
      <c r="T435" s="5">
        <v>0</v>
      </c>
      <c r="U435" s="6">
        <v>0</v>
      </c>
      <c r="V435" s="8"/>
    </row>
    <row r="436" spans="1:22" x14ac:dyDescent="0.2">
      <c r="A436" s="2" t="s">
        <v>34</v>
      </c>
      <c r="B436" s="2" t="s">
        <v>37</v>
      </c>
      <c r="C436" s="2">
        <v>1022515</v>
      </c>
      <c r="D436" s="2" t="s">
        <v>198</v>
      </c>
      <c r="E436" s="3" t="s">
        <v>178</v>
      </c>
      <c r="F436" s="4">
        <v>0</v>
      </c>
      <c r="G436" s="5">
        <v>0</v>
      </c>
      <c r="H436" s="5">
        <v>0</v>
      </c>
      <c r="I436" s="6">
        <v>0</v>
      </c>
      <c r="J436" s="7">
        <v>0</v>
      </c>
      <c r="K436" s="5">
        <v>0</v>
      </c>
      <c r="L436" s="5">
        <v>0</v>
      </c>
      <c r="M436" s="6">
        <v>0</v>
      </c>
      <c r="N436" s="4">
        <v>7439.0789999999997</v>
      </c>
      <c r="O436" s="5">
        <v>44.946578333151201</v>
      </c>
      <c r="P436" s="5">
        <v>44.946578333151201</v>
      </c>
      <c r="Q436" s="6">
        <v>7439.0789999999997</v>
      </c>
      <c r="R436" s="7">
        <v>0</v>
      </c>
      <c r="S436" s="5">
        <v>0</v>
      </c>
      <c r="T436" s="5">
        <v>0</v>
      </c>
      <c r="U436" s="6">
        <v>0</v>
      </c>
      <c r="V436" s="8"/>
    </row>
    <row r="437" spans="1:22" x14ac:dyDescent="0.2">
      <c r="A437" s="2" t="s">
        <v>34</v>
      </c>
      <c r="B437" s="2" t="s">
        <v>37</v>
      </c>
      <c r="C437" s="2">
        <v>1022561</v>
      </c>
      <c r="D437" s="2" t="s">
        <v>342</v>
      </c>
      <c r="E437" s="3" t="s">
        <v>43</v>
      </c>
      <c r="F437" s="4">
        <v>0</v>
      </c>
      <c r="G437" s="5">
        <v>0</v>
      </c>
      <c r="H437" s="5">
        <v>0</v>
      </c>
      <c r="I437" s="6">
        <v>0</v>
      </c>
      <c r="J437" s="7">
        <v>0</v>
      </c>
      <c r="K437" s="5">
        <v>0</v>
      </c>
      <c r="L437" s="5">
        <v>0</v>
      </c>
      <c r="M437" s="6">
        <v>0</v>
      </c>
      <c r="N437" s="4">
        <v>2007.799</v>
      </c>
      <c r="O437" s="5">
        <v>25</v>
      </c>
      <c r="P437" s="5">
        <v>25</v>
      </c>
      <c r="Q437" s="6">
        <v>2007.799</v>
      </c>
      <c r="R437" s="7">
        <v>0</v>
      </c>
      <c r="S437" s="5">
        <v>0</v>
      </c>
      <c r="T437" s="5">
        <v>0</v>
      </c>
      <c r="U437" s="6">
        <v>0</v>
      </c>
      <c r="V437" s="8"/>
    </row>
    <row r="438" spans="1:22" x14ac:dyDescent="0.2">
      <c r="A438" s="2" t="s">
        <v>34</v>
      </c>
      <c r="B438" s="2" t="s">
        <v>37</v>
      </c>
      <c r="C438" s="2">
        <v>1022621</v>
      </c>
      <c r="D438" s="2" t="s">
        <v>200</v>
      </c>
      <c r="E438" s="3" t="s">
        <v>178</v>
      </c>
      <c r="F438" s="4">
        <v>0</v>
      </c>
      <c r="G438" s="5">
        <v>0</v>
      </c>
      <c r="H438" s="5">
        <v>0</v>
      </c>
      <c r="I438" s="6">
        <v>0</v>
      </c>
      <c r="J438" s="7">
        <v>0</v>
      </c>
      <c r="K438" s="5">
        <v>0</v>
      </c>
      <c r="L438" s="5">
        <v>0</v>
      </c>
      <c r="M438" s="6">
        <v>0</v>
      </c>
      <c r="N438" s="4">
        <v>25913.477999999999</v>
      </c>
      <c r="O438" s="5">
        <v>29.873246617069299</v>
      </c>
      <c r="P438" s="5">
        <v>30.260860352284599</v>
      </c>
      <c r="Q438" s="6">
        <v>25913.477999999999</v>
      </c>
      <c r="R438" s="7">
        <v>0</v>
      </c>
      <c r="S438" s="5">
        <v>0</v>
      </c>
      <c r="T438" s="5">
        <v>0</v>
      </c>
      <c r="U438" s="6">
        <v>0</v>
      </c>
      <c r="V438" s="8"/>
    </row>
    <row r="439" spans="1:22" x14ac:dyDescent="0.2">
      <c r="A439" s="2" t="s">
        <v>34</v>
      </c>
      <c r="B439" s="2" t="s">
        <v>37</v>
      </c>
      <c r="C439" s="2">
        <v>1022751</v>
      </c>
      <c r="D439" s="2" t="s">
        <v>38</v>
      </c>
      <c r="E439" s="3" t="s">
        <v>39</v>
      </c>
      <c r="F439" s="4">
        <v>0</v>
      </c>
      <c r="G439" s="5">
        <v>0</v>
      </c>
      <c r="H439" s="5">
        <v>0</v>
      </c>
      <c r="I439" s="6">
        <v>0</v>
      </c>
      <c r="J439" s="7">
        <v>0</v>
      </c>
      <c r="K439" s="5">
        <v>0</v>
      </c>
      <c r="L439" s="5">
        <v>0</v>
      </c>
      <c r="M439" s="6">
        <v>0</v>
      </c>
      <c r="N439" s="4">
        <v>4004</v>
      </c>
      <c r="O439" s="5">
        <v>16</v>
      </c>
      <c r="P439" s="5">
        <v>17</v>
      </c>
      <c r="Q439" s="6">
        <v>4004</v>
      </c>
      <c r="R439" s="7">
        <v>0</v>
      </c>
      <c r="S439" s="5">
        <v>0</v>
      </c>
      <c r="T439" s="5">
        <v>0</v>
      </c>
      <c r="U439" s="6">
        <v>0</v>
      </c>
      <c r="V439" s="8"/>
    </row>
    <row r="440" spans="1:22" x14ac:dyDescent="0.2">
      <c r="A440" s="2" t="s">
        <v>34</v>
      </c>
      <c r="B440" s="2" t="s">
        <v>37</v>
      </c>
      <c r="C440" s="2">
        <v>1022863</v>
      </c>
      <c r="D440" s="2" t="s">
        <v>202</v>
      </c>
      <c r="E440" s="3" t="s">
        <v>43</v>
      </c>
      <c r="F440" s="4">
        <v>0</v>
      </c>
      <c r="G440" s="5">
        <v>0</v>
      </c>
      <c r="H440" s="5">
        <v>0</v>
      </c>
      <c r="I440" s="6">
        <v>0</v>
      </c>
      <c r="J440" s="7">
        <v>0</v>
      </c>
      <c r="K440" s="5">
        <v>0</v>
      </c>
      <c r="L440" s="5">
        <v>0</v>
      </c>
      <c r="M440" s="6">
        <v>0</v>
      </c>
      <c r="N440" s="4">
        <v>48410.608</v>
      </c>
      <c r="O440" s="5">
        <v>28.757611678828699</v>
      </c>
      <c r="P440" s="5">
        <v>29.2326859848569</v>
      </c>
      <c r="Q440" s="6">
        <v>48410.608</v>
      </c>
      <c r="R440" s="7">
        <v>0</v>
      </c>
      <c r="S440" s="5">
        <v>0</v>
      </c>
      <c r="T440" s="5">
        <v>0</v>
      </c>
      <c r="U440" s="6">
        <v>0</v>
      </c>
      <c r="V440" s="8"/>
    </row>
    <row r="441" spans="1:22" x14ac:dyDescent="0.2">
      <c r="A441" s="2" t="s">
        <v>34</v>
      </c>
      <c r="B441" s="2" t="s">
        <v>37</v>
      </c>
      <c r="C441" s="2">
        <v>1022864</v>
      </c>
      <c r="D441" s="2" t="s">
        <v>42</v>
      </c>
      <c r="E441" s="3" t="s">
        <v>43</v>
      </c>
      <c r="F441" s="4">
        <v>0</v>
      </c>
      <c r="G441" s="5">
        <v>0</v>
      </c>
      <c r="H441" s="5">
        <v>0</v>
      </c>
      <c r="I441" s="6">
        <v>0</v>
      </c>
      <c r="J441" s="7">
        <v>0</v>
      </c>
      <c r="K441" s="5">
        <v>0</v>
      </c>
      <c r="L441" s="5">
        <v>0</v>
      </c>
      <c r="M441" s="6">
        <v>0</v>
      </c>
      <c r="N441" s="4">
        <v>19694.993999999999</v>
      </c>
      <c r="O441" s="5">
        <v>20.1655182022396</v>
      </c>
      <c r="P441" s="5">
        <v>21.0894657292102</v>
      </c>
      <c r="Q441" s="6">
        <v>19694.993999999999</v>
      </c>
      <c r="R441" s="7">
        <v>0</v>
      </c>
      <c r="S441" s="5">
        <v>0</v>
      </c>
      <c r="T441" s="5">
        <v>0</v>
      </c>
      <c r="U441" s="6">
        <v>0</v>
      </c>
      <c r="V441" s="8"/>
    </row>
    <row r="442" spans="1:22" x14ac:dyDescent="0.2">
      <c r="A442" s="2" t="s">
        <v>34</v>
      </c>
      <c r="B442" s="2" t="s">
        <v>37</v>
      </c>
      <c r="C442" s="2">
        <v>1022865</v>
      </c>
      <c r="D442" s="2" t="s">
        <v>344</v>
      </c>
      <c r="E442" s="3" t="s">
        <v>178</v>
      </c>
      <c r="F442" s="4">
        <v>0</v>
      </c>
      <c r="G442" s="5">
        <v>0</v>
      </c>
      <c r="H442" s="5">
        <v>0</v>
      </c>
      <c r="I442" s="6">
        <v>0</v>
      </c>
      <c r="J442" s="7">
        <v>0</v>
      </c>
      <c r="K442" s="5">
        <v>0</v>
      </c>
      <c r="L442" s="5">
        <v>0</v>
      </c>
      <c r="M442" s="6">
        <v>0</v>
      </c>
      <c r="N442" s="4">
        <v>5944.1850000000004</v>
      </c>
      <c r="O442" s="5">
        <v>25.8817839619729</v>
      </c>
      <c r="P442" s="5">
        <v>25.980788955929199</v>
      </c>
      <c r="Q442" s="6">
        <v>5944.1850000000004</v>
      </c>
      <c r="R442" s="7">
        <v>0</v>
      </c>
      <c r="S442" s="5">
        <v>0</v>
      </c>
      <c r="T442" s="5">
        <v>0</v>
      </c>
      <c r="U442" s="6">
        <v>0</v>
      </c>
      <c r="V442" s="8"/>
    </row>
    <row r="443" spans="1:22" x14ac:dyDescent="0.2">
      <c r="A443" s="2" t="s">
        <v>34</v>
      </c>
      <c r="B443" s="2" t="s">
        <v>37</v>
      </c>
      <c r="C443" s="2">
        <v>1022866</v>
      </c>
      <c r="D443" s="2" t="s">
        <v>204</v>
      </c>
      <c r="E443" s="3" t="s">
        <v>178</v>
      </c>
      <c r="F443" s="4">
        <v>0</v>
      </c>
      <c r="G443" s="5">
        <v>0</v>
      </c>
      <c r="H443" s="5">
        <v>0</v>
      </c>
      <c r="I443" s="6">
        <v>0</v>
      </c>
      <c r="J443" s="7">
        <v>0</v>
      </c>
      <c r="K443" s="5">
        <v>0</v>
      </c>
      <c r="L443" s="5">
        <v>0</v>
      </c>
      <c r="M443" s="6">
        <v>0</v>
      </c>
      <c r="N443" s="4">
        <v>37227.790999999997</v>
      </c>
      <c r="O443" s="5">
        <v>30.479210759510298</v>
      </c>
      <c r="P443" s="5">
        <v>30.911439306189301</v>
      </c>
      <c r="Q443" s="6">
        <v>37227.790999999997</v>
      </c>
      <c r="R443" s="7">
        <v>0</v>
      </c>
      <c r="S443" s="5">
        <v>0</v>
      </c>
      <c r="T443" s="5">
        <v>0</v>
      </c>
      <c r="U443" s="6">
        <v>0</v>
      </c>
      <c r="V443" s="8"/>
    </row>
    <row r="444" spans="1:22" x14ac:dyDescent="0.2">
      <c r="A444" s="2" t="s">
        <v>34</v>
      </c>
      <c r="B444" s="2" t="s">
        <v>37</v>
      </c>
      <c r="C444" s="2">
        <v>1023123</v>
      </c>
      <c r="D444" s="2" t="s">
        <v>346</v>
      </c>
      <c r="E444" s="3" t="s">
        <v>43</v>
      </c>
      <c r="F444" s="4">
        <v>0</v>
      </c>
      <c r="G444" s="5">
        <v>0</v>
      </c>
      <c r="H444" s="5">
        <v>0</v>
      </c>
      <c r="I444" s="6">
        <v>0</v>
      </c>
      <c r="J444" s="7">
        <v>0</v>
      </c>
      <c r="K444" s="5">
        <v>0</v>
      </c>
      <c r="L444" s="5">
        <v>0</v>
      </c>
      <c r="M444" s="6">
        <v>0</v>
      </c>
      <c r="N444" s="4">
        <v>3748.9879999999998</v>
      </c>
      <c r="O444" s="5">
        <v>20.5965652597448</v>
      </c>
      <c r="P444" s="5">
        <v>20.5965652597448</v>
      </c>
      <c r="Q444" s="6">
        <v>3748.9879999999998</v>
      </c>
      <c r="R444" s="7">
        <v>0</v>
      </c>
      <c r="S444" s="5">
        <v>0</v>
      </c>
      <c r="T444" s="5">
        <v>0</v>
      </c>
      <c r="U444" s="6">
        <v>0</v>
      </c>
      <c r="V444" s="8"/>
    </row>
    <row r="445" spans="1:22" x14ac:dyDescent="0.2">
      <c r="A445" s="2" t="s">
        <v>34</v>
      </c>
      <c r="B445" s="2" t="s">
        <v>37</v>
      </c>
      <c r="C445" s="2">
        <v>1023265</v>
      </c>
      <c r="D445" s="2" t="s">
        <v>348</v>
      </c>
      <c r="E445" s="3" t="s">
        <v>191</v>
      </c>
      <c r="F445" s="4">
        <v>0</v>
      </c>
      <c r="G445" s="5">
        <v>0</v>
      </c>
      <c r="H445" s="5">
        <v>0</v>
      </c>
      <c r="I445" s="6">
        <v>0</v>
      </c>
      <c r="J445" s="7">
        <v>0</v>
      </c>
      <c r="K445" s="5">
        <v>0</v>
      </c>
      <c r="L445" s="5">
        <v>0</v>
      </c>
      <c r="M445" s="6">
        <v>0</v>
      </c>
      <c r="N445" s="4">
        <v>2002.9590000000001</v>
      </c>
      <c r="O445" s="5">
        <v>16</v>
      </c>
      <c r="P445" s="5">
        <v>17</v>
      </c>
      <c r="Q445" s="6">
        <v>2002.9590000000001</v>
      </c>
      <c r="R445" s="7">
        <v>0</v>
      </c>
      <c r="S445" s="5">
        <v>0</v>
      </c>
      <c r="T445" s="5">
        <v>0</v>
      </c>
      <c r="U445" s="6">
        <v>0</v>
      </c>
      <c r="V445" s="8"/>
    </row>
    <row r="446" spans="1:22" x14ac:dyDescent="0.2">
      <c r="A446" s="2" t="s">
        <v>50</v>
      </c>
      <c r="B446" s="2" t="s">
        <v>52</v>
      </c>
      <c r="C446" s="2">
        <v>1030228</v>
      </c>
      <c r="D446" s="2" t="s">
        <v>206</v>
      </c>
      <c r="E446" s="3" t="s">
        <v>207</v>
      </c>
      <c r="F446" s="4">
        <v>0</v>
      </c>
      <c r="G446" s="5">
        <v>0</v>
      </c>
      <c r="H446" s="5">
        <v>0</v>
      </c>
      <c r="I446" s="6">
        <v>0</v>
      </c>
      <c r="J446" s="7">
        <v>0</v>
      </c>
      <c r="K446" s="5">
        <v>0</v>
      </c>
      <c r="L446" s="5">
        <v>0</v>
      </c>
      <c r="M446" s="6">
        <v>0</v>
      </c>
      <c r="N446" s="4">
        <v>163.29599999999999</v>
      </c>
      <c r="O446" s="5">
        <v>40</v>
      </c>
      <c r="P446" s="5">
        <v>45</v>
      </c>
      <c r="Q446" s="6">
        <v>163.29599999999999</v>
      </c>
      <c r="R446" s="7">
        <v>0</v>
      </c>
      <c r="S446" s="5">
        <v>0</v>
      </c>
      <c r="T446" s="5">
        <v>0</v>
      </c>
      <c r="U446" s="6">
        <v>0</v>
      </c>
      <c r="V446" s="8"/>
    </row>
    <row r="447" spans="1:22" x14ac:dyDescent="0.2">
      <c r="A447" s="2" t="s">
        <v>50</v>
      </c>
      <c r="B447" s="2" t="s">
        <v>52</v>
      </c>
      <c r="C447" s="2">
        <v>1030239</v>
      </c>
      <c r="D447" s="2" t="s">
        <v>209</v>
      </c>
      <c r="E447" s="3" t="s">
        <v>63</v>
      </c>
      <c r="F447" s="4">
        <v>0</v>
      </c>
      <c r="G447" s="5">
        <v>0</v>
      </c>
      <c r="H447" s="5">
        <v>0</v>
      </c>
      <c r="I447" s="6">
        <v>0</v>
      </c>
      <c r="J447" s="7">
        <v>0</v>
      </c>
      <c r="K447" s="5">
        <v>0</v>
      </c>
      <c r="L447" s="5">
        <v>0</v>
      </c>
      <c r="M447" s="6">
        <v>0</v>
      </c>
      <c r="N447" s="4">
        <v>6315.04</v>
      </c>
      <c r="O447" s="5">
        <v>19</v>
      </c>
      <c r="P447" s="5">
        <v>24</v>
      </c>
      <c r="Q447" s="6">
        <v>6315.04</v>
      </c>
      <c r="R447" s="7">
        <v>95.27</v>
      </c>
      <c r="S447" s="5">
        <v>48</v>
      </c>
      <c r="T447" s="5">
        <v>48</v>
      </c>
      <c r="U447" s="6">
        <v>95.27</v>
      </c>
      <c r="V447" s="8"/>
    </row>
    <row r="448" spans="1:22" x14ac:dyDescent="0.2">
      <c r="A448" s="2" t="s">
        <v>50</v>
      </c>
      <c r="B448" s="2" t="s">
        <v>52</v>
      </c>
      <c r="C448" s="2">
        <v>1030321</v>
      </c>
      <c r="D448" s="2" t="s">
        <v>350</v>
      </c>
      <c r="E448" s="3" t="s">
        <v>132</v>
      </c>
      <c r="F448" s="4">
        <v>0</v>
      </c>
      <c r="G448" s="5">
        <v>0</v>
      </c>
      <c r="H448" s="5">
        <v>0</v>
      </c>
      <c r="I448" s="6">
        <v>0</v>
      </c>
      <c r="J448" s="7">
        <v>3892.18</v>
      </c>
      <c r="K448" s="5">
        <v>2</v>
      </c>
      <c r="L448" s="5">
        <v>2</v>
      </c>
      <c r="M448" s="6">
        <v>3892.18</v>
      </c>
      <c r="N448" s="4">
        <v>3648.73</v>
      </c>
      <c r="O448" s="5">
        <v>17</v>
      </c>
      <c r="P448" s="5">
        <v>17</v>
      </c>
      <c r="Q448" s="6">
        <v>3648.73</v>
      </c>
      <c r="R448" s="7">
        <v>0</v>
      </c>
      <c r="S448" s="5">
        <v>0</v>
      </c>
      <c r="T448" s="5">
        <v>0</v>
      </c>
      <c r="U448" s="6">
        <v>0</v>
      </c>
      <c r="V448" s="8"/>
    </row>
    <row r="449" spans="1:22" x14ac:dyDescent="0.2">
      <c r="A449" s="2" t="s">
        <v>50</v>
      </c>
      <c r="B449" s="2" t="s">
        <v>52</v>
      </c>
      <c r="C449" s="2">
        <v>1030360</v>
      </c>
      <c r="D449" s="2" t="s">
        <v>352</v>
      </c>
      <c r="E449" s="3" t="s">
        <v>132</v>
      </c>
      <c r="F449" s="4">
        <v>0</v>
      </c>
      <c r="G449" s="5">
        <v>0</v>
      </c>
      <c r="H449" s="5">
        <v>0</v>
      </c>
      <c r="I449" s="6">
        <v>0</v>
      </c>
      <c r="J449" s="7">
        <v>3935.6</v>
      </c>
      <c r="K449" s="5">
        <v>7.1661957516007702</v>
      </c>
      <c r="L449" s="5">
        <v>7.1661957516007702</v>
      </c>
      <c r="M449" s="6">
        <v>3935.6</v>
      </c>
      <c r="N449" s="4">
        <v>4709.3</v>
      </c>
      <c r="O449" s="5">
        <v>17</v>
      </c>
      <c r="P449" s="5">
        <v>17</v>
      </c>
      <c r="Q449" s="6">
        <v>4709.3</v>
      </c>
      <c r="R449" s="7">
        <v>0</v>
      </c>
      <c r="S449" s="5">
        <v>0</v>
      </c>
      <c r="T449" s="5">
        <v>0</v>
      </c>
      <c r="U449" s="6">
        <v>0</v>
      </c>
      <c r="V449" s="8"/>
    </row>
    <row r="450" spans="1:22" x14ac:dyDescent="0.2">
      <c r="A450" s="2" t="s">
        <v>50</v>
      </c>
      <c r="B450" s="2" t="s">
        <v>52</v>
      </c>
      <c r="C450" s="2">
        <v>1030366</v>
      </c>
      <c r="D450" s="2" t="s">
        <v>354</v>
      </c>
      <c r="E450" s="3" t="s">
        <v>132</v>
      </c>
      <c r="F450" s="4">
        <v>0</v>
      </c>
      <c r="G450" s="5">
        <v>0</v>
      </c>
      <c r="H450" s="5">
        <v>0</v>
      </c>
      <c r="I450" s="6">
        <v>0</v>
      </c>
      <c r="J450" s="7">
        <v>871.23</v>
      </c>
      <c r="K450" s="5">
        <v>2</v>
      </c>
      <c r="L450" s="5">
        <v>2</v>
      </c>
      <c r="M450" s="6">
        <v>871.23</v>
      </c>
      <c r="N450" s="4">
        <v>871.32</v>
      </c>
      <c r="O450" s="5">
        <v>17</v>
      </c>
      <c r="P450" s="5">
        <v>17</v>
      </c>
      <c r="Q450" s="6">
        <v>871.32</v>
      </c>
      <c r="R450" s="7">
        <v>0</v>
      </c>
      <c r="S450" s="5">
        <v>0</v>
      </c>
      <c r="T450" s="5">
        <v>0</v>
      </c>
      <c r="U450" s="6">
        <v>0</v>
      </c>
      <c r="V450" s="8"/>
    </row>
    <row r="451" spans="1:22" x14ac:dyDescent="0.2">
      <c r="A451" s="2" t="s">
        <v>50</v>
      </c>
      <c r="B451" s="2" t="s">
        <v>52</v>
      </c>
      <c r="C451" s="2">
        <v>1030370</v>
      </c>
      <c r="D451" s="2" t="s">
        <v>356</v>
      </c>
      <c r="E451" s="3" t="s">
        <v>181</v>
      </c>
      <c r="F451" s="4">
        <v>0</v>
      </c>
      <c r="G451" s="5">
        <v>0</v>
      </c>
      <c r="H451" s="5">
        <v>0</v>
      </c>
      <c r="I451" s="6">
        <v>0</v>
      </c>
      <c r="J451" s="7">
        <v>7872.76</v>
      </c>
      <c r="K451" s="5">
        <v>12</v>
      </c>
      <c r="L451" s="5">
        <v>12</v>
      </c>
      <c r="M451" s="6">
        <v>7872.76</v>
      </c>
      <c r="N451" s="4">
        <v>2.4359999999999999</v>
      </c>
      <c r="O451" s="5">
        <v>74</v>
      </c>
      <c r="P451" s="5">
        <v>74</v>
      </c>
      <c r="Q451" s="6">
        <v>2.4359999999999999</v>
      </c>
      <c r="R451" s="7">
        <v>0</v>
      </c>
      <c r="S451" s="5">
        <v>0</v>
      </c>
      <c r="T451" s="5">
        <v>0</v>
      </c>
      <c r="U451" s="6">
        <v>0</v>
      </c>
      <c r="V451" s="8"/>
    </row>
    <row r="452" spans="1:22" x14ac:dyDescent="0.2">
      <c r="A452" s="2" t="s">
        <v>50</v>
      </c>
      <c r="B452" s="2" t="s">
        <v>52</v>
      </c>
      <c r="C452" s="2">
        <v>1030376</v>
      </c>
      <c r="D452" s="2" t="s">
        <v>358</v>
      </c>
      <c r="E452" s="3" t="s">
        <v>132</v>
      </c>
      <c r="F452" s="4">
        <v>0</v>
      </c>
      <c r="G452" s="5">
        <v>0</v>
      </c>
      <c r="H452" s="5">
        <v>0</v>
      </c>
      <c r="I452" s="6">
        <v>0</v>
      </c>
      <c r="J452" s="7">
        <v>5639.7550000000001</v>
      </c>
      <c r="K452" s="5">
        <v>2</v>
      </c>
      <c r="L452" s="5">
        <v>2</v>
      </c>
      <c r="M452" s="6">
        <v>5639.7550000000001</v>
      </c>
      <c r="N452" s="4">
        <v>4004.7</v>
      </c>
      <c r="O452" s="5">
        <v>17</v>
      </c>
      <c r="P452" s="5">
        <v>17</v>
      </c>
      <c r="Q452" s="6">
        <v>4004.7</v>
      </c>
      <c r="R452" s="7">
        <v>0</v>
      </c>
      <c r="S452" s="5">
        <v>0</v>
      </c>
      <c r="T452" s="5">
        <v>0</v>
      </c>
      <c r="U452" s="6">
        <v>0</v>
      </c>
      <c r="V452" s="8"/>
    </row>
    <row r="453" spans="1:22" x14ac:dyDescent="0.2">
      <c r="A453" s="2" t="s">
        <v>50</v>
      </c>
      <c r="B453" s="2" t="s">
        <v>52</v>
      </c>
      <c r="C453" s="2">
        <v>1030379</v>
      </c>
      <c r="D453" s="2" t="s">
        <v>98</v>
      </c>
      <c r="E453" s="3" t="s">
        <v>79</v>
      </c>
      <c r="F453" s="4">
        <v>0</v>
      </c>
      <c r="G453" s="5">
        <v>0</v>
      </c>
      <c r="H453" s="5">
        <v>0</v>
      </c>
      <c r="I453" s="6">
        <v>0</v>
      </c>
      <c r="J453" s="7">
        <v>135288.12</v>
      </c>
      <c r="K453" s="5">
        <v>15.898900509520001</v>
      </c>
      <c r="L453" s="5">
        <v>15.898900509520001</v>
      </c>
      <c r="M453" s="6">
        <v>135288.12</v>
      </c>
      <c r="N453" s="4">
        <v>320842.18</v>
      </c>
      <c r="O453" s="5">
        <v>13.8804771866343</v>
      </c>
      <c r="P453" s="5">
        <v>20.8243907954995</v>
      </c>
      <c r="Q453" s="6">
        <v>320842.18</v>
      </c>
      <c r="R453" s="7">
        <v>1088.4000000000001</v>
      </c>
      <c r="S453" s="5">
        <v>20.45</v>
      </c>
      <c r="T453" s="5">
        <v>48.933333333333302</v>
      </c>
      <c r="U453" s="6">
        <v>1088.4000000000001</v>
      </c>
      <c r="V453" s="8"/>
    </row>
    <row r="454" spans="1:22" x14ac:dyDescent="0.2">
      <c r="A454" s="2" t="s">
        <v>50</v>
      </c>
      <c r="B454" s="2" t="s">
        <v>52</v>
      </c>
      <c r="C454" s="2">
        <v>1030424</v>
      </c>
      <c r="D454" s="2" t="s">
        <v>360</v>
      </c>
      <c r="E454" s="3" t="s">
        <v>79</v>
      </c>
      <c r="F454" s="4">
        <v>0</v>
      </c>
      <c r="G454" s="5">
        <v>0</v>
      </c>
      <c r="H454" s="5">
        <v>0</v>
      </c>
      <c r="I454" s="6">
        <v>0</v>
      </c>
      <c r="J454" s="7">
        <v>0</v>
      </c>
      <c r="K454" s="5">
        <v>0</v>
      </c>
      <c r="L454" s="5">
        <v>0</v>
      </c>
      <c r="M454" s="6">
        <v>0</v>
      </c>
      <c r="N454" s="4">
        <v>23409.214</v>
      </c>
      <c r="O454" s="5">
        <v>5</v>
      </c>
      <c r="P454" s="5">
        <v>12</v>
      </c>
      <c r="Q454" s="6">
        <v>23409.214</v>
      </c>
      <c r="R454" s="7">
        <v>0</v>
      </c>
      <c r="S454" s="5">
        <v>0</v>
      </c>
      <c r="T454" s="5">
        <v>0</v>
      </c>
      <c r="U454" s="6">
        <v>0</v>
      </c>
      <c r="V454" s="8"/>
    </row>
    <row r="455" spans="1:22" x14ac:dyDescent="0.2">
      <c r="A455" s="2" t="s">
        <v>50</v>
      </c>
      <c r="B455" s="2" t="s">
        <v>52</v>
      </c>
      <c r="C455" s="2">
        <v>1030452</v>
      </c>
      <c r="D455" s="2" t="s">
        <v>78</v>
      </c>
      <c r="E455" s="3" t="s">
        <v>79</v>
      </c>
      <c r="F455" s="4">
        <v>0</v>
      </c>
      <c r="G455" s="5">
        <v>0</v>
      </c>
      <c r="H455" s="5">
        <v>0</v>
      </c>
      <c r="I455" s="6">
        <v>0</v>
      </c>
      <c r="J455" s="7">
        <v>23418.762999999999</v>
      </c>
      <c r="K455" s="5">
        <v>9.1354918276426496</v>
      </c>
      <c r="L455" s="5">
        <v>9.1354918276426496</v>
      </c>
      <c r="M455" s="6">
        <v>23418.762999999999</v>
      </c>
      <c r="N455" s="4">
        <v>57542.769</v>
      </c>
      <c r="O455" s="5">
        <v>25.787500180952399</v>
      </c>
      <c r="P455" s="5">
        <v>30.6747121432408</v>
      </c>
      <c r="Q455" s="6">
        <v>57542.769</v>
      </c>
      <c r="R455" s="7">
        <v>111.70699999999999</v>
      </c>
      <c r="S455" s="5">
        <v>41</v>
      </c>
      <c r="T455" s="5">
        <v>55</v>
      </c>
      <c r="U455" s="6">
        <v>111.70699999999999</v>
      </c>
      <c r="V455" s="8"/>
    </row>
    <row r="456" spans="1:22" x14ac:dyDescent="0.2">
      <c r="A456" s="2" t="s">
        <v>50</v>
      </c>
      <c r="B456" s="2" t="s">
        <v>52</v>
      </c>
      <c r="C456" s="2">
        <v>1030461</v>
      </c>
      <c r="D456" s="2" t="s">
        <v>129</v>
      </c>
      <c r="E456" s="3" t="s">
        <v>79</v>
      </c>
      <c r="F456" s="4">
        <v>0</v>
      </c>
      <c r="G456" s="5">
        <v>0</v>
      </c>
      <c r="H456" s="5">
        <v>0</v>
      </c>
      <c r="I456" s="6">
        <v>0</v>
      </c>
      <c r="J456" s="7">
        <v>3528.2849999999999</v>
      </c>
      <c r="K456" s="5">
        <v>26</v>
      </c>
      <c r="L456" s="5">
        <v>26</v>
      </c>
      <c r="M456" s="6">
        <v>3528.2849999999999</v>
      </c>
      <c r="N456" s="4">
        <v>8804.0560000000005</v>
      </c>
      <c r="O456" s="5">
        <v>9.0638404617144595</v>
      </c>
      <c r="P456" s="5">
        <v>12.0756263931079</v>
      </c>
      <c r="Q456" s="6">
        <v>8804.0560000000005</v>
      </c>
      <c r="R456" s="7">
        <v>0</v>
      </c>
      <c r="S456" s="5">
        <v>0</v>
      </c>
      <c r="T456" s="5">
        <v>0</v>
      </c>
      <c r="U456" s="6">
        <v>0</v>
      </c>
      <c r="V456" s="8"/>
    </row>
    <row r="457" spans="1:22" x14ac:dyDescent="0.2">
      <c r="A457" s="2" t="s">
        <v>50</v>
      </c>
      <c r="B457" s="2" t="s">
        <v>52</v>
      </c>
      <c r="C457" s="2">
        <v>1030735</v>
      </c>
      <c r="D457" s="2" t="s">
        <v>362</v>
      </c>
      <c r="E457" s="3" t="s">
        <v>54</v>
      </c>
      <c r="F457" s="4">
        <v>0</v>
      </c>
      <c r="G457" s="5">
        <v>0</v>
      </c>
      <c r="H457" s="5">
        <v>0</v>
      </c>
      <c r="I457" s="6">
        <v>0</v>
      </c>
      <c r="J457" s="7">
        <v>19051.2</v>
      </c>
      <c r="K457" s="5">
        <v>19</v>
      </c>
      <c r="L457" s="5">
        <v>19</v>
      </c>
      <c r="M457" s="6">
        <v>19051.2</v>
      </c>
      <c r="N457" s="4">
        <v>0</v>
      </c>
      <c r="O457" s="5">
        <v>0</v>
      </c>
      <c r="P457" s="5">
        <v>0</v>
      </c>
      <c r="Q457" s="6">
        <v>0</v>
      </c>
      <c r="R457" s="7">
        <v>0</v>
      </c>
      <c r="S457" s="5">
        <v>0</v>
      </c>
      <c r="T457" s="5">
        <v>0</v>
      </c>
      <c r="U457" s="6">
        <v>0</v>
      </c>
      <c r="V457" s="8"/>
    </row>
    <row r="458" spans="1:22" x14ac:dyDescent="0.2">
      <c r="A458" s="2" t="s">
        <v>50</v>
      </c>
      <c r="B458" s="2" t="s">
        <v>52</v>
      </c>
      <c r="C458" s="2">
        <v>1030745</v>
      </c>
      <c r="D458" s="2" t="s">
        <v>53</v>
      </c>
      <c r="E458" s="3" t="s">
        <v>54</v>
      </c>
      <c r="F458" s="4">
        <v>0</v>
      </c>
      <c r="G458" s="5">
        <v>0</v>
      </c>
      <c r="H458" s="5">
        <v>0</v>
      </c>
      <c r="I458" s="6">
        <v>0</v>
      </c>
      <c r="J458" s="7">
        <v>0</v>
      </c>
      <c r="K458" s="5">
        <v>0</v>
      </c>
      <c r="L458" s="5">
        <v>0</v>
      </c>
      <c r="M458" s="6">
        <v>0</v>
      </c>
      <c r="N458" s="4">
        <v>1106.7840000000001</v>
      </c>
      <c r="O458" s="5">
        <v>79</v>
      </c>
      <c r="P458" s="5">
        <v>81</v>
      </c>
      <c r="Q458" s="6">
        <v>1106.7840000000001</v>
      </c>
      <c r="R458" s="7">
        <v>0</v>
      </c>
      <c r="S458" s="5">
        <v>0</v>
      </c>
      <c r="T458" s="5">
        <v>0</v>
      </c>
      <c r="U458" s="6">
        <v>0</v>
      </c>
      <c r="V458" s="8"/>
    </row>
    <row r="459" spans="1:22" x14ac:dyDescent="0.2">
      <c r="A459" s="2" t="s">
        <v>50</v>
      </c>
      <c r="B459" s="2" t="s">
        <v>52</v>
      </c>
      <c r="C459" s="2">
        <v>1030773</v>
      </c>
      <c r="D459" s="2" t="s">
        <v>211</v>
      </c>
      <c r="E459" s="3" t="s">
        <v>79</v>
      </c>
      <c r="F459" s="4">
        <v>0</v>
      </c>
      <c r="G459" s="5">
        <v>0</v>
      </c>
      <c r="H459" s="5">
        <v>0</v>
      </c>
      <c r="I459" s="6">
        <v>0</v>
      </c>
      <c r="J459" s="7">
        <v>0</v>
      </c>
      <c r="K459" s="5">
        <v>0</v>
      </c>
      <c r="L459" s="5">
        <v>0</v>
      </c>
      <c r="M459" s="6">
        <v>0</v>
      </c>
      <c r="N459" s="4">
        <v>15022</v>
      </c>
      <c r="O459" s="5">
        <v>45</v>
      </c>
      <c r="P459" s="5">
        <v>46</v>
      </c>
      <c r="Q459" s="6">
        <v>15022</v>
      </c>
      <c r="R459" s="7">
        <v>0</v>
      </c>
      <c r="S459" s="5">
        <v>0</v>
      </c>
      <c r="T459" s="5">
        <v>0</v>
      </c>
      <c r="U459" s="6">
        <v>0</v>
      </c>
      <c r="V459" s="8"/>
    </row>
    <row r="460" spans="1:22" x14ac:dyDescent="0.2">
      <c r="A460" s="2" t="s">
        <v>50</v>
      </c>
      <c r="B460" s="2" t="s">
        <v>52</v>
      </c>
      <c r="C460" s="2">
        <v>1030782</v>
      </c>
      <c r="D460" s="2" t="s">
        <v>81</v>
      </c>
      <c r="E460" s="3" t="s">
        <v>79</v>
      </c>
      <c r="F460" s="4">
        <v>0</v>
      </c>
      <c r="G460" s="5">
        <v>0</v>
      </c>
      <c r="H460" s="5">
        <v>0</v>
      </c>
      <c r="I460" s="6">
        <v>0</v>
      </c>
      <c r="J460" s="7">
        <v>17152.16</v>
      </c>
      <c r="K460" s="5">
        <v>19.609737782296801</v>
      </c>
      <c r="L460" s="5">
        <v>19.609737782296801</v>
      </c>
      <c r="M460" s="6">
        <v>17152.16</v>
      </c>
      <c r="N460" s="4">
        <v>41821.796000000002</v>
      </c>
      <c r="O460" s="5">
        <v>27.4442993792041</v>
      </c>
      <c r="P460" s="5">
        <v>34.813261486905098</v>
      </c>
      <c r="Q460" s="6">
        <v>41821.796000000002</v>
      </c>
      <c r="R460" s="7">
        <v>107.334</v>
      </c>
      <c r="S460" s="5">
        <v>35.000531052602199</v>
      </c>
      <c r="T460" s="5">
        <v>58.279352302159602</v>
      </c>
      <c r="U460" s="6">
        <v>107.334</v>
      </c>
      <c r="V460" s="8"/>
    </row>
    <row r="461" spans="1:22" x14ac:dyDescent="0.2">
      <c r="A461" s="2" t="s">
        <v>50</v>
      </c>
      <c r="B461" s="2" t="s">
        <v>52</v>
      </c>
      <c r="C461" s="2">
        <v>1030783</v>
      </c>
      <c r="D461" s="2" t="s">
        <v>131</v>
      </c>
      <c r="E461" s="3" t="s">
        <v>132</v>
      </c>
      <c r="F461" s="4">
        <v>0</v>
      </c>
      <c r="G461" s="5">
        <v>0</v>
      </c>
      <c r="H461" s="5">
        <v>0</v>
      </c>
      <c r="I461" s="6">
        <v>0</v>
      </c>
      <c r="J461" s="7">
        <v>2260.12</v>
      </c>
      <c r="K461" s="5">
        <v>2</v>
      </c>
      <c r="L461" s="5">
        <v>2</v>
      </c>
      <c r="M461" s="6">
        <v>2260.12</v>
      </c>
      <c r="N461" s="4">
        <v>0</v>
      </c>
      <c r="O461" s="5">
        <v>0</v>
      </c>
      <c r="P461" s="5">
        <v>0</v>
      </c>
      <c r="Q461" s="6">
        <v>0</v>
      </c>
      <c r="R461" s="7">
        <v>16.885999999999999</v>
      </c>
      <c r="S461" s="5">
        <v>81</v>
      </c>
      <c r="T461" s="5">
        <v>89</v>
      </c>
      <c r="U461" s="6">
        <v>16.885999999999999</v>
      </c>
      <c r="V461" s="8"/>
    </row>
    <row r="462" spans="1:22" x14ac:dyDescent="0.2">
      <c r="A462" s="2" t="s">
        <v>50</v>
      </c>
      <c r="B462" s="2" t="s">
        <v>52</v>
      </c>
      <c r="C462" s="2">
        <v>1030784</v>
      </c>
      <c r="D462" s="2" t="s">
        <v>364</v>
      </c>
      <c r="E462" s="3" t="s">
        <v>132</v>
      </c>
      <c r="F462" s="4">
        <v>0</v>
      </c>
      <c r="G462" s="5">
        <v>0</v>
      </c>
      <c r="H462" s="5">
        <v>0</v>
      </c>
      <c r="I462" s="6">
        <v>0</v>
      </c>
      <c r="J462" s="7">
        <v>3403.27</v>
      </c>
      <c r="K462" s="5">
        <v>2</v>
      </c>
      <c r="L462" s="5">
        <v>2</v>
      </c>
      <c r="M462" s="6">
        <v>3403.27</v>
      </c>
      <c r="N462" s="4">
        <v>0</v>
      </c>
      <c r="O462" s="5">
        <v>0</v>
      </c>
      <c r="P462" s="5">
        <v>0</v>
      </c>
      <c r="Q462" s="6">
        <v>0</v>
      </c>
      <c r="R462" s="7">
        <v>0</v>
      </c>
      <c r="S462" s="5">
        <v>0</v>
      </c>
      <c r="T462" s="5">
        <v>0</v>
      </c>
      <c r="U462" s="6">
        <v>0</v>
      </c>
      <c r="V462" s="8"/>
    </row>
    <row r="463" spans="1:22" x14ac:dyDescent="0.2">
      <c r="A463" s="2" t="s">
        <v>50</v>
      </c>
      <c r="B463" s="2" t="s">
        <v>52</v>
      </c>
      <c r="C463" s="2">
        <v>1030785</v>
      </c>
      <c r="D463" s="2" t="s">
        <v>366</v>
      </c>
      <c r="E463" s="3" t="s">
        <v>132</v>
      </c>
      <c r="F463" s="4">
        <v>0</v>
      </c>
      <c r="G463" s="5">
        <v>0</v>
      </c>
      <c r="H463" s="5">
        <v>0</v>
      </c>
      <c r="I463" s="6">
        <v>0</v>
      </c>
      <c r="J463" s="7">
        <v>133.19999999999999</v>
      </c>
      <c r="K463" s="5">
        <v>2</v>
      </c>
      <c r="L463" s="5">
        <v>2</v>
      </c>
      <c r="M463" s="6">
        <v>133.19999999999999</v>
      </c>
      <c r="N463" s="4">
        <v>0</v>
      </c>
      <c r="O463" s="5">
        <v>0</v>
      </c>
      <c r="P463" s="5">
        <v>0</v>
      </c>
      <c r="Q463" s="6">
        <v>0</v>
      </c>
      <c r="R463" s="7">
        <v>0</v>
      </c>
      <c r="S463" s="5">
        <v>0</v>
      </c>
      <c r="T463" s="5">
        <v>0</v>
      </c>
      <c r="U463" s="6">
        <v>0</v>
      </c>
      <c r="V463" s="8"/>
    </row>
    <row r="464" spans="1:22" x14ac:dyDescent="0.2">
      <c r="A464" s="2" t="s">
        <v>50</v>
      </c>
      <c r="B464" s="2" t="s">
        <v>52</v>
      </c>
      <c r="C464" s="2">
        <v>1030818</v>
      </c>
      <c r="D464" s="2" t="s">
        <v>134</v>
      </c>
      <c r="E464" s="3" t="s">
        <v>79</v>
      </c>
      <c r="F464" s="4">
        <v>0</v>
      </c>
      <c r="G464" s="5">
        <v>0</v>
      </c>
      <c r="H464" s="5">
        <v>0</v>
      </c>
      <c r="I464" s="6">
        <v>0</v>
      </c>
      <c r="J464" s="7">
        <v>0</v>
      </c>
      <c r="K464" s="5">
        <v>0</v>
      </c>
      <c r="L464" s="5">
        <v>0</v>
      </c>
      <c r="M464" s="6">
        <v>0</v>
      </c>
      <c r="N464" s="4">
        <v>25813.22</v>
      </c>
      <c r="O464" s="5">
        <v>47.704146170063197</v>
      </c>
      <c r="P464" s="5">
        <v>53.557976106816596</v>
      </c>
      <c r="Q464" s="6">
        <v>25813.22</v>
      </c>
      <c r="R464" s="7">
        <v>0</v>
      </c>
      <c r="S464" s="5">
        <v>0</v>
      </c>
      <c r="T464" s="5">
        <v>0</v>
      </c>
      <c r="U464" s="6">
        <v>0</v>
      </c>
      <c r="V464" s="8"/>
    </row>
    <row r="465" spans="1:22" x14ac:dyDescent="0.2">
      <c r="A465" s="2" t="s">
        <v>50</v>
      </c>
      <c r="B465" s="2" t="s">
        <v>226</v>
      </c>
      <c r="C465" s="2">
        <v>1030265</v>
      </c>
      <c r="D465" s="2" t="s">
        <v>368</v>
      </c>
      <c r="E465" s="3" t="s">
        <v>79</v>
      </c>
      <c r="F465" s="4">
        <v>0</v>
      </c>
      <c r="G465" s="5">
        <v>0</v>
      </c>
      <c r="H465" s="5">
        <v>0</v>
      </c>
      <c r="I465" s="6">
        <v>0</v>
      </c>
      <c r="J465" s="7">
        <v>0</v>
      </c>
      <c r="K465" s="5">
        <v>0</v>
      </c>
      <c r="L465" s="5">
        <v>0</v>
      </c>
      <c r="M465" s="6">
        <v>0</v>
      </c>
      <c r="N465" s="4">
        <v>21600</v>
      </c>
      <c r="O465" s="5">
        <v>3</v>
      </c>
      <c r="P465" s="5">
        <v>6</v>
      </c>
      <c r="Q465" s="6">
        <v>21600</v>
      </c>
      <c r="R465" s="7">
        <v>0</v>
      </c>
      <c r="S465" s="5">
        <v>0</v>
      </c>
      <c r="T465" s="5">
        <v>0</v>
      </c>
      <c r="U465" s="6">
        <v>0</v>
      </c>
      <c r="V465" s="8"/>
    </row>
    <row r="466" spans="1:22" x14ac:dyDescent="0.2">
      <c r="A466" s="2" t="s">
        <v>50</v>
      </c>
      <c r="B466" s="2" t="s">
        <v>150</v>
      </c>
      <c r="C466" s="2">
        <v>1030337</v>
      </c>
      <c r="D466" s="2" t="s">
        <v>370</v>
      </c>
      <c r="E466" s="3" t="s">
        <v>79</v>
      </c>
      <c r="F466" s="4">
        <v>0</v>
      </c>
      <c r="G466" s="5">
        <v>0</v>
      </c>
      <c r="H466" s="5">
        <v>0</v>
      </c>
      <c r="I466" s="6">
        <v>0</v>
      </c>
      <c r="J466" s="7">
        <v>24000</v>
      </c>
      <c r="K466" s="5">
        <v>5</v>
      </c>
      <c r="L466" s="5">
        <v>5</v>
      </c>
      <c r="M466" s="6">
        <v>24000</v>
      </c>
      <c r="N466" s="4">
        <v>168000</v>
      </c>
      <c r="O466" s="5">
        <v>8.28571428571429</v>
      </c>
      <c r="P466" s="5">
        <v>13.5714285714286</v>
      </c>
      <c r="Q466" s="6">
        <v>168000</v>
      </c>
      <c r="R466" s="7">
        <v>0</v>
      </c>
      <c r="S466" s="5">
        <v>0</v>
      </c>
      <c r="T466" s="5">
        <v>0</v>
      </c>
      <c r="U466" s="6">
        <v>0</v>
      </c>
      <c r="V466" s="8"/>
    </row>
    <row r="467" spans="1:22" x14ac:dyDescent="0.2">
      <c r="A467" s="2" t="s">
        <v>50</v>
      </c>
      <c r="B467" s="2" t="s">
        <v>150</v>
      </c>
      <c r="C467" s="2">
        <v>1030658</v>
      </c>
      <c r="D467" s="2" t="s">
        <v>372</v>
      </c>
      <c r="E467" s="3" t="s">
        <v>207</v>
      </c>
      <c r="F467" s="4">
        <v>0</v>
      </c>
      <c r="G467" s="5">
        <v>0</v>
      </c>
      <c r="H467" s="5">
        <v>0</v>
      </c>
      <c r="I467" s="6">
        <v>0</v>
      </c>
      <c r="J467" s="7">
        <v>48034.720000000001</v>
      </c>
      <c r="K467" s="5">
        <v>5</v>
      </c>
      <c r="L467" s="5">
        <v>5</v>
      </c>
      <c r="M467" s="6">
        <v>48034.720000000001</v>
      </c>
      <c r="N467" s="4">
        <v>144104.16</v>
      </c>
      <c r="O467" s="5">
        <v>16.8333333333333</v>
      </c>
      <c r="P467" s="5">
        <v>20.1666666666667</v>
      </c>
      <c r="Q467" s="6">
        <v>144104.16</v>
      </c>
      <c r="R467" s="7">
        <v>0</v>
      </c>
      <c r="S467" s="5">
        <v>0</v>
      </c>
      <c r="T467" s="5">
        <v>0</v>
      </c>
      <c r="U467" s="6">
        <v>0</v>
      </c>
      <c r="V467" s="8"/>
    </row>
    <row r="468" spans="1:22" x14ac:dyDescent="0.2">
      <c r="A468" s="2" t="s">
        <v>50</v>
      </c>
      <c r="B468" s="2" t="s">
        <v>150</v>
      </c>
      <c r="C468" s="2">
        <v>1030792</v>
      </c>
      <c r="D468" s="2" t="s">
        <v>374</v>
      </c>
      <c r="E468" s="3" t="s">
        <v>79</v>
      </c>
      <c r="F468" s="4">
        <v>0</v>
      </c>
      <c r="G468" s="5">
        <v>0</v>
      </c>
      <c r="H468" s="5">
        <v>0</v>
      </c>
      <c r="I468" s="6">
        <v>0</v>
      </c>
      <c r="J468" s="7">
        <v>0</v>
      </c>
      <c r="K468" s="5">
        <v>0</v>
      </c>
      <c r="L468" s="5">
        <v>0</v>
      </c>
      <c r="M468" s="6">
        <v>0</v>
      </c>
      <c r="N468" s="4">
        <v>72000</v>
      </c>
      <c r="O468" s="5">
        <v>21.3333333333333</v>
      </c>
      <c r="P468" s="5">
        <v>27.3333333333333</v>
      </c>
      <c r="Q468" s="6">
        <v>72000</v>
      </c>
      <c r="R468" s="7">
        <v>0</v>
      </c>
      <c r="S468" s="5">
        <v>0</v>
      </c>
      <c r="T468" s="5">
        <v>0</v>
      </c>
      <c r="U468" s="6">
        <v>0</v>
      </c>
      <c r="V468" s="8"/>
    </row>
    <row r="469" spans="1:22" x14ac:dyDescent="0.2">
      <c r="A469" s="2" t="s">
        <v>50</v>
      </c>
      <c r="B469" s="2" t="s">
        <v>150</v>
      </c>
      <c r="C469" s="2">
        <v>1030810</v>
      </c>
      <c r="D469" s="2" t="s">
        <v>376</v>
      </c>
      <c r="E469" s="3" t="s">
        <v>214</v>
      </c>
      <c r="F469" s="4">
        <v>0</v>
      </c>
      <c r="G469" s="5">
        <v>0</v>
      </c>
      <c r="H469" s="5">
        <v>0</v>
      </c>
      <c r="I469" s="6">
        <v>0</v>
      </c>
      <c r="J469" s="7">
        <v>21600</v>
      </c>
      <c r="K469" s="5">
        <v>5</v>
      </c>
      <c r="L469" s="5">
        <v>5</v>
      </c>
      <c r="M469" s="6">
        <v>21600</v>
      </c>
      <c r="N469" s="4">
        <v>21600</v>
      </c>
      <c r="O469" s="5">
        <v>11</v>
      </c>
      <c r="P469" s="5">
        <v>13</v>
      </c>
      <c r="Q469" s="6">
        <v>21600</v>
      </c>
      <c r="R469" s="7">
        <v>0</v>
      </c>
      <c r="S469" s="5">
        <v>0</v>
      </c>
      <c r="T469" s="5">
        <v>0</v>
      </c>
      <c r="U469" s="6">
        <v>0</v>
      </c>
      <c r="V469" s="8"/>
    </row>
    <row r="470" spans="1:22" x14ac:dyDescent="0.2">
      <c r="A470" s="2" t="s">
        <v>50</v>
      </c>
      <c r="B470" s="2" t="s">
        <v>46</v>
      </c>
      <c r="C470" s="2">
        <v>1030525</v>
      </c>
      <c r="D470" s="2" t="s">
        <v>378</v>
      </c>
      <c r="E470" s="3" t="s">
        <v>63</v>
      </c>
      <c r="F470" s="4">
        <v>0</v>
      </c>
      <c r="G470" s="5">
        <v>0</v>
      </c>
      <c r="H470" s="5">
        <v>0</v>
      </c>
      <c r="I470" s="6">
        <v>0</v>
      </c>
      <c r="J470" s="7">
        <v>0</v>
      </c>
      <c r="K470" s="5">
        <v>0</v>
      </c>
      <c r="L470" s="5">
        <v>0</v>
      </c>
      <c r="M470" s="6">
        <v>0</v>
      </c>
      <c r="N470" s="4">
        <v>24000</v>
      </c>
      <c r="O470" s="5">
        <v>4</v>
      </c>
      <c r="P470" s="5">
        <v>6</v>
      </c>
      <c r="Q470" s="6">
        <v>24000</v>
      </c>
      <c r="R470" s="7">
        <v>0</v>
      </c>
      <c r="S470" s="5">
        <v>0</v>
      </c>
      <c r="T470" s="5">
        <v>0</v>
      </c>
      <c r="U470" s="6">
        <v>0</v>
      </c>
      <c r="V470" s="8"/>
    </row>
    <row r="471" spans="1:22" x14ac:dyDescent="0.2">
      <c r="A471" s="2" t="s">
        <v>50</v>
      </c>
      <c r="B471" s="2" t="s">
        <v>46</v>
      </c>
      <c r="C471" s="2">
        <v>1030683</v>
      </c>
      <c r="D471" s="2" t="s">
        <v>380</v>
      </c>
      <c r="E471" s="3" t="s">
        <v>214</v>
      </c>
      <c r="F471" s="4">
        <v>0</v>
      </c>
      <c r="G471" s="5">
        <v>0</v>
      </c>
      <c r="H471" s="5">
        <v>0</v>
      </c>
      <c r="I471" s="6">
        <v>0</v>
      </c>
      <c r="J471" s="7">
        <v>23925</v>
      </c>
      <c r="K471" s="5">
        <v>2</v>
      </c>
      <c r="L471" s="5">
        <v>2</v>
      </c>
      <c r="M471" s="6">
        <v>23925</v>
      </c>
      <c r="N471" s="4">
        <v>24000</v>
      </c>
      <c r="O471" s="5">
        <v>2</v>
      </c>
      <c r="P471" s="5">
        <v>4</v>
      </c>
      <c r="Q471" s="6">
        <v>24000</v>
      </c>
      <c r="R471" s="7">
        <v>0</v>
      </c>
      <c r="S471" s="5">
        <v>0</v>
      </c>
      <c r="T471" s="5">
        <v>0</v>
      </c>
      <c r="U471" s="6">
        <v>0</v>
      </c>
      <c r="V471" s="8"/>
    </row>
    <row r="472" spans="1:22" x14ac:dyDescent="0.2">
      <c r="A472" s="2" t="s">
        <v>50</v>
      </c>
      <c r="B472" s="2" t="s">
        <v>46</v>
      </c>
      <c r="C472" s="2">
        <v>1030686</v>
      </c>
      <c r="D472" s="2" t="s">
        <v>382</v>
      </c>
      <c r="E472" s="3" t="s">
        <v>54</v>
      </c>
      <c r="F472" s="4">
        <v>0</v>
      </c>
      <c r="G472" s="5">
        <v>0</v>
      </c>
      <c r="H472" s="5">
        <v>0</v>
      </c>
      <c r="I472" s="6">
        <v>0</v>
      </c>
      <c r="J472" s="7">
        <v>0</v>
      </c>
      <c r="K472" s="5">
        <v>0</v>
      </c>
      <c r="L472" s="5">
        <v>0</v>
      </c>
      <c r="M472" s="6">
        <v>0</v>
      </c>
      <c r="N472" s="4">
        <v>0</v>
      </c>
      <c r="O472" s="5">
        <v>0</v>
      </c>
      <c r="P472" s="5">
        <v>0</v>
      </c>
      <c r="Q472" s="6">
        <v>0</v>
      </c>
      <c r="R472" s="7">
        <v>24000</v>
      </c>
      <c r="S472" s="5">
        <v>2</v>
      </c>
      <c r="T472" s="5">
        <v>24</v>
      </c>
      <c r="U472" s="6">
        <v>24000</v>
      </c>
      <c r="V472" s="8"/>
    </row>
    <row r="473" spans="1:22" x14ac:dyDescent="0.2">
      <c r="A473" s="2" t="s">
        <v>50</v>
      </c>
      <c r="B473" s="2" t="s">
        <v>46</v>
      </c>
      <c r="C473" s="2">
        <v>1030791</v>
      </c>
      <c r="D473" s="2" t="s">
        <v>213</v>
      </c>
      <c r="E473" s="3" t="s">
        <v>214</v>
      </c>
      <c r="F473" s="4">
        <v>0</v>
      </c>
      <c r="G473" s="5">
        <v>0</v>
      </c>
      <c r="H473" s="5">
        <v>0</v>
      </c>
      <c r="I473" s="6">
        <v>0</v>
      </c>
      <c r="J473" s="7">
        <v>0</v>
      </c>
      <c r="K473" s="5">
        <v>0</v>
      </c>
      <c r="L473" s="5">
        <v>0</v>
      </c>
      <c r="M473" s="6">
        <v>0</v>
      </c>
      <c r="N473" s="4">
        <v>3675</v>
      </c>
      <c r="O473" s="5">
        <v>34</v>
      </c>
      <c r="P473" s="5">
        <v>54</v>
      </c>
      <c r="Q473" s="6">
        <v>3675</v>
      </c>
      <c r="R473" s="7">
        <v>0</v>
      </c>
      <c r="S473" s="5">
        <v>0</v>
      </c>
      <c r="T473" s="5">
        <v>0</v>
      </c>
      <c r="U473" s="6">
        <v>0</v>
      </c>
      <c r="V473" s="8"/>
    </row>
    <row r="474" spans="1:22" x14ac:dyDescent="0.2">
      <c r="A474" s="2" t="s">
        <v>103</v>
      </c>
      <c r="B474" s="2" t="s">
        <v>52</v>
      </c>
      <c r="C474" s="2">
        <v>1100570</v>
      </c>
      <c r="D474" s="2" t="s">
        <v>105</v>
      </c>
      <c r="E474" s="3" t="s">
        <v>106</v>
      </c>
      <c r="F474" s="4">
        <v>0</v>
      </c>
      <c r="G474" s="5">
        <v>0</v>
      </c>
      <c r="H474" s="5">
        <v>0</v>
      </c>
      <c r="I474" s="6">
        <v>0</v>
      </c>
      <c r="J474" s="7">
        <v>0</v>
      </c>
      <c r="K474" s="5">
        <v>0</v>
      </c>
      <c r="L474" s="5">
        <v>0</v>
      </c>
      <c r="M474" s="6">
        <v>0</v>
      </c>
      <c r="N474" s="4">
        <v>244.8</v>
      </c>
      <c r="O474" s="5">
        <v>122</v>
      </c>
      <c r="P474" s="5">
        <v>130</v>
      </c>
      <c r="Q474" s="6">
        <v>244.8</v>
      </c>
      <c r="R474" s="7">
        <v>0</v>
      </c>
      <c r="S474" s="5">
        <v>0</v>
      </c>
      <c r="T474" s="5">
        <v>0</v>
      </c>
      <c r="U474" s="6">
        <v>0</v>
      </c>
      <c r="V474" s="8"/>
    </row>
    <row r="475" spans="1:22" x14ac:dyDescent="0.2">
      <c r="A475" s="2" t="s">
        <v>103</v>
      </c>
      <c r="B475" s="2" t="s">
        <v>52</v>
      </c>
      <c r="C475" s="2">
        <v>1100573</v>
      </c>
      <c r="D475" s="2" t="s">
        <v>136</v>
      </c>
      <c r="E475" s="3" t="s">
        <v>106</v>
      </c>
      <c r="F475" s="4">
        <v>0</v>
      </c>
      <c r="G475" s="5">
        <v>0</v>
      </c>
      <c r="H475" s="5">
        <v>0</v>
      </c>
      <c r="I475" s="6">
        <v>0</v>
      </c>
      <c r="J475" s="7">
        <v>0</v>
      </c>
      <c r="K475" s="5">
        <v>0</v>
      </c>
      <c r="L475" s="5">
        <v>0</v>
      </c>
      <c r="M475" s="6">
        <v>0</v>
      </c>
      <c r="N475" s="4">
        <v>1481.04</v>
      </c>
      <c r="O475" s="5">
        <v>41.314049586776903</v>
      </c>
      <c r="P475" s="5">
        <v>55.338842975206603</v>
      </c>
      <c r="Q475" s="6">
        <v>1481.04</v>
      </c>
      <c r="R475" s="7">
        <v>0</v>
      </c>
      <c r="S475" s="5">
        <v>0</v>
      </c>
      <c r="T475" s="5">
        <v>0</v>
      </c>
      <c r="U475" s="6">
        <v>0</v>
      </c>
      <c r="V475" s="8"/>
    </row>
    <row r="476" spans="1:22" x14ac:dyDescent="0.2">
      <c r="A476" s="2" t="s">
        <v>103</v>
      </c>
      <c r="B476" s="2" t="s">
        <v>52</v>
      </c>
      <c r="C476" s="2">
        <v>1100574</v>
      </c>
      <c r="D476" s="2" t="s">
        <v>384</v>
      </c>
      <c r="E476" s="3" t="s">
        <v>106</v>
      </c>
      <c r="F476" s="4">
        <v>0</v>
      </c>
      <c r="G476" s="5">
        <v>0</v>
      </c>
      <c r="H476" s="5">
        <v>0</v>
      </c>
      <c r="I476" s="6">
        <v>0</v>
      </c>
      <c r="J476" s="7">
        <v>0</v>
      </c>
      <c r="K476" s="5">
        <v>0</v>
      </c>
      <c r="L476" s="5">
        <v>0</v>
      </c>
      <c r="M476" s="6">
        <v>0</v>
      </c>
      <c r="N476" s="4">
        <v>612</v>
      </c>
      <c r="O476" s="5">
        <v>2</v>
      </c>
      <c r="P476" s="5">
        <v>26</v>
      </c>
      <c r="Q476" s="6">
        <v>612</v>
      </c>
      <c r="R476" s="7">
        <v>0</v>
      </c>
      <c r="S476" s="5">
        <v>0</v>
      </c>
      <c r="T476" s="5">
        <v>0</v>
      </c>
      <c r="U476" s="6">
        <v>0</v>
      </c>
      <c r="V476" s="8"/>
    </row>
  </sheetData>
  <mergeCells count="6">
    <mergeCell ref="F1:M1"/>
    <mergeCell ref="N1:U1"/>
    <mergeCell ref="F2:I2"/>
    <mergeCell ref="J2:M2"/>
    <mergeCell ref="N2:Q2"/>
    <mergeCell ref="R2:U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963"/>
  <sheetViews>
    <sheetView topLeftCell="A88" workbookViewId="0"/>
  </sheetViews>
  <sheetFormatPr baseColWidth="10" defaultColWidth="8.83203125" defaultRowHeight="15" x14ac:dyDescent="0.2"/>
  <cols>
    <col min="1" max="1" width="10" customWidth="1"/>
    <col min="2" max="2" width="16" customWidth="1"/>
    <col min="3" max="3" width="10" customWidth="1"/>
    <col min="4" max="4" width="19" customWidth="1"/>
    <col min="5" max="5" width="10" customWidth="1"/>
    <col min="6" max="6" width="22" customWidth="1"/>
    <col min="7" max="7" width="12" customWidth="1"/>
    <col min="13" max="13" width="12" customWidth="1"/>
    <col min="15" max="15" width="12" customWidth="1"/>
    <col min="17" max="17" width="12" customWidth="1"/>
    <col min="23" max="23" width="12" customWidth="1"/>
    <col min="25" max="25" width="12" customWidth="1"/>
    <col min="27" max="27" width="12" customWidth="1"/>
  </cols>
  <sheetData>
    <row r="1" spans="1:27" ht="25" customHeight="1" x14ac:dyDescent="0.2">
      <c r="H1" s="21" t="s">
        <v>579</v>
      </c>
      <c r="I1" s="22"/>
      <c r="J1" s="22"/>
      <c r="K1" s="22"/>
      <c r="L1" s="22"/>
      <c r="M1" s="22"/>
      <c r="N1" s="22"/>
      <c r="O1" s="22"/>
      <c r="P1" s="22"/>
      <c r="Q1" s="22"/>
      <c r="R1" s="21" t="s">
        <v>580</v>
      </c>
      <c r="S1" s="22"/>
      <c r="T1" s="22"/>
      <c r="U1" s="22"/>
      <c r="V1" s="22"/>
      <c r="W1" s="22"/>
      <c r="X1" s="22"/>
      <c r="Y1" s="22"/>
      <c r="Z1" s="22"/>
      <c r="AA1" s="22"/>
    </row>
    <row r="2" spans="1:27" ht="48" x14ac:dyDescent="0.2">
      <c r="A2" s="1" t="s">
        <v>3</v>
      </c>
      <c r="B2" s="1" t="s">
        <v>4</v>
      </c>
      <c r="C2" s="1" t="s">
        <v>581</v>
      </c>
      <c r="D2" s="1" t="s">
        <v>6</v>
      </c>
      <c r="E2" s="1" t="s">
        <v>7</v>
      </c>
      <c r="F2" s="1" t="s">
        <v>5</v>
      </c>
      <c r="G2" s="1" t="s">
        <v>582</v>
      </c>
      <c r="H2" s="1" t="s">
        <v>583</v>
      </c>
      <c r="I2" s="1" t="s">
        <v>584</v>
      </c>
      <c r="J2" s="1" t="s">
        <v>585</v>
      </c>
      <c r="K2" s="1" t="s">
        <v>586</v>
      </c>
      <c r="L2" s="1" t="s">
        <v>587</v>
      </c>
      <c r="M2" s="1" t="s">
        <v>588</v>
      </c>
      <c r="N2" s="1" t="s">
        <v>589</v>
      </c>
      <c r="O2" s="1" t="s">
        <v>590</v>
      </c>
      <c r="P2" s="1" t="s">
        <v>591</v>
      </c>
      <c r="Q2" s="1" t="s">
        <v>592</v>
      </c>
      <c r="R2" s="1" t="s">
        <v>583</v>
      </c>
      <c r="S2" s="1" t="s">
        <v>584</v>
      </c>
      <c r="T2" s="1" t="s">
        <v>585</v>
      </c>
      <c r="U2" s="1" t="s">
        <v>586</v>
      </c>
      <c r="V2" s="1" t="s">
        <v>587</v>
      </c>
      <c r="W2" s="1" t="s">
        <v>588</v>
      </c>
      <c r="X2" s="1" t="s">
        <v>589</v>
      </c>
      <c r="Y2" s="1" t="s">
        <v>590</v>
      </c>
      <c r="Z2" s="1" t="s">
        <v>591</v>
      </c>
      <c r="AA2" s="1" t="s">
        <v>593</v>
      </c>
    </row>
    <row r="3" spans="1:27" ht="16" x14ac:dyDescent="0.2">
      <c r="B3" t="s">
        <v>35</v>
      </c>
      <c r="C3">
        <v>40357490</v>
      </c>
      <c r="D3" t="s">
        <v>389</v>
      </c>
      <c r="E3">
        <v>1022417</v>
      </c>
      <c r="F3" t="s">
        <v>173</v>
      </c>
      <c r="G3" s="9">
        <v>44964</v>
      </c>
      <c r="H3" s="7"/>
      <c r="I3" s="7"/>
      <c r="J3" s="7"/>
      <c r="K3" s="7"/>
      <c r="L3" s="10">
        <v>5.5741092456127026</v>
      </c>
      <c r="M3" s="9">
        <v>44969</v>
      </c>
      <c r="N3" s="10">
        <v>5.5</v>
      </c>
      <c r="O3" s="9">
        <v>44974</v>
      </c>
      <c r="P3">
        <v>9</v>
      </c>
      <c r="Q3" s="11" t="s">
        <v>49</v>
      </c>
      <c r="R3" s="7"/>
      <c r="S3" s="7"/>
      <c r="T3" s="7"/>
      <c r="U3" s="7"/>
      <c r="V3" s="10">
        <v>7.5741092456127026</v>
      </c>
      <c r="W3" s="9">
        <v>44971</v>
      </c>
      <c r="X3" s="10">
        <v>7.5</v>
      </c>
      <c r="Y3" s="9">
        <v>44974</v>
      </c>
      <c r="Z3">
        <v>9</v>
      </c>
      <c r="AA3" s="11" t="s">
        <v>49</v>
      </c>
    </row>
    <row r="4" spans="1:27" ht="16" x14ac:dyDescent="0.2">
      <c r="B4" t="s">
        <v>35</v>
      </c>
      <c r="C4">
        <v>40357490</v>
      </c>
      <c r="D4" t="s">
        <v>389</v>
      </c>
      <c r="E4">
        <v>1022417</v>
      </c>
      <c r="F4" t="s">
        <v>173</v>
      </c>
      <c r="G4" s="9">
        <v>44964</v>
      </c>
      <c r="H4" s="7"/>
      <c r="I4" s="7"/>
      <c r="J4" s="7"/>
      <c r="K4" s="7"/>
      <c r="L4" s="10">
        <v>5.5741092456127026</v>
      </c>
      <c r="M4" s="9">
        <v>44969</v>
      </c>
      <c r="N4" s="10">
        <v>5.5</v>
      </c>
      <c r="O4" s="9">
        <v>44974</v>
      </c>
      <c r="P4">
        <v>9</v>
      </c>
      <c r="Q4" s="11" t="s">
        <v>49</v>
      </c>
      <c r="R4" s="7"/>
      <c r="S4" s="7"/>
      <c r="T4" s="7"/>
      <c r="U4" s="7"/>
      <c r="V4" s="10">
        <v>7.5741092456127026</v>
      </c>
      <c r="W4" s="9">
        <v>44971</v>
      </c>
      <c r="X4" s="10">
        <v>7.5</v>
      </c>
      <c r="Y4" s="9">
        <v>44974</v>
      </c>
      <c r="Z4">
        <v>9</v>
      </c>
      <c r="AA4" s="11" t="s">
        <v>49</v>
      </c>
    </row>
    <row r="5" spans="1:27" ht="16" x14ac:dyDescent="0.2">
      <c r="B5" t="s">
        <v>35</v>
      </c>
      <c r="C5">
        <v>40357477</v>
      </c>
      <c r="D5" t="s">
        <v>389</v>
      </c>
      <c r="E5">
        <v>1023093</v>
      </c>
      <c r="F5" t="s">
        <v>179</v>
      </c>
      <c r="G5" s="9">
        <v>44972</v>
      </c>
      <c r="H5" s="7"/>
      <c r="I5" s="7"/>
      <c r="J5" s="7"/>
      <c r="K5" s="7"/>
      <c r="L5" s="10">
        <v>5.5741092456127026</v>
      </c>
      <c r="M5" s="9">
        <v>44977</v>
      </c>
      <c r="N5" s="10">
        <v>5.5</v>
      </c>
      <c r="O5" s="9">
        <v>44982</v>
      </c>
      <c r="P5">
        <v>2</v>
      </c>
      <c r="Q5" s="11" t="s">
        <v>594</v>
      </c>
      <c r="R5" s="7"/>
      <c r="S5" s="7"/>
      <c r="T5" s="7"/>
      <c r="U5" s="7"/>
      <c r="V5" s="10">
        <v>7.5741092456127026</v>
      </c>
      <c r="W5" s="9">
        <v>44979</v>
      </c>
      <c r="X5" s="10">
        <v>7.5</v>
      </c>
      <c r="Y5" s="9">
        <v>44982</v>
      </c>
      <c r="Z5">
        <v>2</v>
      </c>
      <c r="AA5" s="11" t="s">
        <v>594</v>
      </c>
    </row>
    <row r="6" spans="1:27" ht="16" x14ac:dyDescent="0.2">
      <c r="B6" t="s">
        <v>35</v>
      </c>
      <c r="C6">
        <v>40357471</v>
      </c>
      <c r="D6" t="s">
        <v>389</v>
      </c>
      <c r="E6">
        <v>1022125</v>
      </c>
      <c r="F6" t="s">
        <v>296</v>
      </c>
      <c r="G6" s="9">
        <v>44962</v>
      </c>
      <c r="H6" s="7"/>
      <c r="I6" s="7"/>
      <c r="J6" s="7"/>
      <c r="K6" s="7"/>
      <c r="L6" s="10">
        <v>5.5741092456127026</v>
      </c>
      <c r="M6" s="9">
        <v>44967</v>
      </c>
      <c r="N6" s="10">
        <v>5.5</v>
      </c>
      <c r="O6" s="9">
        <v>44972</v>
      </c>
      <c r="P6">
        <v>11</v>
      </c>
      <c r="Q6" s="11" t="s">
        <v>49</v>
      </c>
      <c r="R6" s="7"/>
      <c r="S6" s="7"/>
      <c r="T6" s="7"/>
      <c r="U6" s="7"/>
      <c r="V6" s="10">
        <v>7.5741092456127026</v>
      </c>
      <c r="W6" s="9">
        <v>44969</v>
      </c>
      <c r="X6" s="10">
        <v>7.5</v>
      </c>
      <c r="Y6" s="9">
        <v>44972</v>
      </c>
      <c r="Z6">
        <v>11</v>
      </c>
      <c r="AA6" s="11" t="s">
        <v>49</v>
      </c>
    </row>
    <row r="7" spans="1:27" ht="16" x14ac:dyDescent="0.2">
      <c r="B7" t="s">
        <v>35</v>
      </c>
      <c r="C7">
        <v>40357465</v>
      </c>
      <c r="D7" t="s">
        <v>389</v>
      </c>
      <c r="E7">
        <v>1021740</v>
      </c>
      <c r="F7" t="s">
        <v>284</v>
      </c>
      <c r="G7" s="9">
        <v>44985</v>
      </c>
      <c r="H7" s="7">
        <v>25013.200000000001</v>
      </c>
      <c r="I7" s="7"/>
      <c r="J7" s="7"/>
      <c r="K7" s="7"/>
      <c r="L7" s="10">
        <v>5.5741092456127026</v>
      </c>
      <c r="M7" s="9">
        <v>44990</v>
      </c>
      <c r="N7" s="10">
        <v>5.5</v>
      </c>
      <c r="O7" s="9">
        <v>44995</v>
      </c>
      <c r="P7">
        <v>18</v>
      </c>
      <c r="Q7" s="11" t="s">
        <v>49</v>
      </c>
      <c r="R7" s="7">
        <v>25013.200000000001</v>
      </c>
      <c r="S7" s="7"/>
      <c r="T7" s="7"/>
      <c r="U7" s="7"/>
      <c r="V7" s="10">
        <v>7.5741092456127026</v>
      </c>
      <c r="W7" s="9">
        <v>44992</v>
      </c>
      <c r="X7" s="10">
        <v>7.5</v>
      </c>
      <c r="Y7" s="9">
        <v>44995</v>
      </c>
      <c r="Z7">
        <v>18</v>
      </c>
      <c r="AA7" s="11" t="s">
        <v>49</v>
      </c>
    </row>
    <row r="8" spans="1:27" ht="16" x14ac:dyDescent="0.2">
      <c r="B8" t="s">
        <v>35</v>
      </c>
      <c r="C8">
        <v>40357460</v>
      </c>
      <c r="D8" t="s">
        <v>389</v>
      </c>
      <c r="E8">
        <v>1023412</v>
      </c>
      <c r="F8" t="s">
        <v>333</v>
      </c>
      <c r="G8" s="9">
        <v>44966</v>
      </c>
      <c r="H8" s="7"/>
      <c r="I8" s="7"/>
      <c r="J8" s="7"/>
      <c r="K8" s="7"/>
      <c r="L8" s="10">
        <v>5.5741092456127026</v>
      </c>
      <c r="M8" s="9">
        <v>44971</v>
      </c>
      <c r="N8" s="10">
        <v>5.5</v>
      </c>
      <c r="O8" s="9">
        <v>44976</v>
      </c>
      <c r="P8">
        <v>8</v>
      </c>
      <c r="Q8" s="11" t="s">
        <v>49</v>
      </c>
      <c r="R8" s="7"/>
      <c r="S8" s="7"/>
      <c r="T8" s="7"/>
      <c r="U8" s="7"/>
      <c r="V8" s="10">
        <v>7.5741092456127026</v>
      </c>
      <c r="W8" s="9">
        <v>44973</v>
      </c>
      <c r="X8" s="10">
        <v>7.5</v>
      </c>
      <c r="Y8" s="9">
        <v>44976</v>
      </c>
      <c r="Z8">
        <v>8</v>
      </c>
      <c r="AA8" s="11" t="s">
        <v>49</v>
      </c>
    </row>
    <row r="9" spans="1:27" ht="16" x14ac:dyDescent="0.2">
      <c r="B9" t="s">
        <v>35</v>
      </c>
      <c r="C9">
        <v>40357457</v>
      </c>
      <c r="D9" t="s">
        <v>389</v>
      </c>
      <c r="E9">
        <v>1021733</v>
      </c>
      <c r="F9" t="s">
        <v>277</v>
      </c>
      <c r="G9" s="9">
        <v>44985</v>
      </c>
      <c r="H9" s="7">
        <v>14823.62</v>
      </c>
      <c r="I9" s="7"/>
      <c r="J9" s="7"/>
      <c r="K9" s="7"/>
      <c r="L9" s="10">
        <v>5.5741092456127026</v>
      </c>
      <c r="M9" s="9">
        <v>44990</v>
      </c>
      <c r="N9" s="10">
        <v>5.5</v>
      </c>
      <c r="O9" s="9">
        <v>44995</v>
      </c>
      <c r="P9">
        <v>18</v>
      </c>
      <c r="Q9" s="11" t="s">
        <v>49</v>
      </c>
      <c r="R9" s="7">
        <v>14823.62</v>
      </c>
      <c r="S9" s="7"/>
      <c r="T9" s="7"/>
      <c r="U9" s="7"/>
      <c r="V9" s="10">
        <v>7.5741092456127026</v>
      </c>
      <c r="W9" s="9">
        <v>44992</v>
      </c>
      <c r="X9" s="10">
        <v>7.5</v>
      </c>
      <c r="Y9" s="9">
        <v>44995</v>
      </c>
      <c r="Z9">
        <v>18</v>
      </c>
      <c r="AA9" s="11" t="s">
        <v>49</v>
      </c>
    </row>
    <row r="10" spans="1:27" ht="16" x14ac:dyDescent="0.2">
      <c r="B10" t="s">
        <v>35</v>
      </c>
      <c r="C10">
        <v>40357457</v>
      </c>
      <c r="D10" t="s">
        <v>389</v>
      </c>
      <c r="E10">
        <v>1021733</v>
      </c>
      <c r="F10" t="s">
        <v>277</v>
      </c>
      <c r="G10" s="9">
        <v>44985</v>
      </c>
      <c r="H10" s="7">
        <v>24005.77</v>
      </c>
      <c r="I10" s="7"/>
      <c r="J10" s="7"/>
      <c r="K10" s="7"/>
      <c r="L10" s="10">
        <v>5.5741092456127026</v>
      </c>
      <c r="M10" s="9">
        <v>44990</v>
      </c>
      <c r="N10" s="10">
        <v>5.5</v>
      </c>
      <c r="O10" s="9">
        <v>44995</v>
      </c>
      <c r="P10">
        <v>18</v>
      </c>
      <c r="Q10" s="11" t="s">
        <v>49</v>
      </c>
      <c r="R10" s="7">
        <v>24005.77</v>
      </c>
      <c r="S10" s="7"/>
      <c r="T10" s="7"/>
      <c r="U10" s="7"/>
      <c r="V10" s="10">
        <v>7.5741092456127026</v>
      </c>
      <c r="W10" s="9">
        <v>44992</v>
      </c>
      <c r="X10" s="10">
        <v>7.5</v>
      </c>
      <c r="Y10" s="9">
        <v>44995</v>
      </c>
      <c r="Z10">
        <v>18</v>
      </c>
      <c r="AA10" s="11" t="s">
        <v>49</v>
      </c>
    </row>
    <row r="11" spans="1:27" ht="16" x14ac:dyDescent="0.2">
      <c r="B11" t="s">
        <v>35</v>
      </c>
      <c r="C11">
        <v>40357456</v>
      </c>
      <c r="D11" t="s">
        <v>389</v>
      </c>
      <c r="E11">
        <v>1021733</v>
      </c>
      <c r="F11" t="s">
        <v>277</v>
      </c>
      <c r="G11" s="9">
        <v>44985</v>
      </c>
      <c r="H11" s="7">
        <v>24426.33</v>
      </c>
      <c r="I11" s="7"/>
      <c r="J11" s="7"/>
      <c r="K11" s="7"/>
      <c r="L11" s="10">
        <v>5.5741092456127026</v>
      </c>
      <c r="M11" s="9">
        <v>44990</v>
      </c>
      <c r="N11" s="10">
        <v>5.5</v>
      </c>
      <c r="O11" s="9">
        <v>44995</v>
      </c>
      <c r="P11">
        <v>18</v>
      </c>
      <c r="Q11" s="11" t="s">
        <v>49</v>
      </c>
      <c r="R11" s="7">
        <v>24426.33</v>
      </c>
      <c r="S11" s="7"/>
      <c r="T11" s="7"/>
      <c r="U11" s="7"/>
      <c r="V11" s="10">
        <v>7.5741092456127026</v>
      </c>
      <c r="W11" s="9">
        <v>44992</v>
      </c>
      <c r="X11" s="10">
        <v>7.5</v>
      </c>
      <c r="Y11" s="9">
        <v>44995</v>
      </c>
      <c r="Z11">
        <v>18</v>
      </c>
      <c r="AA11" s="11" t="s">
        <v>49</v>
      </c>
    </row>
    <row r="12" spans="1:27" ht="16" x14ac:dyDescent="0.2">
      <c r="B12" t="s">
        <v>35</v>
      </c>
      <c r="C12">
        <v>40357455</v>
      </c>
      <c r="D12" t="s">
        <v>389</v>
      </c>
      <c r="E12">
        <v>1021733</v>
      </c>
      <c r="F12" t="s">
        <v>277</v>
      </c>
      <c r="G12" s="9">
        <v>44979</v>
      </c>
      <c r="H12" s="7">
        <v>23994.11</v>
      </c>
      <c r="I12" s="7"/>
      <c r="J12" s="7"/>
      <c r="K12" s="7"/>
      <c r="L12" s="10">
        <v>5.5741092456127026</v>
      </c>
      <c r="M12" s="9">
        <v>44984</v>
      </c>
      <c r="N12" s="10">
        <v>5.5</v>
      </c>
      <c r="O12" s="9">
        <v>44989</v>
      </c>
      <c r="P12">
        <v>23</v>
      </c>
      <c r="Q12" s="11" t="s">
        <v>49</v>
      </c>
      <c r="R12" s="7">
        <v>23994.11</v>
      </c>
      <c r="S12" s="7"/>
      <c r="T12" s="7"/>
      <c r="U12" s="7"/>
      <c r="V12" s="10">
        <v>7.5741092456127026</v>
      </c>
      <c r="W12" s="9">
        <v>44986</v>
      </c>
      <c r="X12" s="10">
        <v>7.5</v>
      </c>
      <c r="Y12" s="9">
        <v>44989</v>
      </c>
      <c r="Z12">
        <v>23</v>
      </c>
      <c r="AA12" s="11" t="s">
        <v>49</v>
      </c>
    </row>
    <row r="13" spans="1:27" ht="16" x14ac:dyDescent="0.2">
      <c r="B13" t="s">
        <v>35</v>
      </c>
      <c r="C13">
        <v>40357451</v>
      </c>
      <c r="D13" t="s">
        <v>389</v>
      </c>
      <c r="E13">
        <v>1021733</v>
      </c>
      <c r="F13" t="s">
        <v>277</v>
      </c>
      <c r="G13" s="9">
        <v>44964</v>
      </c>
      <c r="H13" s="7"/>
      <c r="I13" s="7"/>
      <c r="J13" s="7"/>
      <c r="K13" s="7"/>
      <c r="L13" s="10">
        <v>5.5741092456127026</v>
      </c>
      <c r="M13" s="9">
        <v>44969</v>
      </c>
      <c r="N13" s="10">
        <v>5.5</v>
      </c>
      <c r="O13" s="9">
        <v>44974</v>
      </c>
      <c r="P13">
        <v>9</v>
      </c>
      <c r="Q13" s="11" t="s">
        <v>49</v>
      </c>
      <c r="R13" s="7"/>
      <c r="S13" s="7"/>
      <c r="T13" s="7"/>
      <c r="U13" s="7"/>
      <c r="V13" s="10">
        <v>7.5741092456127026</v>
      </c>
      <c r="W13" s="9">
        <v>44971</v>
      </c>
      <c r="X13" s="10">
        <v>7.5</v>
      </c>
      <c r="Y13" s="9">
        <v>44974</v>
      </c>
      <c r="Z13">
        <v>9</v>
      </c>
      <c r="AA13" s="11" t="s">
        <v>49</v>
      </c>
    </row>
    <row r="14" spans="1:27" ht="16" x14ac:dyDescent="0.2">
      <c r="B14" t="s">
        <v>35</v>
      </c>
      <c r="C14">
        <v>40357445</v>
      </c>
      <c r="D14" t="s">
        <v>389</v>
      </c>
      <c r="E14">
        <v>1022945</v>
      </c>
      <c r="F14" t="s">
        <v>442</v>
      </c>
      <c r="G14" s="9">
        <v>44972</v>
      </c>
      <c r="H14" s="7"/>
      <c r="I14" s="7"/>
      <c r="J14" s="7"/>
      <c r="K14" s="7"/>
      <c r="L14" s="10">
        <v>5.5741092456127026</v>
      </c>
      <c r="M14" s="9">
        <v>44977</v>
      </c>
      <c r="N14" s="10">
        <v>5.5</v>
      </c>
      <c r="O14" s="9">
        <v>44982</v>
      </c>
      <c r="P14">
        <v>2</v>
      </c>
      <c r="Q14" s="11" t="s">
        <v>594</v>
      </c>
      <c r="R14" s="7"/>
      <c r="S14" s="7"/>
      <c r="T14" s="7"/>
      <c r="U14" s="7"/>
      <c r="V14" s="10">
        <v>7.5741092456127026</v>
      </c>
      <c r="W14" s="9">
        <v>44979</v>
      </c>
      <c r="X14" s="10">
        <v>7.5</v>
      </c>
      <c r="Y14" s="9">
        <v>44982</v>
      </c>
      <c r="Z14">
        <v>2</v>
      </c>
      <c r="AA14" s="11" t="s">
        <v>594</v>
      </c>
    </row>
    <row r="15" spans="1:27" ht="16" x14ac:dyDescent="0.2">
      <c r="B15" t="s">
        <v>35</v>
      </c>
      <c r="C15">
        <v>40357437</v>
      </c>
      <c r="D15" t="s">
        <v>389</v>
      </c>
      <c r="E15">
        <v>1022945</v>
      </c>
      <c r="F15" t="s">
        <v>442</v>
      </c>
      <c r="G15" s="9">
        <v>44968</v>
      </c>
      <c r="H15" s="7"/>
      <c r="I15" s="7"/>
      <c r="J15" s="7"/>
      <c r="K15" s="7"/>
      <c r="L15" s="10">
        <v>5.5741092456127026</v>
      </c>
      <c r="M15" s="9">
        <v>44973</v>
      </c>
      <c r="N15" s="10">
        <v>5.5</v>
      </c>
      <c r="O15" s="9">
        <v>44978</v>
      </c>
      <c r="P15">
        <v>6</v>
      </c>
      <c r="Q15" s="11" t="s">
        <v>49</v>
      </c>
      <c r="R15" s="7"/>
      <c r="S15" s="7"/>
      <c r="T15" s="7"/>
      <c r="U15" s="7"/>
      <c r="V15" s="10">
        <v>7.5741092456127026</v>
      </c>
      <c r="W15" s="9">
        <v>44975</v>
      </c>
      <c r="X15" s="10">
        <v>7.5</v>
      </c>
      <c r="Y15" s="9">
        <v>44978</v>
      </c>
      <c r="Z15">
        <v>6</v>
      </c>
      <c r="AA15" s="11" t="s">
        <v>49</v>
      </c>
    </row>
    <row r="16" spans="1:27" ht="16" x14ac:dyDescent="0.2">
      <c r="B16" t="s">
        <v>35</v>
      </c>
      <c r="C16">
        <v>40357434</v>
      </c>
      <c r="D16" t="s">
        <v>389</v>
      </c>
      <c r="E16">
        <v>1022073</v>
      </c>
      <c r="F16" t="s">
        <v>45</v>
      </c>
      <c r="G16" s="9">
        <v>44972</v>
      </c>
      <c r="H16" s="7"/>
      <c r="I16" s="7"/>
      <c r="J16" s="7"/>
      <c r="K16" s="7"/>
      <c r="L16" s="10">
        <v>5.5741092456127026</v>
      </c>
      <c r="M16" s="9">
        <v>44977</v>
      </c>
      <c r="N16" s="10">
        <v>5.5</v>
      </c>
      <c r="O16" s="9">
        <v>44982</v>
      </c>
      <c r="P16">
        <v>2</v>
      </c>
      <c r="Q16" s="11" t="s">
        <v>594</v>
      </c>
      <c r="R16" s="7"/>
      <c r="S16" s="7"/>
      <c r="T16" s="7"/>
      <c r="U16" s="7"/>
      <c r="V16" s="10">
        <v>7.5741092456127026</v>
      </c>
      <c r="W16" s="9">
        <v>44979</v>
      </c>
      <c r="X16" s="10">
        <v>7.5</v>
      </c>
      <c r="Y16" s="9">
        <v>44982</v>
      </c>
      <c r="Z16">
        <v>2</v>
      </c>
      <c r="AA16" s="11" t="s">
        <v>594</v>
      </c>
    </row>
    <row r="17" spans="2:27" ht="16" x14ac:dyDescent="0.2">
      <c r="B17" t="s">
        <v>35</v>
      </c>
      <c r="C17">
        <v>40357426</v>
      </c>
      <c r="D17" t="s">
        <v>389</v>
      </c>
      <c r="E17">
        <v>1021774</v>
      </c>
      <c r="F17" t="s">
        <v>443</v>
      </c>
      <c r="G17" s="9">
        <v>44968</v>
      </c>
      <c r="H17" s="7"/>
      <c r="I17" s="7"/>
      <c r="J17" s="7"/>
      <c r="K17" s="7"/>
      <c r="L17" s="10">
        <v>5.5741092456127026</v>
      </c>
      <c r="M17" s="9">
        <v>44973</v>
      </c>
      <c r="N17" s="10">
        <v>5.5</v>
      </c>
      <c r="O17" s="9">
        <v>44978</v>
      </c>
      <c r="P17">
        <v>6</v>
      </c>
      <c r="Q17" s="11" t="s">
        <v>49</v>
      </c>
      <c r="R17" s="7"/>
      <c r="S17" s="7"/>
      <c r="T17" s="7"/>
      <c r="U17" s="7"/>
      <c r="V17" s="10">
        <v>7.5741092456127026</v>
      </c>
      <c r="W17" s="9">
        <v>44975</v>
      </c>
      <c r="X17" s="10">
        <v>7.5</v>
      </c>
      <c r="Y17" s="9">
        <v>44978</v>
      </c>
      <c r="Z17">
        <v>6</v>
      </c>
      <c r="AA17" s="11" t="s">
        <v>49</v>
      </c>
    </row>
    <row r="18" spans="2:27" ht="16" x14ac:dyDescent="0.2">
      <c r="B18" t="s">
        <v>35</v>
      </c>
      <c r="C18">
        <v>40357426</v>
      </c>
      <c r="D18" t="s">
        <v>389</v>
      </c>
      <c r="E18">
        <v>1021774</v>
      </c>
      <c r="F18" t="s">
        <v>443</v>
      </c>
      <c r="G18" s="9">
        <v>44968</v>
      </c>
      <c r="H18" s="7"/>
      <c r="I18" s="7"/>
      <c r="J18" s="7"/>
      <c r="K18" s="7"/>
      <c r="L18" s="10">
        <v>5.5741092456127026</v>
      </c>
      <c r="M18" s="9">
        <v>44973</v>
      </c>
      <c r="N18" s="10">
        <v>5.5</v>
      </c>
      <c r="O18" s="9">
        <v>44978</v>
      </c>
      <c r="P18">
        <v>6</v>
      </c>
      <c r="Q18" s="11" t="s">
        <v>49</v>
      </c>
      <c r="R18" s="7"/>
      <c r="S18" s="7"/>
      <c r="T18" s="7"/>
      <c r="U18" s="7"/>
      <c r="V18" s="10">
        <v>7.5741092456127026</v>
      </c>
      <c r="W18" s="9">
        <v>44975</v>
      </c>
      <c r="X18" s="10">
        <v>7.5</v>
      </c>
      <c r="Y18" s="9">
        <v>44978</v>
      </c>
      <c r="Z18">
        <v>6</v>
      </c>
      <c r="AA18" s="11" t="s">
        <v>49</v>
      </c>
    </row>
    <row r="19" spans="2:27" ht="16" x14ac:dyDescent="0.2">
      <c r="B19" t="s">
        <v>35</v>
      </c>
      <c r="C19">
        <v>40357419</v>
      </c>
      <c r="D19" t="s">
        <v>389</v>
      </c>
      <c r="E19">
        <v>1022636</v>
      </c>
      <c r="F19" t="s">
        <v>312</v>
      </c>
      <c r="G19" s="9">
        <v>44972</v>
      </c>
      <c r="H19" s="7"/>
      <c r="I19" s="7"/>
      <c r="J19" s="7"/>
      <c r="K19" s="7"/>
      <c r="L19" s="10">
        <v>5.5741092456127026</v>
      </c>
      <c r="M19" s="9">
        <v>44977</v>
      </c>
      <c r="N19" s="10">
        <v>5.5</v>
      </c>
      <c r="O19" s="9">
        <v>44982</v>
      </c>
      <c r="P19">
        <v>2</v>
      </c>
      <c r="Q19" s="11" t="s">
        <v>594</v>
      </c>
      <c r="R19" s="7"/>
      <c r="S19" s="7"/>
      <c r="T19" s="7"/>
      <c r="U19" s="7"/>
      <c r="V19" s="10">
        <v>7.5741092456127026</v>
      </c>
      <c r="W19" s="9">
        <v>44979</v>
      </c>
      <c r="X19" s="10">
        <v>7.5</v>
      </c>
      <c r="Y19" s="9">
        <v>44982</v>
      </c>
      <c r="Z19">
        <v>2</v>
      </c>
      <c r="AA19" s="11" t="s">
        <v>594</v>
      </c>
    </row>
    <row r="20" spans="2:27" ht="16" x14ac:dyDescent="0.2">
      <c r="B20" t="s">
        <v>35</v>
      </c>
      <c r="C20">
        <v>40357418</v>
      </c>
      <c r="D20" t="s">
        <v>389</v>
      </c>
      <c r="E20">
        <v>1022636</v>
      </c>
      <c r="F20" t="s">
        <v>312</v>
      </c>
      <c r="G20" s="9">
        <v>44966</v>
      </c>
      <c r="H20" s="7"/>
      <c r="I20" s="7"/>
      <c r="J20" s="7"/>
      <c r="K20" s="7"/>
      <c r="L20" s="10">
        <v>5.5741092456127026</v>
      </c>
      <c r="M20" s="9">
        <v>44971</v>
      </c>
      <c r="N20" s="10">
        <v>5.5</v>
      </c>
      <c r="O20" s="9">
        <v>44976</v>
      </c>
      <c r="P20">
        <v>8</v>
      </c>
      <c r="Q20" s="11" t="s">
        <v>49</v>
      </c>
      <c r="R20" s="7"/>
      <c r="S20" s="7"/>
      <c r="T20" s="7"/>
      <c r="U20" s="7"/>
      <c r="V20" s="10">
        <v>7.5741092456127026</v>
      </c>
      <c r="W20" s="9">
        <v>44973</v>
      </c>
      <c r="X20" s="10">
        <v>7.5</v>
      </c>
      <c r="Y20" s="9">
        <v>44976</v>
      </c>
      <c r="Z20">
        <v>8</v>
      </c>
      <c r="AA20" s="11" t="s">
        <v>49</v>
      </c>
    </row>
    <row r="21" spans="2:27" ht="16" x14ac:dyDescent="0.2">
      <c r="B21" t="s">
        <v>35</v>
      </c>
      <c r="C21">
        <v>40357406</v>
      </c>
      <c r="D21" t="s">
        <v>389</v>
      </c>
      <c r="E21">
        <v>1022183</v>
      </c>
      <c r="F21" t="s">
        <v>165</v>
      </c>
      <c r="G21" s="9">
        <v>44968</v>
      </c>
      <c r="H21" s="7"/>
      <c r="I21" s="7"/>
      <c r="J21" s="7"/>
      <c r="K21" s="7"/>
      <c r="L21" s="10">
        <v>5.5741092456127026</v>
      </c>
      <c r="M21" s="9">
        <v>44973</v>
      </c>
      <c r="N21" s="10">
        <v>5.5</v>
      </c>
      <c r="O21" s="9">
        <v>44978</v>
      </c>
      <c r="P21">
        <v>6</v>
      </c>
      <c r="Q21" s="11" t="s">
        <v>49</v>
      </c>
      <c r="R21" s="7"/>
      <c r="S21" s="7"/>
      <c r="T21" s="7"/>
      <c r="U21" s="7"/>
      <c r="V21" s="10">
        <v>7.5741092456127026</v>
      </c>
      <c r="W21" s="9">
        <v>44975</v>
      </c>
      <c r="X21" s="10">
        <v>7.5</v>
      </c>
      <c r="Y21" s="9">
        <v>44978</v>
      </c>
      <c r="Z21">
        <v>6</v>
      </c>
      <c r="AA21" s="11" t="s">
        <v>49</v>
      </c>
    </row>
    <row r="22" spans="2:27" ht="16" x14ac:dyDescent="0.2">
      <c r="B22" t="s">
        <v>35</v>
      </c>
      <c r="C22">
        <v>40357406</v>
      </c>
      <c r="D22" t="s">
        <v>389</v>
      </c>
      <c r="E22">
        <v>1022183</v>
      </c>
      <c r="F22" t="s">
        <v>165</v>
      </c>
      <c r="G22" s="9">
        <v>44968</v>
      </c>
      <c r="H22" s="7"/>
      <c r="I22" s="7"/>
      <c r="J22" s="7"/>
      <c r="K22" s="7"/>
      <c r="L22" s="10">
        <v>5.5741092456127026</v>
      </c>
      <c r="M22" s="9">
        <v>44973</v>
      </c>
      <c r="N22" s="10">
        <v>5.5</v>
      </c>
      <c r="O22" s="9">
        <v>44978</v>
      </c>
      <c r="P22">
        <v>6</v>
      </c>
      <c r="Q22" s="11" t="s">
        <v>49</v>
      </c>
      <c r="R22" s="7"/>
      <c r="S22" s="7"/>
      <c r="T22" s="7"/>
      <c r="U22" s="7"/>
      <c r="V22" s="10">
        <v>7.5741092456127026</v>
      </c>
      <c r="W22" s="9">
        <v>44975</v>
      </c>
      <c r="X22" s="10">
        <v>7.5</v>
      </c>
      <c r="Y22" s="9">
        <v>44978</v>
      </c>
      <c r="Z22">
        <v>6</v>
      </c>
      <c r="AA22" s="11" t="s">
        <v>49</v>
      </c>
    </row>
    <row r="23" spans="2:27" ht="16" x14ac:dyDescent="0.2">
      <c r="B23" t="s">
        <v>35</v>
      </c>
      <c r="C23">
        <v>40357405</v>
      </c>
      <c r="D23" t="s">
        <v>389</v>
      </c>
      <c r="E23">
        <v>1022183</v>
      </c>
      <c r="F23" t="s">
        <v>165</v>
      </c>
      <c r="G23" s="9">
        <v>44968</v>
      </c>
      <c r="H23" s="7"/>
      <c r="I23" s="7"/>
      <c r="J23" s="7"/>
      <c r="K23" s="7"/>
      <c r="L23" s="10">
        <v>5.5741092456127026</v>
      </c>
      <c r="M23" s="9">
        <v>44973</v>
      </c>
      <c r="N23" s="10">
        <v>5.5</v>
      </c>
      <c r="O23" s="9">
        <v>44978</v>
      </c>
      <c r="P23">
        <v>6</v>
      </c>
      <c r="Q23" s="11" t="s">
        <v>49</v>
      </c>
      <c r="R23" s="7"/>
      <c r="S23" s="7"/>
      <c r="T23" s="7"/>
      <c r="U23" s="7"/>
      <c r="V23" s="10">
        <v>7.5741092456127026</v>
      </c>
      <c r="W23" s="9">
        <v>44975</v>
      </c>
      <c r="X23" s="10">
        <v>7.5</v>
      </c>
      <c r="Y23" s="9">
        <v>44978</v>
      </c>
      <c r="Z23">
        <v>6</v>
      </c>
      <c r="AA23" s="11" t="s">
        <v>49</v>
      </c>
    </row>
    <row r="24" spans="2:27" ht="16" x14ac:dyDescent="0.2">
      <c r="B24" t="s">
        <v>35</v>
      </c>
      <c r="C24">
        <v>40357404</v>
      </c>
      <c r="D24" t="s">
        <v>389</v>
      </c>
      <c r="E24">
        <v>1022183</v>
      </c>
      <c r="F24" t="s">
        <v>165</v>
      </c>
      <c r="G24" s="9">
        <v>44968</v>
      </c>
      <c r="H24" s="7"/>
      <c r="I24" s="7"/>
      <c r="J24" s="7"/>
      <c r="K24" s="7"/>
      <c r="L24" s="10">
        <v>5.5741092456127026</v>
      </c>
      <c r="M24" s="9">
        <v>44973</v>
      </c>
      <c r="N24" s="10">
        <v>5.5</v>
      </c>
      <c r="O24" s="9">
        <v>44978</v>
      </c>
      <c r="P24">
        <v>6</v>
      </c>
      <c r="Q24" s="11" t="s">
        <v>49</v>
      </c>
      <c r="R24" s="7"/>
      <c r="S24" s="7"/>
      <c r="T24" s="7"/>
      <c r="U24" s="7"/>
      <c r="V24" s="10">
        <v>7.5741092456127026</v>
      </c>
      <c r="W24" s="9">
        <v>44975</v>
      </c>
      <c r="X24" s="10">
        <v>7.5</v>
      </c>
      <c r="Y24" s="9">
        <v>44978</v>
      </c>
      <c r="Z24">
        <v>6</v>
      </c>
      <c r="AA24" s="11" t="s">
        <v>49</v>
      </c>
    </row>
    <row r="25" spans="2:27" ht="16" x14ac:dyDescent="0.2">
      <c r="B25" t="s">
        <v>35</v>
      </c>
      <c r="C25">
        <v>40357403</v>
      </c>
      <c r="D25" t="s">
        <v>389</v>
      </c>
      <c r="E25">
        <v>1022183</v>
      </c>
      <c r="F25" t="s">
        <v>165</v>
      </c>
      <c r="G25" s="9">
        <v>44962</v>
      </c>
      <c r="H25" s="7"/>
      <c r="I25" s="7"/>
      <c r="J25" s="7"/>
      <c r="K25" s="7"/>
      <c r="L25" s="10">
        <v>5.5741092456127026</v>
      </c>
      <c r="M25" s="9">
        <v>44967</v>
      </c>
      <c r="N25" s="10">
        <v>5.5</v>
      </c>
      <c r="O25" s="9">
        <v>44972</v>
      </c>
      <c r="P25">
        <v>11</v>
      </c>
      <c r="Q25" s="11" t="s">
        <v>49</v>
      </c>
      <c r="R25" s="7"/>
      <c r="S25" s="7"/>
      <c r="T25" s="7"/>
      <c r="U25" s="7"/>
      <c r="V25" s="10">
        <v>7.5741092456127026</v>
      </c>
      <c r="W25" s="9">
        <v>44969</v>
      </c>
      <c r="X25" s="10">
        <v>7.5</v>
      </c>
      <c r="Y25" s="9">
        <v>44972</v>
      </c>
      <c r="Z25">
        <v>11</v>
      </c>
      <c r="AA25" s="11" t="s">
        <v>49</v>
      </c>
    </row>
    <row r="26" spans="2:27" ht="16" x14ac:dyDescent="0.2">
      <c r="B26" t="s">
        <v>35</v>
      </c>
      <c r="C26">
        <v>40357403</v>
      </c>
      <c r="D26" t="s">
        <v>389</v>
      </c>
      <c r="E26">
        <v>1022183</v>
      </c>
      <c r="F26" t="s">
        <v>165</v>
      </c>
      <c r="G26" s="9">
        <v>44962</v>
      </c>
      <c r="H26" s="7"/>
      <c r="I26" s="7"/>
      <c r="J26" s="7"/>
      <c r="K26" s="7"/>
      <c r="L26" s="10">
        <v>5.5741092456127026</v>
      </c>
      <c r="M26" s="9">
        <v>44967</v>
      </c>
      <c r="N26" s="10">
        <v>5.5</v>
      </c>
      <c r="O26" s="9">
        <v>44972</v>
      </c>
      <c r="P26">
        <v>11</v>
      </c>
      <c r="Q26" s="11" t="s">
        <v>49</v>
      </c>
      <c r="R26" s="7"/>
      <c r="S26" s="7"/>
      <c r="T26" s="7"/>
      <c r="U26" s="7"/>
      <c r="V26" s="10">
        <v>7.5741092456127026</v>
      </c>
      <c r="W26" s="9">
        <v>44969</v>
      </c>
      <c r="X26" s="10">
        <v>7.5</v>
      </c>
      <c r="Y26" s="9">
        <v>44972</v>
      </c>
      <c r="Z26">
        <v>11</v>
      </c>
      <c r="AA26" s="11" t="s">
        <v>49</v>
      </c>
    </row>
    <row r="27" spans="2:27" ht="16" x14ac:dyDescent="0.2">
      <c r="B27" t="s">
        <v>35</v>
      </c>
      <c r="C27">
        <v>40357912</v>
      </c>
      <c r="D27" t="s">
        <v>409</v>
      </c>
      <c r="E27">
        <v>1012159</v>
      </c>
      <c r="F27" t="s">
        <v>88</v>
      </c>
      <c r="G27" s="9">
        <v>44962</v>
      </c>
      <c r="H27" s="7"/>
      <c r="I27" s="7"/>
      <c r="J27" s="7"/>
      <c r="K27" s="7"/>
      <c r="L27" s="10">
        <v>7.5</v>
      </c>
      <c r="M27" s="9">
        <v>44969</v>
      </c>
      <c r="N27" s="10">
        <v>9.5</v>
      </c>
      <c r="O27" s="9">
        <v>44978</v>
      </c>
      <c r="P27">
        <v>6</v>
      </c>
      <c r="Q27" s="11" t="s">
        <v>49</v>
      </c>
      <c r="R27" s="7"/>
      <c r="S27" s="7"/>
      <c r="T27" s="7"/>
      <c r="U27" s="7"/>
      <c r="V27" s="10">
        <v>9.5</v>
      </c>
      <c r="W27" s="9">
        <v>44971</v>
      </c>
      <c r="X27" s="10">
        <v>11.5</v>
      </c>
      <c r="Y27" s="9">
        <v>44978</v>
      </c>
      <c r="Z27">
        <v>6</v>
      </c>
      <c r="AA27" s="11" t="s">
        <v>49</v>
      </c>
    </row>
    <row r="28" spans="2:27" ht="16" x14ac:dyDescent="0.2">
      <c r="B28" t="s">
        <v>35</v>
      </c>
      <c r="C28">
        <v>40357909</v>
      </c>
      <c r="D28" t="s">
        <v>409</v>
      </c>
      <c r="E28">
        <v>1012148</v>
      </c>
      <c r="F28" t="s">
        <v>111</v>
      </c>
      <c r="G28" s="9">
        <v>44961</v>
      </c>
      <c r="H28" s="7"/>
      <c r="I28" s="7"/>
      <c r="J28" s="7"/>
      <c r="K28" s="7"/>
      <c r="L28" s="10">
        <v>7.5</v>
      </c>
      <c r="M28" s="9">
        <v>44968</v>
      </c>
      <c r="N28" s="10">
        <v>9.5</v>
      </c>
      <c r="O28" s="9">
        <v>44977</v>
      </c>
      <c r="P28">
        <v>7</v>
      </c>
      <c r="Q28" s="11" t="s">
        <v>49</v>
      </c>
      <c r="R28" s="7"/>
      <c r="S28" s="7"/>
      <c r="T28" s="7"/>
      <c r="U28" s="7"/>
      <c r="V28" s="10">
        <v>9.5</v>
      </c>
      <c r="W28" s="9">
        <v>44970</v>
      </c>
      <c r="X28" s="10">
        <v>11.5</v>
      </c>
      <c r="Y28" s="9">
        <v>44977</v>
      </c>
      <c r="Z28">
        <v>7</v>
      </c>
      <c r="AA28" s="11" t="s">
        <v>49</v>
      </c>
    </row>
    <row r="29" spans="2:27" ht="16" x14ac:dyDescent="0.2">
      <c r="B29" t="s">
        <v>35</v>
      </c>
      <c r="C29">
        <v>40357907</v>
      </c>
      <c r="D29" t="s">
        <v>409</v>
      </c>
      <c r="E29">
        <v>1012164</v>
      </c>
      <c r="F29" t="s">
        <v>142</v>
      </c>
      <c r="G29" s="9">
        <v>44964</v>
      </c>
      <c r="H29" s="7"/>
      <c r="I29" s="7"/>
      <c r="J29" s="7"/>
      <c r="K29" s="7"/>
      <c r="L29" s="10">
        <v>7.5</v>
      </c>
      <c r="M29" s="9">
        <v>44971</v>
      </c>
      <c r="N29" s="10">
        <v>9.5</v>
      </c>
      <c r="O29" s="9">
        <v>44980</v>
      </c>
      <c r="P29">
        <v>4</v>
      </c>
      <c r="Q29" s="11" t="s">
        <v>49</v>
      </c>
      <c r="R29" s="7"/>
      <c r="S29" s="7"/>
      <c r="T29" s="7"/>
      <c r="U29" s="7"/>
      <c r="V29" s="10">
        <v>9.5</v>
      </c>
      <c r="W29" s="9">
        <v>44973</v>
      </c>
      <c r="X29" s="10">
        <v>11.5</v>
      </c>
      <c r="Y29" s="9">
        <v>44980</v>
      </c>
      <c r="Z29">
        <v>4</v>
      </c>
      <c r="AA29" s="11" t="s">
        <v>49</v>
      </c>
    </row>
    <row r="30" spans="2:27" ht="16" x14ac:dyDescent="0.2">
      <c r="B30" t="s">
        <v>35</v>
      </c>
      <c r="C30">
        <v>40357896</v>
      </c>
      <c r="D30" t="s">
        <v>409</v>
      </c>
      <c r="E30">
        <v>1030379</v>
      </c>
      <c r="F30" t="s">
        <v>97</v>
      </c>
      <c r="G30" s="9">
        <v>44964</v>
      </c>
      <c r="H30" s="7"/>
      <c r="I30" s="7"/>
      <c r="J30" s="7"/>
      <c r="K30" s="7"/>
      <c r="L30" s="10">
        <v>7.5</v>
      </c>
      <c r="M30" s="9">
        <v>44971</v>
      </c>
      <c r="N30" s="10">
        <v>9.5</v>
      </c>
      <c r="O30" s="9">
        <v>44980</v>
      </c>
      <c r="P30">
        <v>4</v>
      </c>
      <c r="Q30" s="11" t="s">
        <v>49</v>
      </c>
      <c r="R30" s="7"/>
      <c r="S30" s="7"/>
      <c r="T30" s="7"/>
      <c r="U30" s="7"/>
      <c r="V30" s="10">
        <v>9.5</v>
      </c>
      <c r="W30" s="9">
        <v>44973</v>
      </c>
      <c r="X30" s="10">
        <v>11.5</v>
      </c>
      <c r="Y30" s="9">
        <v>44980</v>
      </c>
      <c r="Z30">
        <v>4</v>
      </c>
      <c r="AA30" s="11" t="s">
        <v>49</v>
      </c>
    </row>
    <row r="31" spans="2:27" ht="16" x14ac:dyDescent="0.2">
      <c r="B31" t="s">
        <v>35</v>
      </c>
      <c r="C31">
        <v>40357894</v>
      </c>
      <c r="D31" t="s">
        <v>409</v>
      </c>
      <c r="E31">
        <v>1030379</v>
      </c>
      <c r="F31" t="s">
        <v>97</v>
      </c>
      <c r="G31" s="9">
        <v>44964</v>
      </c>
      <c r="H31" s="7"/>
      <c r="I31" s="7"/>
      <c r="J31" s="7"/>
      <c r="K31" s="7"/>
      <c r="L31" s="10">
        <v>7.5</v>
      </c>
      <c r="M31" s="9">
        <v>44971</v>
      </c>
      <c r="N31" s="10">
        <v>9.5</v>
      </c>
      <c r="O31" s="9">
        <v>44980</v>
      </c>
      <c r="P31">
        <v>4</v>
      </c>
      <c r="Q31" s="11" t="s">
        <v>49</v>
      </c>
      <c r="R31" s="7"/>
      <c r="S31" s="7"/>
      <c r="T31" s="7"/>
      <c r="U31" s="7"/>
      <c r="V31" s="10">
        <v>9.5</v>
      </c>
      <c r="W31" s="9">
        <v>44973</v>
      </c>
      <c r="X31" s="10">
        <v>11.5</v>
      </c>
      <c r="Y31" s="9">
        <v>44980</v>
      </c>
      <c r="Z31">
        <v>4</v>
      </c>
      <c r="AA31" s="11" t="s">
        <v>49</v>
      </c>
    </row>
    <row r="32" spans="2:27" ht="16" x14ac:dyDescent="0.2">
      <c r="B32" t="s">
        <v>35</v>
      </c>
      <c r="C32">
        <v>40357889</v>
      </c>
      <c r="D32" t="s">
        <v>409</v>
      </c>
      <c r="E32">
        <v>1030379</v>
      </c>
      <c r="F32" t="s">
        <v>97</v>
      </c>
      <c r="G32" s="9">
        <v>44964</v>
      </c>
      <c r="H32" s="7"/>
      <c r="I32" s="7"/>
      <c r="J32" s="7"/>
      <c r="K32" s="7"/>
      <c r="L32" s="10">
        <v>7.5</v>
      </c>
      <c r="M32" s="9">
        <v>44971</v>
      </c>
      <c r="N32" s="10">
        <v>9.5</v>
      </c>
      <c r="O32" s="9">
        <v>44980</v>
      </c>
      <c r="P32">
        <v>4</v>
      </c>
      <c r="Q32" s="11" t="s">
        <v>49</v>
      </c>
      <c r="R32" s="7"/>
      <c r="S32" s="7"/>
      <c r="T32" s="7"/>
      <c r="U32" s="7"/>
      <c r="V32" s="10">
        <v>9.5</v>
      </c>
      <c r="W32" s="9">
        <v>44973</v>
      </c>
      <c r="X32" s="10">
        <v>11.5</v>
      </c>
      <c r="Y32" s="9">
        <v>44980</v>
      </c>
      <c r="Z32">
        <v>4</v>
      </c>
      <c r="AA32" s="11" t="s">
        <v>49</v>
      </c>
    </row>
    <row r="33" spans="2:27" x14ac:dyDescent="0.2">
      <c r="B33" t="s">
        <v>394</v>
      </c>
      <c r="C33">
        <v>40357819</v>
      </c>
      <c r="D33" t="s">
        <v>485</v>
      </c>
      <c r="E33">
        <v>1020660</v>
      </c>
      <c r="F33" t="s">
        <v>595</v>
      </c>
      <c r="G33" s="9">
        <v>44945</v>
      </c>
      <c r="H33" s="7"/>
      <c r="I33" s="7"/>
      <c r="J33" s="7"/>
      <c r="K33" s="7"/>
      <c r="L33" s="10"/>
      <c r="N33" s="10"/>
      <c r="Q33" s="11"/>
      <c r="R33" s="7"/>
      <c r="S33" s="7"/>
      <c r="T33" s="7"/>
      <c r="U33" s="7"/>
      <c r="V33" s="10"/>
      <c r="X33" s="10"/>
      <c r="AA33" s="11"/>
    </row>
    <row r="34" spans="2:27" x14ac:dyDescent="0.2">
      <c r="B34" t="s">
        <v>394</v>
      </c>
      <c r="C34">
        <v>40357788</v>
      </c>
      <c r="D34" t="s">
        <v>485</v>
      </c>
      <c r="E34">
        <v>1030817</v>
      </c>
      <c r="F34" t="s">
        <v>504</v>
      </c>
      <c r="G34" s="9">
        <v>44938</v>
      </c>
      <c r="H34" s="7"/>
      <c r="I34" s="7"/>
      <c r="J34" s="7"/>
      <c r="K34" s="7"/>
      <c r="L34" s="10"/>
      <c r="N34" s="10"/>
      <c r="Q34" s="11"/>
      <c r="R34" s="7"/>
      <c r="S34" s="7"/>
      <c r="T34" s="7"/>
      <c r="U34" s="7"/>
      <c r="V34" s="10"/>
      <c r="X34" s="10"/>
      <c r="AA34" s="11"/>
    </row>
    <row r="35" spans="2:27" ht="16" x14ac:dyDescent="0.2">
      <c r="B35" t="s">
        <v>35</v>
      </c>
      <c r="C35">
        <v>40357719</v>
      </c>
      <c r="D35" t="s">
        <v>386</v>
      </c>
      <c r="E35">
        <v>1030355</v>
      </c>
      <c r="F35" t="s">
        <v>385</v>
      </c>
      <c r="G35" s="9">
        <v>44983</v>
      </c>
      <c r="H35" s="7">
        <v>24000</v>
      </c>
      <c r="I35" s="7"/>
      <c r="J35" s="7"/>
      <c r="K35" s="7"/>
      <c r="L35" s="10">
        <v>5.1420118343195256</v>
      </c>
      <c r="M35" s="9">
        <v>44988</v>
      </c>
      <c r="N35" s="10">
        <v>7.5</v>
      </c>
      <c r="O35" s="9">
        <v>44995</v>
      </c>
      <c r="P35">
        <v>18</v>
      </c>
      <c r="Q35" s="11" t="s">
        <v>49</v>
      </c>
      <c r="R35" s="7">
        <v>24000</v>
      </c>
      <c r="S35" s="7"/>
      <c r="T35" s="7"/>
      <c r="U35" s="7"/>
      <c r="V35" s="10">
        <v>7.1420118343195256</v>
      </c>
      <c r="W35" s="9">
        <v>44990</v>
      </c>
      <c r="X35" s="10">
        <v>9.5</v>
      </c>
      <c r="Y35" s="9">
        <v>44995</v>
      </c>
      <c r="Z35">
        <v>18</v>
      </c>
      <c r="AA35" s="11" t="s">
        <v>49</v>
      </c>
    </row>
    <row r="36" spans="2:27" ht="16" x14ac:dyDescent="0.2">
      <c r="B36" t="s">
        <v>35</v>
      </c>
      <c r="C36">
        <v>40357714</v>
      </c>
      <c r="D36" t="s">
        <v>386</v>
      </c>
      <c r="E36">
        <v>1010877</v>
      </c>
      <c r="F36" t="s">
        <v>387</v>
      </c>
      <c r="G36" s="9">
        <v>45015</v>
      </c>
      <c r="H36" s="7"/>
      <c r="I36" s="7">
        <v>24000</v>
      </c>
      <c r="J36" s="7"/>
      <c r="K36" s="7"/>
      <c r="L36" s="10">
        <v>5.1420118343195256</v>
      </c>
      <c r="M36" s="9">
        <v>45020</v>
      </c>
      <c r="N36" s="10">
        <v>7.5</v>
      </c>
      <c r="O36" s="9">
        <v>45027</v>
      </c>
      <c r="P36">
        <v>15</v>
      </c>
      <c r="Q36" s="11" t="s">
        <v>49</v>
      </c>
      <c r="R36" s="7"/>
      <c r="S36" s="7">
        <v>24000</v>
      </c>
      <c r="T36" s="7"/>
      <c r="U36" s="7"/>
      <c r="V36" s="10">
        <v>7.1420118343195256</v>
      </c>
      <c r="W36" s="9">
        <v>45022</v>
      </c>
      <c r="X36" s="10">
        <v>9.5</v>
      </c>
      <c r="Y36" s="9">
        <v>45027</v>
      </c>
      <c r="Z36">
        <v>15</v>
      </c>
      <c r="AA36" s="11" t="s">
        <v>49</v>
      </c>
    </row>
    <row r="37" spans="2:27" ht="16" x14ac:dyDescent="0.2">
      <c r="B37" t="s">
        <v>35</v>
      </c>
      <c r="C37">
        <v>40357649</v>
      </c>
      <c r="D37" t="s">
        <v>389</v>
      </c>
      <c r="E37">
        <v>1030525</v>
      </c>
      <c r="F37" t="s">
        <v>377</v>
      </c>
      <c r="G37" s="9">
        <v>44972</v>
      </c>
      <c r="H37" s="7"/>
      <c r="I37" s="7"/>
      <c r="J37" s="7"/>
      <c r="K37" s="7"/>
      <c r="L37" s="10">
        <v>5.5741092456127026</v>
      </c>
      <c r="M37" s="9">
        <v>44977</v>
      </c>
      <c r="N37" s="10">
        <v>5.5</v>
      </c>
      <c r="O37" s="9">
        <v>44982</v>
      </c>
      <c r="P37">
        <v>2</v>
      </c>
      <c r="Q37" s="11" t="s">
        <v>594</v>
      </c>
      <c r="R37" s="7"/>
      <c r="S37" s="7"/>
      <c r="T37" s="7"/>
      <c r="U37" s="7"/>
      <c r="V37" s="10">
        <v>7.5741092456127026</v>
      </c>
      <c r="W37" s="9">
        <v>44979</v>
      </c>
      <c r="X37" s="10">
        <v>7.5</v>
      </c>
      <c r="Y37" s="9">
        <v>44982</v>
      </c>
      <c r="Z37">
        <v>2</v>
      </c>
      <c r="AA37" s="11" t="s">
        <v>594</v>
      </c>
    </row>
    <row r="38" spans="2:27" ht="16" x14ac:dyDescent="0.2">
      <c r="B38" t="s">
        <v>35</v>
      </c>
      <c r="C38">
        <v>40357643</v>
      </c>
      <c r="D38" t="s">
        <v>389</v>
      </c>
      <c r="E38">
        <v>1022851</v>
      </c>
      <c r="F38" t="s">
        <v>322</v>
      </c>
      <c r="G38" s="9">
        <v>44988</v>
      </c>
      <c r="H38" s="7">
        <v>13855.76</v>
      </c>
      <c r="I38" s="7"/>
      <c r="J38" s="7"/>
      <c r="K38" s="7"/>
      <c r="L38" s="10">
        <v>5.5741092456127026</v>
      </c>
      <c r="M38" s="9">
        <v>44993</v>
      </c>
      <c r="N38" s="10">
        <v>5.5</v>
      </c>
      <c r="O38" s="9">
        <v>44998</v>
      </c>
      <c r="P38">
        <v>16</v>
      </c>
      <c r="Q38" s="11" t="s">
        <v>49</v>
      </c>
      <c r="R38" s="7">
        <v>13855.76</v>
      </c>
      <c r="S38" s="7"/>
      <c r="T38" s="7"/>
      <c r="U38" s="7"/>
      <c r="V38" s="10">
        <v>7.5741092456127026</v>
      </c>
      <c r="W38" s="9">
        <v>44995</v>
      </c>
      <c r="X38" s="10">
        <v>7.5</v>
      </c>
      <c r="Y38" s="9">
        <v>44998</v>
      </c>
      <c r="Z38">
        <v>16</v>
      </c>
      <c r="AA38" s="11" t="s">
        <v>49</v>
      </c>
    </row>
    <row r="39" spans="2:27" ht="16" x14ac:dyDescent="0.2">
      <c r="B39" t="s">
        <v>35</v>
      </c>
      <c r="C39">
        <v>40357643</v>
      </c>
      <c r="D39" t="s">
        <v>389</v>
      </c>
      <c r="E39">
        <v>1022851</v>
      </c>
      <c r="F39" t="s">
        <v>322</v>
      </c>
      <c r="G39" s="9">
        <v>44988</v>
      </c>
      <c r="H39" s="7">
        <v>22829.29</v>
      </c>
      <c r="I39" s="7"/>
      <c r="J39" s="7"/>
      <c r="K39" s="7"/>
      <c r="L39" s="10">
        <v>5.5741092456127026</v>
      </c>
      <c r="M39" s="9">
        <v>44993</v>
      </c>
      <c r="N39" s="10">
        <v>5.5</v>
      </c>
      <c r="O39" s="9">
        <v>44998</v>
      </c>
      <c r="P39">
        <v>16</v>
      </c>
      <c r="Q39" s="11" t="s">
        <v>49</v>
      </c>
      <c r="R39" s="7">
        <v>22829.29</v>
      </c>
      <c r="S39" s="7"/>
      <c r="T39" s="7"/>
      <c r="U39" s="7"/>
      <c r="V39" s="10">
        <v>7.5741092456127026</v>
      </c>
      <c r="W39" s="9">
        <v>44995</v>
      </c>
      <c r="X39" s="10">
        <v>7.5</v>
      </c>
      <c r="Y39" s="9">
        <v>44998</v>
      </c>
      <c r="Z39">
        <v>16</v>
      </c>
      <c r="AA39" s="11" t="s">
        <v>49</v>
      </c>
    </row>
    <row r="40" spans="2:27" ht="16" x14ac:dyDescent="0.2">
      <c r="B40" t="s">
        <v>35</v>
      </c>
      <c r="C40">
        <v>40357638</v>
      </c>
      <c r="D40" t="s">
        <v>389</v>
      </c>
      <c r="E40">
        <v>1022851</v>
      </c>
      <c r="F40" t="s">
        <v>322</v>
      </c>
      <c r="G40" s="9">
        <v>44964</v>
      </c>
      <c r="H40" s="7"/>
      <c r="I40" s="7"/>
      <c r="J40" s="7"/>
      <c r="K40" s="7"/>
      <c r="L40" s="10">
        <v>5.5741092456127026</v>
      </c>
      <c r="M40" s="9">
        <v>44969</v>
      </c>
      <c r="N40" s="10">
        <v>5.5</v>
      </c>
      <c r="O40" s="9">
        <v>44974</v>
      </c>
      <c r="P40">
        <v>9</v>
      </c>
      <c r="Q40" s="11" t="s">
        <v>49</v>
      </c>
      <c r="R40" s="7"/>
      <c r="S40" s="7"/>
      <c r="T40" s="7"/>
      <c r="U40" s="7"/>
      <c r="V40" s="10">
        <v>7.5741092456127026</v>
      </c>
      <c r="W40" s="9">
        <v>44971</v>
      </c>
      <c r="X40" s="10">
        <v>7.5</v>
      </c>
      <c r="Y40" s="9">
        <v>44974</v>
      </c>
      <c r="Z40">
        <v>9</v>
      </c>
      <c r="AA40" s="11" t="s">
        <v>49</v>
      </c>
    </row>
    <row r="41" spans="2:27" ht="16" x14ac:dyDescent="0.2">
      <c r="B41" t="s">
        <v>35</v>
      </c>
      <c r="C41">
        <v>40357637</v>
      </c>
      <c r="D41" t="s">
        <v>389</v>
      </c>
      <c r="E41">
        <v>1022851</v>
      </c>
      <c r="F41" t="s">
        <v>322</v>
      </c>
      <c r="G41" s="9">
        <v>44966</v>
      </c>
      <c r="H41" s="7"/>
      <c r="I41" s="7"/>
      <c r="J41" s="7"/>
      <c r="K41" s="7"/>
      <c r="L41" s="10">
        <v>5.5741092456127026</v>
      </c>
      <c r="M41" s="9">
        <v>44971</v>
      </c>
      <c r="N41" s="10">
        <v>5.5</v>
      </c>
      <c r="O41" s="9">
        <v>44976</v>
      </c>
      <c r="P41">
        <v>8</v>
      </c>
      <c r="Q41" s="11" t="s">
        <v>49</v>
      </c>
      <c r="R41" s="7"/>
      <c r="S41" s="7"/>
      <c r="T41" s="7"/>
      <c r="U41" s="7"/>
      <c r="V41" s="10">
        <v>7.5741092456127026</v>
      </c>
      <c r="W41" s="9">
        <v>44973</v>
      </c>
      <c r="X41" s="10">
        <v>7.5</v>
      </c>
      <c r="Y41" s="9">
        <v>44976</v>
      </c>
      <c r="Z41">
        <v>8</v>
      </c>
      <c r="AA41" s="11" t="s">
        <v>49</v>
      </c>
    </row>
    <row r="42" spans="2:27" ht="16" x14ac:dyDescent="0.2">
      <c r="B42" t="s">
        <v>35</v>
      </c>
      <c r="C42">
        <v>40357627</v>
      </c>
      <c r="D42" t="s">
        <v>389</v>
      </c>
      <c r="E42">
        <v>1030686</v>
      </c>
      <c r="F42" t="s">
        <v>381</v>
      </c>
      <c r="G42" s="9">
        <v>44964</v>
      </c>
      <c r="H42" s="7"/>
      <c r="I42" s="7"/>
      <c r="J42" s="7"/>
      <c r="K42" s="7"/>
      <c r="L42" s="10">
        <v>5.5741092456127026</v>
      </c>
      <c r="M42" s="9">
        <v>44969</v>
      </c>
      <c r="N42" s="10">
        <v>5.5</v>
      </c>
      <c r="O42" s="9">
        <v>44974</v>
      </c>
      <c r="P42">
        <v>9</v>
      </c>
      <c r="Q42" s="11" t="s">
        <v>49</v>
      </c>
      <c r="R42" s="7"/>
      <c r="S42" s="7"/>
      <c r="T42" s="7"/>
      <c r="U42" s="7"/>
      <c r="V42" s="10">
        <v>7.5741092456127026</v>
      </c>
      <c r="W42" s="9">
        <v>44971</v>
      </c>
      <c r="X42" s="10">
        <v>7.5</v>
      </c>
      <c r="Y42" s="9">
        <v>44974</v>
      </c>
      <c r="Z42">
        <v>9</v>
      </c>
      <c r="AA42" s="11" t="s">
        <v>49</v>
      </c>
    </row>
    <row r="43" spans="2:27" ht="16" x14ac:dyDescent="0.2">
      <c r="B43" t="s">
        <v>35</v>
      </c>
      <c r="C43">
        <v>40357624</v>
      </c>
      <c r="D43" t="s">
        <v>389</v>
      </c>
      <c r="E43">
        <v>1030685</v>
      </c>
      <c r="F43" t="s">
        <v>413</v>
      </c>
      <c r="G43" s="9">
        <v>44972</v>
      </c>
      <c r="H43" s="7"/>
      <c r="I43" s="7"/>
      <c r="J43" s="7"/>
      <c r="K43" s="7"/>
      <c r="L43" s="10">
        <v>5.5741092456127026</v>
      </c>
      <c r="M43" s="9">
        <v>44977</v>
      </c>
      <c r="N43" s="10">
        <v>5.5</v>
      </c>
      <c r="O43" s="9">
        <v>44982</v>
      </c>
      <c r="P43">
        <v>2</v>
      </c>
      <c r="Q43" s="11" t="s">
        <v>594</v>
      </c>
      <c r="R43" s="7"/>
      <c r="S43" s="7"/>
      <c r="T43" s="7"/>
      <c r="U43" s="7"/>
      <c r="V43" s="10">
        <v>7.5741092456127026</v>
      </c>
      <c r="W43" s="9">
        <v>44979</v>
      </c>
      <c r="X43" s="10">
        <v>7.5</v>
      </c>
      <c r="Y43" s="9">
        <v>44982</v>
      </c>
      <c r="Z43">
        <v>2</v>
      </c>
      <c r="AA43" s="11" t="s">
        <v>594</v>
      </c>
    </row>
    <row r="44" spans="2:27" ht="16" x14ac:dyDescent="0.2">
      <c r="B44" t="s">
        <v>35</v>
      </c>
      <c r="C44">
        <v>40357618</v>
      </c>
      <c r="D44" t="s">
        <v>389</v>
      </c>
      <c r="E44">
        <v>1022378</v>
      </c>
      <c r="F44" t="s">
        <v>304</v>
      </c>
      <c r="G44" s="9">
        <v>44968</v>
      </c>
      <c r="H44" s="7"/>
      <c r="I44" s="7"/>
      <c r="J44" s="7"/>
      <c r="K44" s="7"/>
      <c r="L44" s="10">
        <v>5.5741092456127026</v>
      </c>
      <c r="M44" s="9">
        <v>44973</v>
      </c>
      <c r="N44" s="10">
        <v>5.5</v>
      </c>
      <c r="O44" s="9">
        <v>44978</v>
      </c>
      <c r="P44">
        <v>6</v>
      </c>
      <c r="Q44" s="11" t="s">
        <v>49</v>
      </c>
      <c r="R44" s="7"/>
      <c r="S44" s="7"/>
      <c r="T44" s="7"/>
      <c r="U44" s="7"/>
      <c r="V44" s="10">
        <v>7.5741092456127026</v>
      </c>
      <c r="W44" s="9">
        <v>44975</v>
      </c>
      <c r="X44" s="10">
        <v>7.5</v>
      </c>
      <c r="Y44" s="9">
        <v>44978</v>
      </c>
      <c r="Z44">
        <v>6</v>
      </c>
      <c r="AA44" s="11" t="s">
        <v>49</v>
      </c>
    </row>
    <row r="45" spans="2:27" ht="16" x14ac:dyDescent="0.2">
      <c r="B45" t="s">
        <v>35</v>
      </c>
      <c r="C45">
        <v>40357618</v>
      </c>
      <c r="D45" t="s">
        <v>389</v>
      </c>
      <c r="E45">
        <v>1022378</v>
      </c>
      <c r="F45" t="s">
        <v>304</v>
      </c>
      <c r="G45" s="9">
        <v>44968</v>
      </c>
      <c r="H45" s="7"/>
      <c r="I45" s="7"/>
      <c r="J45" s="7"/>
      <c r="K45" s="7"/>
      <c r="L45" s="10">
        <v>5.5741092456127026</v>
      </c>
      <c r="M45" s="9">
        <v>44973</v>
      </c>
      <c r="N45" s="10">
        <v>5.5</v>
      </c>
      <c r="O45" s="9">
        <v>44978</v>
      </c>
      <c r="P45">
        <v>6</v>
      </c>
      <c r="Q45" s="11" t="s">
        <v>49</v>
      </c>
      <c r="R45" s="7"/>
      <c r="S45" s="7"/>
      <c r="T45" s="7"/>
      <c r="U45" s="7"/>
      <c r="V45" s="10">
        <v>7.5741092456127026</v>
      </c>
      <c r="W45" s="9">
        <v>44975</v>
      </c>
      <c r="X45" s="10">
        <v>7.5</v>
      </c>
      <c r="Y45" s="9">
        <v>44978</v>
      </c>
      <c r="Z45">
        <v>6</v>
      </c>
      <c r="AA45" s="11" t="s">
        <v>49</v>
      </c>
    </row>
    <row r="46" spans="2:27" ht="16" x14ac:dyDescent="0.2">
      <c r="B46" t="s">
        <v>35</v>
      </c>
      <c r="C46">
        <v>40357615</v>
      </c>
      <c r="D46" t="s">
        <v>389</v>
      </c>
      <c r="E46">
        <v>1022639</v>
      </c>
      <c r="F46" t="s">
        <v>316</v>
      </c>
      <c r="G46" s="9">
        <v>44985</v>
      </c>
      <c r="H46" s="7">
        <v>22436.66</v>
      </c>
      <c r="I46" s="7"/>
      <c r="J46" s="7"/>
      <c r="K46" s="7"/>
      <c r="L46" s="10">
        <v>5.5741092456127026</v>
      </c>
      <c r="M46" s="9">
        <v>44990</v>
      </c>
      <c r="N46" s="10">
        <v>5.5</v>
      </c>
      <c r="O46" s="9">
        <v>44995</v>
      </c>
      <c r="P46">
        <v>18</v>
      </c>
      <c r="Q46" s="11" t="s">
        <v>49</v>
      </c>
      <c r="R46" s="7">
        <v>22436.66</v>
      </c>
      <c r="S46" s="7"/>
      <c r="T46" s="7"/>
      <c r="U46" s="7"/>
      <c r="V46" s="10">
        <v>7.5741092456127026</v>
      </c>
      <c r="W46" s="9">
        <v>44992</v>
      </c>
      <c r="X46" s="10">
        <v>7.5</v>
      </c>
      <c r="Y46" s="9">
        <v>44995</v>
      </c>
      <c r="Z46">
        <v>18</v>
      </c>
      <c r="AA46" s="11" t="s">
        <v>49</v>
      </c>
    </row>
    <row r="47" spans="2:27" ht="16" x14ac:dyDescent="0.2">
      <c r="B47" t="s">
        <v>35</v>
      </c>
      <c r="C47">
        <v>40357614</v>
      </c>
      <c r="D47" t="s">
        <v>389</v>
      </c>
      <c r="E47">
        <v>1022639</v>
      </c>
      <c r="F47" t="s">
        <v>316</v>
      </c>
      <c r="G47" s="9">
        <v>44988</v>
      </c>
      <c r="H47" s="7">
        <v>21995.73</v>
      </c>
      <c r="I47" s="7"/>
      <c r="J47" s="7"/>
      <c r="K47" s="7"/>
      <c r="L47" s="10">
        <v>5.5741092456127026</v>
      </c>
      <c r="M47" s="9">
        <v>44993</v>
      </c>
      <c r="N47" s="10">
        <v>5.5</v>
      </c>
      <c r="O47" s="9">
        <v>44998</v>
      </c>
      <c r="P47">
        <v>16</v>
      </c>
      <c r="Q47" s="11" t="s">
        <v>49</v>
      </c>
      <c r="R47" s="7">
        <v>21995.73</v>
      </c>
      <c r="S47" s="7"/>
      <c r="T47" s="7"/>
      <c r="U47" s="7"/>
      <c r="V47" s="10">
        <v>7.5741092456127026</v>
      </c>
      <c r="W47" s="9">
        <v>44995</v>
      </c>
      <c r="X47" s="10">
        <v>7.5</v>
      </c>
      <c r="Y47" s="9">
        <v>44998</v>
      </c>
      <c r="Z47">
        <v>16</v>
      </c>
      <c r="AA47" s="11" t="s">
        <v>49</v>
      </c>
    </row>
    <row r="48" spans="2:27" ht="16" x14ac:dyDescent="0.2">
      <c r="B48" t="s">
        <v>35</v>
      </c>
      <c r="C48">
        <v>40357612</v>
      </c>
      <c r="D48" t="s">
        <v>389</v>
      </c>
      <c r="E48">
        <v>1022639</v>
      </c>
      <c r="F48" t="s">
        <v>316</v>
      </c>
      <c r="G48" s="9">
        <v>44990</v>
      </c>
      <c r="H48" s="7">
        <v>21912.93</v>
      </c>
      <c r="I48" s="7"/>
      <c r="J48" s="7"/>
      <c r="K48" s="7"/>
      <c r="L48" s="10">
        <v>5.5741092456127026</v>
      </c>
      <c r="M48" s="9">
        <v>44995</v>
      </c>
      <c r="N48" s="10">
        <v>5.5</v>
      </c>
      <c r="O48" s="9">
        <v>45000</v>
      </c>
      <c r="P48">
        <v>14</v>
      </c>
      <c r="Q48" s="11" t="s">
        <v>49</v>
      </c>
      <c r="R48" s="7">
        <v>21912.93</v>
      </c>
      <c r="S48" s="7"/>
      <c r="T48" s="7"/>
      <c r="U48" s="7"/>
      <c r="V48" s="10">
        <v>7.5741092456127026</v>
      </c>
      <c r="W48" s="9">
        <v>44997</v>
      </c>
      <c r="X48" s="10">
        <v>7.5</v>
      </c>
      <c r="Y48" s="9">
        <v>45000</v>
      </c>
      <c r="Z48">
        <v>14</v>
      </c>
      <c r="AA48" s="11" t="s">
        <v>49</v>
      </c>
    </row>
    <row r="49" spans="2:27" ht="16" x14ac:dyDescent="0.2">
      <c r="B49" t="s">
        <v>35</v>
      </c>
      <c r="C49">
        <v>40357607</v>
      </c>
      <c r="D49" t="s">
        <v>389</v>
      </c>
      <c r="E49">
        <v>1022639</v>
      </c>
      <c r="F49" t="s">
        <v>316</v>
      </c>
      <c r="G49" s="9">
        <v>44985</v>
      </c>
      <c r="H49" s="7">
        <v>22511.85</v>
      </c>
      <c r="I49" s="7"/>
      <c r="J49" s="7"/>
      <c r="K49" s="7"/>
      <c r="L49" s="10">
        <v>5.5741092456127026</v>
      </c>
      <c r="M49" s="9">
        <v>44990</v>
      </c>
      <c r="N49" s="10">
        <v>5.5</v>
      </c>
      <c r="O49" s="9">
        <v>44995</v>
      </c>
      <c r="P49">
        <v>18</v>
      </c>
      <c r="Q49" s="11" t="s">
        <v>49</v>
      </c>
      <c r="R49" s="7">
        <v>22511.85</v>
      </c>
      <c r="S49" s="7"/>
      <c r="T49" s="7"/>
      <c r="U49" s="7"/>
      <c r="V49" s="10">
        <v>7.5741092456127026</v>
      </c>
      <c r="W49" s="9">
        <v>44992</v>
      </c>
      <c r="X49" s="10">
        <v>7.5</v>
      </c>
      <c r="Y49" s="9">
        <v>44995</v>
      </c>
      <c r="Z49">
        <v>18</v>
      </c>
      <c r="AA49" s="11" t="s">
        <v>49</v>
      </c>
    </row>
    <row r="50" spans="2:27" ht="16" x14ac:dyDescent="0.2">
      <c r="B50" t="s">
        <v>35</v>
      </c>
      <c r="C50">
        <v>40357605</v>
      </c>
      <c r="D50" t="s">
        <v>389</v>
      </c>
      <c r="E50">
        <v>1022639</v>
      </c>
      <c r="F50" t="s">
        <v>316</v>
      </c>
      <c r="G50" s="9">
        <v>44985</v>
      </c>
      <c r="H50" s="7">
        <v>22393.47</v>
      </c>
      <c r="I50" s="7"/>
      <c r="J50" s="7"/>
      <c r="K50" s="7"/>
      <c r="L50" s="10">
        <v>5.5741092456127026</v>
      </c>
      <c r="M50" s="9">
        <v>44990</v>
      </c>
      <c r="N50" s="10">
        <v>5.5</v>
      </c>
      <c r="O50" s="9">
        <v>44995</v>
      </c>
      <c r="P50">
        <v>18</v>
      </c>
      <c r="Q50" s="11" t="s">
        <v>49</v>
      </c>
      <c r="R50" s="7">
        <v>22393.47</v>
      </c>
      <c r="S50" s="7"/>
      <c r="T50" s="7"/>
      <c r="U50" s="7"/>
      <c r="V50" s="10">
        <v>7.5741092456127026</v>
      </c>
      <c r="W50" s="9">
        <v>44992</v>
      </c>
      <c r="X50" s="10">
        <v>7.5</v>
      </c>
      <c r="Y50" s="9">
        <v>44995</v>
      </c>
      <c r="Z50">
        <v>18</v>
      </c>
      <c r="AA50" s="11" t="s">
        <v>49</v>
      </c>
    </row>
    <row r="51" spans="2:27" ht="16" x14ac:dyDescent="0.2">
      <c r="B51" t="s">
        <v>35</v>
      </c>
      <c r="C51">
        <v>40357604</v>
      </c>
      <c r="D51" t="s">
        <v>389</v>
      </c>
      <c r="E51">
        <v>1022639</v>
      </c>
      <c r="F51" t="s">
        <v>316</v>
      </c>
      <c r="G51" s="9">
        <v>44972</v>
      </c>
      <c r="H51" s="7"/>
      <c r="I51" s="7"/>
      <c r="J51" s="7"/>
      <c r="K51" s="7"/>
      <c r="L51" s="10">
        <v>5.5741092456127026</v>
      </c>
      <c r="M51" s="9">
        <v>44977</v>
      </c>
      <c r="N51" s="10">
        <v>5.5</v>
      </c>
      <c r="O51" s="9">
        <v>44982</v>
      </c>
      <c r="P51">
        <v>2</v>
      </c>
      <c r="Q51" s="11" t="s">
        <v>594</v>
      </c>
      <c r="R51" s="7"/>
      <c r="S51" s="7"/>
      <c r="T51" s="7"/>
      <c r="U51" s="7"/>
      <c r="V51" s="10">
        <v>7.5741092456127026</v>
      </c>
      <c r="W51" s="9">
        <v>44979</v>
      </c>
      <c r="X51" s="10">
        <v>7.5</v>
      </c>
      <c r="Y51" s="9">
        <v>44982</v>
      </c>
      <c r="Z51">
        <v>2</v>
      </c>
      <c r="AA51" s="11" t="s">
        <v>594</v>
      </c>
    </row>
    <row r="52" spans="2:27" ht="16" x14ac:dyDescent="0.2">
      <c r="B52" t="s">
        <v>35</v>
      </c>
      <c r="C52">
        <v>40357603</v>
      </c>
      <c r="D52" t="s">
        <v>389</v>
      </c>
      <c r="E52">
        <v>1022639</v>
      </c>
      <c r="F52" t="s">
        <v>316</v>
      </c>
      <c r="G52" s="9">
        <v>44972</v>
      </c>
      <c r="H52" s="7"/>
      <c r="I52" s="7"/>
      <c r="J52" s="7"/>
      <c r="K52" s="7"/>
      <c r="L52" s="10">
        <v>5.5741092456127026</v>
      </c>
      <c r="M52" s="9">
        <v>44977</v>
      </c>
      <c r="N52" s="10">
        <v>5.5</v>
      </c>
      <c r="O52" s="9">
        <v>44982</v>
      </c>
      <c r="P52">
        <v>2</v>
      </c>
      <c r="Q52" s="11" t="s">
        <v>594</v>
      </c>
      <c r="R52" s="7"/>
      <c r="S52" s="7"/>
      <c r="T52" s="7"/>
      <c r="U52" s="7"/>
      <c r="V52" s="10">
        <v>7.5741092456127026</v>
      </c>
      <c r="W52" s="9">
        <v>44979</v>
      </c>
      <c r="X52" s="10">
        <v>7.5</v>
      </c>
      <c r="Y52" s="9">
        <v>44982</v>
      </c>
      <c r="Z52">
        <v>2</v>
      </c>
      <c r="AA52" s="11" t="s">
        <v>594</v>
      </c>
    </row>
    <row r="53" spans="2:27" ht="16" x14ac:dyDescent="0.2">
      <c r="B53" t="s">
        <v>35</v>
      </c>
      <c r="C53">
        <v>40357602</v>
      </c>
      <c r="D53" t="s">
        <v>389</v>
      </c>
      <c r="E53">
        <v>1022639</v>
      </c>
      <c r="F53" t="s">
        <v>316</v>
      </c>
      <c r="G53" s="9">
        <v>44964</v>
      </c>
      <c r="H53" s="7"/>
      <c r="I53" s="7"/>
      <c r="J53" s="7"/>
      <c r="K53" s="7"/>
      <c r="L53" s="10">
        <v>5.5741092456127026</v>
      </c>
      <c r="M53" s="9">
        <v>44969</v>
      </c>
      <c r="N53" s="10">
        <v>5.5</v>
      </c>
      <c r="O53" s="9">
        <v>44974</v>
      </c>
      <c r="P53">
        <v>9</v>
      </c>
      <c r="Q53" s="11" t="s">
        <v>49</v>
      </c>
      <c r="R53" s="7"/>
      <c r="S53" s="7"/>
      <c r="T53" s="7"/>
      <c r="U53" s="7"/>
      <c r="V53" s="10">
        <v>7.5741092456127026</v>
      </c>
      <c r="W53" s="9">
        <v>44971</v>
      </c>
      <c r="X53" s="10">
        <v>7.5</v>
      </c>
      <c r="Y53" s="9">
        <v>44974</v>
      </c>
      <c r="Z53">
        <v>9</v>
      </c>
      <c r="AA53" s="11" t="s">
        <v>49</v>
      </c>
    </row>
    <row r="54" spans="2:27" ht="16" x14ac:dyDescent="0.2">
      <c r="B54" t="s">
        <v>35</v>
      </c>
      <c r="C54">
        <v>40357597</v>
      </c>
      <c r="D54" t="s">
        <v>389</v>
      </c>
      <c r="E54">
        <v>1022639</v>
      </c>
      <c r="F54" t="s">
        <v>316</v>
      </c>
      <c r="G54" s="9">
        <v>44966</v>
      </c>
      <c r="H54" s="7"/>
      <c r="I54" s="7"/>
      <c r="J54" s="7"/>
      <c r="K54" s="7"/>
      <c r="L54" s="10">
        <v>5.5741092456127026</v>
      </c>
      <c r="M54" s="9">
        <v>44971</v>
      </c>
      <c r="N54" s="10">
        <v>5.5</v>
      </c>
      <c r="O54" s="9">
        <v>44976</v>
      </c>
      <c r="P54">
        <v>8</v>
      </c>
      <c r="Q54" s="11" t="s">
        <v>49</v>
      </c>
      <c r="R54" s="7"/>
      <c r="S54" s="7"/>
      <c r="T54" s="7"/>
      <c r="U54" s="7"/>
      <c r="V54" s="10">
        <v>7.5741092456127026</v>
      </c>
      <c r="W54" s="9">
        <v>44973</v>
      </c>
      <c r="X54" s="10">
        <v>7.5</v>
      </c>
      <c r="Y54" s="9">
        <v>44976</v>
      </c>
      <c r="Z54">
        <v>8</v>
      </c>
      <c r="AA54" s="11" t="s">
        <v>49</v>
      </c>
    </row>
    <row r="55" spans="2:27" ht="16" x14ac:dyDescent="0.2">
      <c r="B55" t="s">
        <v>35</v>
      </c>
      <c r="C55">
        <v>40357596</v>
      </c>
      <c r="D55" t="s">
        <v>389</v>
      </c>
      <c r="E55">
        <v>1022639</v>
      </c>
      <c r="F55" t="s">
        <v>316</v>
      </c>
      <c r="G55" s="9">
        <v>44966</v>
      </c>
      <c r="H55" s="7"/>
      <c r="I55" s="7"/>
      <c r="J55" s="7"/>
      <c r="K55" s="7"/>
      <c r="L55" s="10">
        <v>5.5741092456127026</v>
      </c>
      <c r="M55" s="9">
        <v>44971</v>
      </c>
      <c r="N55" s="10">
        <v>5.5</v>
      </c>
      <c r="O55" s="9">
        <v>44976</v>
      </c>
      <c r="P55">
        <v>8</v>
      </c>
      <c r="Q55" s="11" t="s">
        <v>49</v>
      </c>
      <c r="R55" s="7"/>
      <c r="S55" s="7"/>
      <c r="T55" s="7"/>
      <c r="U55" s="7"/>
      <c r="V55" s="10">
        <v>7.5741092456127026</v>
      </c>
      <c r="W55" s="9">
        <v>44973</v>
      </c>
      <c r="X55" s="10">
        <v>7.5</v>
      </c>
      <c r="Y55" s="9">
        <v>44976</v>
      </c>
      <c r="Z55">
        <v>8</v>
      </c>
      <c r="AA55" s="11" t="s">
        <v>49</v>
      </c>
    </row>
    <row r="56" spans="2:27" ht="16" x14ac:dyDescent="0.2">
      <c r="B56" t="s">
        <v>35</v>
      </c>
      <c r="C56">
        <v>40357594</v>
      </c>
      <c r="D56" t="s">
        <v>389</v>
      </c>
      <c r="E56">
        <v>1022639</v>
      </c>
      <c r="F56" t="s">
        <v>316</v>
      </c>
      <c r="G56" s="9">
        <v>44964</v>
      </c>
      <c r="H56" s="7"/>
      <c r="I56" s="7"/>
      <c r="J56" s="7"/>
      <c r="K56" s="7"/>
      <c r="L56" s="10">
        <v>5.5741092456127026</v>
      </c>
      <c r="M56" s="9">
        <v>44969</v>
      </c>
      <c r="N56" s="10">
        <v>5.5</v>
      </c>
      <c r="O56" s="9">
        <v>44974</v>
      </c>
      <c r="P56">
        <v>9</v>
      </c>
      <c r="Q56" s="11" t="s">
        <v>49</v>
      </c>
      <c r="R56" s="7"/>
      <c r="S56" s="7"/>
      <c r="T56" s="7"/>
      <c r="U56" s="7"/>
      <c r="V56" s="10">
        <v>7.5741092456127026</v>
      </c>
      <c r="W56" s="9">
        <v>44971</v>
      </c>
      <c r="X56" s="10">
        <v>7.5</v>
      </c>
      <c r="Y56" s="9">
        <v>44974</v>
      </c>
      <c r="Z56">
        <v>9</v>
      </c>
      <c r="AA56" s="11" t="s">
        <v>49</v>
      </c>
    </row>
    <row r="57" spans="2:27" ht="16" x14ac:dyDescent="0.2">
      <c r="B57" t="s">
        <v>35</v>
      </c>
      <c r="C57">
        <v>40351784</v>
      </c>
      <c r="D57" t="s">
        <v>409</v>
      </c>
      <c r="E57">
        <v>1030424</v>
      </c>
      <c r="F57" t="s">
        <v>359</v>
      </c>
      <c r="G57" s="9">
        <v>44964</v>
      </c>
      <c r="H57" s="7"/>
      <c r="I57" s="7"/>
      <c r="J57" s="7"/>
      <c r="K57" s="7"/>
      <c r="L57" s="10">
        <v>7.5</v>
      </c>
      <c r="M57" s="9">
        <v>44971</v>
      </c>
      <c r="N57" s="10">
        <v>9.5</v>
      </c>
      <c r="O57" s="9">
        <v>44980</v>
      </c>
      <c r="P57">
        <v>4</v>
      </c>
      <c r="Q57" s="11" t="s">
        <v>49</v>
      </c>
      <c r="R57" s="7"/>
      <c r="S57" s="7"/>
      <c r="T57" s="7"/>
      <c r="U57" s="7"/>
      <c r="V57" s="10">
        <v>9.5</v>
      </c>
      <c r="W57" s="9">
        <v>44973</v>
      </c>
      <c r="X57" s="10">
        <v>11.5</v>
      </c>
      <c r="Y57" s="9">
        <v>44980</v>
      </c>
      <c r="Z57">
        <v>4</v>
      </c>
      <c r="AA57" s="11" t="s">
        <v>49</v>
      </c>
    </row>
    <row r="58" spans="2:27" ht="16" x14ac:dyDescent="0.2">
      <c r="B58" t="s">
        <v>35</v>
      </c>
      <c r="C58">
        <v>40351673</v>
      </c>
      <c r="D58" t="s">
        <v>389</v>
      </c>
      <c r="E58">
        <v>1030525</v>
      </c>
      <c r="F58" t="s">
        <v>377</v>
      </c>
      <c r="G58" s="9">
        <v>44968</v>
      </c>
      <c r="H58" s="7"/>
      <c r="I58" s="7"/>
      <c r="J58" s="7"/>
      <c r="K58" s="7"/>
      <c r="L58" s="10">
        <v>5.5741092456127026</v>
      </c>
      <c r="M58" s="9">
        <v>44973</v>
      </c>
      <c r="N58" s="10">
        <v>5.5</v>
      </c>
      <c r="O58" s="9">
        <v>44978</v>
      </c>
      <c r="P58">
        <v>6</v>
      </c>
      <c r="Q58" s="11" t="s">
        <v>49</v>
      </c>
      <c r="R58" s="7"/>
      <c r="S58" s="7"/>
      <c r="T58" s="7"/>
      <c r="U58" s="7"/>
      <c r="V58" s="10">
        <v>7.5741092456127026</v>
      </c>
      <c r="W58" s="9">
        <v>44975</v>
      </c>
      <c r="X58" s="10">
        <v>7.5</v>
      </c>
      <c r="Y58" s="9">
        <v>44978</v>
      </c>
      <c r="Z58">
        <v>6</v>
      </c>
      <c r="AA58" s="11" t="s">
        <v>49</v>
      </c>
    </row>
    <row r="59" spans="2:27" ht="16" x14ac:dyDescent="0.2">
      <c r="B59" t="s">
        <v>35</v>
      </c>
      <c r="C59">
        <v>40351668</v>
      </c>
      <c r="D59" t="s">
        <v>389</v>
      </c>
      <c r="E59">
        <v>1030566</v>
      </c>
      <c r="F59" t="s">
        <v>439</v>
      </c>
      <c r="G59" s="9">
        <v>44968</v>
      </c>
      <c r="H59" s="7"/>
      <c r="I59" s="7"/>
      <c r="J59" s="7"/>
      <c r="K59" s="7"/>
      <c r="L59" s="10">
        <v>5.5741092456127026</v>
      </c>
      <c r="M59" s="9">
        <v>44973</v>
      </c>
      <c r="N59" s="10">
        <v>5.5</v>
      </c>
      <c r="O59" s="9">
        <v>44978</v>
      </c>
      <c r="P59">
        <v>6</v>
      </c>
      <c r="Q59" s="11" t="s">
        <v>49</v>
      </c>
      <c r="R59" s="7"/>
      <c r="S59" s="7"/>
      <c r="T59" s="7"/>
      <c r="U59" s="7"/>
      <c r="V59" s="10">
        <v>7.5741092456127026</v>
      </c>
      <c r="W59" s="9">
        <v>44975</v>
      </c>
      <c r="X59" s="10">
        <v>7.5</v>
      </c>
      <c r="Y59" s="9">
        <v>44978</v>
      </c>
      <c r="Z59">
        <v>6</v>
      </c>
      <c r="AA59" s="11" t="s">
        <v>49</v>
      </c>
    </row>
    <row r="60" spans="2:27" ht="16" x14ac:dyDescent="0.2">
      <c r="B60" t="s">
        <v>35</v>
      </c>
      <c r="C60">
        <v>40351652</v>
      </c>
      <c r="D60" t="s">
        <v>389</v>
      </c>
      <c r="E60">
        <v>1022186</v>
      </c>
      <c r="F60" t="s">
        <v>388</v>
      </c>
      <c r="G60" s="9">
        <v>44985</v>
      </c>
      <c r="H60" s="7">
        <v>15012</v>
      </c>
      <c r="I60" s="7"/>
      <c r="J60" s="7"/>
      <c r="K60" s="7"/>
      <c r="L60" s="10">
        <v>5.5741092456127026</v>
      </c>
      <c r="M60" s="9">
        <v>44990</v>
      </c>
      <c r="N60" s="10">
        <v>5.5</v>
      </c>
      <c r="O60" s="9">
        <v>44995</v>
      </c>
      <c r="P60">
        <v>18</v>
      </c>
      <c r="Q60" s="11" t="s">
        <v>49</v>
      </c>
      <c r="R60" s="7">
        <v>15012</v>
      </c>
      <c r="S60" s="7"/>
      <c r="T60" s="7"/>
      <c r="U60" s="7"/>
      <c r="V60" s="10">
        <v>7.5741092456127026</v>
      </c>
      <c r="W60" s="9">
        <v>44992</v>
      </c>
      <c r="X60" s="10">
        <v>7.5</v>
      </c>
      <c r="Y60" s="9">
        <v>44995</v>
      </c>
      <c r="Z60">
        <v>18</v>
      </c>
      <c r="AA60" s="11" t="s">
        <v>49</v>
      </c>
    </row>
    <row r="61" spans="2:27" ht="16" x14ac:dyDescent="0.2">
      <c r="B61" t="s">
        <v>35</v>
      </c>
      <c r="C61">
        <v>40351652</v>
      </c>
      <c r="D61" t="s">
        <v>389</v>
      </c>
      <c r="E61">
        <v>1022186</v>
      </c>
      <c r="F61" t="s">
        <v>388</v>
      </c>
      <c r="G61" s="9">
        <v>44985</v>
      </c>
      <c r="H61" s="7">
        <v>23382</v>
      </c>
      <c r="I61" s="7"/>
      <c r="J61" s="7"/>
      <c r="K61" s="7"/>
      <c r="L61" s="10">
        <v>5.5741092456127026</v>
      </c>
      <c r="M61" s="9">
        <v>44990</v>
      </c>
      <c r="N61" s="10">
        <v>5.5</v>
      </c>
      <c r="O61" s="9">
        <v>44995</v>
      </c>
      <c r="P61">
        <v>18</v>
      </c>
      <c r="Q61" s="11" t="s">
        <v>49</v>
      </c>
      <c r="R61" s="7">
        <v>23382</v>
      </c>
      <c r="S61" s="7"/>
      <c r="T61" s="7"/>
      <c r="U61" s="7"/>
      <c r="V61" s="10">
        <v>7.5741092456127026</v>
      </c>
      <c r="W61" s="9">
        <v>44992</v>
      </c>
      <c r="X61" s="10">
        <v>7.5</v>
      </c>
      <c r="Y61" s="9">
        <v>44995</v>
      </c>
      <c r="Z61">
        <v>18</v>
      </c>
      <c r="AA61" s="11" t="s">
        <v>49</v>
      </c>
    </row>
    <row r="62" spans="2:27" ht="16" x14ac:dyDescent="0.2">
      <c r="B62" t="s">
        <v>35</v>
      </c>
      <c r="C62">
        <v>40351648</v>
      </c>
      <c r="D62" t="s">
        <v>389</v>
      </c>
      <c r="E62">
        <v>1023291</v>
      </c>
      <c r="F62" t="s">
        <v>530</v>
      </c>
      <c r="G62" s="9">
        <v>44962</v>
      </c>
      <c r="H62" s="7"/>
      <c r="I62" s="7"/>
      <c r="J62" s="7"/>
      <c r="K62" s="7"/>
      <c r="L62" s="10">
        <v>5.5741092456127026</v>
      </c>
      <c r="M62" s="9">
        <v>44967</v>
      </c>
      <c r="N62" s="10">
        <v>5.5</v>
      </c>
      <c r="O62" s="9">
        <v>44972</v>
      </c>
      <c r="P62">
        <v>11</v>
      </c>
      <c r="Q62" s="11" t="s">
        <v>49</v>
      </c>
      <c r="R62" s="7"/>
      <c r="S62" s="7"/>
      <c r="T62" s="7"/>
      <c r="U62" s="7"/>
      <c r="V62" s="10">
        <v>7.5741092456127026</v>
      </c>
      <c r="W62" s="9">
        <v>44969</v>
      </c>
      <c r="X62" s="10">
        <v>7.5</v>
      </c>
      <c r="Y62" s="9">
        <v>44972</v>
      </c>
      <c r="Z62">
        <v>11</v>
      </c>
      <c r="AA62" s="11" t="s">
        <v>49</v>
      </c>
    </row>
    <row r="63" spans="2:27" ht="16" x14ac:dyDescent="0.2">
      <c r="B63" t="s">
        <v>35</v>
      </c>
      <c r="C63">
        <v>40351645</v>
      </c>
      <c r="D63" t="s">
        <v>389</v>
      </c>
      <c r="E63">
        <v>1022851</v>
      </c>
      <c r="F63" t="s">
        <v>322</v>
      </c>
      <c r="G63" s="9">
        <v>44979</v>
      </c>
      <c r="H63" s="7">
        <v>24351.09</v>
      </c>
      <c r="I63" s="7"/>
      <c r="J63" s="7"/>
      <c r="K63" s="7"/>
      <c r="L63" s="10">
        <v>5.5741092456127026</v>
      </c>
      <c r="M63" s="9">
        <v>44984</v>
      </c>
      <c r="N63" s="10">
        <v>5.5</v>
      </c>
      <c r="O63" s="9">
        <v>44989</v>
      </c>
      <c r="P63">
        <v>23</v>
      </c>
      <c r="Q63" s="11" t="s">
        <v>49</v>
      </c>
      <c r="R63" s="7">
        <v>24351.09</v>
      </c>
      <c r="S63" s="7"/>
      <c r="T63" s="7"/>
      <c r="U63" s="7"/>
      <c r="V63" s="10">
        <v>7.5741092456127026</v>
      </c>
      <c r="W63" s="9">
        <v>44986</v>
      </c>
      <c r="X63" s="10">
        <v>7.5</v>
      </c>
      <c r="Y63" s="9">
        <v>44989</v>
      </c>
      <c r="Z63">
        <v>23</v>
      </c>
      <c r="AA63" s="11" t="s">
        <v>49</v>
      </c>
    </row>
    <row r="64" spans="2:27" ht="16" x14ac:dyDescent="0.2">
      <c r="B64" t="s">
        <v>35</v>
      </c>
      <c r="C64">
        <v>40351644</v>
      </c>
      <c r="D64" t="s">
        <v>389</v>
      </c>
      <c r="E64">
        <v>1022851</v>
      </c>
      <c r="F64" t="s">
        <v>322</v>
      </c>
      <c r="G64" s="9">
        <v>44979</v>
      </c>
      <c r="H64" s="7">
        <v>23979.88</v>
      </c>
      <c r="I64" s="7"/>
      <c r="J64" s="7"/>
      <c r="K64" s="7"/>
      <c r="L64" s="10">
        <v>5.5741092456127026</v>
      </c>
      <c r="M64" s="9">
        <v>44984</v>
      </c>
      <c r="N64" s="10">
        <v>5.5</v>
      </c>
      <c r="O64" s="9">
        <v>44989</v>
      </c>
      <c r="P64">
        <v>23</v>
      </c>
      <c r="Q64" s="11" t="s">
        <v>49</v>
      </c>
      <c r="R64" s="7">
        <v>23979.88</v>
      </c>
      <c r="S64" s="7"/>
      <c r="T64" s="7"/>
      <c r="U64" s="7"/>
      <c r="V64" s="10">
        <v>7.5741092456127026</v>
      </c>
      <c r="W64" s="9">
        <v>44986</v>
      </c>
      <c r="X64" s="10">
        <v>7.5</v>
      </c>
      <c r="Y64" s="9">
        <v>44989</v>
      </c>
      <c r="Z64">
        <v>23</v>
      </c>
      <c r="AA64" s="11" t="s">
        <v>49</v>
      </c>
    </row>
    <row r="65" spans="2:27" ht="16" x14ac:dyDescent="0.2">
      <c r="B65" t="s">
        <v>35</v>
      </c>
      <c r="C65">
        <v>40351599</v>
      </c>
      <c r="D65" t="s">
        <v>389</v>
      </c>
      <c r="E65">
        <v>1022640</v>
      </c>
      <c r="F65" t="s">
        <v>318</v>
      </c>
      <c r="G65" s="9">
        <v>44979</v>
      </c>
      <c r="H65" s="7">
        <v>22786.11</v>
      </c>
      <c r="I65" s="7"/>
      <c r="J65" s="7"/>
      <c r="K65" s="7"/>
      <c r="L65" s="10">
        <v>5.5741092456127026</v>
      </c>
      <c r="M65" s="9">
        <v>44984</v>
      </c>
      <c r="N65" s="10">
        <v>5.5</v>
      </c>
      <c r="O65" s="9">
        <v>44989</v>
      </c>
      <c r="P65">
        <v>23</v>
      </c>
      <c r="Q65" s="11" t="s">
        <v>49</v>
      </c>
      <c r="R65" s="7">
        <v>22786.11</v>
      </c>
      <c r="S65" s="7"/>
      <c r="T65" s="7"/>
      <c r="U65" s="7"/>
      <c r="V65" s="10">
        <v>7.5741092456127026</v>
      </c>
      <c r="W65" s="9">
        <v>44986</v>
      </c>
      <c r="X65" s="10">
        <v>7.5</v>
      </c>
      <c r="Y65" s="9">
        <v>44989</v>
      </c>
      <c r="Z65">
        <v>23</v>
      </c>
      <c r="AA65" s="11" t="s">
        <v>49</v>
      </c>
    </row>
    <row r="66" spans="2:27" ht="16" x14ac:dyDescent="0.2">
      <c r="B66" t="s">
        <v>35</v>
      </c>
      <c r="C66">
        <v>40351594</v>
      </c>
      <c r="D66" t="s">
        <v>389</v>
      </c>
      <c r="E66">
        <v>1022212</v>
      </c>
      <c r="F66" t="s">
        <v>300</v>
      </c>
      <c r="G66" s="9">
        <v>44985</v>
      </c>
      <c r="H66" s="7">
        <v>24848.27</v>
      </c>
      <c r="I66" s="7"/>
      <c r="J66" s="7"/>
      <c r="K66" s="7"/>
      <c r="L66" s="10">
        <v>5.5741092456127026</v>
      </c>
      <c r="M66" s="9">
        <v>44990</v>
      </c>
      <c r="N66" s="10">
        <v>5.5</v>
      </c>
      <c r="O66" s="9">
        <v>44995</v>
      </c>
      <c r="P66">
        <v>18</v>
      </c>
      <c r="Q66" s="11" t="s">
        <v>49</v>
      </c>
      <c r="R66" s="7">
        <v>24848.27</v>
      </c>
      <c r="S66" s="7"/>
      <c r="T66" s="7"/>
      <c r="U66" s="7"/>
      <c r="V66" s="10">
        <v>7.5741092456127026</v>
      </c>
      <c r="W66" s="9">
        <v>44992</v>
      </c>
      <c r="X66" s="10">
        <v>7.5</v>
      </c>
      <c r="Y66" s="9">
        <v>44995</v>
      </c>
      <c r="Z66">
        <v>18</v>
      </c>
      <c r="AA66" s="11" t="s">
        <v>49</v>
      </c>
    </row>
    <row r="67" spans="2:27" ht="16" x14ac:dyDescent="0.2">
      <c r="B67" t="s">
        <v>35</v>
      </c>
      <c r="C67">
        <v>40351576</v>
      </c>
      <c r="D67" t="s">
        <v>389</v>
      </c>
      <c r="E67">
        <v>1022373</v>
      </c>
      <c r="F67" t="s">
        <v>302</v>
      </c>
      <c r="G67" s="9">
        <v>44979</v>
      </c>
      <c r="H67" s="7">
        <v>4006.3</v>
      </c>
      <c r="I67" s="7"/>
      <c r="J67" s="7"/>
      <c r="K67" s="7"/>
      <c r="L67" s="10">
        <v>5.5741092456127026</v>
      </c>
      <c r="M67" s="9">
        <v>44984</v>
      </c>
      <c r="N67" s="10">
        <v>5.5</v>
      </c>
      <c r="O67" s="9">
        <v>44989</v>
      </c>
      <c r="P67">
        <v>23</v>
      </c>
      <c r="Q67" s="11" t="s">
        <v>49</v>
      </c>
      <c r="R67" s="7">
        <v>4006.3</v>
      </c>
      <c r="S67" s="7"/>
      <c r="T67" s="7"/>
      <c r="U67" s="7"/>
      <c r="V67" s="10">
        <v>7.5741092456127026</v>
      </c>
      <c r="W67" s="9">
        <v>44986</v>
      </c>
      <c r="X67" s="10">
        <v>7.5</v>
      </c>
      <c r="Y67" s="9">
        <v>44989</v>
      </c>
      <c r="Z67">
        <v>23</v>
      </c>
      <c r="AA67" s="11" t="s">
        <v>49</v>
      </c>
    </row>
    <row r="68" spans="2:27" ht="16" x14ac:dyDescent="0.2">
      <c r="B68" t="s">
        <v>35</v>
      </c>
      <c r="C68">
        <v>40351576</v>
      </c>
      <c r="D68" t="s">
        <v>389</v>
      </c>
      <c r="E68">
        <v>1022373</v>
      </c>
      <c r="F68" t="s">
        <v>302</v>
      </c>
      <c r="G68" s="9">
        <v>44979</v>
      </c>
      <c r="H68" s="7">
        <v>24746.36</v>
      </c>
      <c r="I68" s="7"/>
      <c r="J68" s="7"/>
      <c r="K68" s="7"/>
      <c r="L68" s="10">
        <v>5.5741092456127026</v>
      </c>
      <c r="M68" s="9">
        <v>44984</v>
      </c>
      <c r="N68" s="10">
        <v>5.5</v>
      </c>
      <c r="O68" s="9">
        <v>44989</v>
      </c>
      <c r="P68">
        <v>23</v>
      </c>
      <c r="Q68" s="11" t="s">
        <v>49</v>
      </c>
      <c r="R68" s="7">
        <v>24746.36</v>
      </c>
      <c r="S68" s="7"/>
      <c r="T68" s="7"/>
      <c r="U68" s="7"/>
      <c r="V68" s="10">
        <v>7.5741092456127026</v>
      </c>
      <c r="W68" s="9">
        <v>44986</v>
      </c>
      <c r="X68" s="10">
        <v>7.5</v>
      </c>
      <c r="Y68" s="9">
        <v>44989</v>
      </c>
      <c r="Z68">
        <v>23</v>
      </c>
      <c r="AA68" s="11" t="s">
        <v>49</v>
      </c>
    </row>
    <row r="69" spans="2:27" ht="16" x14ac:dyDescent="0.2">
      <c r="B69" t="s">
        <v>35</v>
      </c>
      <c r="C69">
        <v>40351547</v>
      </c>
      <c r="D69" t="s">
        <v>389</v>
      </c>
      <c r="E69">
        <v>1022414</v>
      </c>
      <c r="F69" t="s">
        <v>308</v>
      </c>
      <c r="G69" s="9">
        <v>44966</v>
      </c>
      <c r="H69" s="7"/>
      <c r="I69" s="7"/>
      <c r="J69" s="7"/>
      <c r="K69" s="7"/>
      <c r="L69" s="10">
        <v>5.5741092456127026</v>
      </c>
      <c r="M69" s="9">
        <v>44971</v>
      </c>
      <c r="N69" s="10">
        <v>5.5</v>
      </c>
      <c r="O69" s="9">
        <v>44976</v>
      </c>
      <c r="P69">
        <v>8</v>
      </c>
      <c r="Q69" s="11" t="s">
        <v>49</v>
      </c>
      <c r="R69" s="7"/>
      <c r="S69" s="7"/>
      <c r="T69" s="7"/>
      <c r="U69" s="7"/>
      <c r="V69" s="10">
        <v>7.5741092456127026</v>
      </c>
      <c r="W69" s="9">
        <v>44973</v>
      </c>
      <c r="X69" s="10">
        <v>7.5</v>
      </c>
      <c r="Y69" s="9">
        <v>44976</v>
      </c>
      <c r="Z69">
        <v>8</v>
      </c>
      <c r="AA69" s="11" t="s">
        <v>49</v>
      </c>
    </row>
    <row r="70" spans="2:27" ht="16" x14ac:dyDescent="0.2">
      <c r="B70" t="s">
        <v>35</v>
      </c>
      <c r="C70">
        <v>40351534</v>
      </c>
      <c r="D70" t="s">
        <v>389</v>
      </c>
      <c r="E70">
        <v>1022637</v>
      </c>
      <c r="F70" t="s">
        <v>314</v>
      </c>
      <c r="G70" s="9">
        <v>44981</v>
      </c>
      <c r="H70" s="7">
        <v>23565</v>
      </c>
      <c r="I70" s="7"/>
      <c r="J70" s="7"/>
      <c r="K70" s="7"/>
      <c r="L70" s="10">
        <v>5.5741092456127026</v>
      </c>
      <c r="M70" s="9">
        <v>44986</v>
      </c>
      <c r="N70" s="10">
        <v>5.5</v>
      </c>
      <c r="O70" s="9">
        <v>44991</v>
      </c>
      <c r="P70">
        <v>22</v>
      </c>
      <c r="Q70" s="11" t="s">
        <v>49</v>
      </c>
      <c r="R70" s="7">
        <v>23565</v>
      </c>
      <c r="S70" s="7"/>
      <c r="T70" s="7"/>
      <c r="U70" s="7"/>
      <c r="V70" s="10">
        <v>7.5741092456127026</v>
      </c>
      <c r="W70" s="9">
        <v>44988</v>
      </c>
      <c r="X70" s="10">
        <v>7.5</v>
      </c>
      <c r="Y70" s="9">
        <v>44991</v>
      </c>
      <c r="Z70">
        <v>22</v>
      </c>
      <c r="AA70" s="11" t="s">
        <v>49</v>
      </c>
    </row>
    <row r="71" spans="2:27" ht="16" x14ac:dyDescent="0.2">
      <c r="B71" t="s">
        <v>35</v>
      </c>
      <c r="C71">
        <v>40367490</v>
      </c>
      <c r="D71" t="s">
        <v>409</v>
      </c>
      <c r="E71">
        <v>1030379</v>
      </c>
      <c r="F71" t="s">
        <v>97</v>
      </c>
      <c r="G71" s="9">
        <v>44978</v>
      </c>
      <c r="H71" s="7">
        <v>23985.944960000001</v>
      </c>
      <c r="I71" s="7"/>
      <c r="J71" s="7"/>
      <c r="K71" s="7"/>
      <c r="L71" s="10">
        <v>7.5</v>
      </c>
      <c r="M71" s="9">
        <v>44985</v>
      </c>
      <c r="N71" s="10">
        <v>9.5</v>
      </c>
      <c r="O71" s="9">
        <v>44994</v>
      </c>
      <c r="P71">
        <v>19</v>
      </c>
      <c r="Q71" s="11" t="s">
        <v>49</v>
      </c>
      <c r="R71" s="7">
        <v>23985.944960000001</v>
      </c>
      <c r="S71" s="7"/>
      <c r="T71" s="7"/>
      <c r="U71" s="7"/>
      <c r="V71" s="10">
        <v>9.5</v>
      </c>
      <c r="W71" s="9">
        <v>44987</v>
      </c>
      <c r="X71" s="10">
        <v>11.5</v>
      </c>
      <c r="Y71" s="9">
        <v>44994</v>
      </c>
      <c r="Z71">
        <v>19</v>
      </c>
      <c r="AA71" s="11" t="s">
        <v>49</v>
      </c>
    </row>
    <row r="72" spans="2:27" ht="16" x14ac:dyDescent="0.2">
      <c r="B72" t="s">
        <v>35</v>
      </c>
      <c r="C72">
        <v>40364314</v>
      </c>
      <c r="D72" t="s">
        <v>423</v>
      </c>
      <c r="E72">
        <v>1011748</v>
      </c>
      <c r="F72" t="s">
        <v>482</v>
      </c>
      <c r="G72" s="9">
        <v>44969</v>
      </c>
      <c r="H72" s="7"/>
      <c r="I72" s="7"/>
      <c r="J72" s="7"/>
      <c r="K72" s="7"/>
      <c r="L72" s="10">
        <v>5.4496124031007751</v>
      </c>
      <c r="M72" s="9">
        <v>44974</v>
      </c>
      <c r="N72" s="10">
        <v>10</v>
      </c>
      <c r="O72" s="9">
        <v>44984</v>
      </c>
      <c r="P72">
        <v>1</v>
      </c>
      <c r="Q72" s="11" t="s">
        <v>594</v>
      </c>
      <c r="R72" s="7"/>
      <c r="S72" s="7"/>
      <c r="T72" s="7"/>
      <c r="U72" s="7"/>
      <c r="V72" s="10">
        <v>7.4496124031007751</v>
      </c>
      <c r="W72" s="9">
        <v>44976</v>
      </c>
      <c r="X72" s="10">
        <v>12</v>
      </c>
      <c r="Y72" s="9">
        <v>44984</v>
      </c>
      <c r="Z72">
        <v>1</v>
      </c>
      <c r="AA72" s="11" t="s">
        <v>594</v>
      </c>
    </row>
    <row r="73" spans="2:27" ht="16" x14ac:dyDescent="0.2">
      <c r="B73" t="s">
        <v>35</v>
      </c>
      <c r="C73">
        <v>40364313</v>
      </c>
      <c r="D73" t="s">
        <v>423</v>
      </c>
      <c r="E73">
        <v>1011748</v>
      </c>
      <c r="F73" t="s">
        <v>482</v>
      </c>
      <c r="G73" s="9">
        <v>44969</v>
      </c>
      <c r="H73" s="7"/>
      <c r="I73" s="7"/>
      <c r="J73" s="7"/>
      <c r="K73" s="7"/>
      <c r="L73" s="10">
        <v>5.4496124031007751</v>
      </c>
      <c r="M73" s="9">
        <v>44974</v>
      </c>
      <c r="N73" s="10">
        <v>10</v>
      </c>
      <c r="O73" s="9">
        <v>44984</v>
      </c>
      <c r="P73">
        <v>1</v>
      </c>
      <c r="Q73" s="11" t="s">
        <v>594</v>
      </c>
      <c r="R73" s="7"/>
      <c r="S73" s="7"/>
      <c r="T73" s="7"/>
      <c r="U73" s="7"/>
      <c r="V73" s="10">
        <v>7.4496124031007751</v>
      </c>
      <c r="W73" s="9">
        <v>44976</v>
      </c>
      <c r="X73" s="10">
        <v>12</v>
      </c>
      <c r="Y73" s="9">
        <v>44984</v>
      </c>
      <c r="Z73">
        <v>1</v>
      </c>
      <c r="AA73" s="11" t="s">
        <v>594</v>
      </c>
    </row>
    <row r="74" spans="2:27" x14ac:dyDescent="0.2">
      <c r="B74" t="s">
        <v>394</v>
      </c>
      <c r="C74">
        <v>40364012</v>
      </c>
      <c r="D74" t="s">
        <v>485</v>
      </c>
      <c r="E74">
        <v>1022709</v>
      </c>
      <c r="F74" t="s">
        <v>493</v>
      </c>
      <c r="G74" s="9">
        <v>44969</v>
      </c>
      <c r="H74" s="7"/>
      <c r="I74" s="7"/>
      <c r="J74" s="7"/>
      <c r="K74" s="7"/>
      <c r="L74" s="10"/>
      <c r="N74" s="10"/>
      <c r="Q74" s="11"/>
      <c r="R74" s="7"/>
      <c r="S74" s="7"/>
      <c r="T74" s="7"/>
      <c r="U74" s="7"/>
      <c r="V74" s="10"/>
      <c r="X74" s="10"/>
      <c r="AA74" s="11"/>
    </row>
    <row r="75" spans="2:27" ht="16" x14ac:dyDescent="0.2">
      <c r="B75" t="s">
        <v>35</v>
      </c>
      <c r="C75">
        <v>40363907</v>
      </c>
      <c r="D75" t="s">
        <v>391</v>
      </c>
      <c r="E75">
        <v>1021931</v>
      </c>
      <c r="F75" t="s">
        <v>189</v>
      </c>
      <c r="G75" s="9">
        <v>44990</v>
      </c>
      <c r="H75" s="7">
        <v>2000.18</v>
      </c>
      <c r="I75" s="7"/>
      <c r="J75" s="7"/>
      <c r="K75" s="7"/>
      <c r="L75" s="10">
        <v>4.830303030303031</v>
      </c>
      <c r="M75" s="9">
        <v>44994</v>
      </c>
      <c r="N75" s="10">
        <v>15</v>
      </c>
      <c r="O75" s="9">
        <v>45009</v>
      </c>
      <c r="P75">
        <v>6</v>
      </c>
      <c r="Q75" s="11" t="s">
        <v>49</v>
      </c>
      <c r="R75" s="7">
        <v>2000.18</v>
      </c>
      <c r="S75" s="7"/>
      <c r="T75" s="7"/>
      <c r="U75" s="7"/>
      <c r="V75" s="10">
        <v>6.830303030303031</v>
      </c>
      <c r="W75" s="9">
        <v>44996</v>
      </c>
      <c r="X75" s="10">
        <v>17</v>
      </c>
      <c r="Y75" s="9">
        <v>45009</v>
      </c>
      <c r="Z75">
        <v>6</v>
      </c>
      <c r="AA75" s="11" t="s">
        <v>49</v>
      </c>
    </row>
    <row r="76" spans="2:27" ht="16" x14ac:dyDescent="0.2">
      <c r="B76" t="s">
        <v>35</v>
      </c>
      <c r="C76">
        <v>40363906</v>
      </c>
      <c r="D76" t="s">
        <v>391</v>
      </c>
      <c r="E76">
        <v>1022865</v>
      </c>
      <c r="F76" t="s">
        <v>343</v>
      </c>
      <c r="G76" s="9">
        <v>44990</v>
      </c>
      <c r="H76" s="7">
        <v>7962.41</v>
      </c>
      <c r="I76" s="7"/>
      <c r="J76" s="7"/>
      <c r="K76" s="7"/>
      <c r="L76" s="10">
        <v>4.830303030303031</v>
      </c>
      <c r="M76" s="9">
        <v>44994</v>
      </c>
      <c r="N76" s="10">
        <v>15</v>
      </c>
      <c r="O76" s="9">
        <v>45009</v>
      </c>
      <c r="P76">
        <v>6</v>
      </c>
      <c r="Q76" s="11" t="s">
        <v>49</v>
      </c>
      <c r="R76" s="7">
        <v>7962.41</v>
      </c>
      <c r="S76" s="7"/>
      <c r="T76" s="7"/>
      <c r="U76" s="7"/>
      <c r="V76" s="10">
        <v>6.830303030303031</v>
      </c>
      <c r="W76" s="9">
        <v>44996</v>
      </c>
      <c r="X76" s="10">
        <v>17</v>
      </c>
      <c r="Y76" s="9">
        <v>45009</v>
      </c>
      <c r="Z76">
        <v>6</v>
      </c>
      <c r="AA76" s="11" t="s">
        <v>49</v>
      </c>
    </row>
    <row r="77" spans="2:27" ht="16" x14ac:dyDescent="0.2">
      <c r="B77" t="s">
        <v>35</v>
      </c>
      <c r="C77">
        <v>40363906</v>
      </c>
      <c r="D77" t="s">
        <v>391</v>
      </c>
      <c r="E77">
        <v>1022515</v>
      </c>
      <c r="F77" t="s">
        <v>197</v>
      </c>
      <c r="G77" s="9">
        <v>44990</v>
      </c>
      <c r="H77" s="7">
        <v>3012.41</v>
      </c>
      <c r="I77" s="7"/>
      <c r="J77" s="7"/>
      <c r="K77" s="7"/>
      <c r="L77" s="10">
        <v>4.830303030303031</v>
      </c>
      <c r="M77" s="9">
        <v>44994</v>
      </c>
      <c r="N77" s="10">
        <v>15</v>
      </c>
      <c r="O77" s="9">
        <v>45009</v>
      </c>
      <c r="P77">
        <v>6</v>
      </c>
      <c r="Q77" s="11" t="s">
        <v>49</v>
      </c>
      <c r="R77" s="7">
        <v>3012.41</v>
      </c>
      <c r="S77" s="7"/>
      <c r="T77" s="7"/>
      <c r="U77" s="7"/>
      <c r="V77" s="10">
        <v>6.830303030303031</v>
      </c>
      <c r="W77" s="9">
        <v>44996</v>
      </c>
      <c r="X77" s="10">
        <v>17</v>
      </c>
      <c r="Y77" s="9">
        <v>45009</v>
      </c>
      <c r="Z77">
        <v>6</v>
      </c>
      <c r="AA77" s="11" t="s">
        <v>49</v>
      </c>
    </row>
    <row r="78" spans="2:27" ht="16" x14ac:dyDescent="0.2">
      <c r="B78" t="s">
        <v>35</v>
      </c>
      <c r="C78">
        <v>40363906</v>
      </c>
      <c r="D78" t="s">
        <v>391</v>
      </c>
      <c r="E78">
        <v>1022142</v>
      </c>
      <c r="F78" t="s">
        <v>390</v>
      </c>
      <c r="G78" s="9">
        <v>44990</v>
      </c>
      <c r="H78" s="7">
        <v>5010.1000000000004</v>
      </c>
      <c r="I78" s="7"/>
      <c r="J78" s="7"/>
      <c r="K78" s="7"/>
      <c r="L78" s="10">
        <v>4.830303030303031</v>
      </c>
      <c r="M78" s="9">
        <v>44994</v>
      </c>
      <c r="N78" s="10">
        <v>15</v>
      </c>
      <c r="O78" s="9">
        <v>45009</v>
      </c>
      <c r="P78">
        <v>6</v>
      </c>
      <c r="Q78" s="11" t="s">
        <v>49</v>
      </c>
      <c r="R78" s="7">
        <v>5010.1000000000004</v>
      </c>
      <c r="S78" s="7"/>
      <c r="T78" s="7"/>
      <c r="U78" s="7"/>
      <c r="V78" s="10">
        <v>6.830303030303031</v>
      </c>
      <c r="W78" s="9">
        <v>44996</v>
      </c>
      <c r="X78" s="10">
        <v>17</v>
      </c>
      <c r="Y78" s="9">
        <v>45009</v>
      </c>
      <c r="Z78">
        <v>6</v>
      </c>
      <c r="AA78" s="11" t="s">
        <v>49</v>
      </c>
    </row>
    <row r="79" spans="2:27" ht="16" x14ac:dyDescent="0.2">
      <c r="B79" t="s">
        <v>35</v>
      </c>
      <c r="C79">
        <v>40363906</v>
      </c>
      <c r="D79" t="s">
        <v>391</v>
      </c>
      <c r="E79">
        <v>1022141</v>
      </c>
      <c r="F79" t="s">
        <v>126</v>
      </c>
      <c r="G79" s="9">
        <v>44990</v>
      </c>
      <c r="H79" s="7">
        <v>6014.36</v>
      </c>
      <c r="I79" s="7"/>
      <c r="J79" s="7"/>
      <c r="K79" s="7"/>
      <c r="L79" s="10">
        <v>4.830303030303031</v>
      </c>
      <c r="M79" s="9">
        <v>44994</v>
      </c>
      <c r="N79" s="10">
        <v>15</v>
      </c>
      <c r="O79" s="9">
        <v>45009</v>
      </c>
      <c r="P79">
        <v>6</v>
      </c>
      <c r="Q79" s="11" t="s">
        <v>49</v>
      </c>
      <c r="R79" s="7">
        <v>6014.36</v>
      </c>
      <c r="S79" s="7"/>
      <c r="T79" s="7"/>
      <c r="U79" s="7"/>
      <c r="V79" s="10">
        <v>6.830303030303031</v>
      </c>
      <c r="W79" s="9">
        <v>44996</v>
      </c>
      <c r="X79" s="10">
        <v>17</v>
      </c>
      <c r="Y79" s="9">
        <v>45009</v>
      </c>
      <c r="Z79">
        <v>6</v>
      </c>
      <c r="AA79" s="11" t="s">
        <v>49</v>
      </c>
    </row>
    <row r="80" spans="2:27" x14ac:dyDescent="0.2">
      <c r="B80" t="s">
        <v>394</v>
      </c>
      <c r="C80">
        <v>40363829</v>
      </c>
      <c r="D80" t="s">
        <v>485</v>
      </c>
      <c r="E80">
        <v>1022709</v>
      </c>
      <c r="F80" t="s">
        <v>493</v>
      </c>
      <c r="G80" s="9">
        <v>44967</v>
      </c>
      <c r="H80" s="7"/>
      <c r="I80" s="7"/>
      <c r="J80" s="7"/>
      <c r="K80" s="7"/>
      <c r="L80" s="10"/>
      <c r="N80" s="10"/>
      <c r="Q80" s="11"/>
      <c r="R80" s="7"/>
      <c r="S80" s="7"/>
      <c r="T80" s="7"/>
      <c r="U80" s="7"/>
      <c r="V80" s="10"/>
      <c r="X80" s="10"/>
      <c r="AA80" s="11"/>
    </row>
    <row r="81" spans="2:27" x14ac:dyDescent="0.2">
      <c r="B81" t="s">
        <v>394</v>
      </c>
      <c r="C81">
        <v>40363829</v>
      </c>
      <c r="D81" t="s">
        <v>485</v>
      </c>
      <c r="E81">
        <v>1022709</v>
      </c>
      <c r="F81" t="s">
        <v>493</v>
      </c>
      <c r="G81" s="9">
        <v>44967</v>
      </c>
      <c r="H81" s="7"/>
      <c r="I81" s="7"/>
      <c r="J81" s="7"/>
      <c r="K81" s="7"/>
      <c r="L81" s="10"/>
      <c r="N81" s="10"/>
      <c r="Q81" s="11"/>
      <c r="R81" s="7"/>
      <c r="S81" s="7"/>
      <c r="T81" s="7"/>
      <c r="U81" s="7"/>
      <c r="V81" s="10"/>
      <c r="X81" s="10"/>
      <c r="AA81" s="11"/>
    </row>
    <row r="82" spans="2:27" ht="16" x14ac:dyDescent="0.2">
      <c r="B82" t="s">
        <v>35</v>
      </c>
      <c r="C82">
        <v>40363633</v>
      </c>
      <c r="D82" t="s">
        <v>409</v>
      </c>
      <c r="E82">
        <v>1030818</v>
      </c>
      <c r="F82" t="s">
        <v>133</v>
      </c>
      <c r="G82" s="9">
        <v>44979</v>
      </c>
      <c r="H82" s="7">
        <v>24004.088640000002</v>
      </c>
      <c r="I82" s="7"/>
      <c r="J82" s="7"/>
      <c r="K82" s="7"/>
      <c r="L82" s="10">
        <v>7.5</v>
      </c>
      <c r="M82" s="9">
        <v>44986</v>
      </c>
      <c r="N82" s="10">
        <v>9.5</v>
      </c>
      <c r="O82" s="9">
        <v>44995</v>
      </c>
      <c r="P82">
        <v>18</v>
      </c>
      <c r="Q82" s="11" t="s">
        <v>49</v>
      </c>
      <c r="R82" s="7">
        <v>24004.088640000002</v>
      </c>
      <c r="S82" s="7"/>
      <c r="T82" s="7"/>
      <c r="U82" s="7"/>
      <c r="V82" s="10">
        <v>9.5</v>
      </c>
      <c r="W82" s="9">
        <v>44988</v>
      </c>
      <c r="X82" s="10">
        <v>11.5</v>
      </c>
      <c r="Y82" s="9">
        <v>44995</v>
      </c>
      <c r="Z82">
        <v>18</v>
      </c>
      <c r="AA82" s="11" t="s">
        <v>49</v>
      </c>
    </row>
    <row r="83" spans="2:27" ht="16" x14ac:dyDescent="0.2">
      <c r="B83" t="s">
        <v>35</v>
      </c>
      <c r="C83">
        <v>40363601</v>
      </c>
      <c r="D83" t="s">
        <v>389</v>
      </c>
      <c r="E83">
        <v>1022941</v>
      </c>
      <c r="F83" t="s">
        <v>392</v>
      </c>
      <c r="G83" s="9">
        <v>44984</v>
      </c>
      <c r="H83" s="7">
        <v>25010</v>
      </c>
      <c r="I83" s="7"/>
      <c r="J83" s="7"/>
      <c r="K83" s="7"/>
      <c r="L83" s="10">
        <v>5.5741092456127026</v>
      </c>
      <c r="M83" s="9">
        <v>44989</v>
      </c>
      <c r="N83" s="10">
        <v>5.5</v>
      </c>
      <c r="O83" s="9">
        <v>44994</v>
      </c>
      <c r="P83">
        <v>19</v>
      </c>
      <c r="Q83" s="11" t="s">
        <v>49</v>
      </c>
      <c r="R83" s="7">
        <v>25010</v>
      </c>
      <c r="S83" s="7"/>
      <c r="T83" s="7"/>
      <c r="U83" s="7"/>
      <c r="V83" s="10">
        <v>7.5741092456127026</v>
      </c>
      <c r="W83" s="9">
        <v>44991</v>
      </c>
      <c r="X83" s="10">
        <v>7.5</v>
      </c>
      <c r="Y83" s="9">
        <v>44994</v>
      </c>
      <c r="Z83">
        <v>19</v>
      </c>
      <c r="AA83" s="11" t="s">
        <v>49</v>
      </c>
    </row>
    <row r="84" spans="2:27" ht="16" x14ac:dyDescent="0.2">
      <c r="B84" t="s">
        <v>35</v>
      </c>
      <c r="C84">
        <v>40363593</v>
      </c>
      <c r="D84" t="s">
        <v>391</v>
      </c>
      <c r="E84">
        <v>1021204</v>
      </c>
      <c r="F84" t="s">
        <v>393</v>
      </c>
      <c r="G84" s="9">
        <v>44990</v>
      </c>
      <c r="H84" s="7">
        <v>23980</v>
      </c>
      <c r="I84" s="7"/>
      <c r="J84" s="7"/>
      <c r="K84" s="7"/>
      <c r="L84" s="10">
        <v>4.830303030303031</v>
      </c>
      <c r="M84" s="9">
        <v>44994</v>
      </c>
      <c r="N84" s="10">
        <v>15</v>
      </c>
      <c r="O84" s="9">
        <v>45009</v>
      </c>
      <c r="P84">
        <v>6</v>
      </c>
      <c r="Q84" s="11" t="s">
        <v>49</v>
      </c>
      <c r="R84" s="7">
        <v>23980</v>
      </c>
      <c r="S84" s="7"/>
      <c r="T84" s="7"/>
      <c r="U84" s="7"/>
      <c r="V84" s="10">
        <v>6.830303030303031</v>
      </c>
      <c r="W84" s="9">
        <v>44996</v>
      </c>
      <c r="X84" s="10">
        <v>17</v>
      </c>
      <c r="Y84" s="9">
        <v>45009</v>
      </c>
      <c r="Z84">
        <v>6</v>
      </c>
      <c r="AA84" s="11" t="s">
        <v>49</v>
      </c>
    </row>
    <row r="85" spans="2:27" ht="16" x14ac:dyDescent="0.2">
      <c r="B85" t="s">
        <v>35</v>
      </c>
      <c r="C85">
        <v>40363592</v>
      </c>
      <c r="D85" t="s">
        <v>409</v>
      </c>
      <c r="E85">
        <v>1012518</v>
      </c>
      <c r="F85" t="s">
        <v>65</v>
      </c>
      <c r="G85" s="9">
        <v>44977</v>
      </c>
      <c r="H85" s="7">
        <v>18143.68</v>
      </c>
      <c r="I85" s="7"/>
      <c r="J85" s="7"/>
      <c r="K85" s="7"/>
      <c r="L85" s="10">
        <v>7.5</v>
      </c>
      <c r="M85" s="9">
        <v>44984</v>
      </c>
      <c r="N85" s="10">
        <v>9.5</v>
      </c>
      <c r="O85" s="9">
        <v>44993</v>
      </c>
      <c r="P85">
        <v>20</v>
      </c>
      <c r="Q85" s="11" t="s">
        <v>49</v>
      </c>
      <c r="R85" s="7">
        <v>18143.68</v>
      </c>
      <c r="S85" s="7"/>
      <c r="T85" s="7"/>
      <c r="U85" s="7"/>
      <c r="V85" s="10">
        <v>9.5</v>
      </c>
      <c r="W85" s="9">
        <v>44986</v>
      </c>
      <c r="X85" s="10">
        <v>11.5</v>
      </c>
      <c r="Y85" s="9">
        <v>44993</v>
      </c>
      <c r="Z85">
        <v>20</v>
      </c>
      <c r="AA85" s="11" t="s">
        <v>49</v>
      </c>
    </row>
    <row r="86" spans="2:27" x14ac:dyDescent="0.2">
      <c r="B86" t="s">
        <v>394</v>
      </c>
      <c r="C86">
        <v>40363570</v>
      </c>
      <c r="D86" t="s">
        <v>485</v>
      </c>
      <c r="E86">
        <v>1012556</v>
      </c>
      <c r="F86" t="s">
        <v>489</v>
      </c>
      <c r="G86" s="9">
        <v>44968</v>
      </c>
      <c r="H86" s="7"/>
      <c r="I86" s="7"/>
      <c r="J86" s="7"/>
      <c r="K86" s="7"/>
      <c r="L86" s="10"/>
      <c r="N86" s="10"/>
      <c r="Q86" s="11"/>
      <c r="R86" s="7"/>
      <c r="S86" s="7"/>
      <c r="T86" s="7"/>
      <c r="U86" s="7"/>
      <c r="V86" s="10"/>
      <c r="X86" s="10"/>
      <c r="AA86" s="11"/>
    </row>
    <row r="87" spans="2:27" ht="16" x14ac:dyDescent="0.2">
      <c r="B87" t="s">
        <v>35</v>
      </c>
      <c r="C87">
        <v>40363553</v>
      </c>
      <c r="D87" t="s">
        <v>423</v>
      </c>
      <c r="E87">
        <v>1011748</v>
      </c>
      <c r="F87" t="s">
        <v>482</v>
      </c>
      <c r="G87" s="9">
        <v>44961</v>
      </c>
      <c r="H87" s="7"/>
      <c r="I87" s="7"/>
      <c r="J87" s="7"/>
      <c r="K87" s="7"/>
      <c r="L87" s="10">
        <v>5.4496124031007751</v>
      </c>
      <c r="M87" s="9">
        <v>44966</v>
      </c>
      <c r="N87" s="10">
        <v>10</v>
      </c>
      <c r="O87" s="9">
        <v>44976</v>
      </c>
      <c r="P87">
        <v>8</v>
      </c>
      <c r="Q87" s="11" t="s">
        <v>49</v>
      </c>
      <c r="R87" s="7"/>
      <c r="S87" s="7"/>
      <c r="T87" s="7"/>
      <c r="U87" s="7"/>
      <c r="V87" s="10">
        <v>7.4496124031007751</v>
      </c>
      <c r="W87" s="9">
        <v>44968</v>
      </c>
      <c r="X87" s="10">
        <v>12</v>
      </c>
      <c r="Y87" s="9">
        <v>44976</v>
      </c>
      <c r="Z87">
        <v>8</v>
      </c>
      <c r="AA87" s="11" t="s">
        <v>49</v>
      </c>
    </row>
    <row r="88" spans="2:27" ht="16" x14ac:dyDescent="0.2">
      <c r="B88" t="s">
        <v>35</v>
      </c>
      <c r="C88">
        <v>40363552</v>
      </c>
      <c r="D88" t="s">
        <v>423</v>
      </c>
      <c r="E88">
        <v>1011748</v>
      </c>
      <c r="F88" t="s">
        <v>482</v>
      </c>
      <c r="G88" s="9">
        <v>44961</v>
      </c>
      <c r="H88" s="7"/>
      <c r="I88" s="7"/>
      <c r="J88" s="7"/>
      <c r="K88" s="7"/>
      <c r="L88" s="10">
        <v>5.4496124031007751</v>
      </c>
      <c r="M88" s="9">
        <v>44966</v>
      </c>
      <c r="N88" s="10">
        <v>10</v>
      </c>
      <c r="O88" s="9">
        <v>44976</v>
      </c>
      <c r="P88">
        <v>8</v>
      </c>
      <c r="Q88" s="11" t="s">
        <v>49</v>
      </c>
      <c r="R88" s="7"/>
      <c r="S88" s="7"/>
      <c r="T88" s="7"/>
      <c r="U88" s="7"/>
      <c r="V88" s="10">
        <v>7.4496124031007751</v>
      </c>
      <c r="W88" s="9">
        <v>44968</v>
      </c>
      <c r="X88" s="10">
        <v>12</v>
      </c>
      <c r="Y88" s="9">
        <v>44976</v>
      </c>
      <c r="Z88">
        <v>8</v>
      </c>
      <c r="AA88" s="11" t="s">
        <v>49</v>
      </c>
    </row>
    <row r="89" spans="2:27" ht="16" x14ac:dyDescent="0.2">
      <c r="B89" t="s">
        <v>35</v>
      </c>
      <c r="C89">
        <v>40363551</v>
      </c>
      <c r="D89" t="s">
        <v>423</v>
      </c>
      <c r="E89">
        <v>1011748</v>
      </c>
      <c r="F89" t="s">
        <v>482</v>
      </c>
      <c r="G89" s="9">
        <v>44961</v>
      </c>
      <c r="H89" s="7"/>
      <c r="I89" s="7"/>
      <c r="J89" s="7"/>
      <c r="K89" s="7"/>
      <c r="L89" s="10">
        <v>5.4496124031007751</v>
      </c>
      <c r="M89" s="9">
        <v>44966</v>
      </c>
      <c r="N89" s="10">
        <v>10</v>
      </c>
      <c r="O89" s="9">
        <v>44976</v>
      </c>
      <c r="P89">
        <v>8</v>
      </c>
      <c r="Q89" s="11" t="s">
        <v>49</v>
      </c>
      <c r="R89" s="7"/>
      <c r="S89" s="7"/>
      <c r="T89" s="7"/>
      <c r="U89" s="7"/>
      <c r="V89" s="10">
        <v>7.4496124031007751</v>
      </c>
      <c r="W89" s="9">
        <v>44968</v>
      </c>
      <c r="X89" s="10">
        <v>12</v>
      </c>
      <c r="Y89" s="9">
        <v>44976</v>
      </c>
      <c r="Z89">
        <v>8</v>
      </c>
      <c r="AA89" s="11" t="s">
        <v>49</v>
      </c>
    </row>
    <row r="90" spans="2:27" x14ac:dyDescent="0.2">
      <c r="B90" t="s">
        <v>394</v>
      </c>
      <c r="C90">
        <v>40363415</v>
      </c>
      <c r="D90" t="s">
        <v>485</v>
      </c>
      <c r="E90">
        <v>1012556</v>
      </c>
      <c r="F90" t="s">
        <v>489</v>
      </c>
      <c r="G90" s="9">
        <v>44968</v>
      </c>
      <c r="H90" s="7"/>
      <c r="I90" s="7"/>
      <c r="J90" s="7"/>
      <c r="K90" s="7"/>
      <c r="L90" s="10"/>
      <c r="N90" s="10"/>
      <c r="Q90" s="11"/>
      <c r="R90" s="7"/>
      <c r="S90" s="7"/>
      <c r="T90" s="7"/>
      <c r="U90" s="7"/>
      <c r="V90" s="10"/>
      <c r="X90" s="10"/>
      <c r="AA90" s="11"/>
    </row>
    <row r="91" spans="2:27" ht="16" x14ac:dyDescent="0.2">
      <c r="B91" t="s">
        <v>35</v>
      </c>
      <c r="C91">
        <v>40363320</v>
      </c>
      <c r="D91" t="s">
        <v>423</v>
      </c>
      <c r="E91">
        <v>1030802</v>
      </c>
      <c r="F91" t="s">
        <v>492</v>
      </c>
      <c r="G91" s="9">
        <v>44969</v>
      </c>
      <c r="H91" s="7"/>
      <c r="I91" s="7"/>
      <c r="J91" s="7"/>
      <c r="K91" s="7"/>
      <c r="L91" s="10">
        <v>5.4496124031007751</v>
      </c>
      <c r="M91" s="9">
        <v>44974</v>
      </c>
      <c r="N91" s="10">
        <v>10</v>
      </c>
      <c r="O91" s="9">
        <v>44984</v>
      </c>
      <c r="P91">
        <v>1</v>
      </c>
      <c r="Q91" s="11" t="s">
        <v>594</v>
      </c>
      <c r="R91" s="7"/>
      <c r="S91" s="7"/>
      <c r="T91" s="7"/>
      <c r="U91" s="7"/>
      <c r="V91" s="10">
        <v>7.4496124031007751</v>
      </c>
      <c r="W91" s="9">
        <v>44976</v>
      </c>
      <c r="X91" s="10">
        <v>12</v>
      </c>
      <c r="Y91" s="9">
        <v>44984</v>
      </c>
      <c r="Z91">
        <v>1</v>
      </c>
      <c r="AA91" s="11" t="s">
        <v>594</v>
      </c>
    </row>
    <row r="92" spans="2:27" ht="16" x14ac:dyDescent="0.2">
      <c r="B92" t="s">
        <v>35</v>
      </c>
      <c r="C92">
        <v>40363319</v>
      </c>
      <c r="D92" t="s">
        <v>423</v>
      </c>
      <c r="E92">
        <v>1030802</v>
      </c>
      <c r="F92" t="s">
        <v>492</v>
      </c>
      <c r="G92" s="9">
        <v>44969</v>
      </c>
      <c r="H92" s="7"/>
      <c r="I92" s="7"/>
      <c r="J92" s="7"/>
      <c r="K92" s="7"/>
      <c r="L92" s="10">
        <v>5.4496124031007751</v>
      </c>
      <c r="M92" s="9">
        <v>44974</v>
      </c>
      <c r="N92" s="10">
        <v>10</v>
      </c>
      <c r="O92" s="9">
        <v>44984</v>
      </c>
      <c r="P92">
        <v>1</v>
      </c>
      <c r="Q92" s="11" t="s">
        <v>594</v>
      </c>
      <c r="R92" s="7"/>
      <c r="S92" s="7"/>
      <c r="T92" s="7"/>
      <c r="U92" s="7"/>
      <c r="V92" s="10">
        <v>7.4496124031007751</v>
      </c>
      <c r="W92" s="9">
        <v>44976</v>
      </c>
      <c r="X92" s="10">
        <v>12</v>
      </c>
      <c r="Y92" s="9">
        <v>44984</v>
      </c>
      <c r="Z92">
        <v>1</v>
      </c>
      <c r="AA92" s="11" t="s">
        <v>594</v>
      </c>
    </row>
    <row r="93" spans="2:27" ht="16" x14ac:dyDescent="0.2">
      <c r="B93" t="s">
        <v>35</v>
      </c>
      <c r="C93">
        <v>40363317</v>
      </c>
      <c r="D93" t="s">
        <v>423</v>
      </c>
      <c r="E93">
        <v>1030802</v>
      </c>
      <c r="F93" t="s">
        <v>492</v>
      </c>
      <c r="G93" s="9">
        <v>44961</v>
      </c>
      <c r="H93" s="7"/>
      <c r="I93" s="7"/>
      <c r="J93" s="7"/>
      <c r="K93" s="7"/>
      <c r="L93" s="10">
        <v>5.4496124031007751</v>
      </c>
      <c r="M93" s="9">
        <v>44966</v>
      </c>
      <c r="N93" s="10">
        <v>10</v>
      </c>
      <c r="O93" s="9">
        <v>44976</v>
      </c>
      <c r="P93">
        <v>8</v>
      </c>
      <c r="Q93" s="11" t="s">
        <v>49</v>
      </c>
      <c r="R93" s="7"/>
      <c r="S93" s="7"/>
      <c r="T93" s="7"/>
      <c r="U93" s="7"/>
      <c r="V93" s="10">
        <v>7.4496124031007751</v>
      </c>
      <c r="W93" s="9">
        <v>44968</v>
      </c>
      <c r="X93" s="10">
        <v>12</v>
      </c>
      <c r="Y93" s="9">
        <v>44976</v>
      </c>
      <c r="Z93">
        <v>8</v>
      </c>
      <c r="AA93" s="11" t="s">
        <v>49</v>
      </c>
    </row>
    <row r="94" spans="2:27" x14ac:dyDescent="0.2">
      <c r="B94" t="s">
        <v>394</v>
      </c>
      <c r="C94">
        <v>40363172</v>
      </c>
      <c r="D94" t="s">
        <v>396</v>
      </c>
      <c r="E94">
        <v>1030535</v>
      </c>
      <c r="F94" t="s">
        <v>395</v>
      </c>
      <c r="G94" s="9">
        <v>44994</v>
      </c>
      <c r="H94" s="7">
        <v>21999.63</v>
      </c>
      <c r="I94" s="7"/>
      <c r="J94" s="7"/>
      <c r="K94" s="7"/>
      <c r="L94" s="10"/>
      <c r="N94" s="10"/>
      <c r="Q94" s="11"/>
      <c r="R94" s="7">
        <v>21999.63</v>
      </c>
      <c r="S94" s="7"/>
      <c r="T94" s="7"/>
      <c r="U94" s="7"/>
      <c r="V94" s="10"/>
      <c r="X94" s="10"/>
      <c r="AA94" s="11"/>
    </row>
    <row r="95" spans="2:27" x14ac:dyDescent="0.2">
      <c r="B95" t="s">
        <v>394</v>
      </c>
      <c r="C95">
        <v>40363171</v>
      </c>
      <c r="D95" t="s">
        <v>396</v>
      </c>
      <c r="E95">
        <v>1023038</v>
      </c>
      <c r="F95" t="s">
        <v>397</v>
      </c>
      <c r="G95" s="9">
        <v>44993</v>
      </c>
      <c r="H95" s="7">
        <v>14968.38</v>
      </c>
      <c r="I95" s="7"/>
      <c r="J95" s="7"/>
      <c r="K95" s="7"/>
      <c r="L95" s="10"/>
      <c r="N95" s="10"/>
      <c r="Q95" s="11"/>
      <c r="R95" s="7">
        <v>14968.38</v>
      </c>
      <c r="S95" s="7"/>
      <c r="T95" s="7"/>
      <c r="U95" s="7"/>
      <c r="V95" s="10"/>
      <c r="X95" s="10"/>
      <c r="AA95" s="11"/>
    </row>
    <row r="96" spans="2:27" x14ac:dyDescent="0.2">
      <c r="B96" t="s">
        <v>394</v>
      </c>
      <c r="C96">
        <v>40363171</v>
      </c>
      <c r="D96" t="s">
        <v>396</v>
      </c>
      <c r="E96">
        <v>1023038</v>
      </c>
      <c r="F96" t="s">
        <v>397</v>
      </c>
      <c r="G96" s="9">
        <v>44993</v>
      </c>
      <c r="H96" s="7">
        <v>22002.36</v>
      </c>
      <c r="I96" s="7"/>
      <c r="J96" s="7"/>
      <c r="K96" s="7"/>
      <c r="L96" s="10"/>
      <c r="N96" s="10"/>
      <c r="Q96" s="11"/>
      <c r="R96" s="7">
        <v>22002.36</v>
      </c>
      <c r="S96" s="7"/>
      <c r="T96" s="7"/>
      <c r="U96" s="7"/>
      <c r="V96" s="10"/>
      <c r="X96" s="10"/>
      <c r="AA96" s="11"/>
    </row>
    <row r="97" spans="2:27" x14ac:dyDescent="0.2">
      <c r="B97" t="s">
        <v>394</v>
      </c>
      <c r="C97">
        <v>40363170</v>
      </c>
      <c r="D97" t="s">
        <v>396</v>
      </c>
      <c r="E97">
        <v>1023038</v>
      </c>
      <c r="F97" t="s">
        <v>397</v>
      </c>
      <c r="G97" s="9">
        <v>44987</v>
      </c>
      <c r="H97" s="7">
        <v>22004.46</v>
      </c>
      <c r="I97" s="7"/>
      <c r="J97" s="7"/>
      <c r="K97" s="7"/>
      <c r="L97" s="10"/>
      <c r="N97" s="10"/>
      <c r="Q97" s="11"/>
      <c r="R97" s="7">
        <v>22004.46</v>
      </c>
      <c r="S97" s="7"/>
      <c r="T97" s="7"/>
      <c r="U97" s="7"/>
      <c r="V97" s="10"/>
      <c r="X97" s="10"/>
      <c r="AA97" s="11"/>
    </row>
    <row r="98" spans="2:27" x14ac:dyDescent="0.2">
      <c r="B98" t="s">
        <v>394</v>
      </c>
      <c r="C98">
        <v>40363167</v>
      </c>
      <c r="D98" t="s">
        <v>396</v>
      </c>
      <c r="E98">
        <v>1021470</v>
      </c>
      <c r="F98" t="s">
        <v>398</v>
      </c>
      <c r="G98" s="9">
        <v>44993</v>
      </c>
      <c r="H98" s="7">
        <v>9073.42</v>
      </c>
      <c r="I98" s="7"/>
      <c r="J98" s="7"/>
      <c r="K98" s="7"/>
      <c r="L98" s="10"/>
      <c r="N98" s="10"/>
      <c r="Q98" s="11"/>
      <c r="R98" s="7">
        <v>9073.42</v>
      </c>
      <c r="S98" s="7"/>
      <c r="T98" s="7"/>
      <c r="U98" s="7"/>
      <c r="V98" s="10"/>
      <c r="X98" s="10"/>
      <c r="AA98" s="11"/>
    </row>
    <row r="99" spans="2:27" x14ac:dyDescent="0.2">
      <c r="B99" t="s">
        <v>394</v>
      </c>
      <c r="C99">
        <v>40363167</v>
      </c>
      <c r="D99" t="s">
        <v>396</v>
      </c>
      <c r="E99">
        <v>1021470</v>
      </c>
      <c r="F99" t="s">
        <v>398</v>
      </c>
      <c r="G99" s="9">
        <v>44993</v>
      </c>
      <c r="H99" s="7">
        <v>22085.97</v>
      </c>
      <c r="I99" s="7"/>
      <c r="J99" s="7"/>
      <c r="K99" s="7"/>
      <c r="L99" s="10"/>
      <c r="N99" s="10"/>
      <c r="Q99" s="11"/>
      <c r="R99" s="7">
        <v>22085.97</v>
      </c>
      <c r="S99" s="7"/>
      <c r="T99" s="7"/>
      <c r="U99" s="7"/>
      <c r="V99" s="10"/>
      <c r="X99" s="10"/>
      <c r="AA99" s="11"/>
    </row>
    <row r="100" spans="2:27" x14ac:dyDescent="0.2">
      <c r="B100" t="s">
        <v>394</v>
      </c>
      <c r="C100">
        <v>40363166</v>
      </c>
      <c r="D100" t="s">
        <v>396</v>
      </c>
      <c r="E100">
        <v>1023038</v>
      </c>
      <c r="F100" t="s">
        <v>397</v>
      </c>
      <c r="G100" s="9">
        <v>44992</v>
      </c>
      <c r="H100" s="7">
        <v>22006.85</v>
      </c>
      <c r="I100" s="7"/>
      <c r="J100" s="7"/>
      <c r="K100" s="7"/>
      <c r="L100" s="10"/>
      <c r="N100" s="10"/>
      <c r="Q100" s="11"/>
      <c r="R100" s="7">
        <v>22006.85</v>
      </c>
      <c r="S100" s="7"/>
      <c r="T100" s="7"/>
      <c r="U100" s="7"/>
      <c r="V100" s="10"/>
      <c r="X100" s="10"/>
      <c r="AA100" s="11"/>
    </row>
    <row r="101" spans="2:27" x14ac:dyDescent="0.2">
      <c r="B101" t="s">
        <v>394</v>
      </c>
      <c r="C101">
        <v>40363165</v>
      </c>
      <c r="D101" t="s">
        <v>396</v>
      </c>
      <c r="E101">
        <v>1023037</v>
      </c>
      <c r="F101" t="s">
        <v>555</v>
      </c>
      <c r="G101" s="9">
        <v>44984</v>
      </c>
      <c r="H101" s="7"/>
      <c r="I101" s="7"/>
      <c r="J101" s="7"/>
      <c r="K101" s="7"/>
      <c r="L101" s="10"/>
      <c r="N101" s="10"/>
      <c r="Q101" s="11"/>
      <c r="R101" s="7"/>
      <c r="S101" s="7"/>
      <c r="T101" s="7"/>
      <c r="U101" s="7"/>
      <c r="V101" s="10"/>
      <c r="X101" s="10"/>
      <c r="AA101" s="11"/>
    </row>
    <row r="102" spans="2:27" x14ac:dyDescent="0.2">
      <c r="B102" t="s">
        <v>394</v>
      </c>
      <c r="C102">
        <v>40363164</v>
      </c>
      <c r="D102" t="s">
        <v>396</v>
      </c>
      <c r="E102">
        <v>1021149</v>
      </c>
      <c r="F102" t="s">
        <v>399</v>
      </c>
      <c r="G102" s="9">
        <v>44993</v>
      </c>
      <c r="H102" s="7">
        <v>8496</v>
      </c>
      <c r="I102" s="7"/>
      <c r="J102" s="7"/>
      <c r="K102" s="7"/>
      <c r="L102" s="10"/>
      <c r="N102" s="10"/>
      <c r="Q102" s="11"/>
      <c r="R102" s="7">
        <v>8496</v>
      </c>
      <c r="S102" s="7"/>
      <c r="T102" s="7"/>
      <c r="U102" s="7"/>
      <c r="V102" s="10"/>
      <c r="X102" s="10"/>
      <c r="AA102" s="11"/>
    </row>
    <row r="103" spans="2:27" x14ac:dyDescent="0.2">
      <c r="B103" t="s">
        <v>394</v>
      </c>
      <c r="C103">
        <v>40363164</v>
      </c>
      <c r="D103" t="s">
        <v>396</v>
      </c>
      <c r="E103">
        <v>1021149</v>
      </c>
      <c r="F103" t="s">
        <v>399</v>
      </c>
      <c r="G103" s="9">
        <v>44993</v>
      </c>
      <c r="H103" s="7">
        <v>21968</v>
      </c>
      <c r="I103" s="7"/>
      <c r="J103" s="7"/>
      <c r="K103" s="7"/>
      <c r="L103" s="10"/>
      <c r="N103" s="10"/>
      <c r="Q103" s="11"/>
      <c r="R103" s="7">
        <v>21968</v>
      </c>
      <c r="S103" s="7"/>
      <c r="T103" s="7"/>
      <c r="U103" s="7"/>
      <c r="V103" s="10"/>
      <c r="X103" s="10"/>
      <c r="AA103" s="11"/>
    </row>
    <row r="104" spans="2:27" x14ac:dyDescent="0.2">
      <c r="B104" t="s">
        <v>394</v>
      </c>
      <c r="C104">
        <v>40363163</v>
      </c>
      <c r="D104" t="s">
        <v>396</v>
      </c>
      <c r="E104">
        <v>1021149</v>
      </c>
      <c r="F104" t="s">
        <v>399</v>
      </c>
      <c r="G104" s="9">
        <v>44993</v>
      </c>
      <c r="H104" s="7">
        <v>13392</v>
      </c>
      <c r="I104" s="7"/>
      <c r="J104" s="7"/>
      <c r="K104" s="7"/>
      <c r="L104" s="10"/>
      <c r="N104" s="10"/>
      <c r="Q104" s="11"/>
      <c r="R104" s="7">
        <v>13392</v>
      </c>
      <c r="S104" s="7"/>
      <c r="T104" s="7"/>
      <c r="U104" s="7"/>
      <c r="V104" s="10"/>
      <c r="X104" s="10"/>
      <c r="AA104" s="11"/>
    </row>
    <row r="105" spans="2:27" x14ac:dyDescent="0.2">
      <c r="B105" t="s">
        <v>394</v>
      </c>
      <c r="C105">
        <v>40363163</v>
      </c>
      <c r="D105" t="s">
        <v>396</v>
      </c>
      <c r="E105">
        <v>1021149</v>
      </c>
      <c r="F105" t="s">
        <v>399</v>
      </c>
      <c r="G105" s="9">
        <v>44993</v>
      </c>
      <c r="H105" s="7">
        <v>22000</v>
      </c>
      <c r="I105" s="7"/>
      <c r="J105" s="7"/>
      <c r="K105" s="7"/>
      <c r="L105" s="10"/>
      <c r="N105" s="10"/>
      <c r="Q105" s="11"/>
      <c r="R105" s="7">
        <v>22000</v>
      </c>
      <c r="S105" s="7"/>
      <c r="T105" s="7"/>
      <c r="U105" s="7"/>
      <c r="V105" s="10"/>
      <c r="X105" s="10"/>
      <c r="AA105" s="11"/>
    </row>
    <row r="106" spans="2:27" x14ac:dyDescent="0.2">
      <c r="B106" t="s">
        <v>394</v>
      </c>
      <c r="C106">
        <v>40363162</v>
      </c>
      <c r="D106" t="s">
        <v>396</v>
      </c>
      <c r="E106">
        <v>1021149</v>
      </c>
      <c r="F106" t="s">
        <v>399</v>
      </c>
      <c r="G106" s="9">
        <v>44987</v>
      </c>
      <c r="H106" s="7">
        <v>22000</v>
      </c>
      <c r="I106" s="7"/>
      <c r="J106" s="7"/>
      <c r="K106" s="7"/>
      <c r="L106" s="10"/>
      <c r="N106" s="10"/>
      <c r="Q106" s="11"/>
      <c r="R106" s="7">
        <v>22000</v>
      </c>
      <c r="S106" s="7"/>
      <c r="T106" s="7"/>
      <c r="U106" s="7"/>
      <c r="V106" s="10"/>
      <c r="X106" s="10"/>
      <c r="AA106" s="11"/>
    </row>
    <row r="107" spans="2:27" x14ac:dyDescent="0.2">
      <c r="B107" t="s">
        <v>394</v>
      </c>
      <c r="C107">
        <v>40363158</v>
      </c>
      <c r="D107" t="s">
        <v>396</v>
      </c>
      <c r="E107">
        <v>1020861</v>
      </c>
      <c r="F107" t="s">
        <v>400</v>
      </c>
      <c r="G107" s="9">
        <v>44994</v>
      </c>
      <c r="H107" s="7">
        <v>22001.79</v>
      </c>
      <c r="I107" s="7"/>
      <c r="J107" s="7"/>
      <c r="K107" s="7"/>
      <c r="L107" s="10"/>
      <c r="N107" s="10"/>
      <c r="Q107" s="11"/>
      <c r="R107" s="7">
        <v>22001.79</v>
      </c>
      <c r="S107" s="7"/>
      <c r="T107" s="7"/>
      <c r="U107" s="7"/>
      <c r="V107" s="10"/>
      <c r="X107" s="10"/>
      <c r="AA107" s="11"/>
    </row>
    <row r="108" spans="2:27" x14ac:dyDescent="0.2">
      <c r="B108" t="s">
        <v>394</v>
      </c>
      <c r="C108">
        <v>40363157</v>
      </c>
      <c r="D108" t="s">
        <v>396</v>
      </c>
      <c r="E108">
        <v>1022885</v>
      </c>
      <c r="F108" t="s">
        <v>401</v>
      </c>
      <c r="G108" s="9">
        <v>44993</v>
      </c>
      <c r="H108" s="7">
        <v>22014.69</v>
      </c>
      <c r="I108" s="7"/>
      <c r="J108" s="7"/>
      <c r="K108" s="7"/>
      <c r="L108" s="10"/>
      <c r="N108" s="10"/>
      <c r="Q108" s="11"/>
      <c r="R108" s="7">
        <v>22014.69</v>
      </c>
      <c r="S108" s="7"/>
      <c r="T108" s="7"/>
      <c r="U108" s="7"/>
      <c r="V108" s="10"/>
      <c r="X108" s="10"/>
      <c r="AA108" s="11"/>
    </row>
    <row r="109" spans="2:27" x14ac:dyDescent="0.2">
      <c r="B109" t="s">
        <v>394</v>
      </c>
      <c r="C109">
        <v>40363156</v>
      </c>
      <c r="D109" t="s">
        <v>396</v>
      </c>
      <c r="E109">
        <v>1022885</v>
      </c>
      <c r="F109" t="s">
        <v>401</v>
      </c>
      <c r="G109" s="9">
        <v>44992</v>
      </c>
      <c r="H109" s="7">
        <v>22014.73</v>
      </c>
      <c r="I109" s="7"/>
      <c r="J109" s="7"/>
      <c r="K109" s="7"/>
      <c r="L109" s="10"/>
      <c r="N109" s="10"/>
      <c r="Q109" s="11"/>
      <c r="R109" s="7">
        <v>22014.73</v>
      </c>
      <c r="S109" s="7"/>
      <c r="T109" s="7"/>
      <c r="U109" s="7"/>
      <c r="V109" s="10"/>
      <c r="X109" s="10"/>
      <c r="AA109" s="11"/>
    </row>
    <row r="110" spans="2:27" x14ac:dyDescent="0.2">
      <c r="B110" t="s">
        <v>394</v>
      </c>
      <c r="C110">
        <v>40363155</v>
      </c>
      <c r="D110" t="s">
        <v>396</v>
      </c>
      <c r="E110">
        <v>1022885</v>
      </c>
      <c r="F110" t="s">
        <v>401</v>
      </c>
      <c r="G110" s="9">
        <v>44992</v>
      </c>
      <c r="H110" s="7">
        <v>22009.94</v>
      </c>
      <c r="I110" s="7"/>
      <c r="J110" s="7"/>
      <c r="K110" s="7"/>
      <c r="L110" s="10"/>
      <c r="N110" s="10"/>
      <c r="Q110" s="11"/>
      <c r="R110" s="7">
        <v>22009.94</v>
      </c>
      <c r="S110" s="7"/>
      <c r="T110" s="7"/>
      <c r="U110" s="7"/>
      <c r="V110" s="10"/>
      <c r="X110" s="10"/>
      <c r="AA110" s="11"/>
    </row>
    <row r="111" spans="2:27" x14ac:dyDescent="0.2">
      <c r="B111" t="s">
        <v>394</v>
      </c>
      <c r="C111">
        <v>40363154</v>
      </c>
      <c r="D111" t="s">
        <v>396</v>
      </c>
      <c r="E111">
        <v>1022885</v>
      </c>
      <c r="F111" t="s">
        <v>401</v>
      </c>
      <c r="G111" s="9">
        <v>44993</v>
      </c>
      <c r="H111" s="7">
        <v>22013.919999999998</v>
      </c>
      <c r="I111" s="7"/>
      <c r="J111" s="7"/>
      <c r="K111" s="7"/>
      <c r="L111" s="10"/>
      <c r="N111" s="10"/>
      <c r="Q111" s="11"/>
      <c r="R111" s="7">
        <v>22013.919999999998</v>
      </c>
      <c r="S111" s="7"/>
      <c r="T111" s="7"/>
      <c r="U111" s="7"/>
      <c r="V111" s="10"/>
      <c r="X111" s="10"/>
      <c r="AA111" s="11"/>
    </row>
    <row r="112" spans="2:27" x14ac:dyDescent="0.2">
      <c r="B112" t="s">
        <v>394</v>
      </c>
      <c r="C112">
        <v>40363153</v>
      </c>
      <c r="D112" t="s">
        <v>396</v>
      </c>
      <c r="E112">
        <v>1022885</v>
      </c>
      <c r="F112" t="s">
        <v>401</v>
      </c>
      <c r="G112" s="9">
        <v>44993</v>
      </c>
      <c r="H112" s="7">
        <v>22007.5</v>
      </c>
      <c r="I112" s="7"/>
      <c r="J112" s="7"/>
      <c r="K112" s="7"/>
      <c r="L112" s="10"/>
      <c r="N112" s="10"/>
      <c r="Q112" s="11"/>
      <c r="R112" s="7">
        <v>22007.5</v>
      </c>
      <c r="S112" s="7"/>
      <c r="T112" s="7"/>
      <c r="U112" s="7"/>
      <c r="V112" s="10"/>
      <c r="X112" s="10"/>
      <c r="AA112" s="11"/>
    </row>
    <row r="113" spans="2:27" x14ac:dyDescent="0.2">
      <c r="B113" t="s">
        <v>394</v>
      </c>
      <c r="C113">
        <v>40363152</v>
      </c>
      <c r="D113" t="s">
        <v>396</v>
      </c>
      <c r="E113">
        <v>1022885</v>
      </c>
      <c r="F113" t="s">
        <v>401</v>
      </c>
      <c r="G113" s="9">
        <v>44987</v>
      </c>
      <c r="H113" s="7">
        <v>22009.13</v>
      </c>
      <c r="I113" s="7"/>
      <c r="J113" s="7"/>
      <c r="K113" s="7"/>
      <c r="L113" s="10"/>
      <c r="N113" s="10"/>
      <c r="Q113" s="11"/>
      <c r="R113" s="7">
        <v>22009.13</v>
      </c>
      <c r="S113" s="7"/>
      <c r="T113" s="7"/>
      <c r="U113" s="7"/>
      <c r="V113" s="10"/>
      <c r="X113" s="10"/>
      <c r="AA113" s="11"/>
    </row>
    <row r="114" spans="2:27" x14ac:dyDescent="0.2">
      <c r="B114" t="s">
        <v>394</v>
      </c>
      <c r="C114">
        <v>40363151</v>
      </c>
      <c r="D114" t="s">
        <v>396</v>
      </c>
      <c r="E114">
        <v>1022885</v>
      </c>
      <c r="F114" t="s">
        <v>401</v>
      </c>
      <c r="G114" s="9">
        <v>44987</v>
      </c>
      <c r="H114" s="7">
        <v>22007.23</v>
      </c>
      <c r="I114" s="7"/>
      <c r="J114" s="7"/>
      <c r="K114" s="7"/>
      <c r="L114" s="10"/>
      <c r="N114" s="10"/>
      <c r="Q114" s="11"/>
      <c r="R114" s="7">
        <v>22007.23</v>
      </c>
      <c r="S114" s="7"/>
      <c r="T114" s="7"/>
      <c r="U114" s="7"/>
      <c r="V114" s="10"/>
      <c r="X114" s="10"/>
      <c r="AA114" s="11"/>
    </row>
    <row r="115" spans="2:27" x14ac:dyDescent="0.2">
      <c r="B115" t="s">
        <v>394</v>
      </c>
      <c r="C115">
        <v>40363150</v>
      </c>
      <c r="D115" t="s">
        <v>396</v>
      </c>
      <c r="E115">
        <v>1022885</v>
      </c>
      <c r="F115" t="s">
        <v>401</v>
      </c>
      <c r="G115" s="9">
        <v>44987</v>
      </c>
      <c r="H115" s="7">
        <v>22000.97</v>
      </c>
      <c r="I115" s="7"/>
      <c r="J115" s="7"/>
      <c r="K115" s="7"/>
      <c r="L115" s="10"/>
      <c r="N115" s="10"/>
      <c r="Q115" s="11"/>
      <c r="R115" s="7">
        <v>22000.97</v>
      </c>
      <c r="S115" s="7"/>
      <c r="T115" s="7"/>
      <c r="U115" s="7"/>
      <c r="V115" s="10"/>
      <c r="X115" s="10"/>
      <c r="AA115" s="11"/>
    </row>
    <row r="116" spans="2:27" x14ac:dyDescent="0.2">
      <c r="B116" t="s">
        <v>394</v>
      </c>
      <c r="C116">
        <v>40363149</v>
      </c>
      <c r="D116" t="s">
        <v>396</v>
      </c>
      <c r="E116">
        <v>1022885</v>
      </c>
      <c r="F116" t="s">
        <v>401</v>
      </c>
      <c r="G116" s="9">
        <v>44985</v>
      </c>
      <c r="H116" s="7"/>
      <c r="I116" s="7"/>
      <c r="J116" s="7"/>
      <c r="K116" s="7"/>
      <c r="L116" s="10"/>
      <c r="N116" s="10"/>
      <c r="Q116" s="11"/>
      <c r="R116" s="7"/>
      <c r="S116" s="7"/>
      <c r="T116" s="7"/>
      <c r="U116" s="7"/>
      <c r="V116" s="10"/>
      <c r="X116" s="10"/>
      <c r="AA116" s="11"/>
    </row>
    <row r="117" spans="2:27" x14ac:dyDescent="0.2">
      <c r="B117" t="s">
        <v>394</v>
      </c>
      <c r="C117">
        <v>40363148</v>
      </c>
      <c r="D117" t="s">
        <v>396</v>
      </c>
      <c r="E117">
        <v>1022885</v>
      </c>
      <c r="F117" t="s">
        <v>401</v>
      </c>
      <c r="G117" s="9">
        <v>44985</v>
      </c>
      <c r="H117" s="7"/>
      <c r="I117" s="7"/>
      <c r="J117" s="7"/>
      <c r="K117" s="7"/>
      <c r="L117" s="10"/>
      <c r="N117" s="10"/>
      <c r="Q117" s="11"/>
      <c r="R117" s="7"/>
      <c r="S117" s="7"/>
      <c r="T117" s="7"/>
      <c r="U117" s="7"/>
      <c r="V117" s="10"/>
      <c r="X117" s="10"/>
      <c r="AA117" s="11"/>
    </row>
    <row r="118" spans="2:27" x14ac:dyDescent="0.2">
      <c r="B118" t="s">
        <v>394</v>
      </c>
      <c r="C118">
        <v>40363147</v>
      </c>
      <c r="D118" t="s">
        <v>396</v>
      </c>
      <c r="E118">
        <v>1022885</v>
      </c>
      <c r="F118" t="s">
        <v>401</v>
      </c>
      <c r="G118" s="9">
        <v>44985</v>
      </c>
      <c r="H118" s="7"/>
      <c r="I118" s="7"/>
      <c r="J118" s="7"/>
      <c r="K118" s="7"/>
      <c r="L118" s="10"/>
      <c r="N118" s="10"/>
      <c r="Q118" s="11"/>
      <c r="R118" s="7"/>
      <c r="S118" s="7"/>
      <c r="T118" s="7"/>
      <c r="U118" s="7"/>
      <c r="V118" s="10"/>
      <c r="X118" s="10"/>
      <c r="AA118" s="11"/>
    </row>
    <row r="119" spans="2:27" x14ac:dyDescent="0.2">
      <c r="B119" t="s">
        <v>394</v>
      </c>
      <c r="C119">
        <v>40363146</v>
      </c>
      <c r="D119" t="s">
        <v>396</v>
      </c>
      <c r="E119">
        <v>1022885</v>
      </c>
      <c r="F119" t="s">
        <v>401</v>
      </c>
      <c r="G119" s="9">
        <v>44985</v>
      </c>
      <c r="H119" s="7"/>
      <c r="I119" s="7"/>
      <c r="J119" s="7"/>
      <c r="K119" s="7"/>
      <c r="L119" s="10"/>
      <c r="N119" s="10"/>
      <c r="Q119" s="11"/>
      <c r="R119" s="7"/>
      <c r="S119" s="7"/>
      <c r="T119" s="7"/>
      <c r="U119" s="7"/>
      <c r="V119" s="10"/>
      <c r="X119" s="10"/>
      <c r="AA119" s="11"/>
    </row>
    <row r="120" spans="2:27" x14ac:dyDescent="0.2">
      <c r="B120" t="s">
        <v>394</v>
      </c>
      <c r="C120">
        <v>40363145</v>
      </c>
      <c r="D120" t="s">
        <v>396</v>
      </c>
      <c r="E120">
        <v>1022885</v>
      </c>
      <c r="F120" t="s">
        <v>401</v>
      </c>
      <c r="G120" s="9">
        <v>44985</v>
      </c>
      <c r="H120" s="7"/>
      <c r="I120" s="7"/>
      <c r="J120" s="7"/>
      <c r="K120" s="7"/>
      <c r="L120" s="10"/>
      <c r="N120" s="10"/>
      <c r="Q120" s="11"/>
      <c r="R120" s="7"/>
      <c r="S120" s="7"/>
      <c r="T120" s="7"/>
      <c r="U120" s="7"/>
      <c r="V120" s="10"/>
      <c r="X120" s="10"/>
      <c r="AA120" s="11"/>
    </row>
    <row r="121" spans="2:27" x14ac:dyDescent="0.2">
      <c r="B121" t="s">
        <v>394</v>
      </c>
      <c r="C121">
        <v>40363144</v>
      </c>
      <c r="D121" t="s">
        <v>396</v>
      </c>
      <c r="E121">
        <v>1022885</v>
      </c>
      <c r="F121" t="s">
        <v>401</v>
      </c>
      <c r="G121" s="9">
        <v>44985</v>
      </c>
      <c r="H121" s="7"/>
      <c r="I121" s="7"/>
      <c r="J121" s="7"/>
      <c r="K121" s="7"/>
      <c r="L121" s="10"/>
      <c r="N121" s="10"/>
      <c r="Q121" s="11"/>
      <c r="R121" s="7"/>
      <c r="S121" s="7"/>
      <c r="T121" s="7"/>
      <c r="U121" s="7"/>
      <c r="V121" s="10"/>
      <c r="X121" s="10"/>
      <c r="AA121" s="11"/>
    </row>
    <row r="122" spans="2:27" x14ac:dyDescent="0.2">
      <c r="B122" t="s">
        <v>394</v>
      </c>
      <c r="C122">
        <v>40363143</v>
      </c>
      <c r="D122" t="s">
        <v>396</v>
      </c>
      <c r="E122">
        <v>1022885</v>
      </c>
      <c r="F122" t="s">
        <v>401</v>
      </c>
      <c r="G122" s="9">
        <v>44985</v>
      </c>
      <c r="H122" s="7"/>
      <c r="I122" s="7"/>
      <c r="J122" s="7"/>
      <c r="K122" s="7"/>
      <c r="L122" s="10"/>
      <c r="N122" s="10"/>
      <c r="Q122" s="11"/>
      <c r="R122" s="7"/>
      <c r="S122" s="7"/>
      <c r="T122" s="7"/>
      <c r="U122" s="7"/>
      <c r="V122" s="10"/>
      <c r="X122" s="10"/>
      <c r="AA122" s="11"/>
    </row>
    <row r="123" spans="2:27" x14ac:dyDescent="0.2">
      <c r="B123" t="s">
        <v>394</v>
      </c>
      <c r="C123">
        <v>40363142</v>
      </c>
      <c r="D123" t="s">
        <v>396</v>
      </c>
      <c r="E123">
        <v>1022885</v>
      </c>
      <c r="F123" t="s">
        <v>401</v>
      </c>
      <c r="G123" s="9">
        <v>44987</v>
      </c>
      <c r="H123" s="7">
        <v>22013.85</v>
      </c>
      <c r="I123" s="7"/>
      <c r="J123" s="7"/>
      <c r="K123" s="7"/>
      <c r="L123" s="10"/>
      <c r="N123" s="10"/>
      <c r="Q123" s="11"/>
      <c r="R123" s="7">
        <v>22013.85</v>
      </c>
      <c r="S123" s="7"/>
      <c r="T123" s="7"/>
      <c r="U123" s="7"/>
      <c r="V123" s="10"/>
      <c r="X123" s="10"/>
      <c r="AA123" s="11"/>
    </row>
    <row r="124" spans="2:27" x14ac:dyDescent="0.2">
      <c r="B124" t="s">
        <v>394</v>
      </c>
      <c r="C124">
        <v>40363141</v>
      </c>
      <c r="D124" t="s">
        <v>396</v>
      </c>
      <c r="E124">
        <v>1022885</v>
      </c>
      <c r="F124" t="s">
        <v>401</v>
      </c>
      <c r="G124" s="9">
        <v>44987</v>
      </c>
      <c r="H124" s="7">
        <v>22012.74</v>
      </c>
      <c r="I124" s="7"/>
      <c r="J124" s="7"/>
      <c r="K124" s="7"/>
      <c r="L124" s="10"/>
      <c r="N124" s="10"/>
      <c r="Q124" s="11"/>
      <c r="R124" s="7">
        <v>22012.74</v>
      </c>
      <c r="S124" s="7"/>
      <c r="T124" s="7"/>
      <c r="U124" s="7"/>
      <c r="V124" s="10"/>
      <c r="X124" s="10"/>
      <c r="AA124" s="11"/>
    </row>
    <row r="125" spans="2:27" x14ac:dyDescent="0.2">
      <c r="B125" t="s">
        <v>394</v>
      </c>
      <c r="C125">
        <v>40363131</v>
      </c>
      <c r="D125" t="s">
        <v>396</v>
      </c>
      <c r="E125">
        <v>1021470</v>
      </c>
      <c r="F125" t="s">
        <v>398</v>
      </c>
      <c r="G125" s="9">
        <v>44985</v>
      </c>
      <c r="H125" s="7"/>
      <c r="I125" s="7"/>
      <c r="J125" s="7"/>
      <c r="K125" s="7"/>
      <c r="L125" s="10"/>
      <c r="N125" s="10"/>
      <c r="Q125" s="11"/>
      <c r="R125" s="7"/>
      <c r="S125" s="7"/>
      <c r="T125" s="7"/>
      <c r="U125" s="7"/>
      <c r="V125" s="10"/>
      <c r="X125" s="10"/>
      <c r="AA125" s="11"/>
    </row>
    <row r="126" spans="2:27" x14ac:dyDescent="0.2">
      <c r="B126" t="s">
        <v>394</v>
      </c>
      <c r="C126">
        <v>40363128</v>
      </c>
      <c r="D126" t="s">
        <v>396</v>
      </c>
      <c r="E126">
        <v>1021150</v>
      </c>
      <c r="F126" t="s">
        <v>402</v>
      </c>
      <c r="G126" s="9">
        <v>44994</v>
      </c>
      <c r="H126" s="7">
        <v>21984</v>
      </c>
      <c r="I126" s="7"/>
      <c r="J126" s="7"/>
      <c r="K126" s="7"/>
      <c r="L126" s="10"/>
      <c r="N126" s="10"/>
      <c r="Q126" s="11"/>
      <c r="R126" s="7">
        <v>21984</v>
      </c>
      <c r="S126" s="7"/>
      <c r="T126" s="7"/>
      <c r="U126" s="7"/>
      <c r="V126" s="10"/>
      <c r="X126" s="10"/>
      <c r="AA126" s="11"/>
    </row>
    <row r="127" spans="2:27" x14ac:dyDescent="0.2">
      <c r="B127" t="s">
        <v>394</v>
      </c>
      <c r="C127">
        <v>40363126</v>
      </c>
      <c r="D127" t="s">
        <v>396</v>
      </c>
      <c r="E127">
        <v>1020860</v>
      </c>
      <c r="F127" t="s">
        <v>403</v>
      </c>
      <c r="G127" s="9">
        <v>44994</v>
      </c>
      <c r="H127" s="7">
        <v>17919.47</v>
      </c>
      <c r="I127" s="7"/>
      <c r="J127" s="7"/>
      <c r="K127" s="7"/>
      <c r="L127" s="10"/>
      <c r="N127" s="10"/>
      <c r="Q127" s="11"/>
      <c r="R127" s="7">
        <v>17919.47</v>
      </c>
      <c r="S127" s="7"/>
      <c r="T127" s="7"/>
      <c r="U127" s="7"/>
      <c r="V127" s="10"/>
      <c r="X127" s="10"/>
      <c r="AA127" s="11"/>
    </row>
    <row r="128" spans="2:27" x14ac:dyDescent="0.2">
      <c r="B128" t="s">
        <v>394</v>
      </c>
      <c r="C128">
        <v>40363126</v>
      </c>
      <c r="D128" t="s">
        <v>396</v>
      </c>
      <c r="E128">
        <v>1020860</v>
      </c>
      <c r="F128" t="s">
        <v>403</v>
      </c>
      <c r="G128" s="9">
        <v>44994</v>
      </c>
      <c r="H128" s="7">
        <v>22001.43</v>
      </c>
      <c r="I128" s="7"/>
      <c r="J128" s="7"/>
      <c r="K128" s="7"/>
      <c r="L128" s="10"/>
      <c r="N128" s="10"/>
      <c r="Q128" s="11"/>
      <c r="R128" s="7">
        <v>22001.43</v>
      </c>
      <c r="S128" s="7"/>
      <c r="T128" s="7"/>
      <c r="U128" s="7"/>
      <c r="V128" s="10"/>
      <c r="X128" s="10"/>
      <c r="AA128" s="11"/>
    </row>
    <row r="129" spans="2:27" x14ac:dyDescent="0.2">
      <c r="B129" t="s">
        <v>394</v>
      </c>
      <c r="C129">
        <v>40363125</v>
      </c>
      <c r="D129" t="s">
        <v>396</v>
      </c>
      <c r="E129">
        <v>1020860</v>
      </c>
      <c r="F129" t="s">
        <v>403</v>
      </c>
      <c r="G129" s="9">
        <v>44993</v>
      </c>
      <c r="H129" s="7">
        <v>11730.85</v>
      </c>
      <c r="I129" s="7"/>
      <c r="J129" s="7"/>
      <c r="K129" s="7"/>
      <c r="L129" s="10"/>
      <c r="N129" s="10"/>
      <c r="Q129" s="11"/>
      <c r="R129" s="7">
        <v>11730.85</v>
      </c>
      <c r="S129" s="7"/>
      <c r="T129" s="7"/>
      <c r="U129" s="7"/>
      <c r="V129" s="10"/>
      <c r="X129" s="10"/>
      <c r="AA129" s="11"/>
    </row>
    <row r="130" spans="2:27" x14ac:dyDescent="0.2">
      <c r="B130" t="s">
        <v>394</v>
      </c>
      <c r="C130">
        <v>40363125</v>
      </c>
      <c r="D130" t="s">
        <v>396</v>
      </c>
      <c r="E130">
        <v>1020860</v>
      </c>
      <c r="F130" t="s">
        <v>403</v>
      </c>
      <c r="G130" s="9">
        <v>44993</v>
      </c>
      <c r="H130" s="7">
        <v>22008.92</v>
      </c>
      <c r="I130" s="7"/>
      <c r="J130" s="7"/>
      <c r="K130" s="7"/>
      <c r="L130" s="10"/>
      <c r="N130" s="10"/>
      <c r="Q130" s="11"/>
      <c r="R130" s="7">
        <v>22008.92</v>
      </c>
      <c r="S130" s="7"/>
      <c r="T130" s="7"/>
      <c r="U130" s="7"/>
      <c r="V130" s="10"/>
      <c r="X130" s="10"/>
      <c r="AA130" s="11"/>
    </row>
    <row r="131" spans="2:27" x14ac:dyDescent="0.2">
      <c r="B131" t="s">
        <v>394</v>
      </c>
      <c r="C131">
        <v>40363124</v>
      </c>
      <c r="D131" t="s">
        <v>396</v>
      </c>
      <c r="E131">
        <v>1020860</v>
      </c>
      <c r="F131" t="s">
        <v>403</v>
      </c>
      <c r="G131" s="9">
        <v>44985</v>
      </c>
      <c r="H131" s="7"/>
      <c r="I131" s="7"/>
      <c r="J131" s="7"/>
      <c r="K131" s="7"/>
      <c r="L131" s="10"/>
      <c r="N131" s="10"/>
      <c r="Q131" s="11"/>
      <c r="R131" s="7"/>
      <c r="S131" s="7"/>
      <c r="T131" s="7"/>
      <c r="U131" s="7"/>
      <c r="V131" s="10"/>
      <c r="X131" s="10"/>
      <c r="AA131" s="11"/>
    </row>
    <row r="132" spans="2:27" x14ac:dyDescent="0.2">
      <c r="B132" t="s">
        <v>394</v>
      </c>
      <c r="C132">
        <v>40363117</v>
      </c>
      <c r="D132" t="s">
        <v>396</v>
      </c>
      <c r="E132">
        <v>1022887</v>
      </c>
      <c r="F132" t="s">
        <v>404</v>
      </c>
      <c r="G132" s="9">
        <v>44994</v>
      </c>
      <c r="H132" s="7">
        <v>22013.23</v>
      </c>
      <c r="I132" s="7"/>
      <c r="J132" s="7"/>
      <c r="K132" s="7"/>
      <c r="L132" s="10"/>
      <c r="N132" s="10"/>
      <c r="Q132" s="11"/>
      <c r="R132" s="7">
        <v>22013.23</v>
      </c>
      <c r="S132" s="7"/>
      <c r="T132" s="7"/>
      <c r="U132" s="7"/>
      <c r="V132" s="10"/>
      <c r="X132" s="10"/>
      <c r="AA132" s="11"/>
    </row>
    <row r="133" spans="2:27" x14ac:dyDescent="0.2">
      <c r="B133" t="s">
        <v>394</v>
      </c>
      <c r="C133">
        <v>40363116</v>
      </c>
      <c r="D133" t="s">
        <v>396</v>
      </c>
      <c r="E133">
        <v>1022887</v>
      </c>
      <c r="F133" t="s">
        <v>404</v>
      </c>
      <c r="G133" s="9">
        <v>44994</v>
      </c>
      <c r="H133" s="7">
        <v>22003.16</v>
      </c>
      <c r="I133" s="7"/>
      <c r="J133" s="7"/>
      <c r="K133" s="7"/>
      <c r="L133" s="10"/>
      <c r="N133" s="10"/>
      <c r="Q133" s="11"/>
      <c r="R133" s="7">
        <v>22003.16</v>
      </c>
      <c r="S133" s="7"/>
      <c r="T133" s="7"/>
      <c r="U133" s="7"/>
      <c r="V133" s="10"/>
      <c r="X133" s="10"/>
      <c r="AA133" s="11"/>
    </row>
    <row r="134" spans="2:27" x14ac:dyDescent="0.2">
      <c r="B134" t="s">
        <v>394</v>
      </c>
      <c r="C134">
        <v>40363115</v>
      </c>
      <c r="D134" t="s">
        <v>396</v>
      </c>
      <c r="E134">
        <v>1022887</v>
      </c>
      <c r="F134" t="s">
        <v>404</v>
      </c>
      <c r="G134" s="9">
        <v>44994</v>
      </c>
      <c r="H134" s="7">
        <v>22013.88</v>
      </c>
      <c r="I134" s="7"/>
      <c r="J134" s="7"/>
      <c r="K134" s="7"/>
      <c r="L134" s="10"/>
      <c r="N134" s="10"/>
      <c r="Q134" s="11"/>
      <c r="R134" s="7">
        <v>22013.88</v>
      </c>
      <c r="S134" s="7"/>
      <c r="T134" s="7"/>
      <c r="U134" s="7"/>
      <c r="V134" s="10"/>
      <c r="X134" s="10"/>
      <c r="AA134" s="11"/>
    </row>
    <row r="135" spans="2:27" x14ac:dyDescent="0.2">
      <c r="B135" t="s">
        <v>394</v>
      </c>
      <c r="C135">
        <v>40363114</v>
      </c>
      <c r="D135" t="s">
        <v>396</v>
      </c>
      <c r="E135">
        <v>1022887</v>
      </c>
      <c r="F135" t="s">
        <v>404</v>
      </c>
      <c r="G135" s="9">
        <v>44994</v>
      </c>
      <c r="H135" s="7">
        <v>22006.05</v>
      </c>
      <c r="I135" s="7"/>
      <c r="J135" s="7"/>
      <c r="K135" s="7"/>
      <c r="L135" s="10"/>
      <c r="N135" s="10"/>
      <c r="Q135" s="11"/>
      <c r="R135" s="7">
        <v>22006.05</v>
      </c>
      <c r="S135" s="7"/>
      <c r="T135" s="7"/>
      <c r="U135" s="7"/>
      <c r="V135" s="10"/>
      <c r="X135" s="10"/>
      <c r="AA135" s="11"/>
    </row>
    <row r="136" spans="2:27" x14ac:dyDescent="0.2">
      <c r="B136" t="s">
        <v>394</v>
      </c>
      <c r="C136">
        <v>40363113</v>
      </c>
      <c r="D136" t="s">
        <v>396</v>
      </c>
      <c r="E136">
        <v>1022607</v>
      </c>
      <c r="F136" t="s">
        <v>405</v>
      </c>
      <c r="G136" s="9">
        <v>44987</v>
      </c>
      <c r="H136" s="7">
        <v>14003.4</v>
      </c>
      <c r="I136" s="7"/>
      <c r="J136" s="7"/>
      <c r="K136" s="7"/>
      <c r="L136" s="10"/>
      <c r="N136" s="10"/>
      <c r="Q136" s="11"/>
      <c r="R136" s="7">
        <v>14003.4</v>
      </c>
      <c r="S136" s="7"/>
      <c r="T136" s="7"/>
      <c r="U136" s="7"/>
      <c r="V136" s="10"/>
      <c r="X136" s="10"/>
      <c r="AA136" s="11"/>
    </row>
    <row r="137" spans="2:27" x14ac:dyDescent="0.2">
      <c r="B137" t="s">
        <v>394</v>
      </c>
      <c r="C137">
        <v>40363113</v>
      </c>
      <c r="D137" t="s">
        <v>396</v>
      </c>
      <c r="E137">
        <v>1021152</v>
      </c>
      <c r="F137" t="s">
        <v>406</v>
      </c>
      <c r="G137" s="9">
        <v>44987</v>
      </c>
      <c r="H137" s="7">
        <v>4736</v>
      </c>
      <c r="I137" s="7"/>
      <c r="J137" s="7"/>
      <c r="K137" s="7"/>
      <c r="L137" s="10"/>
      <c r="N137" s="10"/>
      <c r="Q137" s="11"/>
      <c r="R137" s="7">
        <v>4736</v>
      </c>
      <c r="S137" s="7"/>
      <c r="T137" s="7"/>
      <c r="U137" s="7"/>
      <c r="V137" s="10"/>
      <c r="X137" s="10"/>
      <c r="AA137" s="11"/>
    </row>
    <row r="138" spans="2:27" x14ac:dyDescent="0.2">
      <c r="B138" t="s">
        <v>394</v>
      </c>
      <c r="C138">
        <v>40363113</v>
      </c>
      <c r="D138" t="s">
        <v>396</v>
      </c>
      <c r="E138">
        <v>1022887</v>
      </c>
      <c r="F138" t="s">
        <v>404</v>
      </c>
      <c r="G138" s="9">
        <v>44987</v>
      </c>
      <c r="H138" s="7">
        <v>3275.7</v>
      </c>
      <c r="I138" s="7"/>
      <c r="J138" s="7"/>
      <c r="K138" s="7"/>
      <c r="L138" s="10"/>
      <c r="N138" s="10"/>
      <c r="Q138" s="11"/>
      <c r="R138" s="7">
        <v>3275.7</v>
      </c>
      <c r="S138" s="7"/>
      <c r="T138" s="7"/>
      <c r="U138" s="7"/>
      <c r="V138" s="10"/>
      <c r="X138" s="10"/>
      <c r="AA138" s="11"/>
    </row>
    <row r="139" spans="2:27" ht="16" x14ac:dyDescent="0.2">
      <c r="B139" t="s">
        <v>35</v>
      </c>
      <c r="C139">
        <v>40363097</v>
      </c>
      <c r="D139" t="s">
        <v>423</v>
      </c>
      <c r="E139">
        <v>1023421</v>
      </c>
      <c r="F139" t="s">
        <v>271</v>
      </c>
      <c r="G139" s="9">
        <v>44961</v>
      </c>
      <c r="H139" s="7"/>
      <c r="I139" s="7"/>
      <c r="J139" s="7"/>
      <c r="K139" s="7"/>
      <c r="L139" s="10">
        <v>5.4496124031007751</v>
      </c>
      <c r="M139" s="9">
        <v>44966</v>
      </c>
      <c r="N139" s="10">
        <v>10</v>
      </c>
      <c r="O139" s="9">
        <v>44976</v>
      </c>
      <c r="P139">
        <v>8</v>
      </c>
      <c r="Q139" s="11" t="s">
        <v>49</v>
      </c>
      <c r="R139" s="7"/>
      <c r="S139" s="7"/>
      <c r="T139" s="7"/>
      <c r="U139" s="7"/>
      <c r="V139" s="10">
        <v>7.4496124031007751</v>
      </c>
      <c r="W139" s="9">
        <v>44968</v>
      </c>
      <c r="X139" s="10">
        <v>12</v>
      </c>
      <c r="Y139" s="9">
        <v>44976</v>
      </c>
      <c r="Z139">
        <v>8</v>
      </c>
      <c r="AA139" s="11" t="s">
        <v>49</v>
      </c>
    </row>
    <row r="140" spans="2:27" x14ac:dyDescent="0.2">
      <c r="B140" t="s">
        <v>394</v>
      </c>
      <c r="C140">
        <v>40363083</v>
      </c>
      <c r="D140" t="s">
        <v>485</v>
      </c>
      <c r="E140">
        <v>1020412</v>
      </c>
      <c r="F140" t="s">
        <v>486</v>
      </c>
      <c r="G140" s="9">
        <v>44954</v>
      </c>
      <c r="H140" s="7"/>
      <c r="I140" s="7"/>
      <c r="J140" s="7"/>
      <c r="K140" s="7"/>
      <c r="L140" s="10"/>
      <c r="N140" s="10"/>
      <c r="Q140" s="11"/>
      <c r="R140" s="7"/>
      <c r="S140" s="7"/>
      <c r="T140" s="7"/>
      <c r="U140" s="7"/>
      <c r="V140" s="10"/>
      <c r="X140" s="10"/>
      <c r="AA140" s="11"/>
    </row>
    <row r="141" spans="2:27" x14ac:dyDescent="0.2">
      <c r="B141" t="s">
        <v>394</v>
      </c>
      <c r="C141">
        <v>40363082</v>
      </c>
      <c r="D141" t="s">
        <v>485</v>
      </c>
      <c r="E141">
        <v>1021385</v>
      </c>
      <c r="F141" t="s">
        <v>495</v>
      </c>
      <c r="G141" s="9">
        <v>44961</v>
      </c>
      <c r="H141" s="7"/>
      <c r="I141" s="7"/>
      <c r="J141" s="7"/>
      <c r="K141" s="7"/>
      <c r="L141" s="10"/>
      <c r="N141" s="10"/>
      <c r="Q141" s="11"/>
      <c r="R141" s="7"/>
      <c r="S141" s="7"/>
      <c r="T141" s="7"/>
      <c r="U141" s="7"/>
      <c r="V141" s="10"/>
      <c r="X141" s="10"/>
      <c r="AA141" s="11"/>
    </row>
    <row r="142" spans="2:27" x14ac:dyDescent="0.2">
      <c r="B142" t="s">
        <v>394</v>
      </c>
      <c r="C142">
        <v>40363079</v>
      </c>
      <c r="D142" t="s">
        <v>485</v>
      </c>
      <c r="E142">
        <v>1020944</v>
      </c>
      <c r="F142" t="s">
        <v>498</v>
      </c>
      <c r="G142" s="9">
        <v>44961</v>
      </c>
      <c r="H142" s="7"/>
      <c r="I142" s="7"/>
      <c r="J142" s="7"/>
      <c r="K142" s="7"/>
      <c r="L142" s="10"/>
      <c r="N142" s="10"/>
      <c r="Q142" s="11"/>
      <c r="R142" s="7"/>
      <c r="S142" s="7"/>
      <c r="T142" s="7"/>
      <c r="U142" s="7"/>
      <c r="V142" s="10"/>
      <c r="X142" s="10"/>
      <c r="AA142" s="11"/>
    </row>
    <row r="143" spans="2:27" x14ac:dyDescent="0.2">
      <c r="B143" t="s">
        <v>394</v>
      </c>
      <c r="C143">
        <v>40363079</v>
      </c>
      <c r="D143" t="s">
        <v>485</v>
      </c>
      <c r="E143">
        <v>1020944</v>
      </c>
      <c r="F143" t="s">
        <v>498</v>
      </c>
      <c r="G143" s="9">
        <v>44961</v>
      </c>
      <c r="H143" s="7"/>
      <c r="I143" s="7"/>
      <c r="J143" s="7"/>
      <c r="K143" s="7"/>
      <c r="L143" s="10"/>
      <c r="N143" s="10"/>
      <c r="Q143" s="11"/>
      <c r="R143" s="7"/>
      <c r="S143" s="7"/>
      <c r="T143" s="7"/>
      <c r="U143" s="7"/>
      <c r="V143" s="10"/>
      <c r="X143" s="10"/>
      <c r="AA143" s="11"/>
    </row>
    <row r="144" spans="2:27" x14ac:dyDescent="0.2">
      <c r="B144" t="s">
        <v>394</v>
      </c>
      <c r="C144">
        <v>40363078</v>
      </c>
      <c r="D144" t="s">
        <v>485</v>
      </c>
      <c r="E144">
        <v>1022709</v>
      </c>
      <c r="F144" t="s">
        <v>493</v>
      </c>
      <c r="G144" s="9">
        <v>44962</v>
      </c>
      <c r="H144" s="7"/>
      <c r="I144" s="7"/>
      <c r="J144" s="7"/>
      <c r="K144" s="7"/>
      <c r="L144" s="10"/>
      <c r="N144" s="10"/>
      <c r="Q144" s="11"/>
      <c r="R144" s="7"/>
      <c r="S144" s="7"/>
      <c r="T144" s="7"/>
      <c r="U144" s="7"/>
      <c r="V144" s="10"/>
      <c r="X144" s="10"/>
      <c r="AA144" s="11"/>
    </row>
    <row r="145" spans="2:27" x14ac:dyDescent="0.2">
      <c r="B145" t="s">
        <v>394</v>
      </c>
      <c r="C145">
        <v>40363078</v>
      </c>
      <c r="D145" t="s">
        <v>485</v>
      </c>
      <c r="E145">
        <v>1021868</v>
      </c>
      <c r="F145" t="s">
        <v>509</v>
      </c>
      <c r="G145" s="9">
        <v>44962</v>
      </c>
      <c r="H145" s="7"/>
      <c r="I145" s="7"/>
      <c r="J145" s="7"/>
      <c r="K145" s="7"/>
      <c r="L145" s="10"/>
      <c r="N145" s="10"/>
      <c r="Q145" s="11"/>
      <c r="R145" s="7"/>
      <c r="S145" s="7"/>
      <c r="T145" s="7"/>
      <c r="U145" s="7"/>
      <c r="V145" s="10"/>
      <c r="X145" s="10"/>
      <c r="AA145" s="11"/>
    </row>
    <row r="146" spans="2:27" x14ac:dyDescent="0.2">
      <c r="B146" t="s">
        <v>394</v>
      </c>
      <c r="C146">
        <v>40363078</v>
      </c>
      <c r="D146" t="s">
        <v>485</v>
      </c>
      <c r="E146">
        <v>1020944</v>
      </c>
      <c r="F146" t="s">
        <v>498</v>
      </c>
      <c r="G146" s="9">
        <v>44962</v>
      </c>
      <c r="H146" s="7"/>
      <c r="I146" s="7"/>
      <c r="J146" s="7"/>
      <c r="K146" s="7"/>
      <c r="L146" s="10"/>
      <c r="N146" s="10"/>
      <c r="Q146" s="11"/>
      <c r="R146" s="7"/>
      <c r="S146" s="7"/>
      <c r="T146" s="7"/>
      <c r="U146" s="7"/>
      <c r="V146" s="10"/>
      <c r="X146" s="10"/>
      <c r="AA146" s="11"/>
    </row>
    <row r="147" spans="2:27" ht="16" x14ac:dyDescent="0.2">
      <c r="B147" t="s">
        <v>35</v>
      </c>
      <c r="C147">
        <v>40363070</v>
      </c>
      <c r="D147" t="s">
        <v>423</v>
      </c>
      <c r="E147">
        <v>1011748</v>
      </c>
      <c r="F147" t="s">
        <v>482</v>
      </c>
      <c r="G147" s="9">
        <v>44961</v>
      </c>
      <c r="H147" s="7"/>
      <c r="I147" s="7"/>
      <c r="J147" s="7"/>
      <c r="K147" s="7"/>
      <c r="L147" s="10">
        <v>5.4496124031007751</v>
      </c>
      <c r="M147" s="9">
        <v>44966</v>
      </c>
      <c r="N147" s="10">
        <v>10</v>
      </c>
      <c r="O147" s="9">
        <v>44976</v>
      </c>
      <c r="P147">
        <v>8</v>
      </c>
      <c r="Q147" s="11" t="s">
        <v>49</v>
      </c>
      <c r="R147" s="7"/>
      <c r="S147" s="7"/>
      <c r="T147" s="7"/>
      <c r="U147" s="7"/>
      <c r="V147" s="10">
        <v>7.4496124031007751</v>
      </c>
      <c r="W147" s="9">
        <v>44968</v>
      </c>
      <c r="X147" s="10">
        <v>12</v>
      </c>
      <c r="Y147" s="9">
        <v>44976</v>
      </c>
      <c r="Z147">
        <v>8</v>
      </c>
      <c r="AA147" s="11" t="s">
        <v>49</v>
      </c>
    </row>
    <row r="148" spans="2:27" x14ac:dyDescent="0.2">
      <c r="B148" t="s">
        <v>394</v>
      </c>
      <c r="C148">
        <v>40363026</v>
      </c>
      <c r="D148" t="s">
        <v>485</v>
      </c>
      <c r="E148">
        <v>1011042</v>
      </c>
      <c r="F148" t="s">
        <v>510</v>
      </c>
      <c r="G148" s="9">
        <v>44954</v>
      </c>
      <c r="H148" s="7"/>
      <c r="I148" s="7"/>
      <c r="J148" s="7"/>
      <c r="K148" s="7"/>
      <c r="L148" s="10"/>
      <c r="N148" s="10"/>
      <c r="Q148" s="11"/>
      <c r="R148" s="7"/>
      <c r="S148" s="7"/>
      <c r="T148" s="7"/>
      <c r="U148" s="7"/>
      <c r="V148" s="10"/>
      <c r="X148" s="10"/>
      <c r="AA148" s="11"/>
    </row>
    <row r="149" spans="2:27" x14ac:dyDescent="0.2">
      <c r="B149" t="s">
        <v>394</v>
      </c>
      <c r="C149">
        <v>40363025</v>
      </c>
      <c r="D149" t="s">
        <v>485</v>
      </c>
      <c r="E149">
        <v>1010877</v>
      </c>
      <c r="F149" t="s">
        <v>502</v>
      </c>
      <c r="G149" s="9">
        <v>44961</v>
      </c>
      <c r="H149" s="7"/>
      <c r="I149" s="7"/>
      <c r="J149" s="7"/>
      <c r="K149" s="7"/>
      <c r="L149" s="10"/>
      <c r="N149" s="10"/>
      <c r="Q149" s="11"/>
      <c r="R149" s="7"/>
      <c r="S149" s="7"/>
      <c r="T149" s="7"/>
      <c r="U149" s="7"/>
      <c r="V149" s="10"/>
      <c r="X149" s="10"/>
      <c r="AA149" s="11"/>
    </row>
    <row r="150" spans="2:27" x14ac:dyDescent="0.2">
      <c r="B150" t="s">
        <v>394</v>
      </c>
      <c r="C150">
        <v>40363024</v>
      </c>
      <c r="D150" t="s">
        <v>485</v>
      </c>
      <c r="E150">
        <v>1020367</v>
      </c>
      <c r="F150" t="s">
        <v>596</v>
      </c>
      <c r="G150" s="9">
        <v>44961</v>
      </c>
      <c r="H150" s="7"/>
      <c r="I150" s="7"/>
      <c r="J150" s="7"/>
      <c r="K150" s="7"/>
      <c r="L150" s="10"/>
      <c r="N150" s="10"/>
      <c r="Q150" s="11"/>
      <c r="R150" s="7"/>
      <c r="S150" s="7"/>
      <c r="T150" s="7"/>
      <c r="U150" s="7"/>
      <c r="V150" s="10"/>
      <c r="X150" s="10"/>
      <c r="AA150" s="11"/>
    </row>
    <row r="151" spans="2:27" x14ac:dyDescent="0.2">
      <c r="B151" t="s">
        <v>394</v>
      </c>
      <c r="C151">
        <v>40363024</v>
      </c>
      <c r="D151" t="s">
        <v>485</v>
      </c>
      <c r="E151">
        <v>1020367</v>
      </c>
      <c r="F151" t="s">
        <v>596</v>
      </c>
      <c r="G151" s="9">
        <v>44961</v>
      </c>
      <c r="H151" s="7"/>
      <c r="I151" s="7"/>
      <c r="J151" s="7"/>
      <c r="K151" s="7"/>
      <c r="L151" s="10"/>
      <c r="N151" s="10"/>
      <c r="Q151" s="11"/>
      <c r="R151" s="7"/>
      <c r="S151" s="7"/>
      <c r="T151" s="7"/>
      <c r="U151" s="7"/>
      <c r="V151" s="10"/>
      <c r="X151" s="10"/>
      <c r="AA151" s="11"/>
    </row>
    <row r="152" spans="2:27" ht="16" x14ac:dyDescent="0.2">
      <c r="B152" t="s">
        <v>35</v>
      </c>
      <c r="C152">
        <v>40362974</v>
      </c>
      <c r="D152" t="s">
        <v>409</v>
      </c>
      <c r="E152">
        <v>1020828</v>
      </c>
      <c r="F152" t="s">
        <v>74</v>
      </c>
      <c r="G152" s="9">
        <v>44997</v>
      </c>
      <c r="H152" s="7">
        <v>9360.3245119999992</v>
      </c>
      <c r="I152" s="7"/>
      <c r="J152" s="7"/>
      <c r="K152" s="7"/>
      <c r="L152" s="10">
        <v>7.5</v>
      </c>
      <c r="M152" s="9">
        <v>45004</v>
      </c>
      <c r="N152" s="10">
        <v>9.5</v>
      </c>
      <c r="O152" s="9">
        <v>45013</v>
      </c>
      <c r="P152">
        <v>3</v>
      </c>
      <c r="Q152" s="11" t="s">
        <v>49</v>
      </c>
      <c r="R152" s="7">
        <v>9360.3245119999992</v>
      </c>
      <c r="S152" s="7"/>
      <c r="T152" s="7"/>
      <c r="U152" s="7"/>
      <c r="V152" s="10">
        <v>9.5</v>
      </c>
      <c r="W152" s="9">
        <v>45006</v>
      </c>
      <c r="X152" s="10">
        <v>11.5</v>
      </c>
      <c r="Y152" s="9">
        <v>45013</v>
      </c>
      <c r="Z152">
        <v>3</v>
      </c>
      <c r="AA152" s="11" t="s">
        <v>49</v>
      </c>
    </row>
    <row r="153" spans="2:27" ht="16" x14ac:dyDescent="0.2">
      <c r="B153" t="s">
        <v>35</v>
      </c>
      <c r="C153">
        <v>40362974</v>
      </c>
      <c r="D153" t="s">
        <v>409</v>
      </c>
      <c r="E153">
        <v>1020828</v>
      </c>
      <c r="F153" t="s">
        <v>74</v>
      </c>
      <c r="G153" s="9">
        <v>44997</v>
      </c>
      <c r="H153" s="7">
        <v>19239.558271999998</v>
      </c>
      <c r="I153" s="7"/>
      <c r="J153" s="7"/>
      <c r="K153" s="7"/>
      <c r="L153" s="10">
        <v>7.5</v>
      </c>
      <c r="M153" s="9">
        <v>45004</v>
      </c>
      <c r="N153" s="10">
        <v>9.5</v>
      </c>
      <c r="O153" s="9">
        <v>45013</v>
      </c>
      <c r="P153">
        <v>3</v>
      </c>
      <c r="Q153" s="11" t="s">
        <v>49</v>
      </c>
      <c r="R153" s="7">
        <v>19239.558271999998</v>
      </c>
      <c r="S153" s="7"/>
      <c r="T153" s="7"/>
      <c r="U153" s="7"/>
      <c r="V153" s="10">
        <v>9.5</v>
      </c>
      <c r="W153" s="9">
        <v>45006</v>
      </c>
      <c r="X153" s="10">
        <v>11.5</v>
      </c>
      <c r="Y153" s="9">
        <v>45013</v>
      </c>
      <c r="Z153">
        <v>3</v>
      </c>
      <c r="AA153" s="11" t="s">
        <v>49</v>
      </c>
    </row>
    <row r="154" spans="2:27" ht="16" x14ac:dyDescent="0.2">
      <c r="B154" t="s">
        <v>35</v>
      </c>
      <c r="C154">
        <v>40362973</v>
      </c>
      <c r="D154" t="s">
        <v>409</v>
      </c>
      <c r="E154">
        <v>1020828</v>
      </c>
      <c r="F154" t="s">
        <v>74</v>
      </c>
      <c r="G154" s="9">
        <v>44985</v>
      </c>
      <c r="H154" s="7">
        <v>9759.4854720000003</v>
      </c>
      <c r="I154" s="7"/>
      <c r="J154" s="7"/>
      <c r="K154" s="7"/>
      <c r="L154" s="10">
        <v>7.5</v>
      </c>
      <c r="M154" s="9">
        <v>44992</v>
      </c>
      <c r="N154" s="10">
        <v>9.5</v>
      </c>
      <c r="O154" s="9">
        <v>45001</v>
      </c>
      <c r="P154">
        <v>13</v>
      </c>
      <c r="Q154" s="11" t="s">
        <v>49</v>
      </c>
      <c r="R154" s="7">
        <v>9759.4854720000003</v>
      </c>
      <c r="S154" s="7"/>
      <c r="T154" s="7"/>
      <c r="U154" s="7"/>
      <c r="V154" s="10">
        <v>9.5</v>
      </c>
      <c r="W154" s="9">
        <v>44994</v>
      </c>
      <c r="X154" s="10">
        <v>11.5</v>
      </c>
      <c r="Y154" s="9">
        <v>45001</v>
      </c>
      <c r="Z154">
        <v>13</v>
      </c>
      <c r="AA154" s="11" t="s">
        <v>49</v>
      </c>
    </row>
    <row r="155" spans="2:27" ht="16" x14ac:dyDescent="0.2">
      <c r="B155" t="s">
        <v>35</v>
      </c>
      <c r="C155">
        <v>40362973</v>
      </c>
      <c r="D155" t="s">
        <v>409</v>
      </c>
      <c r="E155">
        <v>1020828</v>
      </c>
      <c r="F155" t="s">
        <v>74</v>
      </c>
      <c r="G155" s="9">
        <v>44985</v>
      </c>
      <c r="H155" s="7">
        <v>22951.755202</v>
      </c>
      <c r="I155" s="7"/>
      <c r="J155" s="7"/>
      <c r="K155" s="7"/>
      <c r="L155" s="10">
        <v>7.5</v>
      </c>
      <c r="M155" s="9">
        <v>44992</v>
      </c>
      <c r="N155" s="10">
        <v>9.5</v>
      </c>
      <c r="O155" s="9">
        <v>45001</v>
      </c>
      <c r="P155">
        <v>13</v>
      </c>
      <c r="Q155" s="11" t="s">
        <v>49</v>
      </c>
      <c r="R155" s="7">
        <v>22951.755202</v>
      </c>
      <c r="S155" s="7"/>
      <c r="T155" s="7"/>
      <c r="U155" s="7"/>
      <c r="V155" s="10">
        <v>9.5</v>
      </c>
      <c r="W155" s="9">
        <v>44994</v>
      </c>
      <c r="X155" s="10">
        <v>11.5</v>
      </c>
      <c r="Y155" s="9">
        <v>45001</v>
      </c>
      <c r="Z155">
        <v>13</v>
      </c>
      <c r="AA155" s="11" t="s">
        <v>49</v>
      </c>
    </row>
    <row r="156" spans="2:27" x14ac:dyDescent="0.2">
      <c r="B156" t="s">
        <v>394</v>
      </c>
      <c r="C156">
        <v>40362966</v>
      </c>
      <c r="D156" t="s">
        <v>396</v>
      </c>
      <c r="E156">
        <v>1023144</v>
      </c>
      <c r="F156" t="s">
        <v>407</v>
      </c>
      <c r="G156" s="9">
        <v>44998</v>
      </c>
      <c r="H156" s="7">
        <v>24005.18</v>
      </c>
      <c r="I156" s="7"/>
      <c r="J156" s="7"/>
      <c r="K156" s="7"/>
      <c r="L156" s="10"/>
      <c r="N156" s="10"/>
      <c r="Q156" s="11"/>
      <c r="R156" s="7">
        <v>24005.18</v>
      </c>
      <c r="S156" s="7"/>
      <c r="T156" s="7"/>
      <c r="U156" s="7"/>
      <c r="V156" s="10"/>
      <c r="X156" s="10"/>
      <c r="AA156" s="11"/>
    </row>
    <row r="157" spans="2:27" ht="16" x14ac:dyDescent="0.2">
      <c r="B157" t="s">
        <v>35</v>
      </c>
      <c r="C157">
        <v>40362944</v>
      </c>
      <c r="D157" t="s">
        <v>409</v>
      </c>
      <c r="E157">
        <v>1012165</v>
      </c>
      <c r="F157" t="s">
        <v>61</v>
      </c>
      <c r="G157" s="9">
        <v>44985</v>
      </c>
      <c r="H157" s="7">
        <v>19958.047999999999</v>
      </c>
      <c r="I157" s="7"/>
      <c r="J157" s="7"/>
      <c r="K157" s="7"/>
      <c r="L157" s="10">
        <v>7.5</v>
      </c>
      <c r="M157" s="9">
        <v>44992</v>
      </c>
      <c r="N157" s="10">
        <v>9.5</v>
      </c>
      <c r="O157" s="9">
        <v>45001</v>
      </c>
      <c r="P157">
        <v>13</v>
      </c>
      <c r="Q157" s="11" t="s">
        <v>49</v>
      </c>
      <c r="R157" s="7">
        <v>19958.047999999999</v>
      </c>
      <c r="S157" s="7"/>
      <c r="T157" s="7"/>
      <c r="U157" s="7"/>
      <c r="V157" s="10">
        <v>9.5</v>
      </c>
      <c r="W157" s="9">
        <v>44994</v>
      </c>
      <c r="X157" s="10">
        <v>11.5</v>
      </c>
      <c r="Y157" s="9">
        <v>45001</v>
      </c>
      <c r="Z157">
        <v>13</v>
      </c>
      <c r="AA157" s="11" t="s">
        <v>49</v>
      </c>
    </row>
    <row r="158" spans="2:27" ht="16" x14ac:dyDescent="0.2">
      <c r="B158" t="s">
        <v>35</v>
      </c>
      <c r="C158">
        <v>40362938</v>
      </c>
      <c r="D158" t="s">
        <v>409</v>
      </c>
      <c r="E158">
        <v>1030837</v>
      </c>
      <c r="F158" t="s">
        <v>408</v>
      </c>
      <c r="G158" s="9">
        <v>44978</v>
      </c>
      <c r="H158" s="7">
        <v>18.139144080000001</v>
      </c>
      <c r="I158" s="7"/>
      <c r="J158" s="7"/>
      <c r="K158" s="7"/>
      <c r="L158" s="10">
        <v>7.5</v>
      </c>
      <c r="M158" s="9">
        <v>44985</v>
      </c>
      <c r="N158" s="10">
        <v>9.5</v>
      </c>
      <c r="O158" s="9">
        <v>44994</v>
      </c>
      <c r="P158">
        <v>19</v>
      </c>
      <c r="Q158" s="11" t="s">
        <v>49</v>
      </c>
      <c r="R158" s="7">
        <v>18.139144080000001</v>
      </c>
      <c r="S158" s="7"/>
      <c r="T158" s="7"/>
      <c r="U158" s="7"/>
      <c r="V158" s="10">
        <v>9.5</v>
      </c>
      <c r="W158" s="9">
        <v>44987</v>
      </c>
      <c r="X158" s="10">
        <v>11.5</v>
      </c>
      <c r="Y158" s="9">
        <v>44994</v>
      </c>
      <c r="Z158">
        <v>19</v>
      </c>
      <c r="AA158" s="11" t="s">
        <v>49</v>
      </c>
    </row>
    <row r="159" spans="2:27" ht="16" x14ac:dyDescent="0.2">
      <c r="B159" t="s">
        <v>35</v>
      </c>
      <c r="C159">
        <v>40362924</v>
      </c>
      <c r="D159" t="s">
        <v>423</v>
      </c>
      <c r="E159">
        <v>1023324</v>
      </c>
      <c r="F159" t="s">
        <v>269</v>
      </c>
      <c r="G159" s="9">
        <v>44969</v>
      </c>
      <c r="H159" s="7"/>
      <c r="I159" s="7"/>
      <c r="J159" s="7"/>
      <c r="K159" s="7"/>
      <c r="L159" s="10">
        <v>5.4496124031007751</v>
      </c>
      <c r="M159" s="9">
        <v>44974</v>
      </c>
      <c r="N159" s="10">
        <v>10</v>
      </c>
      <c r="O159" s="9">
        <v>44984</v>
      </c>
      <c r="P159">
        <v>1</v>
      </c>
      <c r="Q159" s="11" t="s">
        <v>594</v>
      </c>
      <c r="R159" s="7"/>
      <c r="S159" s="7"/>
      <c r="T159" s="7"/>
      <c r="U159" s="7"/>
      <c r="V159" s="10">
        <v>7.4496124031007751</v>
      </c>
      <c r="W159" s="9">
        <v>44976</v>
      </c>
      <c r="X159" s="10">
        <v>12</v>
      </c>
      <c r="Y159" s="9">
        <v>44984</v>
      </c>
      <c r="Z159">
        <v>1</v>
      </c>
      <c r="AA159" s="11" t="s">
        <v>594</v>
      </c>
    </row>
    <row r="160" spans="2:27" ht="16" x14ac:dyDescent="0.2">
      <c r="B160" t="s">
        <v>35</v>
      </c>
      <c r="C160">
        <v>40362916</v>
      </c>
      <c r="D160" t="s">
        <v>423</v>
      </c>
      <c r="E160">
        <v>1012534</v>
      </c>
      <c r="F160" t="s">
        <v>232</v>
      </c>
      <c r="G160" s="9">
        <v>44967</v>
      </c>
      <c r="H160" s="7"/>
      <c r="I160" s="7"/>
      <c r="J160" s="7"/>
      <c r="K160" s="7"/>
      <c r="L160" s="10">
        <v>5.4496124031007751</v>
      </c>
      <c r="M160" s="9">
        <v>44972</v>
      </c>
      <c r="N160" s="10">
        <v>10</v>
      </c>
      <c r="O160" s="9">
        <v>44982</v>
      </c>
      <c r="P160">
        <v>2</v>
      </c>
      <c r="Q160" s="11" t="s">
        <v>594</v>
      </c>
      <c r="R160" s="7"/>
      <c r="S160" s="7"/>
      <c r="T160" s="7"/>
      <c r="U160" s="7"/>
      <c r="V160" s="10">
        <v>7.4496124031007751</v>
      </c>
      <c r="W160" s="9">
        <v>44974</v>
      </c>
      <c r="X160" s="10">
        <v>12</v>
      </c>
      <c r="Y160" s="9">
        <v>44982</v>
      </c>
      <c r="Z160">
        <v>2</v>
      </c>
      <c r="AA160" s="11" t="s">
        <v>594</v>
      </c>
    </row>
    <row r="161" spans="2:27" ht="16" x14ac:dyDescent="0.2">
      <c r="B161" t="s">
        <v>35</v>
      </c>
      <c r="C161">
        <v>40362915</v>
      </c>
      <c r="D161" t="s">
        <v>423</v>
      </c>
      <c r="E161">
        <v>1012534</v>
      </c>
      <c r="F161" t="s">
        <v>232</v>
      </c>
      <c r="G161" s="9">
        <v>44961</v>
      </c>
      <c r="H161" s="7"/>
      <c r="I161" s="7"/>
      <c r="J161" s="7"/>
      <c r="K161" s="7"/>
      <c r="L161" s="10">
        <v>5.4496124031007751</v>
      </c>
      <c r="M161" s="9">
        <v>44966</v>
      </c>
      <c r="N161" s="10">
        <v>10</v>
      </c>
      <c r="O161" s="9">
        <v>44976</v>
      </c>
      <c r="P161">
        <v>8</v>
      </c>
      <c r="Q161" s="11" t="s">
        <v>49</v>
      </c>
      <c r="R161" s="7"/>
      <c r="S161" s="7"/>
      <c r="T161" s="7"/>
      <c r="U161" s="7"/>
      <c r="V161" s="10">
        <v>7.4496124031007751</v>
      </c>
      <c r="W161" s="9">
        <v>44968</v>
      </c>
      <c r="X161" s="10">
        <v>12</v>
      </c>
      <c r="Y161" s="9">
        <v>44976</v>
      </c>
      <c r="Z161">
        <v>8</v>
      </c>
      <c r="AA161" s="11" t="s">
        <v>49</v>
      </c>
    </row>
    <row r="162" spans="2:27" ht="16" x14ac:dyDescent="0.2">
      <c r="B162" t="s">
        <v>35</v>
      </c>
      <c r="C162">
        <v>40362914</v>
      </c>
      <c r="D162" t="s">
        <v>423</v>
      </c>
      <c r="E162">
        <v>1012534</v>
      </c>
      <c r="F162" t="s">
        <v>232</v>
      </c>
      <c r="G162" s="9">
        <v>44961</v>
      </c>
      <c r="H162" s="7"/>
      <c r="I162" s="7"/>
      <c r="J162" s="7"/>
      <c r="K162" s="7"/>
      <c r="L162" s="10">
        <v>5.4496124031007751</v>
      </c>
      <c r="M162" s="9">
        <v>44966</v>
      </c>
      <c r="N162" s="10">
        <v>10</v>
      </c>
      <c r="O162" s="9">
        <v>44976</v>
      </c>
      <c r="P162">
        <v>8</v>
      </c>
      <c r="Q162" s="11" t="s">
        <v>49</v>
      </c>
      <c r="R162" s="7"/>
      <c r="S162" s="7"/>
      <c r="T162" s="7"/>
      <c r="U162" s="7"/>
      <c r="V162" s="10">
        <v>7.4496124031007751</v>
      </c>
      <c r="W162" s="9">
        <v>44968</v>
      </c>
      <c r="X162" s="10">
        <v>12</v>
      </c>
      <c r="Y162" s="9">
        <v>44976</v>
      </c>
      <c r="Z162">
        <v>8</v>
      </c>
      <c r="AA162" s="11" t="s">
        <v>49</v>
      </c>
    </row>
    <row r="163" spans="2:27" ht="16" x14ac:dyDescent="0.2">
      <c r="B163" t="s">
        <v>35</v>
      </c>
      <c r="C163">
        <v>40362913</v>
      </c>
      <c r="D163" t="s">
        <v>423</v>
      </c>
      <c r="E163">
        <v>1012534</v>
      </c>
      <c r="F163" t="s">
        <v>232</v>
      </c>
      <c r="G163" s="9">
        <v>44961</v>
      </c>
      <c r="H163" s="7"/>
      <c r="I163" s="7"/>
      <c r="J163" s="7"/>
      <c r="K163" s="7"/>
      <c r="L163" s="10">
        <v>5.4496124031007751</v>
      </c>
      <c r="M163" s="9">
        <v>44966</v>
      </c>
      <c r="N163" s="10">
        <v>10</v>
      </c>
      <c r="O163" s="9">
        <v>44976</v>
      </c>
      <c r="P163">
        <v>8</v>
      </c>
      <c r="Q163" s="11" t="s">
        <v>49</v>
      </c>
      <c r="R163" s="7"/>
      <c r="S163" s="7"/>
      <c r="T163" s="7"/>
      <c r="U163" s="7"/>
      <c r="V163" s="10">
        <v>7.4496124031007751</v>
      </c>
      <c r="W163" s="9">
        <v>44968</v>
      </c>
      <c r="X163" s="10">
        <v>12</v>
      </c>
      <c r="Y163" s="9">
        <v>44976</v>
      </c>
      <c r="Z163">
        <v>8</v>
      </c>
      <c r="AA163" s="11" t="s">
        <v>49</v>
      </c>
    </row>
    <row r="164" spans="2:27" x14ac:dyDescent="0.2">
      <c r="B164" t="s">
        <v>394</v>
      </c>
      <c r="C164">
        <v>40362903</v>
      </c>
      <c r="D164" t="s">
        <v>485</v>
      </c>
      <c r="E164">
        <v>1021976</v>
      </c>
      <c r="F164" t="s">
        <v>512</v>
      </c>
      <c r="G164" s="9">
        <v>44973</v>
      </c>
      <c r="H164" s="7"/>
      <c r="I164" s="7"/>
      <c r="J164" s="7"/>
      <c r="K164" s="7"/>
      <c r="L164" s="10"/>
      <c r="N164" s="10"/>
      <c r="Q164" s="11"/>
      <c r="R164" s="7"/>
      <c r="S164" s="7"/>
      <c r="T164" s="7"/>
      <c r="U164" s="7"/>
      <c r="V164" s="10"/>
      <c r="X164" s="10"/>
      <c r="AA164" s="11"/>
    </row>
    <row r="165" spans="2:27" x14ac:dyDescent="0.2">
      <c r="B165" t="s">
        <v>394</v>
      </c>
      <c r="C165">
        <v>40362902</v>
      </c>
      <c r="D165" t="s">
        <v>485</v>
      </c>
      <c r="E165">
        <v>1030545</v>
      </c>
      <c r="F165" t="s">
        <v>597</v>
      </c>
      <c r="G165" s="9">
        <v>44966</v>
      </c>
      <c r="H165" s="7"/>
      <c r="I165" s="7"/>
      <c r="J165" s="7"/>
      <c r="K165" s="7"/>
      <c r="L165" s="10"/>
      <c r="N165" s="10"/>
      <c r="Q165" s="11"/>
      <c r="R165" s="7"/>
      <c r="S165" s="7"/>
      <c r="T165" s="7"/>
      <c r="U165" s="7"/>
      <c r="V165" s="10"/>
      <c r="X165" s="10"/>
      <c r="AA165" s="11"/>
    </row>
    <row r="166" spans="2:27" x14ac:dyDescent="0.2">
      <c r="B166" t="s">
        <v>394</v>
      </c>
      <c r="C166">
        <v>40362900</v>
      </c>
      <c r="D166" t="s">
        <v>485</v>
      </c>
      <c r="E166">
        <v>1020017</v>
      </c>
      <c r="F166" t="s">
        <v>524</v>
      </c>
      <c r="G166" s="9">
        <v>44973</v>
      </c>
      <c r="H166" s="7"/>
      <c r="I166" s="7"/>
      <c r="J166" s="7"/>
      <c r="K166" s="7"/>
      <c r="L166" s="10"/>
      <c r="N166" s="10"/>
      <c r="Q166" s="11"/>
      <c r="R166" s="7"/>
      <c r="S166" s="7"/>
      <c r="T166" s="7"/>
      <c r="U166" s="7"/>
      <c r="V166" s="10"/>
      <c r="X166" s="10"/>
      <c r="AA166" s="11"/>
    </row>
    <row r="167" spans="2:27" x14ac:dyDescent="0.2">
      <c r="B167" t="s">
        <v>394</v>
      </c>
      <c r="C167">
        <v>40362900</v>
      </c>
      <c r="D167" t="s">
        <v>485</v>
      </c>
      <c r="E167">
        <v>1020017</v>
      </c>
      <c r="F167" t="s">
        <v>524</v>
      </c>
      <c r="G167" s="9">
        <v>44973</v>
      </c>
      <c r="H167" s="7"/>
      <c r="I167" s="7"/>
      <c r="J167" s="7"/>
      <c r="K167" s="7"/>
      <c r="L167" s="10"/>
      <c r="N167" s="10"/>
      <c r="Q167" s="11"/>
      <c r="R167" s="7"/>
      <c r="S167" s="7"/>
      <c r="T167" s="7"/>
      <c r="U167" s="7"/>
      <c r="V167" s="10"/>
      <c r="X167" s="10"/>
      <c r="AA167" s="11"/>
    </row>
    <row r="168" spans="2:27" ht="16" x14ac:dyDescent="0.2">
      <c r="B168" t="s">
        <v>35</v>
      </c>
      <c r="C168">
        <v>40362621</v>
      </c>
      <c r="D168" t="s">
        <v>409</v>
      </c>
      <c r="E168">
        <v>1030379</v>
      </c>
      <c r="F168" t="s">
        <v>97</v>
      </c>
      <c r="G168" s="9">
        <v>44985</v>
      </c>
      <c r="H168" s="7">
        <v>24004.088640000002</v>
      </c>
      <c r="I168" s="7"/>
      <c r="J168" s="7"/>
      <c r="K168" s="7"/>
      <c r="L168" s="10">
        <v>7.5</v>
      </c>
      <c r="M168" s="9">
        <v>44992</v>
      </c>
      <c r="N168" s="10">
        <v>9.5</v>
      </c>
      <c r="O168" s="9">
        <v>45001</v>
      </c>
      <c r="P168">
        <v>13</v>
      </c>
      <c r="Q168" s="11" t="s">
        <v>49</v>
      </c>
      <c r="R168" s="7">
        <v>24004.088640000002</v>
      </c>
      <c r="S168" s="7"/>
      <c r="T168" s="7"/>
      <c r="U168" s="7"/>
      <c r="V168" s="10">
        <v>9.5</v>
      </c>
      <c r="W168" s="9">
        <v>44994</v>
      </c>
      <c r="X168" s="10">
        <v>11.5</v>
      </c>
      <c r="Y168" s="9">
        <v>45001</v>
      </c>
      <c r="Z168">
        <v>13</v>
      </c>
      <c r="AA168" s="11" t="s">
        <v>49</v>
      </c>
    </row>
    <row r="169" spans="2:27" ht="16" x14ac:dyDescent="0.2">
      <c r="B169" t="s">
        <v>35</v>
      </c>
      <c r="C169">
        <v>40362620</v>
      </c>
      <c r="D169" t="s">
        <v>409</v>
      </c>
      <c r="E169">
        <v>1030379</v>
      </c>
      <c r="F169" t="s">
        <v>97</v>
      </c>
      <c r="G169" s="9">
        <v>44985</v>
      </c>
      <c r="H169" s="7">
        <v>24004.088640000002</v>
      </c>
      <c r="I169" s="7"/>
      <c r="J169" s="7"/>
      <c r="K169" s="7"/>
      <c r="L169" s="10">
        <v>7.5</v>
      </c>
      <c r="M169" s="9">
        <v>44992</v>
      </c>
      <c r="N169" s="10">
        <v>9.5</v>
      </c>
      <c r="O169" s="9">
        <v>45001</v>
      </c>
      <c r="P169">
        <v>13</v>
      </c>
      <c r="Q169" s="11" t="s">
        <v>49</v>
      </c>
      <c r="R169" s="7">
        <v>24004.088640000002</v>
      </c>
      <c r="S169" s="7"/>
      <c r="T169" s="7"/>
      <c r="U169" s="7"/>
      <c r="V169" s="10">
        <v>9.5</v>
      </c>
      <c r="W169" s="9">
        <v>44994</v>
      </c>
      <c r="X169" s="10">
        <v>11.5</v>
      </c>
      <c r="Y169" s="9">
        <v>45001</v>
      </c>
      <c r="Z169">
        <v>13</v>
      </c>
      <c r="AA169" s="11" t="s">
        <v>49</v>
      </c>
    </row>
    <row r="170" spans="2:27" ht="16" x14ac:dyDescent="0.2">
      <c r="B170" t="s">
        <v>35</v>
      </c>
      <c r="C170">
        <v>40362619</v>
      </c>
      <c r="D170" t="s">
        <v>409</v>
      </c>
      <c r="E170">
        <v>1030379</v>
      </c>
      <c r="F170" t="s">
        <v>97</v>
      </c>
      <c r="G170" s="9">
        <v>44985</v>
      </c>
      <c r="H170" s="7">
        <v>24004.088640000002</v>
      </c>
      <c r="I170" s="7"/>
      <c r="J170" s="7"/>
      <c r="K170" s="7"/>
      <c r="L170" s="10">
        <v>7.5</v>
      </c>
      <c r="M170" s="9">
        <v>44992</v>
      </c>
      <c r="N170" s="10">
        <v>9.5</v>
      </c>
      <c r="O170" s="9">
        <v>45001</v>
      </c>
      <c r="P170">
        <v>13</v>
      </c>
      <c r="Q170" s="11" t="s">
        <v>49</v>
      </c>
      <c r="R170" s="7">
        <v>24004.088640000002</v>
      </c>
      <c r="S170" s="7"/>
      <c r="T170" s="7"/>
      <c r="U170" s="7"/>
      <c r="V170" s="10">
        <v>9.5</v>
      </c>
      <c r="W170" s="9">
        <v>44994</v>
      </c>
      <c r="X170" s="10">
        <v>11.5</v>
      </c>
      <c r="Y170" s="9">
        <v>45001</v>
      </c>
      <c r="Z170">
        <v>13</v>
      </c>
      <c r="AA170" s="11" t="s">
        <v>49</v>
      </c>
    </row>
    <row r="171" spans="2:27" ht="16" x14ac:dyDescent="0.2">
      <c r="B171" t="s">
        <v>35</v>
      </c>
      <c r="C171">
        <v>40362618</v>
      </c>
      <c r="D171" t="s">
        <v>409</v>
      </c>
      <c r="E171">
        <v>1030379</v>
      </c>
      <c r="F171" t="s">
        <v>97</v>
      </c>
      <c r="G171" s="9">
        <v>44978</v>
      </c>
      <c r="H171" s="7">
        <v>23995.016800000001</v>
      </c>
      <c r="I171" s="7"/>
      <c r="J171" s="7"/>
      <c r="K171" s="7"/>
      <c r="L171" s="10">
        <v>7.5</v>
      </c>
      <c r="M171" s="9">
        <v>44985</v>
      </c>
      <c r="N171" s="10">
        <v>9.5</v>
      </c>
      <c r="O171" s="9">
        <v>44994</v>
      </c>
      <c r="P171">
        <v>19</v>
      </c>
      <c r="Q171" s="11" t="s">
        <v>49</v>
      </c>
      <c r="R171" s="7">
        <v>23995.016800000001</v>
      </c>
      <c r="S171" s="7"/>
      <c r="T171" s="7"/>
      <c r="U171" s="7"/>
      <c r="V171" s="10">
        <v>9.5</v>
      </c>
      <c r="W171" s="9">
        <v>44987</v>
      </c>
      <c r="X171" s="10">
        <v>11.5</v>
      </c>
      <c r="Y171" s="9">
        <v>44994</v>
      </c>
      <c r="Z171">
        <v>19</v>
      </c>
      <c r="AA171" s="11" t="s">
        <v>49</v>
      </c>
    </row>
    <row r="172" spans="2:27" ht="16" x14ac:dyDescent="0.2">
      <c r="B172" t="s">
        <v>35</v>
      </c>
      <c r="C172">
        <v>40362617</v>
      </c>
      <c r="D172" t="s">
        <v>409</v>
      </c>
      <c r="E172">
        <v>1030379</v>
      </c>
      <c r="F172" t="s">
        <v>97</v>
      </c>
      <c r="G172" s="9">
        <v>44985</v>
      </c>
      <c r="H172" s="7">
        <v>23985.944960000001</v>
      </c>
      <c r="I172" s="7"/>
      <c r="J172" s="7"/>
      <c r="K172" s="7"/>
      <c r="L172" s="10">
        <v>7.5</v>
      </c>
      <c r="M172" s="9">
        <v>44992</v>
      </c>
      <c r="N172" s="10">
        <v>9.5</v>
      </c>
      <c r="O172" s="9">
        <v>45001</v>
      </c>
      <c r="P172">
        <v>13</v>
      </c>
      <c r="Q172" s="11" t="s">
        <v>49</v>
      </c>
      <c r="R172" s="7">
        <v>23985.944960000001</v>
      </c>
      <c r="S172" s="7"/>
      <c r="T172" s="7"/>
      <c r="U172" s="7"/>
      <c r="V172" s="10">
        <v>9.5</v>
      </c>
      <c r="W172" s="9">
        <v>44994</v>
      </c>
      <c r="X172" s="10">
        <v>11.5</v>
      </c>
      <c r="Y172" s="9">
        <v>45001</v>
      </c>
      <c r="Z172">
        <v>13</v>
      </c>
      <c r="AA172" s="11" t="s">
        <v>49</v>
      </c>
    </row>
    <row r="173" spans="2:27" ht="16" x14ac:dyDescent="0.2">
      <c r="B173" t="s">
        <v>35</v>
      </c>
      <c r="C173">
        <v>40362616</v>
      </c>
      <c r="D173" t="s">
        <v>409</v>
      </c>
      <c r="E173">
        <v>1030379</v>
      </c>
      <c r="F173" t="s">
        <v>97</v>
      </c>
      <c r="G173" s="9">
        <v>44985</v>
      </c>
      <c r="H173" s="7">
        <v>24004.088640000002</v>
      </c>
      <c r="I173" s="7"/>
      <c r="J173" s="7"/>
      <c r="K173" s="7"/>
      <c r="L173" s="10">
        <v>7.5</v>
      </c>
      <c r="M173" s="9">
        <v>44992</v>
      </c>
      <c r="N173" s="10">
        <v>9.5</v>
      </c>
      <c r="O173" s="9">
        <v>45001</v>
      </c>
      <c r="P173">
        <v>13</v>
      </c>
      <c r="Q173" s="11" t="s">
        <v>49</v>
      </c>
      <c r="R173" s="7">
        <v>24004.088640000002</v>
      </c>
      <c r="S173" s="7"/>
      <c r="T173" s="7"/>
      <c r="U173" s="7"/>
      <c r="V173" s="10">
        <v>9.5</v>
      </c>
      <c r="W173" s="9">
        <v>44994</v>
      </c>
      <c r="X173" s="10">
        <v>11.5</v>
      </c>
      <c r="Y173" s="9">
        <v>45001</v>
      </c>
      <c r="Z173">
        <v>13</v>
      </c>
      <c r="AA173" s="11" t="s">
        <v>49</v>
      </c>
    </row>
    <row r="174" spans="2:27" ht="16" x14ac:dyDescent="0.2">
      <c r="B174" t="s">
        <v>35</v>
      </c>
      <c r="C174">
        <v>40362615</v>
      </c>
      <c r="D174" t="s">
        <v>409</v>
      </c>
      <c r="E174">
        <v>1030379</v>
      </c>
      <c r="F174" t="s">
        <v>97</v>
      </c>
      <c r="G174" s="9">
        <v>44985</v>
      </c>
      <c r="H174" s="7">
        <v>23985.944960000001</v>
      </c>
      <c r="I174" s="7"/>
      <c r="J174" s="7"/>
      <c r="K174" s="7"/>
      <c r="L174" s="10">
        <v>7.5</v>
      </c>
      <c r="M174" s="9">
        <v>44992</v>
      </c>
      <c r="N174" s="10">
        <v>9.5</v>
      </c>
      <c r="O174" s="9">
        <v>45001</v>
      </c>
      <c r="P174">
        <v>13</v>
      </c>
      <c r="Q174" s="11" t="s">
        <v>49</v>
      </c>
      <c r="R174" s="7">
        <v>23985.944960000001</v>
      </c>
      <c r="S174" s="7"/>
      <c r="T174" s="7"/>
      <c r="U174" s="7"/>
      <c r="V174" s="10">
        <v>9.5</v>
      </c>
      <c r="W174" s="9">
        <v>44994</v>
      </c>
      <c r="X174" s="10">
        <v>11.5</v>
      </c>
      <c r="Y174" s="9">
        <v>45001</v>
      </c>
      <c r="Z174">
        <v>13</v>
      </c>
      <c r="AA174" s="11" t="s">
        <v>49</v>
      </c>
    </row>
    <row r="175" spans="2:27" ht="16" x14ac:dyDescent="0.2">
      <c r="B175" t="s">
        <v>35</v>
      </c>
      <c r="C175">
        <v>40362614</v>
      </c>
      <c r="D175" t="s">
        <v>409</v>
      </c>
      <c r="E175">
        <v>1030379</v>
      </c>
      <c r="F175" t="s">
        <v>97</v>
      </c>
      <c r="G175" s="9">
        <v>44985</v>
      </c>
      <c r="H175" s="7">
        <v>24004.088640000002</v>
      </c>
      <c r="I175" s="7"/>
      <c r="J175" s="7"/>
      <c r="K175" s="7"/>
      <c r="L175" s="10">
        <v>7.5</v>
      </c>
      <c r="M175" s="9">
        <v>44992</v>
      </c>
      <c r="N175" s="10">
        <v>9.5</v>
      </c>
      <c r="O175" s="9">
        <v>45001</v>
      </c>
      <c r="P175">
        <v>13</v>
      </c>
      <c r="Q175" s="11" t="s">
        <v>49</v>
      </c>
      <c r="R175" s="7">
        <v>24004.088640000002</v>
      </c>
      <c r="S175" s="7"/>
      <c r="T175" s="7"/>
      <c r="U175" s="7"/>
      <c r="V175" s="10">
        <v>9.5</v>
      </c>
      <c r="W175" s="9">
        <v>44994</v>
      </c>
      <c r="X175" s="10">
        <v>11.5</v>
      </c>
      <c r="Y175" s="9">
        <v>45001</v>
      </c>
      <c r="Z175">
        <v>13</v>
      </c>
      <c r="AA175" s="11" t="s">
        <v>49</v>
      </c>
    </row>
    <row r="176" spans="2:27" ht="16" x14ac:dyDescent="0.2">
      <c r="B176" t="s">
        <v>35</v>
      </c>
      <c r="C176">
        <v>40362613</v>
      </c>
      <c r="D176" t="s">
        <v>409</v>
      </c>
      <c r="E176">
        <v>1030379</v>
      </c>
      <c r="F176" t="s">
        <v>97</v>
      </c>
      <c r="G176" s="9">
        <v>44985</v>
      </c>
      <c r="H176" s="7">
        <v>24004.088640000002</v>
      </c>
      <c r="I176" s="7"/>
      <c r="J176" s="7"/>
      <c r="K176" s="7"/>
      <c r="L176" s="10">
        <v>7.5</v>
      </c>
      <c r="M176" s="9">
        <v>44992</v>
      </c>
      <c r="N176" s="10">
        <v>9.5</v>
      </c>
      <c r="O176" s="9">
        <v>45001</v>
      </c>
      <c r="P176">
        <v>13</v>
      </c>
      <c r="Q176" s="11" t="s">
        <v>49</v>
      </c>
      <c r="R176" s="7">
        <v>24004.088640000002</v>
      </c>
      <c r="S176" s="7"/>
      <c r="T176" s="7"/>
      <c r="U176" s="7"/>
      <c r="V176" s="10">
        <v>9.5</v>
      </c>
      <c r="W176" s="9">
        <v>44994</v>
      </c>
      <c r="X176" s="10">
        <v>11.5</v>
      </c>
      <c r="Y176" s="9">
        <v>45001</v>
      </c>
      <c r="Z176">
        <v>13</v>
      </c>
      <c r="AA176" s="11" t="s">
        <v>49</v>
      </c>
    </row>
    <row r="177" spans="2:27" ht="16" x14ac:dyDescent="0.2">
      <c r="B177" t="s">
        <v>35</v>
      </c>
      <c r="C177">
        <v>40362612</v>
      </c>
      <c r="D177" t="s">
        <v>409</v>
      </c>
      <c r="E177">
        <v>1030379</v>
      </c>
      <c r="F177" t="s">
        <v>97</v>
      </c>
      <c r="G177" s="9">
        <v>44985</v>
      </c>
      <c r="H177" s="7">
        <v>23985.944960000001</v>
      </c>
      <c r="I177" s="7"/>
      <c r="J177" s="7"/>
      <c r="K177" s="7"/>
      <c r="L177" s="10">
        <v>7.5</v>
      </c>
      <c r="M177" s="9">
        <v>44992</v>
      </c>
      <c r="N177" s="10">
        <v>9.5</v>
      </c>
      <c r="O177" s="9">
        <v>45001</v>
      </c>
      <c r="P177">
        <v>13</v>
      </c>
      <c r="Q177" s="11" t="s">
        <v>49</v>
      </c>
      <c r="R177" s="7">
        <v>23985.944960000001</v>
      </c>
      <c r="S177" s="7"/>
      <c r="T177" s="7"/>
      <c r="U177" s="7"/>
      <c r="V177" s="10">
        <v>9.5</v>
      </c>
      <c r="W177" s="9">
        <v>44994</v>
      </c>
      <c r="X177" s="10">
        <v>11.5</v>
      </c>
      <c r="Y177" s="9">
        <v>45001</v>
      </c>
      <c r="Z177">
        <v>13</v>
      </c>
      <c r="AA177" s="11" t="s">
        <v>49</v>
      </c>
    </row>
    <row r="178" spans="2:27" ht="16" x14ac:dyDescent="0.2">
      <c r="B178" t="s">
        <v>35</v>
      </c>
      <c r="C178">
        <v>40362611</v>
      </c>
      <c r="D178" t="s">
        <v>409</v>
      </c>
      <c r="E178">
        <v>1030379</v>
      </c>
      <c r="F178" t="s">
        <v>97</v>
      </c>
      <c r="G178" s="9">
        <v>44978</v>
      </c>
      <c r="H178" s="7">
        <v>24004.088640000002</v>
      </c>
      <c r="I178" s="7"/>
      <c r="J178" s="7"/>
      <c r="K178" s="7"/>
      <c r="L178" s="10">
        <v>7.5</v>
      </c>
      <c r="M178" s="9">
        <v>44985</v>
      </c>
      <c r="N178" s="10">
        <v>9.5</v>
      </c>
      <c r="O178" s="9">
        <v>44994</v>
      </c>
      <c r="P178">
        <v>19</v>
      </c>
      <c r="Q178" s="11" t="s">
        <v>49</v>
      </c>
      <c r="R178" s="7">
        <v>24004.088640000002</v>
      </c>
      <c r="S178" s="7"/>
      <c r="T178" s="7"/>
      <c r="U178" s="7"/>
      <c r="V178" s="10">
        <v>9.5</v>
      </c>
      <c r="W178" s="9">
        <v>44987</v>
      </c>
      <c r="X178" s="10">
        <v>11.5</v>
      </c>
      <c r="Y178" s="9">
        <v>44994</v>
      </c>
      <c r="Z178">
        <v>19</v>
      </c>
      <c r="AA178" s="11" t="s">
        <v>49</v>
      </c>
    </row>
    <row r="179" spans="2:27" ht="16" x14ac:dyDescent="0.2">
      <c r="B179" t="s">
        <v>35</v>
      </c>
      <c r="C179">
        <v>40362610</v>
      </c>
      <c r="D179" t="s">
        <v>409</v>
      </c>
      <c r="E179">
        <v>1030379</v>
      </c>
      <c r="F179" t="s">
        <v>97</v>
      </c>
      <c r="G179" s="9">
        <v>44967</v>
      </c>
      <c r="H179" s="7"/>
      <c r="I179" s="7"/>
      <c r="J179" s="7"/>
      <c r="K179" s="7"/>
      <c r="L179" s="10">
        <v>7.5</v>
      </c>
      <c r="M179" s="9">
        <v>44974</v>
      </c>
      <c r="N179" s="10">
        <v>9.5</v>
      </c>
      <c r="O179" s="9">
        <v>44983</v>
      </c>
      <c r="P179">
        <v>2</v>
      </c>
      <c r="Q179" s="11" t="s">
        <v>594</v>
      </c>
      <c r="R179" s="7"/>
      <c r="S179" s="7"/>
      <c r="T179" s="7"/>
      <c r="U179" s="7"/>
      <c r="V179" s="10">
        <v>9.5</v>
      </c>
      <c r="W179" s="9">
        <v>44976</v>
      </c>
      <c r="X179" s="10">
        <v>11.5</v>
      </c>
      <c r="Y179" s="9">
        <v>44983</v>
      </c>
      <c r="Z179">
        <v>2</v>
      </c>
      <c r="AA179" s="11" t="s">
        <v>594</v>
      </c>
    </row>
    <row r="180" spans="2:27" ht="16" x14ac:dyDescent="0.2">
      <c r="B180" t="s">
        <v>35</v>
      </c>
      <c r="C180">
        <v>40362609</v>
      </c>
      <c r="D180" t="s">
        <v>409</v>
      </c>
      <c r="E180">
        <v>1030379</v>
      </c>
      <c r="F180" t="s">
        <v>97</v>
      </c>
      <c r="G180" s="9">
        <v>44966</v>
      </c>
      <c r="H180" s="7"/>
      <c r="I180" s="7"/>
      <c r="J180" s="7"/>
      <c r="K180" s="7"/>
      <c r="L180" s="10">
        <v>7.5</v>
      </c>
      <c r="M180" s="9">
        <v>44973</v>
      </c>
      <c r="N180" s="10">
        <v>9.5</v>
      </c>
      <c r="O180" s="9">
        <v>44982</v>
      </c>
      <c r="P180">
        <v>2</v>
      </c>
      <c r="Q180" s="11" t="s">
        <v>594</v>
      </c>
      <c r="R180" s="7"/>
      <c r="S180" s="7"/>
      <c r="T180" s="7"/>
      <c r="U180" s="7"/>
      <c r="V180" s="10">
        <v>9.5</v>
      </c>
      <c r="W180" s="9">
        <v>44975</v>
      </c>
      <c r="X180" s="10">
        <v>11.5</v>
      </c>
      <c r="Y180" s="9">
        <v>44982</v>
      </c>
      <c r="Z180">
        <v>2</v>
      </c>
      <c r="AA180" s="11" t="s">
        <v>594</v>
      </c>
    </row>
    <row r="181" spans="2:27" ht="16" x14ac:dyDescent="0.2">
      <c r="B181" t="s">
        <v>35</v>
      </c>
      <c r="C181">
        <v>40362608</v>
      </c>
      <c r="D181" t="s">
        <v>409</v>
      </c>
      <c r="E181">
        <v>1030379</v>
      </c>
      <c r="F181" t="s">
        <v>97</v>
      </c>
      <c r="G181" s="9">
        <v>44985</v>
      </c>
      <c r="H181" s="7">
        <v>24004.088640000002</v>
      </c>
      <c r="I181" s="7"/>
      <c r="J181" s="7"/>
      <c r="K181" s="7"/>
      <c r="L181" s="10">
        <v>7.5</v>
      </c>
      <c r="M181" s="9">
        <v>44992</v>
      </c>
      <c r="N181" s="10">
        <v>9.5</v>
      </c>
      <c r="O181" s="9">
        <v>45001</v>
      </c>
      <c r="P181">
        <v>13</v>
      </c>
      <c r="Q181" s="11" t="s">
        <v>49</v>
      </c>
      <c r="R181" s="7">
        <v>24004.088640000002</v>
      </c>
      <c r="S181" s="7"/>
      <c r="T181" s="7"/>
      <c r="U181" s="7"/>
      <c r="V181" s="10">
        <v>9.5</v>
      </c>
      <c r="W181" s="9">
        <v>44994</v>
      </c>
      <c r="X181" s="10">
        <v>11.5</v>
      </c>
      <c r="Y181" s="9">
        <v>45001</v>
      </c>
      <c r="Z181">
        <v>13</v>
      </c>
      <c r="AA181" s="11" t="s">
        <v>49</v>
      </c>
    </row>
    <row r="182" spans="2:27" ht="16" x14ac:dyDescent="0.2">
      <c r="B182" t="s">
        <v>35</v>
      </c>
      <c r="C182">
        <v>40362607</v>
      </c>
      <c r="D182" t="s">
        <v>409</v>
      </c>
      <c r="E182">
        <v>1030379</v>
      </c>
      <c r="F182" t="s">
        <v>97</v>
      </c>
      <c r="G182" s="9">
        <v>44972</v>
      </c>
      <c r="H182" s="7">
        <v>24004.088640000002</v>
      </c>
      <c r="I182" s="7"/>
      <c r="J182" s="7"/>
      <c r="K182" s="7"/>
      <c r="L182" s="10">
        <v>7.5</v>
      </c>
      <c r="M182" s="9">
        <v>44979</v>
      </c>
      <c r="N182" s="10">
        <v>9.5</v>
      </c>
      <c r="O182" s="9">
        <v>44988</v>
      </c>
      <c r="P182">
        <v>24</v>
      </c>
      <c r="Q182" s="11" t="s">
        <v>49</v>
      </c>
      <c r="R182" s="7">
        <v>24004.088640000002</v>
      </c>
      <c r="S182" s="7"/>
      <c r="T182" s="7"/>
      <c r="U182" s="7"/>
      <c r="V182" s="10">
        <v>9.5</v>
      </c>
      <c r="W182" s="9">
        <v>44981</v>
      </c>
      <c r="X182" s="10">
        <v>11.5</v>
      </c>
      <c r="Y182" s="9">
        <v>44988</v>
      </c>
      <c r="Z182">
        <v>24</v>
      </c>
      <c r="AA182" s="11" t="s">
        <v>49</v>
      </c>
    </row>
    <row r="183" spans="2:27" ht="16" x14ac:dyDescent="0.2">
      <c r="B183" t="s">
        <v>35</v>
      </c>
      <c r="C183">
        <v>40362606</v>
      </c>
      <c r="D183" t="s">
        <v>409</v>
      </c>
      <c r="E183">
        <v>1030379</v>
      </c>
      <c r="F183" t="s">
        <v>97</v>
      </c>
      <c r="G183" s="9">
        <v>44972</v>
      </c>
      <c r="H183" s="7">
        <v>24004.088640000002</v>
      </c>
      <c r="I183" s="7"/>
      <c r="J183" s="7"/>
      <c r="K183" s="7"/>
      <c r="L183" s="10">
        <v>7.5</v>
      </c>
      <c r="M183" s="9">
        <v>44979</v>
      </c>
      <c r="N183" s="10">
        <v>9.5</v>
      </c>
      <c r="O183" s="9">
        <v>44988</v>
      </c>
      <c r="P183">
        <v>24</v>
      </c>
      <c r="Q183" s="11" t="s">
        <v>49</v>
      </c>
      <c r="R183" s="7">
        <v>24004.088640000002</v>
      </c>
      <c r="S183" s="7"/>
      <c r="T183" s="7"/>
      <c r="U183" s="7"/>
      <c r="V183" s="10">
        <v>9.5</v>
      </c>
      <c r="W183" s="9">
        <v>44981</v>
      </c>
      <c r="X183" s="10">
        <v>11.5</v>
      </c>
      <c r="Y183" s="9">
        <v>44988</v>
      </c>
      <c r="Z183">
        <v>24</v>
      </c>
      <c r="AA183" s="11" t="s">
        <v>49</v>
      </c>
    </row>
    <row r="184" spans="2:27" ht="16" x14ac:dyDescent="0.2">
      <c r="B184" t="s">
        <v>35</v>
      </c>
      <c r="C184">
        <v>40362605</v>
      </c>
      <c r="D184" t="s">
        <v>409</v>
      </c>
      <c r="E184">
        <v>1030379</v>
      </c>
      <c r="F184" t="s">
        <v>97</v>
      </c>
      <c r="G184" s="9">
        <v>44972</v>
      </c>
      <c r="H184" s="7">
        <v>24004.088640000002</v>
      </c>
      <c r="I184" s="7"/>
      <c r="J184" s="7"/>
      <c r="K184" s="7"/>
      <c r="L184" s="10">
        <v>7.5</v>
      </c>
      <c r="M184" s="9">
        <v>44979</v>
      </c>
      <c r="N184" s="10">
        <v>9.5</v>
      </c>
      <c r="O184" s="9">
        <v>44988</v>
      </c>
      <c r="P184">
        <v>24</v>
      </c>
      <c r="Q184" s="11" t="s">
        <v>49</v>
      </c>
      <c r="R184" s="7">
        <v>24004.088640000002</v>
      </c>
      <c r="S184" s="7"/>
      <c r="T184" s="7"/>
      <c r="U184" s="7"/>
      <c r="V184" s="10">
        <v>9.5</v>
      </c>
      <c r="W184" s="9">
        <v>44981</v>
      </c>
      <c r="X184" s="10">
        <v>11.5</v>
      </c>
      <c r="Y184" s="9">
        <v>44988</v>
      </c>
      <c r="Z184">
        <v>24</v>
      </c>
      <c r="AA184" s="11" t="s">
        <v>49</v>
      </c>
    </row>
    <row r="185" spans="2:27" ht="16" x14ac:dyDescent="0.2">
      <c r="B185" t="s">
        <v>35</v>
      </c>
      <c r="C185">
        <v>40362595</v>
      </c>
      <c r="D185" t="s">
        <v>409</v>
      </c>
      <c r="E185">
        <v>1021539</v>
      </c>
      <c r="F185" t="s">
        <v>437</v>
      </c>
      <c r="G185" s="9">
        <v>44966</v>
      </c>
      <c r="H185" s="7"/>
      <c r="I185" s="7"/>
      <c r="J185" s="7"/>
      <c r="K185" s="7"/>
      <c r="L185" s="10">
        <v>7.5</v>
      </c>
      <c r="M185" s="9">
        <v>44973</v>
      </c>
      <c r="N185" s="10">
        <v>9.5</v>
      </c>
      <c r="O185" s="9">
        <v>44982</v>
      </c>
      <c r="P185">
        <v>2</v>
      </c>
      <c r="Q185" s="11" t="s">
        <v>594</v>
      </c>
      <c r="R185" s="7"/>
      <c r="S185" s="7"/>
      <c r="T185" s="7"/>
      <c r="U185" s="7"/>
      <c r="V185" s="10">
        <v>9.5</v>
      </c>
      <c r="W185" s="9">
        <v>44975</v>
      </c>
      <c r="X185" s="10">
        <v>11.5</v>
      </c>
      <c r="Y185" s="9">
        <v>44982</v>
      </c>
      <c r="Z185">
        <v>2</v>
      </c>
      <c r="AA185" s="11" t="s">
        <v>594</v>
      </c>
    </row>
    <row r="186" spans="2:27" ht="16" x14ac:dyDescent="0.2">
      <c r="B186" t="s">
        <v>35</v>
      </c>
      <c r="C186">
        <v>40362592</v>
      </c>
      <c r="D186" t="s">
        <v>409</v>
      </c>
      <c r="E186">
        <v>1012111</v>
      </c>
      <c r="F186" t="s">
        <v>137</v>
      </c>
      <c r="G186" s="9">
        <v>44985</v>
      </c>
      <c r="H186" s="7">
        <v>19958.047999999999</v>
      </c>
      <c r="I186" s="7"/>
      <c r="J186" s="7"/>
      <c r="K186" s="7"/>
      <c r="L186" s="10">
        <v>7.5</v>
      </c>
      <c r="M186" s="9">
        <v>44992</v>
      </c>
      <c r="N186" s="10">
        <v>9.5</v>
      </c>
      <c r="O186" s="9">
        <v>45001</v>
      </c>
      <c r="P186">
        <v>13</v>
      </c>
      <c r="Q186" s="11" t="s">
        <v>49</v>
      </c>
      <c r="R186" s="7">
        <v>19958.047999999999</v>
      </c>
      <c r="S186" s="7"/>
      <c r="T186" s="7"/>
      <c r="U186" s="7"/>
      <c r="V186" s="10">
        <v>9.5</v>
      </c>
      <c r="W186" s="9">
        <v>44994</v>
      </c>
      <c r="X186" s="10">
        <v>11.5</v>
      </c>
      <c r="Y186" s="9">
        <v>45001</v>
      </c>
      <c r="Z186">
        <v>13</v>
      </c>
      <c r="AA186" s="11" t="s">
        <v>49</v>
      </c>
    </row>
    <row r="187" spans="2:27" ht="16" x14ac:dyDescent="0.2">
      <c r="B187" t="s">
        <v>35</v>
      </c>
      <c r="C187">
        <v>40362585</v>
      </c>
      <c r="D187" t="s">
        <v>409</v>
      </c>
      <c r="E187">
        <v>1012521</v>
      </c>
      <c r="F187" t="s">
        <v>114</v>
      </c>
      <c r="G187" s="9">
        <v>44978</v>
      </c>
      <c r="H187" s="7">
        <v>18143.68</v>
      </c>
      <c r="I187" s="7"/>
      <c r="J187" s="7"/>
      <c r="K187" s="7"/>
      <c r="L187" s="10">
        <v>7.5</v>
      </c>
      <c r="M187" s="9">
        <v>44985</v>
      </c>
      <c r="N187" s="10">
        <v>9.5</v>
      </c>
      <c r="O187" s="9">
        <v>44994</v>
      </c>
      <c r="P187">
        <v>19</v>
      </c>
      <c r="Q187" s="11" t="s">
        <v>49</v>
      </c>
      <c r="R187" s="7">
        <v>18143.68</v>
      </c>
      <c r="S187" s="7"/>
      <c r="T187" s="7"/>
      <c r="U187" s="7"/>
      <c r="V187" s="10">
        <v>9.5</v>
      </c>
      <c r="W187" s="9">
        <v>44987</v>
      </c>
      <c r="X187" s="10">
        <v>11.5</v>
      </c>
      <c r="Y187" s="9">
        <v>44994</v>
      </c>
      <c r="Z187">
        <v>19</v>
      </c>
      <c r="AA187" s="11" t="s">
        <v>49</v>
      </c>
    </row>
    <row r="188" spans="2:27" ht="16" x14ac:dyDescent="0.2">
      <c r="B188" t="s">
        <v>35</v>
      </c>
      <c r="C188">
        <v>40362574</v>
      </c>
      <c r="D188" t="s">
        <v>409</v>
      </c>
      <c r="E188">
        <v>1012109</v>
      </c>
      <c r="F188" t="s">
        <v>68</v>
      </c>
      <c r="G188" s="9">
        <v>44984</v>
      </c>
      <c r="H188" s="7">
        <v>19958.047999999999</v>
      </c>
      <c r="I188" s="7"/>
      <c r="J188" s="7"/>
      <c r="K188" s="7"/>
      <c r="L188" s="10">
        <v>7.5</v>
      </c>
      <c r="M188" s="9">
        <v>44991</v>
      </c>
      <c r="N188" s="10">
        <v>9.5</v>
      </c>
      <c r="O188" s="9">
        <v>45000</v>
      </c>
      <c r="P188">
        <v>14</v>
      </c>
      <c r="Q188" s="11" t="s">
        <v>49</v>
      </c>
      <c r="R188" s="7">
        <v>19958.047999999999</v>
      </c>
      <c r="S188" s="7"/>
      <c r="T188" s="7"/>
      <c r="U188" s="7"/>
      <c r="V188" s="10">
        <v>9.5</v>
      </c>
      <c r="W188" s="9">
        <v>44993</v>
      </c>
      <c r="X188" s="10">
        <v>11.5</v>
      </c>
      <c r="Y188" s="9">
        <v>45000</v>
      </c>
      <c r="Z188">
        <v>14</v>
      </c>
      <c r="AA188" s="11" t="s">
        <v>49</v>
      </c>
    </row>
    <row r="189" spans="2:27" ht="16" x14ac:dyDescent="0.2">
      <c r="B189" t="s">
        <v>35</v>
      </c>
      <c r="C189">
        <v>40362571</v>
      </c>
      <c r="D189" t="s">
        <v>409</v>
      </c>
      <c r="E189">
        <v>1012109</v>
      </c>
      <c r="F189" t="s">
        <v>68</v>
      </c>
      <c r="G189" s="9">
        <v>44986</v>
      </c>
      <c r="H189" s="7">
        <v>19958.047999999999</v>
      </c>
      <c r="I189" s="7"/>
      <c r="J189" s="7"/>
      <c r="K189" s="7"/>
      <c r="L189" s="10">
        <v>7.5</v>
      </c>
      <c r="M189" s="9">
        <v>44993</v>
      </c>
      <c r="N189" s="10">
        <v>9.5</v>
      </c>
      <c r="O189" s="9">
        <v>45002</v>
      </c>
      <c r="P189">
        <v>12</v>
      </c>
      <c r="Q189" s="11" t="s">
        <v>49</v>
      </c>
      <c r="R189" s="7">
        <v>19958.047999999999</v>
      </c>
      <c r="S189" s="7"/>
      <c r="T189" s="7"/>
      <c r="U189" s="7"/>
      <c r="V189" s="10">
        <v>9.5</v>
      </c>
      <c r="W189" s="9">
        <v>44995</v>
      </c>
      <c r="X189" s="10">
        <v>11.5</v>
      </c>
      <c r="Y189" s="9">
        <v>45002</v>
      </c>
      <c r="Z189">
        <v>12</v>
      </c>
      <c r="AA189" s="11" t="s">
        <v>49</v>
      </c>
    </row>
    <row r="190" spans="2:27" ht="16" x14ac:dyDescent="0.2">
      <c r="B190" t="s">
        <v>35</v>
      </c>
      <c r="C190">
        <v>40362570</v>
      </c>
      <c r="D190" t="s">
        <v>409</v>
      </c>
      <c r="E190">
        <v>1012109</v>
      </c>
      <c r="F190" t="s">
        <v>68</v>
      </c>
      <c r="G190" s="9">
        <v>44986</v>
      </c>
      <c r="H190" s="7">
        <v>19958.047999999999</v>
      </c>
      <c r="I190" s="7"/>
      <c r="J190" s="7"/>
      <c r="K190" s="7"/>
      <c r="L190" s="10">
        <v>7.5</v>
      </c>
      <c r="M190" s="9">
        <v>44993</v>
      </c>
      <c r="N190" s="10">
        <v>9.5</v>
      </c>
      <c r="O190" s="9">
        <v>45002</v>
      </c>
      <c r="P190">
        <v>12</v>
      </c>
      <c r="Q190" s="11" t="s">
        <v>49</v>
      </c>
      <c r="R190" s="7">
        <v>19958.047999999999</v>
      </c>
      <c r="S190" s="7"/>
      <c r="T190" s="7"/>
      <c r="U190" s="7"/>
      <c r="V190" s="10">
        <v>9.5</v>
      </c>
      <c r="W190" s="9">
        <v>44995</v>
      </c>
      <c r="X190" s="10">
        <v>11.5</v>
      </c>
      <c r="Y190" s="9">
        <v>45002</v>
      </c>
      <c r="Z190">
        <v>12</v>
      </c>
      <c r="AA190" s="11" t="s">
        <v>49</v>
      </c>
    </row>
    <row r="191" spans="2:27" ht="16" x14ac:dyDescent="0.2">
      <c r="B191" t="s">
        <v>35</v>
      </c>
      <c r="C191">
        <v>40362569</v>
      </c>
      <c r="D191" t="s">
        <v>409</v>
      </c>
      <c r="E191">
        <v>1012109</v>
      </c>
      <c r="F191" t="s">
        <v>68</v>
      </c>
      <c r="G191" s="9">
        <v>44979</v>
      </c>
      <c r="H191" s="7">
        <v>19958.047999999999</v>
      </c>
      <c r="I191" s="7"/>
      <c r="J191" s="7"/>
      <c r="K191" s="7"/>
      <c r="L191" s="10">
        <v>7.5</v>
      </c>
      <c r="M191" s="9">
        <v>44986</v>
      </c>
      <c r="N191" s="10">
        <v>9.5</v>
      </c>
      <c r="O191" s="9">
        <v>44995</v>
      </c>
      <c r="P191">
        <v>18</v>
      </c>
      <c r="Q191" s="11" t="s">
        <v>49</v>
      </c>
      <c r="R191" s="7">
        <v>19958.047999999999</v>
      </c>
      <c r="S191" s="7"/>
      <c r="T191" s="7"/>
      <c r="U191" s="7"/>
      <c r="V191" s="10">
        <v>9.5</v>
      </c>
      <c r="W191" s="9">
        <v>44988</v>
      </c>
      <c r="X191" s="10">
        <v>11.5</v>
      </c>
      <c r="Y191" s="9">
        <v>44995</v>
      </c>
      <c r="Z191">
        <v>18</v>
      </c>
      <c r="AA191" s="11" t="s">
        <v>49</v>
      </c>
    </row>
    <row r="192" spans="2:27" ht="16" x14ac:dyDescent="0.2">
      <c r="B192" t="s">
        <v>35</v>
      </c>
      <c r="C192">
        <v>40362565</v>
      </c>
      <c r="D192" t="s">
        <v>409</v>
      </c>
      <c r="E192">
        <v>1012107</v>
      </c>
      <c r="F192" t="s">
        <v>215</v>
      </c>
      <c r="G192" s="9">
        <v>44985</v>
      </c>
      <c r="H192" s="7">
        <v>9979.0239999999994</v>
      </c>
      <c r="I192" s="7"/>
      <c r="J192" s="7"/>
      <c r="K192" s="7"/>
      <c r="L192" s="10">
        <v>7.5</v>
      </c>
      <c r="M192" s="9">
        <v>44992</v>
      </c>
      <c r="N192" s="10">
        <v>9.5</v>
      </c>
      <c r="O192" s="9">
        <v>45001</v>
      </c>
      <c r="P192">
        <v>13</v>
      </c>
      <c r="Q192" s="11" t="s">
        <v>49</v>
      </c>
      <c r="R192" s="7">
        <v>9979.0239999999994</v>
      </c>
      <c r="S192" s="7"/>
      <c r="T192" s="7"/>
      <c r="U192" s="7"/>
      <c r="V192" s="10">
        <v>9.5</v>
      </c>
      <c r="W192" s="9">
        <v>44994</v>
      </c>
      <c r="X192" s="10">
        <v>11.5</v>
      </c>
      <c r="Y192" s="9">
        <v>45001</v>
      </c>
      <c r="Z192">
        <v>13</v>
      </c>
      <c r="AA192" s="11" t="s">
        <v>49</v>
      </c>
    </row>
    <row r="193" spans="2:27" ht="16" x14ac:dyDescent="0.2">
      <c r="B193" t="s">
        <v>35</v>
      </c>
      <c r="C193">
        <v>40362565</v>
      </c>
      <c r="D193" t="s">
        <v>409</v>
      </c>
      <c r="E193">
        <v>1012108</v>
      </c>
      <c r="F193" t="s">
        <v>57</v>
      </c>
      <c r="G193" s="9">
        <v>44985</v>
      </c>
      <c r="H193" s="7">
        <v>9979.0239999999994</v>
      </c>
      <c r="I193" s="7"/>
      <c r="J193" s="7"/>
      <c r="K193" s="7"/>
      <c r="L193" s="10">
        <v>7.5</v>
      </c>
      <c r="M193" s="9">
        <v>44992</v>
      </c>
      <c r="N193" s="10">
        <v>9.5</v>
      </c>
      <c r="O193" s="9">
        <v>45001</v>
      </c>
      <c r="P193">
        <v>13</v>
      </c>
      <c r="Q193" s="11" t="s">
        <v>49</v>
      </c>
      <c r="R193" s="7">
        <v>9979.0239999999994</v>
      </c>
      <c r="S193" s="7"/>
      <c r="T193" s="7"/>
      <c r="U193" s="7"/>
      <c r="V193" s="10">
        <v>9.5</v>
      </c>
      <c r="W193" s="9">
        <v>44994</v>
      </c>
      <c r="X193" s="10">
        <v>11.5</v>
      </c>
      <c r="Y193" s="9">
        <v>45001</v>
      </c>
      <c r="Z193">
        <v>13</v>
      </c>
      <c r="AA193" s="11" t="s">
        <v>49</v>
      </c>
    </row>
    <row r="194" spans="2:27" ht="16" x14ac:dyDescent="0.2">
      <c r="B194" t="s">
        <v>35</v>
      </c>
      <c r="C194">
        <v>40362563</v>
      </c>
      <c r="D194" t="s">
        <v>409</v>
      </c>
      <c r="E194">
        <v>1012111</v>
      </c>
      <c r="F194" t="s">
        <v>137</v>
      </c>
      <c r="G194" s="9">
        <v>44985</v>
      </c>
      <c r="H194" s="7">
        <v>9979.0239999999994</v>
      </c>
      <c r="I194" s="7"/>
      <c r="J194" s="7"/>
      <c r="K194" s="7"/>
      <c r="L194" s="10">
        <v>7.5</v>
      </c>
      <c r="M194" s="9">
        <v>44992</v>
      </c>
      <c r="N194" s="10">
        <v>9.5</v>
      </c>
      <c r="O194" s="9">
        <v>45001</v>
      </c>
      <c r="P194">
        <v>13</v>
      </c>
      <c r="Q194" s="11" t="s">
        <v>49</v>
      </c>
      <c r="R194" s="7">
        <v>9979.0239999999994</v>
      </c>
      <c r="S194" s="7"/>
      <c r="T194" s="7"/>
      <c r="U194" s="7"/>
      <c r="V194" s="10">
        <v>9.5</v>
      </c>
      <c r="W194" s="9">
        <v>44994</v>
      </c>
      <c r="X194" s="10">
        <v>11.5</v>
      </c>
      <c r="Y194" s="9">
        <v>45001</v>
      </c>
      <c r="Z194">
        <v>13</v>
      </c>
      <c r="AA194" s="11" t="s">
        <v>49</v>
      </c>
    </row>
    <row r="195" spans="2:27" ht="16" x14ac:dyDescent="0.2">
      <c r="B195" t="s">
        <v>35</v>
      </c>
      <c r="C195">
        <v>40362563</v>
      </c>
      <c r="D195" t="s">
        <v>409</v>
      </c>
      <c r="E195">
        <v>1012108</v>
      </c>
      <c r="F195" t="s">
        <v>57</v>
      </c>
      <c r="G195" s="9">
        <v>44985</v>
      </c>
      <c r="H195" s="7">
        <v>9979.0239999999994</v>
      </c>
      <c r="I195" s="7"/>
      <c r="J195" s="7"/>
      <c r="K195" s="7"/>
      <c r="L195" s="10">
        <v>7.5</v>
      </c>
      <c r="M195" s="9">
        <v>44992</v>
      </c>
      <c r="N195" s="10">
        <v>9.5</v>
      </c>
      <c r="O195" s="9">
        <v>45001</v>
      </c>
      <c r="P195">
        <v>13</v>
      </c>
      <c r="Q195" s="11" t="s">
        <v>49</v>
      </c>
      <c r="R195" s="7">
        <v>9979.0239999999994</v>
      </c>
      <c r="S195" s="7"/>
      <c r="T195" s="7"/>
      <c r="U195" s="7"/>
      <c r="V195" s="10">
        <v>9.5</v>
      </c>
      <c r="W195" s="9">
        <v>44994</v>
      </c>
      <c r="X195" s="10">
        <v>11.5</v>
      </c>
      <c r="Y195" s="9">
        <v>45001</v>
      </c>
      <c r="Z195">
        <v>13</v>
      </c>
      <c r="AA195" s="11" t="s">
        <v>49</v>
      </c>
    </row>
    <row r="196" spans="2:27" ht="16" x14ac:dyDescent="0.2">
      <c r="B196" t="s">
        <v>35</v>
      </c>
      <c r="C196">
        <v>40362562</v>
      </c>
      <c r="D196" t="s">
        <v>409</v>
      </c>
      <c r="E196">
        <v>1012108</v>
      </c>
      <c r="F196" t="s">
        <v>57</v>
      </c>
      <c r="G196" s="9">
        <v>44984</v>
      </c>
      <c r="H196" s="7">
        <v>18143.68</v>
      </c>
      <c r="I196" s="7"/>
      <c r="J196" s="7"/>
      <c r="K196" s="7"/>
      <c r="L196" s="10">
        <v>7.5</v>
      </c>
      <c r="M196" s="9">
        <v>44991</v>
      </c>
      <c r="N196" s="10">
        <v>9.5</v>
      </c>
      <c r="O196" s="9">
        <v>45000</v>
      </c>
      <c r="P196">
        <v>14</v>
      </c>
      <c r="Q196" s="11" t="s">
        <v>49</v>
      </c>
      <c r="R196" s="7">
        <v>18143.68</v>
      </c>
      <c r="S196" s="7"/>
      <c r="T196" s="7"/>
      <c r="U196" s="7"/>
      <c r="V196" s="10">
        <v>9.5</v>
      </c>
      <c r="W196" s="9">
        <v>44993</v>
      </c>
      <c r="X196" s="10">
        <v>11.5</v>
      </c>
      <c r="Y196" s="9">
        <v>45000</v>
      </c>
      <c r="Z196">
        <v>14</v>
      </c>
      <c r="AA196" s="11" t="s">
        <v>49</v>
      </c>
    </row>
    <row r="197" spans="2:27" ht="16" x14ac:dyDescent="0.2">
      <c r="B197" t="s">
        <v>35</v>
      </c>
      <c r="C197">
        <v>40362561</v>
      </c>
      <c r="D197" t="s">
        <v>409</v>
      </c>
      <c r="E197">
        <v>1012108</v>
      </c>
      <c r="F197" t="s">
        <v>57</v>
      </c>
      <c r="G197" s="9">
        <v>44985</v>
      </c>
      <c r="H197" s="7">
        <v>19958.047999999999</v>
      </c>
      <c r="I197" s="7"/>
      <c r="J197" s="7"/>
      <c r="K197" s="7"/>
      <c r="L197" s="10">
        <v>7.5</v>
      </c>
      <c r="M197" s="9">
        <v>44992</v>
      </c>
      <c r="N197" s="10">
        <v>9.5</v>
      </c>
      <c r="O197" s="9">
        <v>45001</v>
      </c>
      <c r="P197">
        <v>13</v>
      </c>
      <c r="Q197" s="11" t="s">
        <v>49</v>
      </c>
      <c r="R197" s="7">
        <v>19958.047999999999</v>
      </c>
      <c r="S197" s="7"/>
      <c r="T197" s="7"/>
      <c r="U197" s="7"/>
      <c r="V197" s="10">
        <v>9.5</v>
      </c>
      <c r="W197" s="9">
        <v>44994</v>
      </c>
      <c r="X197" s="10">
        <v>11.5</v>
      </c>
      <c r="Y197" s="9">
        <v>45001</v>
      </c>
      <c r="Z197">
        <v>13</v>
      </c>
      <c r="AA197" s="11" t="s">
        <v>49</v>
      </c>
    </row>
    <row r="198" spans="2:27" ht="16" x14ac:dyDescent="0.2">
      <c r="B198" t="s">
        <v>35</v>
      </c>
      <c r="C198">
        <v>40362557</v>
      </c>
      <c r="D198" t="s">
        <v>409</v>
      </c>
      <c r="E198">
        <v>1012111</v>
      </c>
      <c r="F198" t="s">
        <v>137</v>
      </c>
      <c r="G198" s="9">
        <v>44979</v>
      </c>
      <c r="H198" s="7">
        <v>9997.1676800000005</v>
      </c>
      <c r="I198" s="7"/>
      <c r="J198" s="7"/>
      <c r="K198" s="7"/>
      <c r="L198" s="10">
        <v>7.5</v>
      </c>
      <c r="M198" s="9">
        <v>44986</v>
      </c>
      <c r="N198" s="10">
        <v>9.5</v>
      </c>
      <c r="O198" s="9">
        <v>44995</v>
      </c>
      <c r="P198">
        <v>18</v>
      </c>
      <c r="Q198" s="11" t="s">
        <v>49</v>
      </c>
      <c r="R198" s="7">
        <v>9997.1676800000005</v>
      </c>
      <c r="S198" s="7"/>
      <c r="T198" s="7"/>
      <c r="U198" s="7"/>
      <c r="V198" s="10">
        <v>9.5</v>
      </c>
      <c r="W198" s="9">
        <v>44988</v>
      </c>
      <c r="X198" s="10">
        <v>11.5</v>
      </c>
      <c r="Y198" s="9">
        <v>44995</v>
      </c>
      <c r="Z198">
        <v>18</v>
      </c>
      <c r="AA198" s="11" t="s">
        <v>49</v>
      </c>
    </row>
    <row r="199" spans="2:27" ht="16" x14ac:dyDescent="0.2">
      <c r="B199" t="s">
        <v>35</v>
      </c>
      <c r="C199">
        <v>40362557</v>
      </c>
      <c r="D199" t="s">
        <v>409</v>
      </c>
      <c r="E199">
        <v>1012519</v>
      </c>
      <c r="F199" t="s">
        <v>221</v>
      </c>
      <c r="G199" s="9">
        <v>44979</v>
      </c>
      <c r="H199" s="7">
        <v>4517.7763199999999</v>
      </c>
      <c r="I199" s="7"/>
      <c r="J199" s="7"/>
      <c r="K199" s="7"/>
      <c r="L199" s="10">
        <v>7.5</v>
      </c>
      <c r="M199" s="9">
        <v>44986</v>
      </c>
      <c r="N199" s="10">
        <v>9.5</v>
      </c>
      <c r="O199" s="9">
        <v>44995</v>
      </c>
      <c r="P199">
        <v>18</v>
      </c>
      <c r="Q199" s="11" t="s">
        <v>49</v>
      </c>
      <c r="R199" s="7">
        <v>4517.7763199999999</v>
      </c>
      <c r="S199" s="7"/>
      <c r="T199" s="7"/>
      <c r="U199" s="7"/>
      <c r="V199" s="10">
        <v>9.5</v>
      </c>
      <c r="W199" s="9">
        <v>44988</v>
      </c>
      <c r="X199" s="10">
        <v>11.5</v>
      </c>
      <c r="Y199" s="9">
        <v>44995</v>
      </c>
      <c r="Z199">
        <v>18</v>
      </c>
      <c r="AA199" s="11" t="s">
        <v>49</v>
      </c>
    </row>
    <row r="200" spans="2:27" ht="16" x14ac:dyDescent="0.2">
      <c r="B200" t="s">
        <v>35</v>
      </c>
      <c r="C200">
        <v>40362557</v>
      </c>
      <c r="D200" t="s">
        <v>409</v>
      </c>
      <c r="E200">
        <v>1012107</v>
      </c>
      <c r="F200" t="s">
        <v>215</v>
      </c>
      <c r="G200" s="9">
        <v>44979</v>
      </c>
      <c r="H200" s="7">
        <v>5443.1040000000003</v>
      </c>
      <c r="I200" s="7"/>
      <c r="J200" s="7"/>
      <c r="K200" s="7"/>
      <c r="L200" s="10">
        <v>7.5</v>
      </c>
      <c r="M200" s="9">
        <v>44986</v>
      </c>
      <c r="N200" s="10">
        <v>9.5</v>
      </c>
      <c r="O200" s="9">
        <v>44995</v>
      </c>
      <c r="P200">
        <v>18</v>
      </c>
      <c r="Q200" s="11" t="s">
        <v>49</v>
      </c>
      <c r="R200" s="7">
        <v>5443.1040000000003</v>
      </c>
      <c r="S200" s="7"/>
      <c r="T200" s="7"/>
      <c r="U200" s="7"/>
      <c r="V200" s="10">
        <v>9.5</v>
      </c>
      <c r="W200" s="9">
        <v>44988</v>
      </c>
      <c r="X200" s="10">
        <v>11.5</v>
      </c>
      <c r="Y200" s="9">
        <v>44995</v>
      </c>
      <c r="Z200">
        <v>18</v>
      </c>
      <c r="AA200" s="11" t="s">
        <v>49</v>
      </c>
    </row>
    <row r="201" spans="2:27" ht="16" x14ac:dyDescent="0.2">
      <c r="B201" t="s">
        <v>35</v>
      </c>
      <c r="C201">
        <v>40362555</v>
      </c>
      <c r="D201" t="s">
        <v>409</v>
      </c>
      <c r="E201">
        <v>1012107</v>
      </c>
      <c r="F201" t="s">
        <v>215</v>
      </c>
      <c r="G201" s="9">
        <v>44973</v>
      </c>
      <c r="H201" s="7">
        <v>19958.047999999999</v>
      </c>
      <c r="I201" s="7"/>
      <c r="J201" s="7"/>
      <c r="K201" s="7"/>
      <c r="L201" s="10">
        <v>7.5</v>
      </c>
      <c r="M201" s="9">
        <v>44980</v>
      </c>
      <c r="N201" s="10">
        <v>9.5</v>
      </c>
      <c r="O201" s="9">
        <v>44989</v>
      </c>
      <c r="P201">
        <v>23</v>
      </c>
      <c r="Q201" s="11" t="s">
        <v>49</v>
      </c>
      <c r="R201" s="7">
        <v>19958.047999999999</v>
      </c>
      <c r="S201" s="7"/>
      <c r="T201" s="7"/>
      <c r="U201" s="7"/>
      <c r="V201" s="10">
        <v>9.5</v>
      </c>
      <c r="W201" s="9">
        <v>44982</v>
      </c>
      <c r="X201" s="10">
        <v>11.5</v>
      </c>
      <c r="Y201" s="9">
        <v>44989</v>
      </c>
      <c r="Z201">
        <v>23</v>
      </c>
      <c r="AA201" s="11" t="s">
        <v>49</v>
      </c>
    </row>
    <row r="202" spans="2:27" ht="16" x14ac:dyDescent="0.2">
      <c r="B202" t="s">
        <v>35</v>
      </c>
      <c r="C202">
        <v>40362554</v>
      </c>
      <c r="D202" t="s">
        <v>409</v>
      </c>
      <c r="E202">
        <v>1012111</v>
      </c>
      <c r="F202" t="s">
        <v>137</v>
      </c>
      <c r="G202" s="9">
        <v>44973</v>
      </c>
      <c r="H202" s="7">
        <v>9725.0124799999994</v>
      </c>
      <c r="I202" s="7"/>
      <c r="J202" s="7"/>
      <c r="K202" s="7"/>
      <c r="L202" s="10">
        <v>7.5</v>
      </c>
      <c r="M202" s="9">
        <v>44980</v>
      </c>
      <c r="N202" s="10">
        <v>9.5</v>
      </c>
      <c r="O202" s="9">
        <v>44989</v>
      </c>
      <c r="P202">
        <v>23</v>
      </c>
      <c r="Q202" s="11" t="s">
        <v>49</v>
      </c>
      <c r="R202" s="7">
        <v>9725.0124799999994</v>
      </c>
      <c r="S202" s="7"/>
      <c r="T202" s="7"/>
      <c r="U202" s="7"/>
      <c r="V202" s="10">
        <v>9.5</v>
      </c>
      <c r="W202" s="9">
        <v>44982</v>
      </c>
      <c r="X202" s="10">
        <v>11.5</v>
      </c>
      <c r="Y202" s="9">
        <v>44989</v>
      </c>
      <c r="Z202">
        <v>23</v>
      </c>
      <c r="AA202" s="11" t="s">
        <v>49</v>
      </c>
    </row>
    <row r="203" spans="2:27" ht="16" x14ac:dyDescent="0.2">
      <c r="B203" t="s">
        <v>35</v>
      </c>
      <c r="C203">
        <v>40362554</v>
      </c>
      <c r="D203" t="s">
        <v>409</v>
      </c>
      <c r="E203">
        <v>1012107</v>
      </c>
      <c r="F203" t="s">
        <v>215</v>
      </c>
      <c r="G203" s="9">
        <v>44973</v>
      </c>
      <c r="H203" s="7">
        <v>8509.3859200000006</v>
      </c>
      <c r="I203" s="7"/>
      <c r="J203" s="7"/>
      <c r="K203" s="7"/>
      <c r="L203" s="10">
        <v>7.5</v>
      </c>
      <c r="M203" s="9">
        <v>44980</v>
      </c>
      <c r="N203" s="10">
        <v>9.5</v>
      </c>
      <c r="O203" s="9">
        <v>44989</v>
      </c>
      <c r="P203">
        <v>23</v>
      </c>
      <c r="Q203" s="11" t="s">
        <v>49</v>
      </c>
      <c r="R203" s="7">
        <v>8509.3859200000006</v>
      </c>
      <c r="S203" s="7"/>
      <c r="T203" s="7"/>
      <c r="U203" s="7"/>
      <c r="V203" s="10">
        <v>9.5</v>
      </c>
      <c r="W203" s="9">
        <v>44982</v>
      </c>
      <c r="X203" s="10">
        <v>11.5</v>
      </c>
      <c r="Y203" s="9">
        <v>44989</v>
      </c>
      <c r="Z203">
        <v>23</v>
      </c>
      <c r="AA203" s="11" t="s">
        <v>49</v>
      </c>
    </row>
    <row r="204" spans="2:27" ht="16" x14ac:dyDescent="0.2">
      <c r="B204" t="s">
        <v>35</v>
      </c>
      <c r="C204">
        <v>40362542</v>
      </c>
      <c r="D204" t="s">
        <v>409</v>
      </c>
      <c r="E204">
        <v>1011701</v>
      </c>
      <c r="F204" t="s">
        <v>82</v>
      </c>
      <c r="G204" s="9">
        <v>44974</v>
      </c>
      <c r="H204" s="7">
        <v>18129.754730000001</v>
      </c>
      <c r="I204" s="7"/>
      <c r="J204" s="7"/>
      <c r="K204" s="7"/>
      <c r="L204" s="10">
        <v>7.5</v>
      </c>
      <c r="M204" s="9">
        <v>44981</v>
      </c>
      <c r="N204" s="10">
        <v>9.5</v>
      </c>
      <c r="O204" s="9">
        <v>44990</v>
      </c>
      <c r="P204">
        <v>23</v>
      </c>
      <c r="Q204" s="11" t="s">
        <v>49</v>
      </c>
      <c r="R204" s="7">
        <v>18129.754730000001</v>
      </c>
      <c r="S204" s="7"/>
      <c r="T204" s="7"/>
      <c r="U204" s="7"/>
      <c r="V204" s="10">
        <v>9.5</v>
      </c>
      <c r="W204" s="9">
        <v>44983</v>
      </c>
      <c r="X204" s="10">
        <v>11.5</v>
      </c>
      <c r="Y204" s="9">
        <v>44990</v>
      </c>
      <c r="Z204">
        <v>23</v>
      </c>
      <c r="AA204" s="11" t="s">
        <v>49</v>
      </c>
    </row>
    <row r="205" spans="2:27" ht="16" x14ac:dyDescent="0.2">
      <c r="B205" t="s">
        <v>35</v>
      </c>
      <c r="C205">
        <v>40362537</v>
      </c>
      <c r="D205" t="s">
        <v>409</v>
      </c>
      <c r="E205">
        <v>1012518</v>
      </c>
      <c r="F205" t="s">
        <v>65</v>
      </c>
      <c r="G205" s="9">
        <v>44977</v>
      </c>
      <c r="H205" s="7">
        <v>18143.68</v>
      </c>
      <c r="I205" s="7"/>
      <c r="J205" s="7"/>
      <c r="K205" s="7"/>
      <c r="L205" s="10">
        <v>7.5</v>
      </c>
      <c r="M205" s="9">
        <v>44984</v>
      </c>
      <c r="N205" s="10">
        <v>9.5</v>
      </c>
      <c r="O205" s="9">
        <v>44993</v>
      </c>
      <c r="P205">
        <v>20</v>
      </c>
      <c r="Q205" s="11" t="s">
        <v>49</v>
      </c>
      <c r="R205" s="7">
        <v>18143.68</v>
      </c>
      <c r="S205" s="7"/>
      <c r="T205" s="7"/>
      <c r="U205" s="7"/>
      <c r="V205" s="10">
        <v>9.5</v>
      </c>
      <c r="W205" s="9">
        <v>44986</v>
      </c>
      <c r="X205" s="10">
        <v>11.5</v>
      </c>
      <c r="Y205" s="9">
        <v>44993</v>
      </c>
      <c r="Z205">
        <v>20</v>
      </c>
      <c r="AA205" s="11" t="s">
        <v>49</v>
      </c>
    </row>
    <row r="206" spans="2:27" ht="16" x14ac:dyDescent="0.2">
      <c r="B206" t="s">
        <v>35</v>
      </c>
      <c r="C206">
        <v>40362536</v>
      </c>
      <c r="D206" t="s">
        <v>409</v>
      </c>
      <c r="E206">
        <v>1012518</v>
      </c>
      <c r="F206" t="s">
        <v>65</v>
      </c>
      <c r="G206" s="9">
        <v>44977</v>
      </c>
      <c r="H206" s="7">
        <v>18143.68</v>
      </c>
      <c r="I206" s="7"/>
      <c r="J206" s="7"/>
      <c r="K206" s="7"/>
      <c r="L206" s="10">
        <v>7.5</v>
      </c>
      <c r="M206" s="9">
        <v>44984</v>
      </c>
      <c r="N206" s="10">
        <v>9.5</v>
      </c>
      <c r="O206" s="9">
        <v>44993</v>
      </c>
      <c r="P206">
        <v>20</v>
      </c>
      <c r="Q206" s="11" t="s">
        <v>49</v>
      </c>
      <c r="R206" s="7">
        <v>18143.68</v>
      </c>
      <c r="S206" s="7"/>
      <c r="T206" s="7"/>
      <c r="U206" s="7"/>
      <c r="V206" s="10">
        <v>9.5</v>
      </c>
      <c r="W206" s="9">
        <v>44986</v>
      </c>
      <c r="X206" s="10">
        <v>11.5</v>
      </c>
      <c r="Y206" s="9">
        <v>44993</v>
      </c>
      <c r="Z206">
        <v>20</v>
      </c>
      <c r="AA206" s="11" t="s">
        <v>49</v>
      </c>
    </row>
    <row r="207" spans="2:27" ht="16" x14ac:dyDescent="0.2">
      <c r="B207" t="s">
        <v>35</v>
      </c>
      <c r="C207">
        <v>40362535</v>
      </c>
      <c r="D207" t="s">
        <v>409</v>
      </c>
      <c r="E207">
        <v>1012518</v>
      </c>
      <c r="F207" t="s">
        <v>65</v>
      </c>
      <c r="G207" s="9">
        <v>44985</v>
      </c>
      <c r="H207" s="7">
        <v>18143.68</v>
      </c>
      <c r="I207" s="7"/>
      <c r="J207" s="7"/>
      <c r="K207" s="7"/>
      <c r="L207" s="10">
        <v>7.5</v>
      </c>
      <c r="M207" s="9">
        <v>44992</v>
      </c>
      <c r="N207" s="10">
        <v>9.5</v>
      </c>
      <c r="O207" s="9">
        <v>45001</v>
      </c>
      <c r="P207">
        <v>13</v>
      </c>
      <c r="Q207" s="11" t="s">
        <v>49</v>
      </c>
      <c r="R207" s="7">
        <v>18143.68</v>
      </c>
      <c r="S207" s="7"/>
      <c r="T207" s="7"/>
      <c r="U207" s="7"/>
      <c r="V207" s="10">
        <v>9.5</v>
      </c>
      <c r="W207" s="9">
        <v>44994</v>
      </c>
      <c r="X207" s="10">
        <v>11.5</v>
      </c>
      <c r="Y207" s="9">
        <v>45001</v>
      </c>
      <c r="Z207">
        <v>13</v>
      </c>
      <c r="AA207" s="11" t="s">
        <v>49</v>
      </c>
    </row>
    <row r="208" spans="2:27" ht="16" x14ac:dyDescent="0.2">
      <c r="B208" t="s">
        <v>35</v>
      </c>
      <c r="C208">
        <v>40362534</v>
      </c>
      <c r="D208" t="s">
        <v>409</v>
      </c>
      <c r="E208">
        <v>1012518</v>
      </c>
      <c r="F208" t="s">
        <v>65</v>
      </c>
      <c r="G208" s="9">
        <v>44979</v>
      </c>
      <c r="H208" s="7">
        <v>18143.68</v>
      </c>
      <c r="I208" s="7"/>
      <c r="J208" s="7"/>
      <c r="K208" s="7"/>
      <c r="L208" s="10">
        <v>7.5</v>
      </c>
      <c r="M208" s="9">
        <v>44986</v>
      </c>
      <c r="N208" s="10">
        <v>9.5</v>
      </c>
      <c r="O208" s="9">
        <v>44995</v>
      </c>
      <c r="P208">
        <v>18</v>
      </c>
      <c r="Q208" s="11" t="s">
        <v>49</v>
      </c>
      <c r="R208" s="7">
        <v>18143.68</v>
      </c>
      <c r="S208" s="7"/>
      <c r="T208" s="7"/>
      <c r="U208" s="7"/>
      <c r="V208" s="10">
        <v>9.5</v>
      </c>
      <c r="W208" s="9">
        <v>44988</v>
      </c>
      <c r="X208" s="10">
        <v>11.5</v>
      </c>
      <c r="Y208" s="9">
        <v>44995</v>
      </c>
      <c r="Z208">
        <v>18</v>
      </c>
      <c r="AA208" s="11" t="s">
        <v>49</v>
      </c>
    </row>
    <row r="209" spans="2:27" ht="16" x14ac:dyDescent="0.2">
      <c r="B209" t="s">
        <v>35</v>
      </c>
      <c r="C209">
        <v>40362533</v>
      </c>
      <c r="D209" t="s">
        <v>409</v>
      </c>
      <c r="E209">
        <v>1012518</v>
      </c>
      <c r="F209" t="s">
        <v>65</v>
      </c>
      <c r="G209" s="9">
        <v>44971</v>
      </c>
      <c r="H209" s="7">
        <v>18143.68</v>
      </c>
      <c r="I209" s="7"/>
      <c r="J209" s="7"/>
      <c r="K209" s="7"/>
      <c r="L209" s="10">
        <v>7.5</v>
      </c>
      <c r="M209" s="9">
        <v>44978</v>
      </c>
      <c r="N209" s="10">
        <v>9.5</v>
      </c>
      <c r="O209" s="9">
        <v>44987</v>
      </c>
      <c r="P209">
        <v>25</v>
      </c>
      <c r="Q209" s="11" t="s">
        <v>49</v>
      </c>
      <c r="R209" s="7">
        <v>18143.68</v>
      </c>
      <c r="S209" s="7"/>
      <c r="T209" s="7"/>
      <c r="U209" s="7"/>
      <c r="V209" s="10">
        <v>9.5</v>
      </c>
      <c r="W209" s="9">
        <v>44980</v>
      </c>
      <c r="X209" s="10">
        <v>11.5</v>
      </c>
      <c r="Y209" s="9">
        <v>44987</v>
      </c>
      <c r="Z209">
        <v>25</v>
      </c>
      <c r="AA209" s="11" t="s">
        <v>49</v>
      </c>
    </row>
    <row r="210" spans="2:27" ht="16" x14ac:dyDescent="0.2">
      <c r="B210" t="s">
        <v>35</v>
      </c>
      <c r="C210">
        <v>40362530</v>
      </c>
      <c r="D210" t="s">
        <v>409</v>
      </c>
      <c r="E210">
        <v>1012163</v>
      </c>
      <c r="F210" t="s">
        <v>140</v>
      </c>
      <c r="G210" s="9">
        <v>44986</v>
      </c>
      <c r="H210" s="7">
        <v>19958.047999999999</v>
      </c>
      <c r="I210" s="7"/>
      <c r="J210" s="7"/>
      <c r="K210" s="7"/>
      <c r="L210" s="10">
        <v>7.5</v>
      </c>
      <c r="M210" s="9">
        <v>44993</v>
      </c>
      <c r="N210" s="10">
        <v>9.5</v>
      </c>
      <c r="O210" s="9">
        <v>45002</v>
      </c>
      <c r="P210">
        <v>12</v>
      </c>
      <c r="Q210" s="11" t="s">
        <v>49</v>
      </c>
      <c r="R210" s="7">
        <v>19958.047999999999</v>
      </c>
      <c r="S210" s="7"/>
      <c r="T210" s="7"/>
      <c r="U210" s="7"/>
      <c r="V210" s="10">
        <v>9.5</v>
      </c>
      <c r="W210" s="9">
        <v>44995</v>
      </c>
      <c r="X210" s="10">
        <v>11.5</v>
      </c>
      <c r="Y210" s="9">
        <v>45002</v>
      </c>
      <c r="Z210">
        <v>12</v>
      </c>
      <c r="AA210" s="11" t="s">
        <v>49</v>
      </c>
    </row>
    <row r="211" spans="2:27" ht="16" x14ac:dyDescent="0.2">
      <c r="B211" t="s">
        <v>35</v>
      </c>
      <c r="C211">
        <v>40362529</v>
      </c>
      <c r="D211" t="s">
        <v>409</v>
      </c>
      <c r="E211">
        <v>1012163</v>
      </c>
      <c r="F211" t="s">
        <v>140</v>
      </c>
      <c r="G211" s="9">
        <v>44986</v>
      </c>
      <c r="H211" s="7">
        <v>19958.047999999999</v>
      </c>
      <c r="I211" s="7"/>
      <c r="J211" s="7"/>
      <c r="K211" s="7"/>
      <c r="L211" s="10">
        <v>7.5</v>
      </c>
      <c r="M211" s="9">
        <v>44993</v>
      </c>
      <c r="N211" s="10">
        <v>9.5</v>
      </c>
      <c r="O211" s="9">
        <v>45002</v>
      </c>
      <c r="P211">
        <v>12</v>
      </c>
      <c r="Q211" s="11" t="s">
        <v>49</v>
      </c>
      <c r="R211" s="7">
        <v>19958.047999999999</v>
      </c>
      <c r="S211" s="7"/>
      <c r="T211" s="7"/>
      <c r="U211" s="7"/>
      <c r="V211" s="10">
        <v>9.5</v>
      </c>
      <c r="W211" s="9">
        <v>44995</v>
      </c>
      <c r="X211" s="10">
        <v>11.5</v>
      </c>
      <c r="Y211" s="9">
        <v>45002</v>
      </c>
      <c r="Z211">
        <v>12</v>
      </c>
      <c r="AA211" s="11" t="s">
        <v>49</v>
      </c>
    </row>
    <row r="212" spans="2:27" ht="16" x14ac:dyDescent="0.2">
      <c r="B212" t="s">
        <v>35</v>
      </c>
      <c r="C212">
        <v>40362526</v>
      </c>
      <c r="D212" t="s">
        <v>409</v>
      </c>
      <c r="E212">
        <v>1012163</v>
      </c>
      <c r="F212" t="s">
        <v>140</v>
      </c>
      <c r="G212" s="9">
        <v>44986</v>
      </c>
      <c r="H212" s="7">
        <v>19958.047999999999</v>
      </c>
      <c r="I212" s="7"/>
      <c r="J212" s="7"/>
      <c r="K212" s="7"/>
      <c r="L212" s="10">
        <v>7.5</v>
      </c>
      <c r="M212" s="9">
        <v>44993</v>
      </c>
      <c r="N212" s="10">
        <v>9.5</v>
      </c>
      <c r="O212" s="9">
        <v>45002</v>
      </c>
      <c r="P212">
        <v>12</v>
      </c>
      <c r="Q212" s="11" t="s">
        <v>49</v>
      </c>
      <c r="R212" s="7">
        <v>19958.047999999999</v>
      </c>
      <c r="S212" s="7"/>
      <c r="T212" s="7"/>
      <c r="U212" s="7"/>
      <c r="V212" s="10">
        <v>9.5</v>
      </c>
      <c r="W212" s="9">
        <v>44995</v>
      </c>
      <c r="X212" s="10">
        <v>11.5</v>
      </c>
      <c r="Y212" s="9">
        <v>45002</v>
      </c>
      <c r="Z212">
        <v>12</v>
      </c>
      <c r="AA212" s="11" t="s">
        <v>49</v>
      </c>
    </row>
    <row r="213" spans="2:27" ht="16" x14ac:dyDescent="0.2">
      <c r="B213" t="s">
        <v>35</v>
      </c>
      <c r="C213">
        <v>40362525</v>
      </c>
      <c r="D213" t="s">
        <v>409</v>
      </c>
      <c r="E213">
        <v>1012163</v>
      </c>
      <c r="F213" t="s">
        <v>140</v>
      </c>
      <c r="G213" s="9">
        <v>44985</v>
      </c>
      <c r="H213" s="7">
        <v>19958.047999999999</v>
      </c>
      <c r="I213" s="7"/>
      <c r="J213" s="7"/>
      <c r="K213" s="7"/>
      <c r="L213" s="10">
        <v>7.5</v>
      </c>
      <c r="M213" s="9">
        <v>44992</v>
      </c>
      <c r="N213" s="10">
        <v>9.5</v>
      </c>
      <c r="O213" s="9">
        <v>45001</v>
      </c>
      <c r="P213">
        <v>13</v>
      </c>
      <c r="Q213" s="11" t="s">
        <v>49</v>
      </c>
      <c r="R213" s="7">
        <v>19958.047999999999</v>
      </c>
      <c r="S213" s="7"/>
      <c r="T213" s="7"/>
      <c r="U213" s="7"/>
      <c r="V213" s="10">
        <v>9.5</v>
      </c>
      <c r="W213" s="9">
        <v>44994</v>
      </c>
      <c r="X213" s="10">
        <v>11.5</v>
      </c>
      <c r="Y213" s="9">
        <v>45001</v>
      </c>
      <c r="Z213">
        <v>13</v>
      </c>
      <c r="AA213" s="11" t="s">
        <v>49</v>
      </c>
    </row>
    <row r="214" spans="2:27" ht="16" x14ac:dyDescent="0.2">
      <c r="B214" t="s">
        <v>35</v>
      </c>
      <c r="C214">
        <v>40362524</v>
      </c>
      <c r="D214" t="s">
        <v>409</v>
      </c>
      <c r="E214">
        <v>1012163</v>
      </c>
      <c r="F214" t="s">
        <v>140</v>
      </c>
      <c r="G214" s="9">
        <v>44985</v>
      </c>
      <c r="H214" s="7">
        <v>19958.047999999999</v>
      </c>
      <c r="I214" s="7"/>
      <c r="J214" s="7"/>
      <c r="K214" s="7"/>
      <c r="L214" s="10">
        <v>7.5</v>
      </c>
      <c r="M214" s="9">
        <v>44992</v>
      </c>
      <c r="N214" s="10">
        <v>9.5</v>
      </c>
      <c r="O214" s="9">
        <v>45001</v>
      </c>
      <c r="P214">
        <v>13</v>
      </c>
      <c r="Q214" s="11" t="s">
        <v>49</v>
      </c>
      <c r="R214" s="7">
        <v>19958.047999999999</v>
      </c>
      <c r="S214" s="7"/>
      <c r="T214" s="7"/>
      <c r="U214" s="7"/>
      <c r="V214" s="10">
        <v>9.5</v>
      </c>
      <c r="W214" s="9">
        <v>44994</v>
      </c>
      <c r="X214" s="10">
        <v>11.5</v>
      </c>
      <c r="Y214" s="9">
        <v>45001</v>
      </c>
      <c r="Z214">
        <v>13</v>
      </c>
      <c r="AA214" s="11" t="s">
        <v>49</v>
      </c>
    </row>
    <row r="215" spans="2:27" ht="16" x14ac:dyDescent="0.2">
      <c r="B215" t="s">
        <v>35</v>
      </c>
      <c r="C215">
        <v>40362523</v>
      </c>
      <c r="D215" t="s">
        <v>409</v>
      </c>
      <c r="E215">
        <v>1012163</v>
      </c>
      <c r="F215" t="s">
        <v>140</v>
      </c>
      <c r="G215" s="9">
        <v>44978</v>
      </c>
      <c r="H215" s="7">
        <v>19958.047999999999</v>
      </c>
      <c r="I215" s="7"/>
      <c r="J215" s="7"/>
      <c r="K215" s="7"/>
      <c r="L215" s="10">
        <v>7.5</v>
      </c>
      <c r="M215" s="9">
        <v>44985</v>
      </c>
      <c r="N215" s="10">
        <v>9.5</v>
      </c>
      <c r="O215" s="9">
        <v>44994</v>
      </c>
      <c r="P215">
        <v>19</v>
      </c>
      <c r="Q215" s="11" t="s">
        <v>49</v>
      </c>
      <c r="R215" s="7">
        <v>19958.047999999999</v>
      </c>
      <c r="S215" s="7"/>
      <c r="T215" s="7"/>
      <c r="U215" s="7"/>
      <c r="V215" s="10">
        <v>9.5</v>
      </c>
      <c r="W215" s="9">
        <v>44987</v>
      </c>
      <c r="X215" s="10">
        <v>11.5</v>
      </c>
      <c r="Y215" s="9">
        <v>44994</v>
      </c>
      <c r="Z215">
        <v>19</v>
      </c>
      <c r="AA215" s="11" t="s">
        <v>49</v>
      </c>
    </row>
    <row r="216" spans="2:27" ht="16" x14ac:dyDescent="0.2">
      <c r="B216" t="s">
        <v>35</v>
      </c>
      <c r="C216">
        <v>40362512</v>
      </c>
      <c r="D216" t="s">
        <v>409</v>
      </c>
      <c r="E216">
        <v>1012483</v>
      </c>
      <c r="F216" t="s">
        <v>90</v>
      </c>
      <c r="G216" s="9">
        <v>44974</v>
      </c>
      <c r="H216" s="7">
        <v>19958.047999999999</v>
      </c>
      <c r="I216" s="7"/>
      <c r="J216" s="7"/>
      <c r="K216" s="7"/>
      <c r="L216" s="10">
        <v>7.5</v>
      </c>
      <c r="M216" s="9">
        <v>44981</v>
      </c>
      <c r="N216" s="10">
        <v>9.5</v>
      </c>
      <c r="O216" s="9">
        <v>44990</v>
      </c>
      <c r="P216">
        <v>23</v>
      </c>
      <c r="Q216" s="11" t="s">
        <v>49</v>
      </c>
      <c r="R216" s="7">
        <v>19958.047999999999</v>
      </c>
      <c r="S216" s="7"/>
      <c r="T216" s="7"/>
      <c r="U216" s="7"/>
      <c r="V216" s="10">
        <v>9.5</v>
      </c>
      <c r="W216" s="9">
        <v>44983</v>
      </c>
      <c r="X216" s="10">
        <v>11.5</v>
      </c>
      <c r="Y216" s="9">
        <v>44990</v>
      </c>
      <c r="Z216">
        <v>23</v>
      </c>
      <c r="AA216" s="11" t="s">
        <v>49</v>
      </c>
    </row>
    <row r="217" spans="2:27" ht="16" x14ac:dyDescent="0.2">
      <c r="B217" t="s">
        <v>35</v>
      </c>
      <c r="C217">
        <v>40362511</v>
      </c>
      <c r="D217" t="s">
        <v>409</v>
      </c>
      <c r="E217">
        <v>1012483</v>
      </c>
      <c r="F217" t="s">
        <v>90</v>
      </c>
      <c r="G217" s="9">
        <v>44974</v>
      </c>
      <c r="H217" s="7">
        <v>19958.047999999999</v>
      </c>
      <c r="I217" s="7"/>
      <c r="J217" s="7"/>
      <c r="K217" s="7"/>
      <c r="L217" s="10">
        <v>7.5</v>
      </c>
      <c r="M217" s="9">
        <v>44981</v>
      </c>
      <c r="N217" s="10">
        <v>9.5</v>
      </c>
      <c r="O217" s="9">
        <v>44990</v>
      </c>
      <c r="P217">
        <v>23</v>
      </c>
      <c r="Q217" s="11" t="s">
        <v>49</v>
      </c>
      <c r="R217" s="7">
        <v>19958.047999999999</v>
      </c>
      <c r="S217" s="7"/>
      <c r="T217" s="7"/>
      <c r="U217" s="7"/>
      <c r="V217" s="10">
        <v>9.5</v>
      </c>
      <c r="W217" s="9">
        <v>44983</v>
      </c>
      <c r="X217" s="10">
        <v>11.5</v>
      </c>
      <c r="Y217" s="9">
        <v>44990</v>
      </c>
      <c r="Z217">
        <v>23</v>
      </c>
      <c r="AA217" s="11" t="s">
        <v>49</v>
      </c>
    </row>
    <row r="218" spans="2:27" ht="16" x14ac:dyDescent="0.2">
      <c r="B218" t="s">
        <v>35</v>
      </c>
      <c r="C218">
        <v>40362510</v>
      </c>
      <c r="D218" t="s">
        <v>409</v>
      </c>
      <c r="E218">
        <v>1012483</v>
      </c>
      <c r="F218" t="s">
        <v>90</v>
      </c>
      <c r="G218" s="9">
        <v>44974</v>
      </c>
      <c r="H218" s="7">
        <v>19958.047999999999</v>
      </c>
      <c r="I218" s="7"/>
      <c r="J218" s="7"/>
      <c r="K218" s="7"/>
      <c r="L218" s="10">
        <v>7.5</v>
      </c>
      <c r="M218" s="9">
        <v>44981</v>
      </c>
      <c r="N218" s="10">
        <v>9.5</v>
      </c>
      <c r="O218" s="9">
        <v>44990</v>
      </c>
      <c r="P218">
        <v>23</v>
      </c>
      <c r="Q218" s="11" t="s">
        <v>49</v>
      </c>
      <c r="R218" s="7">
        <v>19958.047999999999</v>
      </c>
      <c r="S218" s="7"/>
      <c r="T218" s="7"/>
      <c r="U218" s="7"/>
      <c r="V218" s="10">
        <v>9.5</v>
      </c>
      <c r="W218" s="9">
        <v>44983</v>
      </c>
      <c r="X218" s="10">
        <v>11.5</v>
      </c>
      <c r="Y218" s="9">
        <v>44990</v>
      </c>
      <c r="Z218">
        <v>23</v>
      </c>
      <c r="AA218" s="11" t="s">
        <v>49</v>
      </c>
    </row>
    <row r="219" spans="2:27" ht="16" x14ac:dyDescent="0.2">
      <c r="B219" t="s">
        <v>35</v>
      </c>
      <c r="C219">
        <v>40362509</v>
      </c>
      <c r="D219" t="s">
        <v>409</v>
      </c>
      <c r="E219">
        <v>1012483</v>
      </c>
      <c r="F219" t="s">
        <v>90</v>
      </c>
      <c r="G219" s="9">
        <v>44969</v>
      </c>
      <c r="H219" s="7"/>
      <c r="I219" s="7"/>
      <c r="J219" s="7"/>
      <c r="K219" s="7"/>
      <c r="L219" s="10">
        <v>7.5</v>
      </c>
      <c r="M219" s="9">
        <v>44976</v>
      </c>
      <c r="N219" s="10">
        <v>9.5</v>
      </c>
      <c r="O219" s="9">
        <v>44985</v>
      </c>
      <c r="P219">
        <v>0</v>
      </c>
      <c r="Q219" s="11" t="s">
        <v>594</v>
      </c>
      <c r="R219" s="7"/>
      <c r="S219" s="7"/>
      <c r="T219" s="7"/>
      <c r="U219" s="7"/>
      <c r="V219" s="10">
        <v>9.5</v>
      </c>
      <c r="W219" s="9">
        <v>44978</v>
      </c>
      <c r="X219" s="10">
        <v>11.5</v>
      </c>
      <c r="Y219" s="9">
        <v>44985</v>
      </c>
      <c r="Z219">
        <v>0</v>
      </c>
      <c r="AA219" s="11" t="s">
        <v>594</v>
      </c>
    </row>
    <row r="220" spans="2:27" ht="16" x14ac:dyDescent="0.2">
      <c r="B220" t="s">
        <v>35</v>
      </c>
      <c r="C220">
        <v>40362508</v>
      </c>
      <c r="D220" t="s">
        <v>409</v>
      </c>
      <c r="E220">
        <v>1012483</v>
      </c>
      <c r="F220" t="s">
        <v>90</v>
      </c>
      <c r="G220" s="9">
        <v>44978</v>
      </c>
      <c r="H220" s="7">
        <v>19958.047999999999</v>
      </c>
      <c r="I220" s="7"/>
      <c r="J220" s="7"/>
      <c r="K220" s="7"/>
      <c r="L220" s="10">
        <v>7.5</v>
      </c>
      <c r="M220" s="9">
        <v>44985</v>
      </c>
      <c r="N220" s="10">
        <v>9.5</v>
      </c>
      <c r="O220" s="9">
        <v>44994</v>
      </c>
      <c r="P220">
        <v>19</v>
      </c>
      <c r="Q220" s="11" t="s">
        <v>49</v>
      </c>
      <c r="R220" s="7">
        <v>19958.047999999999</v>
      </c>
      <c r="S220" s="7"/>
      <c r="T220" s="7"/>
      <c r="U220" s="7"/>
      <c r="V220" s="10">
        <v>9.5</v>
      </c>
      <c r="W220" s="9">
        <v>44987</v>
      </c>
      <c r="X220" s="10">
        <v>11.5</v>
      </c>
      <c r="Y220" s="9">
        <v>44994</v>
      </c>
      <c r="Z220">
        <v>19</v>
      </c>
      <c r="AA220" s="11" t="s">
        <v>49</v>
      </c>
    </row>
    <row r="221" spans="2:27" ht="16" x14ac:dyDescent="0.2">
      <c r="B221" t="s">
        <v>35</v>
      </c>
      <c r="C221">
        <v>40362507</v>
      </c>
      <c r="D221" t="s">
        <v>409</v>
      </c>
      <c r="E221">
        <v>1012483</v>
      </c>
      <c r="F221" t="s">
        <v>90</v>
      </c>
      <c r="G221" s="9">
        <v>44986</v>
      </c>
      <c r="H221" s="7">
        <v>19958.047999999999</v>
      </c>
      <c r="I221" s="7"/>
      <c r="J221" s="7"/>
      <c r="K221" s="7"/>
      <c r="L221" s="10">
        <v>7.5</v>
      </c>
      <c r="M221" s="9">
        <v>44993</v>
      </c>
      <c r="N221" s="10">
        <v>9.5</v>
      </c>
      <c r="O221" s="9">
        <v>45002</v>
      </c>
      <c r="P221">
        <v>12</v>
      </c>
      <c r="Q221" s="11" t="s">
        <v>49</v>
      </c>
      <c r="R221" s="7">
        <v>19958.047999999999</v>
      </c>
      <c r="S221" s="7"/>
      <c r="T221" s="7"/>
      <c r="U221" s="7"/>
      <c r="V221" s="10">
        <v>9.5</v>
      </c>
      <c r="W221" s="9">
        <v>44995</v>
      </c>
      <c r="X221" s="10">
        <v>11.5</v>
      </c>
      <c r="Y221" s="9">
        <v>45002</v>
      </c>
      <c r="Z221">
        <v>12</v>
      </c>
      <c r="AA221" s="11" t="s">
        <v>49</v>
      </c>
    </row>
    <row r="222" spans="2:27" ht="16" x14ac:dyDescent="0.2">
      <c r="B222" t="s">
        <v>35</v>
      </c>
      <c r="C222">
        <v>40362506</v>
      </c>
      <c r="D222" t="s">
        <v>409</v>
      </c>
      <c r="E222">
        <v>1012483</v>
      </c>
      <c r="F222" t="s">
        <v>90</v>
      </c>
      <c r="G222" s="9">
        <v>44969</v>
      </c>
      <c r="H222" s="7"/>
      <c r="I222" s="7"/>
      <c r="J222" s="7"/>
      <c r="K222" s="7"/>
      <c r="L222" s="10">
        <v>7.5</v>
      </c>
      <c r="M222" s="9">
        <v>44976</v>
      </c>
      <c r="N222" s="10">
        <v>9.5</v>
      </c>
      <c r="O222" s="9">
        <v>44985</v>
      </c>
      <c r="P222">
        <v>0</v>
      </c>
      <c r="Q222" s="11" t="s">
        <v>594</v>
      </c>
      <c r="R222" s="7"/>
      <c r="S222" s="7"/>
      <c r="T222" s="7"/>
      <c r="U222" s="7"/>
      <c r="V222" s="10">
        <v>9.5</v>
      </c>
      <c r="W222" s="9">
        <v>44978</v>
      </c>
      <c r="X222" s="10">
        <v>11.5</v>
      </c>
      <c r="Y222" s="9">
        <v>44985</v>
      </c>
      <c r="Z222">
        <v>0</v>
      </c>
      <c r="AA222" s="11" t="s">
        <v>594</v>
      </c>
    </row>
    <row r="223" spans="2:27" ht="16" x14ac:dyDescent="0.2">
      <c r="B223" t="s">
        <v>35</v>
      </c>
      <c r="C223">
        <v>40362504</v>
      </c>
      <c r="D223" t="s">
        <v>409</v>
      </c>
      <c r="E223">
        <v>1012165</v>
      </c>
      <c r="F223" t="s">
        <v>61</v>
      </c>
      <c r="G223" s="9">
        <v>44984</v>
      </c>
      <c r="H223" s="7">
        <v>19958.047999999999</v>
      </c>
      <c r="I223" s="7"/>
      <c r="J223" s="7"/>
      <c r="K223" s="7"/>
      <c r="L223" s="10">
        <v>7.5</v>
      </c>
      <c r="M223" s="9">
        <v>44991</v>
      </c>
      <c r="N223" s="10">
        <v>9.5</v>
      </c>
      <c r="O223" s="9">
        <v>45000</v>
      </c>
      <c r="P223">
        <v>14</v>
      </c>
      <c r="Q223" s="11" t="s">
        <v>49</v>
      </c>
      <c r="R223" s="7">
        <v>19958.047999999999</v>
      </c>
      <c r="S223" s="7"/>
      <c r="T223" s="7"/>
      <c r="U223" s="7"/>
      <c r="V223" s="10">
        <v>9.5</v>
      </c>
      <c r="W223" s="9">
        <v>44993</v>
      </c>
      <c r="X223" s="10">
        <v>11.5</v>
      </c>
      <c r="Y223" s="9">
        <v>45000</v>
      </c>
      <c r="Z223">
        <v>14</v>
      </c>
      <c r="AA223" s="11" t="s">
        <v>49</v>
      </c>
    </row>
    <row r="224" spans="2:27" ht="16" x14ac:dyDescent="0.2">
      <c r="B224" t="s">
        <v>35</v>
      </c>
      <c r="C224">
        <v>40362502</v>
      </c>
      <c r="D224" t="s">
        <v>409</v>
      </c>
      <c r="E224">
        <v>1012165</v>
      </c>
      <c r="F224" t="s">
        <v>61</v>
      </c>
      <c r="G224" s="9">
        <v>44993</v>
      </c>
      <c r="H224" s="7">
        <v>19958.047999999999</v>
      </c>
      <c r="I224" s="7"/>
      <c r="J224" s="7"/>
      <c r="K224" s="7"/>
      <c r="L224" s="10">
        <v>7.5</v>
      </c>
      <c r="M224" s="9">
        <v>45000</v>
      </c>
      <c r="N224" s="10">
        <v>9.5</v>
      </c>
      <c r="O224" s="9">
        <v>45009</v>
      </c>
      <c r="P224">
        <v>6</v>
      </c>
      <c r="Q224" s="11" t="s">
        <v>49</v>
      </c>
      <c r="R224" s="7">
        <v>19958.047999999999</v>
      </c>
      <c r="S224" s="7"/>
      <c r="T224" s="7"/>
      <c r="U224" s="7"/>
      <c r="V224" s="10">
        <v>9.5</v>
      </c>
      <c r="W224" s="9">
        <v>45002</v>
      </c>
      <c r="X224" s="10">
        <v>11.5</v>
      </c>
      <c r="Y224" s="9">
        <v>45009</v>
      </c>
      <c r="Z224">
        <v>6</v>
      </c>
      <c r="AA224" s="11" t="s">
        <v>49</v>
      </c>
    </row>
    <row r="225" spans="2:27" ht="16" x14ac:dyDescent="0.2">
      <c r="B225" t="s">
        <v>35</v>
      </c>
      <c r="C225">
        <v>40362501</v>
      </c>
      <c r="D225" t="s">
        <v>409</v>
      </c>
      <c r="E225">
        <v>1012165</v>
      </c>
      <c r="F225" t="s">
        <v>61</v>
      </c>
      <c r="G225" s="9">
        <v>44985</v>
      </c>
      <c r="H225" s="7">
        <v>19958.047999999999</v>
      </c>
      <c r="I225" s="7"/>
      <c r="J225" s="7"/>
      <c r="K225" s="7"/>
      <c r="L225" s="10">
        <v>7.5</v>
      </c>
      <c r="M225" s="9">
        <v>44992</v>
      </c>
      <c r="N225" s="10">
        <v>9.5</v>
      </c>
      <c r="O225" s="9">
        <v>45001</v>
      </c>
      <c r="P225">
        <v>13</v>
      </c>
      <c r="Q225" s="11" t="s">
        <v>49</v>
      </c>
      <c r="R225" s="7">
        <v>19958.047999999999</v>
      </c>
      <c r="S225" s="7"/>
      <c r="T225" s="7"/>
      <c r="U225" s="7"/>
      <c r="V225" s="10">
        <v>9.5</v>
      </c>
      <c r="W225" s="9">
        <v>44994</v>
      </c>
      <c r="X225" s="10">
        <v>11.5</v>
      </c>
      <c r="Y225" s="9">
        <v>45001</v>
      </c>
      <c r="Z225">
        <v>13</v>
      </c>
      <c r="AA225" s="11" t="s">
        <v>49</v>
      </c>
    </row>
    <row r="226" spans="2:27" ht="16" x14ac:dyDescent="0.2">
      <c r="B226" t="s">
        <v>35</v>
      </c>
      <c r="C226">
        <v>40362499</v>
      </c>
      <c r="D226" t="s">
        <v>409</v>
      </c>
      <c r="E226">
        <v>1012165</v>
      </c>
      <c r="F226" t="s">
        <v>61</v>
      </c>
      <c r="G226" s="9">
        <v>44985</v>
      </c>
      <c r="H226" s="7">
        <v>19958.047999999999</v>
      </c>
      <c r="I226" s="7"/>
      <c r="J226" s="7"/>
      <c r="K226" s="7"/>
      <c r="L226" s="10">
        <v>7.5</v>
      </c>
      <c r="M226" s="9">
        <v>44992</v>
      </c>
      <c r="N226" s="10">
        <v>9.5</v>
      </c>
      <c r="O226" s="9">
        <v>45001</v>
      </c>
      <c r="P226">
        <v>13</v>
      </c>
      <c r="Q226" s="11" t="s">
        <v>49</v>
      </c>
      <c r="R226" s="7">
        <v>19958.047999999999</v>
      </c>
      <c r="S226" s="7"/>
      <c r="T226" s="7"/>
      <c r="U226" s="7"/>
      <c r="V226" s="10">
        <v>9.5</v>
      </c>
      <c r="W226" s="9">
        <v>44994</v>
      </c>
      <c r="X226" s="10">
        <v>11.5</v>
      </c>
      <c r="Y226" s="9">
        <v>45001</v>
      </c>
      <c r="Z226">
        <v>13</v>
      </c>
      <c r="AA226" s="11" t="s">
        <v>49</v>
      </c>
    </row>
    <row r="227" spans="2:27" ht="16" x14ac:dyDescent="0.2">
      <c r="B227" t="s">
        <v>35</v>
      </c>
      <c r="C227">
        <v>40362497</v>
      </c>
      <c r="D227" t="s">
        <v>409</v>
      </c>
      <c r="E227">
        <v>1012165</v>
      </c>
      <c r="F227" t="s">
        <v>61</v>
      </c>
      <c r="G227" s="9">
        <v>44985</v>
      </c>
      <c r="H227" s="7">
        <v>19958.047999999999</v>
      </c>
      <c r="I227" s="7"/>
      <c r="J227" s="7"/>
      <c r="K227" s="7"/>
      <c r="L227" s="10">
        <v>7.5</v>
      </c>
      <c r="M227" s="9">
        <v>44992</v>
      </c>
      <c r="N227" s="10">
        <v>9.5</v>
      </c>
      <c r="O227" s="9">
        <v>45001</v>
      </c>
      <c r="P227">
        <v>13</v>
      </c>
      <c r="Q227" s="11" t="s">
        <v>49</v>
      </c>
      <c r="R227" s="7">
        <v>19958.047999999999</v>
      </c>
      <c r="S227" s="7"/>
      <c r="T227" s="7"/>
      <c r="U227" s="7"/>
      <c r="V227" s="10">
        <v>9.5</v>
      </c>
      <c r="W227" s="9">
        <v>44994</v>
      </c>
      <c r="X227" s="10">
        <v>11.5</v>
      </c>
      <c r="Y227" s="9">
        <v>45001</v>
      </c>
      <c r="Z227">
        <v>13</v>
      </c>
      <c r="AA227" s="11" t="s">
        <v>49</v>
      </c>
    </row>
    <row r="228" spans="2:27" ht="16" x14ac:dyDescent="0.2">
      <c r="B228" t="s">
        <v>35</v>
      </c>
      <c r="C228">
        <v>40362495</v>
      </c>
      <c r="D228" t="s">
        <v>409</v>
      </c>
      <c r="E228">
        <v>1012157</v>
      </c>
      <c r="F228" t="s">
        <v>99</v>
      </c>
      <c r="G228" s="9">
        <v>44978</v>
      </c>
      <c r="H228" s="7">
        <v>19958.047999999999</v>
      </c>
      <c r="I228" s="7"/>
      <c r="J228" s="7"/>
      <c r="K228" s="7"/>
      <c r="L228" s="10">
        <v>7.5</v>
      </c>
      <c r="M228" s="9">
        <v>44985</v>
      </c>
      <c r="N228" s="10">
        <v>9.5</v>
      </c>
      <c r="O228" s="9">
        <v>44994</v>
      </c>
      <c r="P228">
        <v>19</v>
      </c>
      <c r="Q228" s="11" t="s">
        <v>49</v>
      </c>
      <c r="R228" s="7">
        <v>19958.047999999999</v>
      </c>
      <c r="S228" s="7"/>
      <c r="T228" s="7"/>
      <c r="U228" s="7"/>
      <c r="V228" s="10">
        <v>9.5</v>
      </c>
      <c r="W228" s="9">
        <v>44987</v>
      </c>
      <c r="X228" s="10">
        <v>11.5</v>
      </c>
      <c r="Y228" s="9">
        <v>44994</v>
      </c>
      <c r="Z228">
        <v>19</v>
      </c>
      <c r="AA228" s="11" t="s">
        <v>49</v>
      </c>
    </row>
    <row r="229" spans="2:27" ht="16" x14ac:dyDescent="0.2">
      <c r="B229" t="s">
        <v>35</v>
      </c>
      <c r="C229">
        <v>40362492</v>
      </c>
      <c r="D229" t="s">
        <v>409</v>
      </c>
      <c r="E229">
        <v>1012161</v>
      </c>
      <c r="F229" t="s">
        <v>101</v>
      </c>
      <c r="G229" s="9">
        <v>44985</v>
      </c>
      <c r="H229" s="7">
        <v>19958.047999999999</v>
      </c>
      <c r="I229" s="7"/>
      <c r="J229" s="7"/>
      <c r="K229" s="7"/>
      <c r="L229" s="10">
        <v>7.5</v>
      </c>
      <c r="M229" s="9">
        <v>44992</v>
      </c>
      <c r="N229" s="10">
        <v>9.5</v>
      </c>
      <c r="O229" s="9">
        <v>45001</v>
      </c>
      <c r="P229">
        <v>13</v>
      </c>
      <c r="Q229" s="11" t="s">
        <v>49</v>
      </c>
      <c r="R229" s="7">
        <v>19958.047999999999</v>
      </c>
      <c r="S229" s="7"/>
      <c r="T229" s="7"/>
      <c r="U229" s="7"/>
      <c r="V229" s="10">
        <v>9.5</v>
      </c>
      <c r="W229" s="9">
        <v>44994</v>
      </c>
      <c r="X229" s="10">
        <v>11.5</v>
      </c>
      <c r="Y229" s="9">
        <v>45001</v>
      </c>
      <c r="Z229">
        <v>13</v>
      </c>
      <c r="AA229" s="11" t="s">
        <v>49</v>
      </c>
    </row>
    <row r="230" spans="2:27" ht="16" x14ac:dyDescent="0.2">
      <c r="B230" t="s">
        <v>35</v>
      </c>
      <c r="C230">
        <v>40362484</v>
      </c>
      <c r="D230" t="s">
        <v>391</v>
      </c>
      <c r="E230">
        <v>1022918</v>
      </c>
      <c r="F230" t="s">
        <v>410</v>
      </c>
      <c r="G230" s="9">
        <v>44990</v>
      </c>
      <c r="H230" s="7">
        <v>24000</v>
      </c>
      <c r="I230" s="7"/>
      <c r="J230" s="7"/>
      <c r="K230" s="7"/>
      <c r="L230" s="10">
        <v>4.830303030303031</v>
      </c>
      <c r="M230" s="9">
        <v>44994</v>
      </c>
      <c r="N230" s="10">
        <v>15</v>
      </c>
      <c r="O230" s="9">
        <v>45009</v>
      </c>
      <c r="P230">
        <v>6</v>
      </c>
      <c r="Q230" s="11" t="s">
        <v>49</v>
      </c>
      <c r="R230" s="7">
        <v>24000</v>
      </c>
      <c r="S230" s="7"/>
      <c r="T230" s="7"/>
      <c r="U230" s="7"/>
      <c r="V230" s="10">
        <v>6.830303030303031</v>
      </c>
      <c r="W230" s="9">
        <v>44996</v>
      </c>
      <c r="X230" s="10">
        <v>17</v>
      </c>
      <c r="Y230" s="9">
        <v>45009</v>
      </c>
      <c r="Z230">
        <v>6</v>
      </c>
      <c r="AA230" s="11" t="s">
        <v>49</v>
      </c>
    </row>
    <row r="231" spans="2:27" ht="16" x14ac:dyDescent="0.2">
      <c r="B231" t="s">
        <v>35</v>
      </c>
      <c r="C231">
        <v>40362483</v>
      </c>
      <c r="D231" t="s">
        <v>391</v>
      </c>
      <c r="E231">
        <v>1022918</v>
      </c>
      <c r="F231" t="s">
        <v>410</v>
      </c>
      <c r="G231" s="9">
        <v>44982</v>
      </c>
      <c r="H231" s="7">
        <v>24000</v>
      </c>
      <c r="I231" s="7"/>
      <c r="J231" s="7"/>
      <c r="K231" s="7"/>
      <c r="L231" s="10">
        <v>4.830303030303031</v>
      </c>
      <c r="M231" s="9">
        <v>44986</v>
      </c>
      <c r="N231" s="10">
        <v>15</v>
      </c>
      <c r="O231" s="9">
        <v>45001</v>
      </c>
      <c r="P231">
        <v>13</v>
      </c>
      <c r="Q231" s="11" t="s">
        <v>49</v>
      </c>
      <c r="R231" s="7">
        <v>24000</v>
      </c>
      <c r="S231" s="7"/>
      <c r="T231" s="7"/>
      <c r="U231" s="7"/>
      <c r="V231" s="10">
        <v>6.830303030303031</v>
      </c>
      <c r="W231" s="9">
        <v>44988</v>
      </c>
      <c r="X231" s="10">
        <v>17</v>
      </c>
      <c r="Y231" s="9">
        <v>45001</v>
      </c>
      <c r="Z231">
        <v>13</v>
      </c>
      <c r="AA231" s="11" t="s">
        <v>49</v>
      </c>
    </row>
    <row r="232" spans="2:27" ht="16" x14ac:dyDescent="0.2">
      <c r="B232" t="s">
        <v>35</v>
      </c>
      <c r="C232">
        <v>40362482</v>
      </c>
      <c r="D232" t="s">
        <v>391</v>
      </c>
      <c r="E232">
        <v>1022918</v>
      </c>
      <c r="F232" t="s">
        <v>410</v>
      </c>
      <c r="G232" s="9">
        <v>44997</v>
      </c>
      <c r="H232" s="7">
        <v>24000</v>
      </c>
      <c r="I232" s="7"/>
      <c r="J232" s="7"/>
      <c r="K232" s="7"/>
      <c r="L232" s="10">
        <v>4.830303030303031</v>
      </c>
      <c r="M232" s="9">
        <v>45001</v>
      </c>
      <c r="N232" s="10">
        <v>15</v>
      </c>
      <c r="O232" s="9">
        <v>45016</v>
      </c>
      <c r="P232">
        <v>0</v>
      </c>
      <c r="Q232" s="11" t="s">
        <v>598</v>
      </c>
      <c r="R232" s="7">
        <v>24000</v>
      </c>
      <c r="S232" s="7"/>
      <c r="T232" s="7"/>
      <c r="U232" s="7"/>
      <c r="V232" s="10">
        <v>6.830303030303031</v>
      </c>
      <c r="W232" s="9">
        <v>45003</v>
      </c>
      <c r="X232" s="10">
        <v>17</v>
      </c>
      <c r="Y232" s="9">
        <v>45016</v>
      </c>
      <c r="Z232">
        <v>0</v>
      </c>
      <c r="AA232" s="11" t="s">
        <v>598</v>
      </c>
    </row>
    <row r="233" spans="2:27" ht="16" x14ac:dyDescent="0.2">
      <c r="B233" t="s">
        <v>35</v>
      </c>
      <c r="C233">
        <v>40362475</v>
      </c>
      <c r="D233" t="s">
        <v>391</v>
      </c>
      <c r="E233">
        <v>1021936</v>
      </c>
      <c r="F233" t="s">
        <v>411</v>
      </c>
      <c r="G233" s="9">
        <v>45007</v>
      </c>
      <c r="H233" s="7"/>
      <c r="I233" s="7">
        <v>24000</v>
      </c>
      <c r="J233" s="7"/>
      <c r="K233" s="7"/>
      <c r="L233" s="10">
        <v>4.830303030303031</v>
      </c>
      <c r="M233" s="9">
        <v>45011</v>
      </c>
      <c r="N233" s="10">
        <v>15</v>
      </c>
      <c r="O233" s="9">
        <v>45026</v>
      </c>
      <c r="P233">
        <v>17</v>
      </c>
      <c r="Q233" s="11" t="s">
        <v>49</v>
      </c>
      <c r="R233" s="7"/>
      <c r="S233" s="7">
        <v>24000</v>
      </c>
      <c r="T233" s="7"/>
      <c r="U233" s="7"/>
      <c r="V233" s="10">
        <v>6.830303030303031</v>
      </c>
      <c r="W233" s="9">
        <v>45013</v>
      </c>
      <c r="X233" s="10">
        <v>17</v>
      </c>
      <c r="Y233" s="9">
        <v>45026</v>
      </c>
      <c r="Z233">
        <v>17</v>
      </c>
      <c r="AA233" s="11" t="s">
        <v>49</v>
      </c>
    </row>
    <row r="234" spans="2:27" ht="16" x14ac:dyDescent="0.2">
      <c r="B234" t="s">
        <v>35</v>
      </c>
      <c r="C234">
        <v>40362474</v>
      </c>
      <c r="D234" t="s">
        <v>391</v>
      </c>
      <c r="E234">
        <v>1021936</v>
      </c>
      <c r="F234" t="s">
        <v>411</v>
      </c>
      <c r="G234" s="9">
        <v>45007</v>
      </c>
      <c r="H234" s="7"/>
      <c r="I234" s="7">
        <v>24000</v>
      </c>
      <c r="J234" s="7"/>
      <c r="K234" s="7"/>
      <c r="L234" s="10">
        <v>4.830303030303031</v>
      </c>
      <c r="M234" s="9">
        <v>45011</v>
      </c>
      <c r="N234" s="10">
        <v>15</v>
      </c>
      <c r="O234" s="9">
        <v>45026</v>
      </c>
      <c r="P234">
        <v>17</v>
      </c>
      <c r="Q234" s="11" t="s">
        <v>49</v>
      </c>
      <c r="R234" s="7"/>
      <c r="S234" s="7">
        <v>24000</v>
      </c>
      <c r="T234" s="7"/>
      <c r="U234" s="7"/>
      <c r="V234" s="10">
        <v>6.830303030303031</v>
      </c>
      <c r="W234" s="9">
        <v>45013</v>
      </c>
      <c r="X234" s="10">
        <v>17</v>
      </c>
      <c r="Y234" s="9">
        <v>45026</v>
      </c>
      <c r="Z234">
        <v>17</v>
      </c>
      <c r="AA234" s="11" t="s">
        <v>49</v>
      </c>
    </row>
    <row r="235" spans="2:27" ht="16" x14ac:dyDescent="0.2">
      <c r="B235" t="s">
        <v>35</v>
      </c>
      <c r="C235">
        <v>40362473</v>
      </c>
      <c r="D235" t="s">
        <v>391</v>
      </c>
      <c r="E235">
        <v>1021936</v>
      </c>
      <c r="F235" t="s">
        <v>411</v>
      </c>
      <c r="G235" s="9">
        <v>44999</v>
      </c>
      <c r="H235" s="7"/>
      <c r="I235" s="7">
        <v>24000</v>
      </c>
      <c r="J235" s="7"/>
      <c r="K235" s="7"/>
      <c r="L235" s="10">
        <v>4.830303030303031</v>
      </c>
      <c r="M235" s="9">
        <v>45003</v>
      </c>
      <c r="N235" s="10">
        <v>15</v>
      </c>
      <c r="O235" s="9">
        <v>45018</v>
      </c>
      <c r="P235">
        <v>24</v>
      </c>
      <c r="Q235" s="11" t="s">
        <v>49</v>
      </c>
      <c r="R235" s="7"/>
      <c r="S235" s="7">
        <v>24000</v>
      </c>
      <c r="T235" s="7"/>
      <c r="U235" s="7"/>
      <c r="V235" s="10">
        <v>6.830303030303031</v>
      </c>
      <c r="W235" s="9">
        <v>45005</v>
      </c>
      <c r="X235" s="10">
        <v>17</v>
      </c>
      <c r="Y235" s="9">
        <v>45018</v>
      </c>
      <c r="Z235">
        <v>24</v>
      </c>
      <c r="AA235" s="11" t="s">
        <v>49</v>
      </c>
    </row>
    <row r="236" spans="2:27" ht="16" x14ac:dyDescent="0.2">
      <c r="B236" t="s">
        <v>35</v>
      </c>
      <c r="C236">
        <v>40362472</v>
      </c>
      <c r="D236" t="s">
        <v>391</v>
      </c>
      <c r="E236">
        <v>1021936</v>
      </c>
      <c r="F236" t="s">
        <v>411</v>
      </c>
      <c r="G236" s="9">
        <v>44982</v>
      </c>
      <c r="H236" s="7">
        <v>24000</v>
      </c>
      <c r="I236" s="7"/>
      <c r="J236" s="7"/>
      <c r="K236" s="7"/>
      <c r="L236" s="10">
        <v>4.830303030303031</v>
      </c>
      <c r="M236" s="9">
        <v>44986</v>
      </c>
      <c r="N236" s="10">
        <v>15</v>
      </c>
      <c r="O236" s="9">
        <v>45001</v>
      </c>
      <c r="P236">
        <v>13</v>
      </c>
      <c r="Q236" s="11" t="s">
        <v>49</v>
      </c>
      <c r="R236" s="7">
        <v>24000</v>
      </c>
      <c r="S236" s="7"/>
      <c r="T236" s="7"/>
      <c r="U236" s="7"/>
      <c r="V236" s="10">
        <v>6.830303030303031</v>
      </c>
      <c r="W236" s="9">
        <v>44988</v>
      </c>
      <c r="X236" s="10">
        <v>17</v>
      </c>
      <c r="Y236" s="9">
        <v>45001</v>
      </c>
      <c r="Z236">
        <v>13</v>
      </c>
      <c r="AA236" s="11" t="s">
        <v>49</v>
      </c>
    </row>
    <row r="237" spans="2:27" ht="16" x14ac:dyDescent="0.2">
      <c r="B237" t="s">
        <v>35</v>
      </c>
      <c r="C237">
        <v>40362471</v>
      </c>
      <c r="D237" t="s">
        <v>391</v>
      </c>
      <c r="E237">
        <v>1021936</v>
      </c>
      <c r="F237" t="s">
        <v>411</v>
      </c>
      <c r="G237" s="9">
        <v>44999</v>
      </c>
      <c r="H237" s="7"/>
      <c r="I237" s="7">
        <v>24000</v>
      </c>
      <c r="J237" s="7"/>
      <c r="K237" s="7"/>
      <c r="L237" s="10">
        <v>4.830303030303031</v>
      </c>
      <c r="M237" s="9">
        <v>45003</v>
      </c>
      <c r="N237" s="10">
        <v>15</v>
      </c>
      <c r="O237" s="9">
        <v>45018</v>
      </c>
      <c r="P237">
        <v>24</v>
      </c>
      <c r="Q237" s="11" t="s">
        <v>49</v>
      </c>
      <c r="R237" s="7"/>
      <c r="S237" s="7">
        <v>24000</v>
      </c>
      <c r="T237" s="7"/>
      <c r="U237" s="7"/>
      <c r="V237" s="10">
        <v>6.830303030303031</v>
      </c>
      <c r="W237" s="9">
        <v>45005</v>
      </c>
      <c r="X237" s="10">
        <v>17</v>
      </c>
      <c r="Y237" s="9">
        <v>45018</v>
      </c>
      <c r="Z237">
        <v>24</v>
      </c>
      <c r="AA237" s="11" t="s">
        <v>49</v>
      </c>
    </row>
    <row r="238" spans="2:27" ht="16" x14ac:dyDescent="0.2">
      <c r="B238" t="s">
        <v>35</v>
      </c>
      <c r="C238">
        <v>40362470</v>
      </c>
      <c r="D238" t="s">
        <v>391</v>
      </c>
      <c r="E238">
        <v>1021936</v>
      </c>
      <c r="F238" t="s">
        <v>411</v>
      </c>
      <c r="G238" s="9">
        <v>44999</v>
      </c>
      <c r="H238" s="7"/>
      <c r="I238" s="7">
        <v>24000</v>
      </c>
      <c r="J238" s="7"/>
      <c r="K238" s="7"/>
      <c r="L238" s="10">
        <v>4.830303030303031</v>
      </c>
      <c r="M238" s="9">
        <v>45003</v>
      </c>
      <c r="N238" s="10">
        <v>15</v>
      </c>
      <c r="O238" s="9">
        <v>45018</v>
      </c>
      <c r="P238">
        <v>24</v>
      </c>
      <c r="Q238" s="11" t="s">
        <v>49</v>
      </c>
      <c r="R238" s="7"/>
      <c r="S238" s="7">
        <v>24000</v>
      </c>
      <c r="T238" s="7"/>
      <c r="U238" s="7"/>
      <c r="V238" s="10">
        <v>6.830303030303031</v>
      </c>
      <c r="W238" s="9">
        <v>45005</v>
      </c>
      <c r="X238" s="10">
        <v>17</v>
      </c>
      <c r="Y238" s="9">
        <v>45018</v>
      </c>
      <c r="Z238">
        <v>24</v>
      </c>
      <c r="AA238" s="11" t="s">
        <v>49</v>
      </c>
    </row>
    <row r="239" spans="2:27" ht="16" x14ac:dyDescent="0.2">
      <c r="B239" t="s">
        <v>35</v>
      </c>
      <c r="C239">
        <v>40362469</v>
      </c>
      <c r="D239" t="s">
        <v>391</v>
      </c>
      <c r="E239">
        <v>1021936</v>
      </c>
      <c r="F239" t="s">
        <v>411</v>
      </c>
      <c r="G239" s="9">
        <v>44997</v>
      </c>
      <c r="H239" s="7">
        <v>24000</v>
      </c>
      <c r="I239" s="7"/>
      <c r="J239" s="7"/>
      <c r="K239" s="7"/>
      <c r="L239" s="10">
        <v>4.830303030303031</v>
      </c>
      <c r="M239" s="9">
        <v>45001</v>
      </c>
      <c r="N239" s="10">
        <v>15</v>
      </c>
      <c r="O239" s="9">
        <v>45016</v>
      </c>
      <c r="P239">
        <v>0</v>
      </c>
      <c r="Q239" s="11" t="s">
        <v>598</v>
      </c>
      <c r="R239" s="7">
        <v>24000</v>
      </c>
      <c r="S239" s="7"/>
      <c r="T239" s="7"/>
      <c r="U239" s="7"/>
      <c r="V239" s="10">
        <v>6.830303030303031</v>
      </c>
      <c r="W239" s="9">
        <v>45003</v>
      </c>
      <c r="X239" s="10">
        <v>17</v>
      </c>
      <c r="Y239" s="9">
        <v>45016</v>
      </c>
      <c r="Z239">
        <v>0</v>
      </c>
      <c r="AA239" s="11" t="s">
        <v>598</v>
      </c>
    </row>
    <row r="240" spans="2:27" ht="16" x14ac:dyDescent="0.2">
      <c r="B240" t="s">
        <v>35</v>
      </c>
      <c r="C240">
        <v>40362468</v>
      </c>
      <c r="D240" t="s">
        <v>391</v>
      </c>
      <c r="E240">
        <v>1021936</v>
      </c>
      <c r="F240" t="s">
        <v>411</v>
      </c>
      <c r="G240" s="9">
        <v>44985</v>
      </c>
      <c r="H240" s="7">
        <v>24000</v>
      </c>
      <c r="I240" s="7"/>
      <c r="J240" s="7"/>
      <c r="K240" s="7"/>
      <c r="L240" s="10">
        <v>4.830303030303031</v>
      </c>
      <c r="M240" s="9">
        <v>44989</v>
      </c>
      <c r="N240" s="10">
        <v>15</v>
      </c>
      <c r="O240" s="9">
        <v>45004</v>
      </c>
      <c r="P240">
        <v>11</v>
      </c>
      <c r="Q240" s="11" t="s">
        <v>49</v>
      </c>
      <c r="R240" s="7">
        <v>24000</v>
      </c>
      <c r="S240" s="7"/>
      <c r="T240" s="7"/>
      <c r="U240" s="7"/>
      <c r="V240" s="10">
        <v>6.830303030303031</v>
      </c>
      <c r="W240" s="9">
        <v>44991</v>
      </c>
      <c r="X240" s="10">
        <v>17</v>
      </c>
      <c r="Y240" s="9">
        <v>45004</v>
      </c>
      <c r="Z240">
        <v>11</v>
      </c>
      <c r="AA240" s="11" t="s">
        <v>49</v>
      </c>
    </row>
    <row r="241" spans="2:27" ht="16" x14ac:dyDescent="0.2">
      <c r="B241" t="s">
        <v>35</v>
      </c>
      <c r="C241">
        <v>40362467</v>
      </c>
      <c r="D241" t="s">
        <v>391</v>
      </c>
      <c r="E241">
        <v>1021936</v>
      </c>
      <c r="F241" t="s">
        <v>411</v>
      </c>
      <c r="G241" s="9">
        <v>44982</v>
      </c>
      <c r="H241" s="7">
        <v>24000</v>
      </c>
      <c r="I241" s="7"/>
      <c r="J241" s="7"/>
      <c r="K241" s="7"/>
      <c r="L241" s="10">
        <v>4.830303030303031</v>
      </c>
      <c r="M241" s="9">
        <v>44986</v>
      </c>
      <c r="N241" s="10">
        <v>15</v>
      </c>
      <c r="O241" s="9">
        <v>45001</v>
      </c>
      <c r="P241">
        <v>13</v>
      </c>
      <c r="Q241" s="11" t="s">
        <v>49</v>
      </c>
      <c r="R241" s="7">
        <v>24000</v>
      </c>
      <c r="S241" s="7"/>
      <c r="T241" s="7"/>
      <c r="U241" s="7"/>
      <c r="V241" s="10">
        <v>6.830303030303031</v>
      </c>
      <c r="W241" s="9">
        <v>44988</v>
      </c>
      <c r="X241" s="10">
        <v>17</v>
      </c>
      <c r="Y241" s="9">
        <v>45001</v>
      </c>
      <c r="Z241">
        <v>13</v>
      </c>
      <c r="AA241" s="11" t="s">
        <v>49</v>
      </c>
    </row>
    <row r="242" spans="2:27" ht="16" x14ac:dyDescent="0.2">
      <c r="B242" t="s">
        <v>35</v>
      </c>
      <c r="C242">
        <v>40362466</v>
      </c>
      <c r="D242" t="s">
        <v>391</v>
      </c>
      <c r="E242">
        <v>1021936</v>
      </c>
      <c r="F242" t="s">
        <v>411</v>
      </c>
      <c r="G242" s="9">
        <v>44997</v>
      </c>
      <c r="H242" s="7">
        <v>24000</v>
      </c>
      <c r="I242" s="7"/>
      <c r="J242" s="7"/>
      <c r="K242" s="7"/>
      <c r="L242" s="10">
        <v>4.830303030303031</v>
      </c>
      <c r="M242" s="9">
        <v>45001</v>
      </c>
      <c r="N242" s="10">
        <v>15</v>
      </c>
      <c r="O242" s="9">
        <v>45016</v>
      </c>
      <c r="P242">
        <v>0</v>
      </c>
      <c r="Q242" s="11" t="s">
        <v>598</v>
      </c>
      <c r="R242" s="7">
        <v>24000</v>
      </c>
      <c r="S242" s="7"/>
      <c r="T242" s="7"/>
      <c r="U242" s="7"/>
      <c r="V242" s="10">
        <v>6.830303030303031</v>
      </c>
      <c r="W242" s="9">
        <v>45003</v>
      </c>
      <c r="X242" s="10">
        <v>17</v>
      </c>
      <c r="Y242" s="9">
        <v>45016</v>
      </c>
      <c r="Z242">
        <v>0</v>
      </c>
      <c r="AA242" s="11" t="s">
        <v>598</v>
      </c>
    </row>
    <row r="243" spans="2:27" ht="16" x14ac:dyDescent="0.2">
      <c r="B243" t="s">
        <v>35</v>
      </c>
      <c r="C243">
        <v>40362465</v>
      </c>
      <c r="D243" t="s">
        <v>391</v>
      </c>
      <c r="E243">
        <v>1021936</v>
      </c>
      <c r="F243" t="s">
        <v>411</v>
      </c>
      <c r="G243" s="9">
        <v>44997</v>
      </c>
      <c r="H243" s="7">
        <v>24000</v>
      </c>
      <c r="I243" s="7"/>
      <c r="J243" s="7"/>
      <c r="K243" s="7"/>
      <c r="L243" s="10">
        <v>4.830303030303031</v>
      </c>
      <c r="M243" s="9">
        <v>45001</v>
      </c>
      <c r="N243" s="10">
        <v>15</v>
      </c>
      <c r="O243" s="9">
        <v>45016</v>
      </c>
      <c r="P243">
        <v>0</v>
      </c>
      <c r="Q243" s="11" t="s">
        <v>598</v>
      </c>
      <c r="R243" s="7">
        <v>24000</v>
      </c>
      <c r="S243" s="7"/>
      <c r="T243" s="7"/>
      <c r="U243" s="7"/>
      <c r="V243" s="10">
        <v>6.830303030303031</v>
      </c>
      <c r="W243" s="9">
        <v>45003</v>
      </c>
      <c r="X243" s="10">
        <v>17</v>
      </c>
      <c r="Y243" s="9">
        <v>45016</v>
      </c>
      <c r="Z243">
        <v>0</v>
      </c>
      <c r="AA243" s="11" t="s">
        <v>598</v>
      </c>
    </row>
    <row r="244" spans="2:27" ht="16" x14ac:dyDescent="0.2">
      <c r="B244" t="s">
        <v>35</v>
      </c>
      <c r="C244">
        <v>40362464</v>
      </c>
      <c r="D244" t="s">
        <v>391</v>
      </c>
      <c r="E244">
        <v>1021936</v>
      </c>
      <c r="F244" t="s">
        <v>411</v>
      </c>
      <c r="G244" s="9">
        <v>44994</v>
      </c>
      <c r="H244" s="7">
        <v>24000</v>
      </c>
      <c r="I244" s="7"/>
      <c r="J244" s="7"/>
      <c r="K244" s="7"/>
      <c r="L244" s="10">
        <v>4.830303030303031</v>
      </c>
      <c r="M244" s="9">
        <v>44998</v>
      </c>
      <c r="N244" s="10">
        <v>15</v>
      </c>
      <c r="O244" s="9">
        <v>45013</v>
      </c>
      <c r="P244">
        <v>3</v>
      </c>
      <c r="Q244" s="11" t="s">
        <v>49</v>
      </c>
      <c r="R244" s="7">
        <v>24000</v>
      </c>
      <c r="S244" s="7"/>
      <c r="T244" s="7"/>
      <c r="U244" s="7"/>
      <c r="V244" s="10">
        <v>6.830303030303031</v>
      </c>
      <c r="W244" s="9">
        <v>45000</v>
      </c>
      <c r="X244" s="10">
        <v>17</v>
      </c>
      <c r="Y244" s="9">
        <v>45013</v>
      </c>
      <c r="Z244">
        <v>3</v>
      </c>
      <c r="AA244" s="11" t="s">
        <v>49</v>
      </c>
    </row>
    <row r="245" spans="2:27" x14ac:dyDescent="0.2">
      <c r="B245" t="s">
        <v>394</v>
      </c>
      <c r="C245">
        <v>40362462</v>
      </c>
      <c r="D245" t="s">
        <v>485</v>
      </c>
      <c r="E245">
        <v>1020944</v>
      </c>
      <c r="F245" t="s">
        <v>498</v>
      </c>
      <c r="G245" s="9">
        <v>44961</v>
      </c>
      <c r="H245" s="7"/>
      <c r="I245" s="7"/>
      <c r="J245" s="7"/>
      <c r="K245" s="7"/>
      <c r="L245" s="10"/>
      <c r="N245" s="10"/>
      <c r="Q245" s="11"/>
      <c r="R245" s="7"/>
      <c r="S245" s="7"/>
      <c r="T245" s="7"/>
      <c r="U245" s="7"/>
      <c r="V245" s="10"/>
      <c r="X245" s="10"/>
      <c r="AA245" s="11"/>
    </row>
    <row r="246" spans="2:27" x14ac:dyDescent="0.2">
      <c r="B246" t="s">
        <v>394</v>
      </c>
      <c r="C246">
        <v>40362461</v>
      </c>
      <c r="D246" t="s">
        <v>485</v>
      </c>
      <c r="E246">
        <v>1020944</v>
      </c>
      <c r="F246" t="s">
        <v>498</v>
      </c>
      <c r="G246" s="9">
        <v>44961</v>
      </c>
      <c r="H246" s="7"/>
      <c r="I246" s="7"/>
      <c r="J246" s="7"/>
      <c r="K246" s="7"/>
      <c r="L246" s="10"/>
      <c r="N246" s="10"/>
      <c r="Q246" s="11"/>
      <c r="R246" s="7"/>
      <c r="S246" s="7"/>
      <c r="T246" s="7"/>
      <c r="U246" s="7"/>
      <c r="V246" s="10"/>
      <c r="X246" s="10"/>
      <c r="AA246" s="11"/>
    </row>
    <row r="247" spans="2:27" ht="16" x14ac:dyDescent="0.2">
      <c r="B247" t="s">
        <v>35</v>
      </c>
      <c r="C247">
        <v>40362455</v>
      </c>
      <c r="D247" t="s">
        <v>409</v>
      </c>
      <c r="E247">
        <v>1012165</v>
      </c>
      <c r="F247" t="s">
        <v>61</v>
      </c>
      <c r="G247" s="9">
        <v>44978</v>
      </c>
      <c r="H247" s="7">
        <v>19958.047999999999</v>
      </c>
      <c r="I247" s="7"/>
      <c r="J247" s="7"/>
      <c r="K247" s="7"/>
      <c r="L247" s="10">
        <v>7.5</v>
      </c>
      <c r="M247" s="9">
        <v>44985</v>
      </c>
      <c r="N247" s="10">
        <v>9.5</v>
      </c>
      <c r="O247" s="9">
        <v>44994</v>
      </c>
      <c r="P247">
        <v>19</v>
      </c>
      <c r="Q247" s="11" t="s">
        <v>49</v>
      </c>
      <c r="R247" s="7">
        <v>19958.047999999999</v>
      </c>
      <c r="S247" s="7"/>
      <c r="T247" s="7"/>
      <c r="U247" s="7"/>
      <c r="V247" s="10">
        <v>9.5</v>
      </c>
      <c r="W247" s="9">
        <v>44987</v>
      </c>
      <c r="X247" s="10">
        <v>11.5</v>
      </c>
      <c r="Y247" s="9">
        <v>44994</v>
      </c>
      <c r="Z247">
        <v>19</v>
      </c>
      <c r="AA247" s="11" t="s">
        <v>49</v>
      </c>
    </row>
    <row r="248" spans="2:27" ht="16" x14ac:dyDescent="0.2">
      <c r="B248" t="s">
        <v>35</v>
      </c>
      <c r="C248">
        <v>40362454</v>
      </c>
      <c r="D248" t="s">
        <v>409</v>
      </c>
      <c r="E248">
        <v>1012165</v>
      </c>
      <c r="F248" t="s">
        <v>61</v>
      </c>
      <c r="G248" s="9">
        <v>44971</v>
      </c>
      <c r="H248" s="7">
        <v>19958.047999999999</v>
      </c>
      <c r="I248" s="7"/>
      <c r="J248" s="7"/>
      <c r="K248" s="7"/>
      <c r="L248" s="10">
        <v>7.5</v>
      </c>
      <c r="M248" s="9">
        <v>44978</v>
      </c>
      <c r="N248" s="10">
        <v>9.5</v>
      </c>
      <c r="O248" s="9">
        <v>44987</v>
      </c>
      <c r="P248">
        <v>25</v>
      </c>
      <c r="Q248" s="11" t="s">
        <v>49</v>
      </c>
      <c r="R248" s="7">
        <v>19958.047999999999</v>
      </c>
      <c r="S248" s="7"/>
      <c r="T248" s="7"/>
      <c r="U248" s="7"/>
      <c r="V248" s="10">
        <v>9.5</v>
      </c>
      <c r="W248" s="9">
        <v>44980</v>
      </c>
      <c r="X248" s="10">
        <v>11.5</v>
      </c>
      <c r="Y248" s="9">
        <v>44987</v>
      </c>
      <c r="Z248">
        <v>25</v>
      </c>
      <c r="AA248" s="11" t="s">
        <v>49</v>
      </c>
    </row>
    <row r="249" spans="2:27" ht="16" x14ac:dyDescent="0.2">
      <c r="B249" t="s">
        <v>35</v>
      </c>
      <c r="C249">
        <v>40362453</v>
      </c>
      <c r="D249" t="s">
        <v>409</v>
      </c>
      <c r="E249">
        <v>1012165</v>
      </c>
      <c r="F249" t="s">
        <v>61</v>
      </c>
      <c r="G249" s="9">
        <v>44971</v>
      </c>
      <c r="H249" s="7">
        <v>19958.047999999999</v>
      </c>
      <c r="I249" s="7"/>
      <c r="J249" s="7"/>
      <c r="K249" s="7"/>
      <c r="L249" s="10">
        <v>7.5</v>
      </c>
      <c r="M249" s="9">
        <v>44978</v>
      </c>
      <c r="N249" s="10">
        <v>9.5</v>
      </c>
      <c r="O249" s="9">
        <v>44987</v>
      </c>
      <c r="P249">
        <v>25</v>
      </c>
      <c r="Q249" s="11" t="s">
        <v>49</v>
      </c>
      <c r="R249" s="7">
        <v>19958.047999999999</v>
      </c>
      <c r="S249" s="7"/>
      <c r="T249" s="7"/>
      <c r="U249" s="7"/>
      <c r="V249" s="10">
        <v>9.5</v>
      </c>
      <c r="W249" s="9">
        <v>44980</v>
      </c>
      <c r="X249" s="10">
        <v>11.5</v>
      </c>
      <c r="Y249" s="9">
        <v>44987</v>
      </c>
      <c r="Z249">
        <v>25</v>
      </c>
      <c r="AA249" s="11" t="s">
        <v>49</v>
      </c>
    </row>
    <row r="250" spans="2:27" ht="16" x14ac:dyDescent="0.2">
      <c r="B250" t="s">
        <v>35</v>
      </c>
      <c r="C250">
        <v>40362452</v>
      </c>
      <c r="D250" t="s">
        <v>409</v>
      </c>
      <c r="E250">
        <v>1012165</v>
      </c>
      <c r="F250" t="s">
        <v>61</v>
      </c>
      <c r="G250" s="9">
        <v>44978</v>
      </c>
      <c r="H250" s="7">
        <v>19958.047999999999</v>
      </c>
      <c r="I250" s="7"/>
      <c r="J250" s="7"/>
      <c r="K250" s="7"/>
      <c r="L250" s="10">
        <v>7.5</v>
      </c>
      <c r="M250" s="9">
        <v>44985</v>
      </c>
      <c r="N250" s="10">
        <v>9.5</v>
      </c>
      <c r="O250" s="9">
        <v>44994</v>
      </c>
      <c r="P250">
        <v>19</v>
      </c>
      <c r="Q250" s="11" t="s">
        <v>49</v>
      </c>
      <c r="R250" s="7">
        <v>19958.047999999999</v>
      </c>
      <c r="S250" s="7"/>
      <c r="T250" s="7"/>
      <c r="U250" s="7"/>
      <c r="V250" s="10">
        <v>9.5</v>
      </c>
      <c r="W250" s="9">
        <v>44987</v>
      </c>
      <c r="X250" s="10">
        <v>11.5</v>
      </c>
      <c r="Y250" s="9">
        <v>44994</v>
      </c>
      <c r="Z250">
        <v>19</v>
      </c>
      <c r="AA250" s="11" t="s">
        <v>49</v>
      </c>
    </row>
    <row r="251" spans="2:27" ht="16" x14ac:dyDescent="0.2">
      <c r="B251" t="s">
        <v>35</v>
      </c>
      <c r="C251">
        <v>40362451</v>
      </c>
      <c r="D251" t="s">
        <v>409</v>
      </c>
      <c r="E251">
        <v>1012165</v>
      </c>
      <c r="F251" t="s">
        <v>61</v>
      </c>
      <c r="G251" s="9">
        <v>44970</v>
      </c>
      <c r="H251" s="7">
        <v>19958.047999999999</v>
      </c>
      <c r="I251" s="7"/>
      <c r="J251" s="7"/>
      <c r="K251" s="7"/>
      <c r="L251" s="10">
        <v>7.5</v>
      </c>
      <c r="M251" s="9">
        <v>44977</v>
      </c>
      <c r="N251" s="10">
        <v>9.5</v>
      </c>
      <c r="O251" s="9">
        <v>44986</v>
      </c>
      <c r="P251">
        <v>26</v>
      </c>
      <c r="Q251" s="11" t="s">
        <v>49</v>
      </c>
      <c r="R251" s="7">
        <v>19958.047999999999</v>
      </c>
      <c r="S251" s="7"/>
      <c r="T251" s="7"/>
      <c r="U251" s="7"/>
      <c r="V251" s="10">
        <v>9.5</v>
      </c>
      <c r="W251" s="9">
        <v>44979</v>
      </c>
      <c r="X251" s="10">
        <v>11.5</v>
      </c>
      <c r="Y251" s="9">
        <v>44986</v>
      </c>
      <c r="Z251">
        <v>26</v>
      </c>
      <c r="AA251" s="11" t="s">
        <v>49</v>
      </c>
    </row>
    <row r="252" spans="2:27" ht="16" x14ac:dyDescent="0.2">
      <c r="B252" t="s">
        <v>35</v>
      </c>
      <c r="C252">
        <v>40362443</v>
      </c>
      <c r="D252" t="s">
        <v>409</v>
      </c>
      <c r="E252">
        <v>1012148</v>
      </c>
      <c r="F252" t="s">
        <v>111</v>
      </c>
      <c r="G252" s="9">
        <v>44965</v>
      </c>
      <c r="H252" s="7"/>
      <c r="I252" s="7"/>
      <c r="J252" s="7"/>
      <c r="K252" s="7"/>
      <c r="L252" s="10">
        <v>7.5</v>
      </c>
      <c r="M252" s="9">
        <v>44972</v>
      </c>
      <c r="N252" s="10">
        <v>9.5</v>
      </c>
      <c r="O252" s="9">
        <v>44981</v>
      </c>
      <c r="P252">
        <v>3</v>
      </c>
      <c r="Q252" s="11" t="s">
        <v>49</v>
      </c>
      <c r="R252" s="7"/>
      <c r="S252" s="7"/>
      <c r="T252" s="7"/>
      <c r="U252" s="7"/>
      <c r="V252" s="10">
        <v>9.5</v>
      </c>
      <c r="W252" s="9">
        <v>44974</v>
      </c>
      <c r="X252" s="10">
        <v>11.5</v>
      </c>
      <c r="Y252" s="9">
        <v>44981</v>
      </c>
      <c r="Z252">
        <v>3</v>
      </c>
      <c r="AA252" s="11" t="s">
        <v>49</v>
      </c>
    </row>
    <row r="253" spans="2:27" ht="16" x14ac:dyDescent="0.2">
      <c r="B253" t="s">
        <v>35</v>
      </c>
      <c r="C253">
        <v>40362442</v>
      </c>
      <c r="D253" t="s">
        <v>409</v>
      </c>
      <c r="E253">
        <v>1012148</v>
      </c>
      <c r="F253" t="s">
        <v>111</v>
      </c>
      <c r="G253" s="9">
        <v>44971</v>
      </c>
      <c r="H253" s="7">
        <v>19758.467519999998</v>
      </c>
      <c r="I253" s="7"/>
      <c r="J253" s="7"/>
      <c r="K253" s="7"/>
      <c r="L253" s="10">
        <v>7.5</v>
      </c>
      <c r="M253" s="9">
        <v>44978</v>
      </c>
      <c r="N253" s="10">
        <v>9.5</v>
      </c>
      <c r="O253" s="9">
        <v>44987</v>
      </c>
      <c r="P253">
        <v>25</v>
      </c>
      <c r="Q253" s="11" t="s">
        <v>49</v>
      </c>
      <c r="R253" s="7">
        <v>19758.467519999998</v>
      </c>
      <c r="S253" s="7"/>
      <c r="T253" s="7"/>
      <c r="U253" s="7"/>
      <c r="V253" s="10">
        <v>9.5</v>
      </c>
      <c r="W253" s="9">
        <v>44980</v>
      </c>
      <c r="X253" s="10">
        <v>11.5</v>
      </c>
      <c r="Y253" s="9">
        <v>44987</v>
      </c>
      <c r="Z253">
        <v>25</v>
      </c>
      <c r="AA253" s="11" t="s">
        <v>49</v>
      </c>
    </row>
    <row r="254" spans="2:27" ht="16" x14ac:dyDescent="0.2">
      <c r="B254" t="s">
        <v>35</v>
      </c>
      <c r="C254">
        <v>40362441</v>
      </c>
      <c r="D254" t="s">
        <v>409</v>
      </c>
      <c r="E254">
        <v>1012148</v>
      </c>
      <c r="F254" t="s">
        <v>111</v>
      </c>
      <c r="G254" s="9">
        <v>44978</v>
      </c>
      <c r="H254" s="7">
        <v>19758.467519999998</v>
      </c>
      <c r="I254" s="7"/>
      <c r="J254" s="7"/>
      <c r="K254" s="7"/>
      <c r="L254" s="10">
        <v>7.5</v>
      </c>
      <c r="M254" s="9">
        <v>44985</v>
      </c>
      <c r="N254" s="10">
        <v>9.5</v>
      </c>
      <c r="O254" s="9">
        <v>44994</v>
      </c>
      <c r="P254">
        <v>19</v>
      </c>
      <c r="Q254" s="11" t="s">
        <v>49</v>
      </c>
      <c r="R254" s="7">
        <v>19758.467519999998</v>
      </c>
      <c r="S254" s="7"/>
      <c r="T254" s="7"/>
      <c r="U254" s="7"/>
      <c r="V254" s="10">
        <v>9.5</v>
      </c>
      <c r="W254" s="9">
        <v>44987</v>
      </c>
      <c r="X254" s="10">
        <v>11.5</v>
      </c>
      <c r="Y254" s="9">
        <v>44994</v>
      </c>
      <c r="Z254">
        <v>19</v>
      </c>
      <c r="AA254" s="11" t="s">
        <v>49</v>
      </c>
    </row>
    <row r="255" spans="2:27" ht="16" x14ac:dyDescent="0.2">
      <c r="B255" t="s">
        <v>35</v>
      </c>
      <c r="C255">
        <v>40362438</v>
      </c>
      <c r="D255" t="s">
        <v>409</v>
      </c>
      <c r="E255">
        <v>1012163</v>
      </c>
      <c r="F255" t="s">
        <v>140</v>
      </c>
      <c r="G255" s="9">
        <v>44965</v>
      </c>
      <c r="H255" s="7"/>
      <c r="I255" s="7"/>
      <c r="J255" s="7"/>
      <c r="K255" s="7"/>
      <c r="L255" s="10">
        <v>7.5</v>
      </c>
      <c r="M255" s="9">
        <v>44972</v>
      </c>
      <c r="N255" s="10">
        <v>9.5</v>
      </c>
      <c r="O255" s="9">
        <v>44981</v>
      </c>
      <c r="P255">
        <v>3</v>
      </c>
      <c r="Q255" s="11" t="s">
        <v>49</v>
      </c>
      <c r="R255" s="7"/>
      <c r="S255" s="7"/>
      <c r="T255" s="7"/>
      <c r="U255" s="7"/>
      <c r="V255" s="10">
        <v>9.5</v>
      </c>
      <c r="W255" s="9">
        <v>44974</v>
      </c>
      <c r="X255" s="10">
        <v>11.5</v>
      </c>
      <c r="Y255" s="9">
        <v>44981</v>
      </c>
      <c r="Z255">
        <v>3</v>
      </c>
      <c r="AA255" s="11" t="s">
        <v>49</v>
      </c>
    </row>
    <row r="256" spans="2:27" ht="16" x14ac:dyDescent="0.2">
      <c r="B256" t="s">
        <v>35</v>
      </c>
      <c r="C256">
        <v>40362437</v>
      </c>
      <c r="D256" t="s">
        <v>409</v>
      </c>
      <c r="E256">
        <v>1012163</v>
      </c>
      <c r="F256" t="s">
        <v>140</v>
      </c>
      <c r="G256" s="9">
        <v>44971</v>
      </c>
      <c r="H256" s="7">
        <v>19958.047999999999</v>
      </c>
      <c r="I256" s="7"/>
      <c r="J256" s="7"/>
      <c r="K256" s="7"/>
      <c r="L256" s="10">
        <v>7.5</v>
      </c>
      <c r="M256" s="9">
        <v>44978</v>
      </c>
      <c r="N256" s="10">
        <v>9.5</v>
      </c>
      <c r="O256" s="9">
        <v>44987</v>
      </c>
      <c r="P256">
        <v>25</v>
      </c>
      <c r="Q256" s="11" t="s">
        <v>49</v>
      </c>
      <c r="R256" s="7">
        <v>19958.047999999999</v>
      </c>
      <c r="S256" s="7"/>
      <c r="T256" s="7"/>
      <c r="U256" s="7"/>
      <c r="V256" s="10">
        <v>9.5</v>
      </c>
      <c r="W256" s="9">
        <v>44980</v>
      </c>
      <c r="X256" s="10">
        <v>11.5</v>
      </c>
      <c r="Y256" s="9">
        <v>44987</v>
      </c>
      <c r="Z256">
        <v>25</v>
      </c>
      <c r="AA256" s="11" t="s">
        <v>49</v>
      </c>
    </row>
    <row r="257" spans="2:27" ht="16" x14ac:dyDescent="0.2">
      <c r="B257" t="s">
        <v>35</v>
      </c>
      <c r="C257">
        <v>40362435</v>
      </c>
      <c r="D257" t="s">
        <v>409</v>
      </c>
      <c r="E257">
        <v>1012158</v>
      </c>
      <c r="F257" t="s">
        <v>86</v>
      </c>
      <c r="G257" s="9">
        <v>44971</v>
      </c>
      <c r="H257" s="7">
        <v>19958.047999999999</v>
      </c>
      <c r="I257" s="7"/>
      <c r="J257" s="7"/>
      <c r="K257" s="7"/>
      <c r="L257" s="10">
        <v>7.5</v>
      </c>
      <c r="M257" s="9">
        <v>44978</v>
      </c>
      <c r="N257" s="10">
        <v>9.5</v>
      </c>
      <c r="O257" s="9">
        <v>44987</v>
      </c>
      <c r="P257">
        <v>25</v>
      </c>
      <c r="Q257" s="11" t="s">
        <v>49</v>
      </c>
      <c r="R257" s="7">
        <v>19958.047999999999</v>
      </c>
      <c r="S257" s="7"/>
      <c r="T257" s="7"/>
      <c r="U257" s="7"/>
      <c r="V257" s="10">
        <v>9.5</v>
      </c>
      <c r="W257" s="9">
        <v>44980</v>
      </c>
      <c r="X257" s="10">
        <v>11.5</v>
      </c>
      <c r="Y257" s="9">
        <v>44987</v>
      </c>
      <c r="Z257">
        <v>25</v>
      </c>
      <c r="AA257" s="11" t="s">
        <v>49</v>
      </c>
    </row>
    <row r="258" spans="2:27" ht="16" x14ac:dyDescent="0.2">
      <c r="B258" t="s">
        <v>35</v>
      </c>
      <c r="C258">
        <v>40362433</v>
      </c>
      <c r="D258" t="s">
        <v>409</v>
      </c>
      <c r="E258">
        <v>1012158</v>
      </c>
      <c r="F258" t="s">
        <v>86</v>
      </c>
      <c r="G258" s="9">
        <v>44978</v>
      </c>
      <c r="H258" s="7">
        <v>19958.047999999999</v>
      </c>
      <c r="I258" s="7"/>
      <c r="J258" s="7"/>
      <c r="K258" s="7"/>
      <c r="L258" s="10">
        <v>7.5</v>
      </c>
      <c r="M258" s="9">
        <v>44985</v>
      </c>
      <c r="N258" s="10">
        <v>9.5</v>
      </c>
      <c r="O258" s="9">
        <v>44994</v>
      </c>
      <c r="P258">
        <v>19</v>
      </c>
      <c r="Q258" s="11" t="s">
        <v>49</v>
      </c>
      <c r="R258" s="7">
        <v>19958.047999999999</v>
      </c>
      <c r="S258" s="7"/>
      <c r="T258" s="7"/>
      <c r="U258" s="7"/>
      <c r="V258" s="10">
        <v>9.5</v>
      </c>
      <c r="W258" s="9">
        <v>44987</v>
      </c>
      <c r="X258" s="10">
        <v>11.5</v>
      </c>
      <c r="Y258" s="9">
        <v>44994</v>
      </c>
      <c r="Z258">
        <v>19</v>
      </c>
      <c r="AA258" s="11" t="s">
        <v>49</v>
      </c>
    </row>
    <row r="259" spans="2:27" ht="16" x14ac:dyDescent="0.2">
      <c r="B259" t="s">
        <v>35</v>
      </c>
      <c r="C259">
        <v>40362431</v>
      </c>
      <c r="D259" t="s">
        <v>409</v>
      </c>
      <c r="E259">
        <v>1012147</v>
      </c>
      <c r="F259" t="s">
        <v>217</v>
      </c>
      <c r="G259" s="9">
        <v>44971</v>
      </c>
      <c r="H259" s="7">
        <v>18660.774880000001</v>
      </c>
      <c r="I259" s="7"/>
      <c r="J259" s="7"/>
      <c r="K259" s="7"/>
      <c r="L259" s="10">
        <v>7.5</v>
      </c>
      <c r="M259" s="9">
        <v>44978</v>
      </c>
      <c r="N259" s="10">
        <v>9.5</v>
      </c>
      <c r="O259" s="9">
        <v>44987</v>
      </c>
      <c r="P259">
        <v>25</v>
      </c>
      <c r="Q259" s="11" t="s">
        <v>49</v>
      </c>
      <c r="R259" s="7">
        <v>18660.774880000001</v>
      </c>
      <c r="S259" s="7"/>
      <c r="T259" s="7"/>
      <c r="U259" s="7"/>
      <c r="V259" s="10">
        <v>9.5</v>
      </c>
      <c r="W259" s="9">
        <v>44980</v>
      </c>
      <c r="X259" s="10">
        <v>11.5</v>
      </c>
      <c r="Y259" s="9">
        <v>44987</v>
      </c>
      <c r="Z259">
        <v>25</v>
      </c>
      <c r="AA259" s="11" t="s">
        <v>49</v>
      </c>
    </row>
    <row r="260" spans="2:27" ht="16" x14ac:dyDescent="0.2">
      <c r="B260" t="s">
        <v>35</v>
      </c>
      <c r="C260">
        <v>40362430</v>
      </c>
      <c r="D260" t="s">
        <v>409</v>
      </c>
      <c r="E260">
        <v>1012147</v>
      </c>
      <c r="F260" t="s">
        <v>217</v>
      </c>
      <c r="G260" s="9">
        <v>44971</v>
      </c>
      <c r="H260" s="7">
        <v>18660.774880000001</v>
      </c>
      <c r="I260" s="7"/>
      <c r="J260" s="7"/>
      <c r="K260" s="7"/>
      <c r="L260" s="10">
        <v>7.5</v>
      </c>
      <c r="M260" s="9">
        <v>44978</v>
      </c>
      <c r="N260" s="10">
        <v>9.5</v>
      </c>
      <c r="O260" s="9">
        <v>44987</v>
      </c>
      <c r="P260">
        <v>25</v>
      </c>
      <c r="Q260" s="11" t="s">
        <v>49</v>
      </c>
      <c r="R260" s="7">
        <v>18660.774880000001</v>
      </c>
      <c r="S260" s="7"/>
      <c r="T260" s="7"/>
      <c r="U260" s="7"/>
      <c r="V260" s="10">
        <v>9.5</v>
      </c>
      <c r="W260" s="9">
        <v>44980</v>
      </c>
      <c r="X260" s="10">
        <v>11.5</v>
      </c>
      <c r="Y260" s="9">
        <v>44987</v>
      </c>
      <c r="Z260">
        <v>25</v>
      </c>
      <c r="AA260" s="11" t="s">
        <v>49</v>
      </c>
    </row>
    <row r="261" spans="2:27" ht="16" x14ac:dyDescent="0.2">
      <c r="B261" t="s">
        <v>35</v>
      </c>
      <c r="C261">
        <v>40362429</v>
      </c>
      <c r="D261" t="s">
        <v>409</v>
      </c>
      <c r="E261">
        <v>1012147</v>
      </c>
      <c r="F261" t="s">
        <v>217</v>
      </c>
      <c r="G261" s="9">
        <v>44977</v>
      </c>
      <c r="H261" s="7">
        <v>18660.774880000001</v>
      </c>
      <c r="I261" s="7"/>
      <c r="J261" s="7"/>
      <c r="K261" s="7"/>
      <c r="L261" s="10">
        <v>7.5</v>
      </c>
      <c r="M261" s="9">
        <v>44984</v>
      </c>
      <c r="N261" s="10">
        <v>9.5</v>
      </c>
      <c r="O261" s="9">
        <v>44993</v>
      </c>
      <c r="P261">
        <v>20</v>
      </c>
      <c r="Q261" s="11" t="s">
        <v>49</v>
      </c>
      <c r="R261" s="7">
        <v>18660.774880000001</v>
      </c>
      <c r="S261" s="7"/>
      <c r="T261" s="7"/>
      <c r="U261" s="7"/>
      <c r="V261" s="10">
        <v>9.5</v>
      </c>
      <c r="W261" s="9">
        <v>44986</v>
      </c>
      <c r="X261" s="10">
        <v>11.5</v>
      </c>
      <c r="Y261" s="9">
        <v>44993</v>
      </c>
      <c r="Z261">
        <v>20</v>
      </c>
      <c r="AA261" s="11" t="s">
        <v>49</v>
      </c>
    </row>
    <row r="262" spans="2:27" ht="16" x14ac:dyDescent="0.2">
      <c r="B262" t="s">
        <v>35</v>
      </c>
      <c r="C262">
        <v>40362428</v>
      </c>
      <c r="D262" t="s">
        <v>409</v>
      </c>
      <c r="E262">
        <v>1012147</v>
      </c>
      <c r="F262" t="s">
        <v>217</v>
      </c>
      <c r="G262" s="9">
        <v>44978</v>
      </c>
      <c r="H262" s="7">
        <v>18660.774880000001</v>
      </c>
      <c r="I262" s="7"/>
      <c r="J262" s="7"/>
      <c r="K262" s="7"/>
      <c r="L262" s="10">
        <v>7.5</v>
      </c>
      <c r="M262" s="9">
        <v>44985</v>
      </c>
      <c r="N262" s="10">
        <v>9.5</v>
      </c>
      <c r="O262" s="9">
        <v>44994</v>
      </c>
      <c r="P262">
        <v>19</v>
      </c>
      <c r="Q262" s="11" t="s">
        <v>49</v>
      </c>
      <c r="R262" s="7">
        <v>18660.774880000001</v>
      </c>
      <c r="S262" s="7"/>
      <c r="T262" s="7"/>
      <c r="U262" s="7"/>
      <c r="V262" s="10">
        <v>9.5</v>
      </c>
      <c r="W262" s="9">
        <v>44987</v>
      </c>
      <c r="X262" s="10">
        <v>11.5</v>
      </c>
      <c r="Y262" s="9">
        <v>44994</v>
      </c>
      <c r="Z262">
        <v>19</v>
      </c>
      <c r="AA262" s="11" t="s">
        <v>49</v>
      </c>
    </row>
    <row r="263" spans="2:27" ht="16" x14ac:dyDescent="0.2">
      <c r="B263" t="s">
        <v>35</v>
      </c>
      <c r="C263">
        <v>40362427</v>
      </c>
      <c r="D263" t="s">
        <v>409</v>
      </c>
      <c r="E263">
        <v>1012147</v>
      </c>
      <c r="F263" t="s">
        <v>217</v>
      </c>
      <c r="G263" s="9">
        <v>44978</v>
      </c>
      <c r="H263" s="7">
        <v>18660.774880000001</v>
      </c>
      <c r="I263" s="7"/>
      <c r="J263" s="7"/>
      <c r="K263" s="7"/>
      <c r="L263" s="10">
        <v>7.5</v>
      </c>
      <c r="M263" s="9">
        <v>44985</v>
      </c>
      <c r="N263" s="10">
        <v>9.5</v>
      </c>
      <c r="O263" s="9">
        <v>44994</v>
      </c>
      <c r="P263">
        <v>19</v>
      </c>
      <c r="Q263" s="11" t="s">
        <v>49</v>
      </c>
      <c r="R263" s="7">
        <v>18660.774880000001</v>
      </c>
      <c r="S263" s="7"/>
      <c r="T263" s="7"/>
      <c r="U263" s="7"/>
      <c r="V263" s="10">
        <v>9.5</v>
      </c>
      <c r="W263" s="9">
        <v>44987</v>
      </c>
      <c r="X263" s="10">
        <v>11.5</v>
      </c>
      <c r="Y263" s="9">
        <v>44994</v>
      </c>
      <c r="Z263">
        <v>19</v>
      </c>
      <c r="AA263" s="11" t="s">
        <v>49</v>
      </c>
    </row>
    <row r="264" spans="2:27" ht="16" x14ac:dyDescent="0.2">
      <c r="B264" t="s">
        <v>35</v>
      </c>
      <c r="C264">
        <v>40362426</v>
      </c>
      <c r="D264" t="s">
        <v>409</v>
      </c>
      <c r="E264">
        <v>1012147</v>
      </c>
      <c r="F264" t="s">
        <v>217</v>
      </c>
      <c r="G264" s="9">
        <v>44978</v>
      </c>
      <c r="H264" s="7">
        <v>18660.774880000001</v>
      </c>
      <c r="I264" s="7"/>
      <c r="J264" s="7"/>
      <c r="K264" s="7"/>
      <c r="L264" s="10">
        <v>7.5</v>
      </c>
      <c r="M264" s="9">
        <v>44985</v>
      </c>
      <c r="N264" s="10">
        <v>9.5</v>
      </c>
      <c r="O264" s="9">
        <v>44994</v>
      </c>
      <c r="P264">
        <v>19</v>
      </c>
      <c r="Q264" s="11" t="s">
        <v>49</v>
      </c>
      <c r="R264" s="7">
        <v>18660.774880000001</v>
      </c>
      <c r="S264" s="7"/>
      <c r="T264" s="7"/>
      <c r="U264" s="7"/>
      <c r="V264" s="10">
        <v>9.5</v>
      </c>
      <c r="W264" s="9">
        <v>44987</v>
      </c>
      <c r="X264" s="10">
        <v>11.5</v>
      </c>
      <c r="Y264" s="9">
        <v>44994</v>
      </c>
      <c r="Z264">
        <v>19</v>
      </c>
      <c r="AA264" s="11" t="s">
        <v>49</v>
      </c>
    </row>
    <row r="265" spans="2:27" ht="16" x14ac:dyDescent="0.2">
      <c r="B265" t="s">
        <v>35</v>
      </c>
      <c r="C265">
        <v>40362420</v>
      </c>
      <c r="D265" t="s">
        <v>409</v>
      </c>
      <c r="E265">
        <v>1012167</v>
      </c>
      <c r="F265" t="s">
        <v>70</v>
      </c>
      <c r="G265" s="9">
        <v>44971</v>
      </c>
      <c r="H265" s="7">
        <v>19958.047999999999</v>
      </c>
      <c r="I265" s="7"/>
      <c r="J265" s="7"/>
      <c r="K265" s="7"/>
      <c r="L265" s="10">
        <v>7.5</v>
      </c>
      <c r="M265" s="9">
        <v>44978</v>
      </c>
      <c r="N265" s="10">
        <v>9.5</v>
      </c>
      <c r="O265" s="9">
        <v>44987</v>
      </c>
      <c r="P265">
        <v>25</v>
      </c>
      <c r="Q265" s="11" t="s">
        <v>49</v>
      </c>
      <c r="R265" s="7">
        <v>19958.047999999999</v>
      </c>
      <c r="S265" s="7"/>
      <c r="T265" s="7"/>
      <c r="U265" s="7"/>
      <c r="V265" s="10">
        <v>9.5</v>
      </c>
      <c r="W265" s="9">
        <v>44980</v>
      </c>
      <c r="X265" s="10">
        <v>11.5</v>
      </c>
      <c r="Y265" s="9">
        <v>44987</v>
      </c>
      <c r="Z265">
        <v>25</v>
      </c>
      <c r="AA265" s="11" t="s">
        <v>49</v>
      </c>
    </row>
    <row r="266" spans="2:27" ht="16" x14ac:dyDescent="0.2">
      <c r="B266" t="s">
        <v>35</v>
      </c>
      <c r="C266">
        <v>40362419</v>
      </c>
      <c r="D266" t="s">
        <v>409</v>
      </c>
      <c r="E266">
        <v>1012167</v>
      </c>
      <c r="F266" t="s">
        <v>70</v>
      </c>
      <c r="G266" s="9">
        <v>44978</v>
      </c>
      <c r="H266" s="7">
        <v>19958.047999999999</v>
      </c>
      <c r="I266" s="7"/>
      <c r="J266" s="7"/>
      <c r="K266" s="7"/>
      <c r="L266" s="10">
        <v>7.5</v>
      </c>
      <c r="M266" s="9">
        <v>44985</v>
      </c>
      <c r="N266" s="10">
        <v>9.5</v>
      </c>
      <c r="O266" s="9">
        <v>44994</v>
      </c>
      <c r="P266">
        <v>19</v>
      </c>
      <c r="Q266" s="11" t="s">
        <v>49</v>
      </c>
      <c r="R266" s="7">
        <v>19958.047999999999</v>
      </c>
      <c r="S266" s="7"/>
      <c r="T266" s="7"/>
      <c r="U266" s="7"/>
      <c r="V266" s="10">
        <v>9.5</v>
      </c>
      <c r="W266" s="9">
        <v>44987</v>
      </c>
      <c r="X266" s="10">
        <v>11.5</v>
      </c>
      <c r="Y266" s="9">
        <v>44994</v>
      </c>
      <c r="Z266">
        <v>19</v>
      </c>
      <c r="AA266" s="11" t="s">
        <v>49</v>
      </c>
    </row>
    <row r="267" spans="2:27" ht="16" x14ac:dyDescent="0.2">
      <c r="B267" t="s">
        <v>35</v>
      </c>
      <c r="C267">
        <v>40362418</v>
      </c>
      <c r="D267" t="s">
        <v>409</v>
      </c>
      <c r="E267">
        <v>1012167</v>
      </c>
      <c r="F267" t="s">
        <v>70</v>
      </c>
      <c r="G267" s="9">
        <v>44978</v>
      </c>
      <c r="H267" s="7">
        <v>19958.047999999999</v>
      </c>
      <c r="I267" s="7"/>
      <c r="J267" s="7"/>
      <c r="K267" s="7"/>
      <c r="L267" s="10">
        <v>7.5</v>
      </c>
      <c r="M267" s="9">
        <v>44985</v>
      </c>
      <c r="N267" s="10">
        <v>9.5</v>
      </c>
      <c r="O267" s="9">
        <v>44994</v>
      </c>
      <c r="P267">
        <v>19</v>
      </c>
      <c r="Q267" s="11" t="s">
        <v>49</v>
      </c>
      <c r="R267" s="7">
        <v>19958.047999999999</v>
      </c>
      <c r="S267" s="7"/>
      <c r="T267" s="7"/>
      <c r="U267" s="7"/>
      <c r="V267" s="10">
        <v>9.5</v>
      </c>
      <c r="W267" s="9">
        <v>44987</v>
      </c>
      <c r="X267" s="10">
        <v>11.5</v>
      </c>
      <c r="Y267" s="9">
        <v>44994</v>
      </c>
      <c r="Z267">
        <v>19</v>
      </c>
      <c r="AA267" s="11" t="s">
        <v>49</v>
      </c>
    </row>
    <row r="268" spans="2:27" ht="16" x14ac:dyDescent="0.2">
      <c r="B268" t="s">
        <v>35</v>
      </c>
      <c r="C268">
        <v>40362415</v>
      </c>
      <c r="D268" t="s">
        <v>409</v>
      </c>
      <c r="E268">
        <v>1012167</v>
      </c>
      <c r="F268" t="s">
        <v>70</v>
      </c>
      <c r="G268" s="9">
        <v>44978</v>
      </c>
      <c r="H268" s="7">
        <v>19958.047999999999</v>
      </c>
      <c r="I268" s="7"/>
      <c r="J268" s="7"/>
      <c r="K268" s="7"/>
      <c r="L268" s="10">
        <v>7.5</v>
      </c>
      <c r="M268" s="9">
        <v>44985</v>
      </c>
      <c r="N268" s="10">
        <v>9.5</v>
      </c>
      <c r="O268" s="9">
        <v>44994</v>
      </c>
      <c r="P268">
        <v>19</v>
      </c>
      <c r="Q268" s="11" t="s">
        <v>49</v>
      </c>
      <c r="R268" s="7">
        <v>19958.047999999999</v>
      </c>
      <c r="S268" s="7"/>
      <c r="T268" s="7"/>
      <c r="U268" s="7"/>
      <c r="V268" s="10">
        <v>9.5</v>
      </c>
      <c r="W268" s="9">
        <v>44987</v>
      </c>
      <c r="X268" s="10">
        <v>11.5</v>
      </c>
      <c r="Y268" s="9">
        <v>44994</v>
      </c>
      <c r="Z268">
        <v>19</v>
      </c>
      <c r="AA268" s="11" t="s">
        <v>49</v>
      </c>
    </row>
    <row r="269" spans="2:27" ht="16" x14ac:dyDescent="0.2">
      <c r="B269" t="s">
        <v>35</v>
      </c>
      <c r="C269">
        <v>40362414</v>
      </c>
      <c r="D269" t="s">
        <v>409</v>
      </c>
      <c r="E269">
        <v>1012167</v>
      </c>
      <c r="F269" t="s">
        <v>70</v>
      </c>
      <c r="G269" s="9">
        <v>44971</v>
      </c>
      <c r="H269" s="7">
        <v>19958.047999999999</v>
      </c>
      <c r="I269" s="7"/>
      <c r="J269" s="7"/>
      <c r="K269" s="7"/>
      <c r="L269" s="10">
        <v>7.5</v>
      </c>
      <c r="M269" s="9">
        <v>44978</v>
      </c>
      <c r="N269" s="10">
        <v>9.5</v>
      </c>
      <c r="O269" s="9">
        <v>44987</v>
      </c>
      <c r="P269">
        <v>25</v>
      </c>
      <c r="Q269" s="11" t="s">
        <v>49</v>
      </c>
      <c r="R269" s="7">
        <v>19958.047999999999</v>
      </c>
      <c r="S269" s="7"/>
      <c r="T269" s="7"/>
      <c r="U269" s="7"/>
      <c r="V269" s="10">
        <v>9.5</v>
      </c>
      <c r="W269" s="9">
        <v>44980</v>
      </c>
      <c r="X269" s="10">
        <v>11.5</v>
      </c>
      <c r="Y269" s="9">
        <v>44987</v>
      </c>
      <c r="Z269">
        <v>25</v>
      </c>
      <c r="AA269" s="11" t="s">
        <v>49</v>
      </c>
    </row>
    <row r="270" spans="2:27" ht="16" x14ac:dyDescent="0.2">
      <c r="B270" t="s">
        <v>35</v>
      </c>
      <c r="C270">
        <v>40362409</v>
      </c>
      <c r="D270" t="s">
        <v>409</v>
      </c>
      <c r="E270">
        <v>1012167</v>
      </c>
      <c r="F270" t="s">
        <v>70</v>
      </c>
      <c r="G270" s="9">
        <v>44978</v>
      </c>
      <c r="H270" s="7">
        <v>19958.047999999999</v>
      </c>
      <c r="I270" s="7"/>
      <c r="J270" s="7"/>
      <c r="K270" s="7"/>
      <c r="L270" s="10">
        <v>7.5</v>
      </c>
      <c r="M270" s="9">
        <v>44985</v>
      </c>
      <c r="N270" s="10">
        <v>9.5</v>
      </c>
      <c r="O270" s="9">
        <v>44994</v>
      </c>
      <c r="P270">
        <v>19</v>
      </c>
      <c r="Q270" s="11" t="s">
        <v>49</v>
      </c>
      <c r="R270" s="7">
        <v>19958.047999999999</v>
      </c>
      <c r="S270" s="7"/>
      <c r="T270" s="7"/>
      <c r="U270" s="7"/>
      <c r="V270" s="10">
        <v>9.5</v>
      </c>
      <c r="W270" s="9">
        <v>44987</v>
      </c>
      <c r="X270" s="10">
        <v>11.5</v>
      </c>
      <c r="Y270" s="9">
        <v>44994</v>
      </c>
      <c r="Z270">
        <v>19</v>
      </c>
      <c r="AA270" s="11" t="s">
        <v>49</v>
      </c>
    </row>
    <row r="271" spans="2:27" ht="16" x14ac:dyDescent="0.2">
      <c r="B271" t="s">
        <v>35</v>
      </c>
      <c r="C271">
        <v>40362402</v>
      </c>
      <c r="D271" t="s">
        <v>409</v>
      </c>
      <c r="E271">
        <v>1012145</v>
      </c>
      <c r="F271" t="s">
        <v>84</v>
      </c>
      <c r="G271" s="9">
        <v>44971</v>
      </c>
      <c r="H271" s="7">
        <v>19758.467519999998</v>
      </c>
      <c r="I271" s="7"/>
      <c r="J271" s="7"/>
      <c r="K271" s="7"/>
      <c r="L271" s="10">
        <v>7.5</v>
      </c>
      <c r="M271" s="9">
        <v>44978</v>
      </c>
      <c r="N271" s="10">
        <v>9.5</v>
      </c>
      <c r="O271" s="9">
        <v>44987</v>
      </c>
      <c r="P271">
        <v>25</v>
      </c>
      <c r="Q271" s="11" t="s">
        <v>49</v>
      </c>
      <c r="R271" s="7">
        <v>19758.467519999998</v>
      </c>
      <c r="S271" s="7"/>
      <c r="T271" s="7"/>
      <c r="U271" s="7"/>
      <c r="V271" s="10">
        <v>9.5</v>
      </c>
      <c r="W271" s="9">
        <v>44980</v>
      </c>
      <c r="X271" s="10">
        <v>11.5</v>
      </c>
      <c r="Y271" s="9">
        <v>44987</v>
      </c>
      <c r="Z271">
        <v>25</v>
      </c>
      <c r="AA271" s="11" t="s">
        <v>49</v>
      </c>
    </row>
    <row r="272" spans="2:27" ht="16" x14ac:dyDescent="0.2">
      <c r="B272" t="s">
        <v>35</v>
      </c>
      <c r="C272">
        <v>40362400</v>
      </c>
      <c r="D272" t="s">
        <v>409</v>
      </c>
      <c r="E272">
        <v>1012145</v>
      </c>
      <c r="F272" t="s">
        <v>84</v>
      </c>
      <c r="G272" s="9">
        <v>44970</v>
      </c>
      <c r="H272" s="7">
        <v>19758.467519999998</v>
      </c>
      <c r="I272" s="7"/>
      <c r="J272" s="7"/>
      <c r="K272" s="7"/>
      <c r="L272" s="10">
        <v>7.5</v>
      </c>
      <c r="M272" s="9">
        <v>44977</v>
      </c>
      <c r="N272" s="10">
        <v>9.5</v>
      </c>
      <c r="O272" s="9">
        <v>44986</v>
      </c>
      <c r="P272">
        <v>26</v>
      </c>
      <c r="Q272" s="11" t="s">
        <v>49</v>
      </c>
      <c r="R272" s="7">
        <v>19758.467519999998</v>
      </c>
      <c r="S272" s="7"/>
      <c r="T272" s="7"/>
      <c r="U272" s="7"/>
      <c r="V272" s="10">
        <v>9.5</v>
      </c>
      <c r="W272" s="9">
        <v>44979</v>
      </c>
      <c r="X272" s="10">
        <v>11.5</v>
      </c>
      <c r="Y272" s="9">
        <v>44986</v>
      </c>
      <c r="Z272">
        <v>26</v>
      </c>
      <c r="AA272" s="11" t="s">
        <v>49</v>
      </c>
    </row>
    <row r="273" spans="2:27" ht="16" x14ac:dyDescent="0.2">
      <c r="B273" t="s">
        <v>35</v>
      </c>
      <c r="C273">
        <v>40362392</v>
      </c>
      <c r="D273" t="s">
        <v>409</v>
      </c>
      <c r="E273">
        <v>1012111</v>
      </c>
      <c r="F273" t="s">
        <v>137</v>
      </c>
      <c r="G273" s="9">
        <v>44965</v>
      </c>
      <c r="H273" s="7"/>
      <c r="I273" s="7"/>
      <c r="J273" s="7"/>
      <c r="K273" s="7"/>
      <c r="L273" s="10">
        <v>7.5</v>
      </c>
      <c r="M273" s="9">
        <v>44972</v>
      </c>
      <c r="N273" s="10">
        <v>9.5</v>
      </c>
      <c r="O273" s="9">
        <v>44981</v>
      </c>
      <c r="P273">
        <v>3</v>
      </c>
      <c r="Q273" s="11" t="s">
        <v>49</v>
      </c>
      <c r="R273" s="7"/>
      <c r="S273" s="7"/>
      <c r="T273" s="7"/>
      <c r="U273" s="7"/>
      <c r="V273" s="10">
        <v>9.5</v>
      </c>
      <c r="W273" s="9">
        <v>44974</v>
      </c>
      <c r="X273" s="10">
        <v>11.5</v>
      </c>
      <c r="Y273" s="9">
        <v>44981</v>
      </c>
      <c r="Z273">
        <v>3</v>
      </c>
      <c r="AA273" s="11" t="s">
        <v>49</v>
      </c>
    </row>
    <row r="274" spans="2:27" ht="16" x14ac:dyDescent="0.2">
      <c r="B274" t="s">
        <v>35</v>
      </c>
      <c r="C274">
        <v>40362391</v>
      </c>
      <c r="D274" t="s">
        <v>409</v>
      </c>
      <c r="E274">
        <v>1012522</v>
      </c>
      <c r="F274" t="s">
        <v>115</v>
      </c>
      <c r="G274" s="9">
        <v>44971</v>
      </c>
      <c r="H274" s="7">
        <v>18143.68</v>
      </c>
      <c r="I274" s="7"/>
      <c r="J274" s="7"/>
      <c r="K274" s="7"/>
      <c r="L274" s="10">
        <v>7.5</v>
      </c>
      <c r="M274" s="9">
        <v>44978</v>
      </c>
      <c r="N274" s="10">
        <v>9.5</v>
      </c>
      <c r="O274" s="9">
        <v>44987</v>
      </c>
      <c r="P274">
        <v>25</v>
      </c>
      <c r="Q274" s="11" t="s">
        <v>49</v>
      </c>
      <c r="R274" s="7">
        <v>18143.68</v>
      </c>
      <c r="S274" s="7"/>
      <c r="T274" s="7"/>
      <c r="U274" s="7"/>
      <c r="V274" s="10">
        <v>9.5</v>
      </c>
      <c r="W274" s="9">
        <v>44980</v>
      </c>
      <c r="X274" s="10">
        <v>11.5</v>
      </c>
      <c r="Y274" s="9">
        <v>44987</v>
      </c>
      <c r="Z274">
        <v>25</v>
      </c>
      <c r="AA274" s="11" t="s">
        <v>49</v>
      </c>
    </row>
    <row r="275" spans="2:27" ht="16" x14ac:dyDescent="0.2">
      <c r="B275" t="s">
        <v>35</v>
      </c>
      <c r="C275">
        <v>40362382</v>
      </c>
      <c r="D275" t="s">
        <v>409</v>
      </c>
      <c r="E275">
        <v>1012522</v>
      </c>
      <c r="F275" t="s">
        <v>115</v>
      </c>
      <c r="G275" s="9">
        <v>44965</v>
      </c>
      <c r="H275" s="7"/>
      <c r="I275" s="7"/>
      <c r="J275" s="7"/>
      <c r="K275" s="7"/>
      <c r="L275" s="10">
        <v>7.5</v>
      </c>
      <c r="M275" s="9">
        <v>44972</v>
      </c>
      <c r="N275" s="10">
        <v>9.5</v>
      </c>
      <c r="O275" s="9">
        <v>44981</v>
      </c>
      <c r="P275">
        <v>3</v>
      </c>
      <c r="Q275" s="11" t="s">
        <v>49</v>
      </c>
      <c r="R275" s="7"/>
      <c r="S275" s="7"/>
      <c r="T275" s="7"/>
      <c r="U275" s="7"/>
      <c r="V275" s="10">
        <v>9.5</v>
      </c>
      <c r="W275" s="9">
        <v>44974</v>
      </c>
      <c r="X275" s="10">
        <v>11.5</v>
      </c>
      <c r="Y275" s="9">
        <v>44981</v>
      </c>
      <c r="Z275">
        <v>3</v>
      </c>
      <c r="AA275" s="11" t="s">
        <v>49</v>
      </c>
    </row>
    <row r="276" spans="2:27" ht="16" x14ac:dyDescent="0.2">
      <c r="B276" t="s">
        <v>35</v>
      </c>
      <c r="C276">
        <v>40362380</v>
      </c>
      <c r="D276" t="s">
        <v>409</v>
      </c>
      <c r="E276">
        <v>1012109</v>
      </c>
      <c r="F276" t="s">
        <v>68</v>
      </c>
      <c r="G276" s="9">
        <v>44971</v>
      </c>
      <c r="H276" s="7">
        <v>19958.047999999999</v>
      </c>
      <c r="I276" s="7"/>
      <c r="J276" s="7"/>
      <c r="K276" s="7"/>
      <c r="L276" s="10">
        <v>7.5</v>
      </c>
      <c r="M276" s="9">
        <v>44978</v>
      </c>
      <c r="N276" s="10">
        <v>9.5</v>
      </c>
      <c r="O276" s="9">
        <v>44987</v>
      </c>
      <c r="P276">
        <v>25</v>
      </c>
      <c r="Q276" s="11" t="s">
        <v>49</v>
      </c>
      <c r="R276" s="7">
        <v>19958.047999999999</v>
      </c>
      <c r="S276" s="7"/>
      <c r="T276" s="7"/>
      <c r="U276" s="7"/>
      <c r="V276" s="10">
        <v>9.5</v>
      </c>
      <c r="W276" s="9">
        <v>44980</v>
      </c>
      <c r="X276" s="10">
        <v>11.5</v>
      </c>
      <c r="Y276" s="9">
        <v>44987</v>
      </c>
      <c r="Z276">
        <v>25</v>
      </c>
      <c r="AA276" s="11" t="s">
        <v>49</v>
      </c>
    </row>
    <row r="277" spans="2:27" ht="16" x14ac:dyDescent="0.2">
      <c r="B277" t="s">
        <v>35</v>
      </c>
      <c r="C277">
        <v>40362379</v>
      </c>
      <c r="D277" t="s">
        <v>409</v>
      </c>
      <c r="E277">
        <v>1012109</v>
      </c>
      <c r="F277" t="s">
        <v>68</v>
      </c>
      <c r="G277" s="9">
        <v>44971</v>
      </c>
      <c r="H277" s="7">
        <v>19958.047999999999</v>
      </c>
      <c r="I277" s="7"/>
      <c r="J277" s="7"/>
      <c r="K277" s="7"/>
      <c r="L277" s="10">
        <v>7.5</v>
      </c>
      <c r="M277" s="9">
        <v>44978</v>
      </c>
      <c r="N277" s="10">
        <v>9.5</v>
      </c>
      <c r="O277" s="9">
        <v>44987</v>
      </c>
      <c r="P277">
        <v>25</v>
      </c>
      <c r="Q277" s="11" t="s">
        <v>49</v>
      </c>
      <c r="R277" s="7">
        <v>19958.047999999999</v>
      </c>
      <c r="S277" s="7"/>
      <c r="T277" s="7"/>
      <c r="U277" s="7"/>
      <c r="V277" s="10">
        <v>9.5</v>
      </c>
      <c r="W277" s="9">
        <v>44980</v>
      </c>
      <c r="X277" s="10">
        <v>11.5</v>
      </c>
      <c r="Y277" s="9">
        <v>44987</v>
      </c>
      <c r="Z277">
        <v>25</v>
      </c>
      <c r="AA277" s="11" t="s">
        <v>49</v>
      </c>
    </row>
    <row r="278" spans="2:27" ht="16" x14ac:dyDescent="0.2">
      <c r="B278" t="s">
        <v>35</v>
      </c>
      <c r="C278">
        <v>40362375</v>
      </c>
      <c r="D278" t="s">
        <v>409</v>
      </c>
      <c r="E278">
        <v>1021140</v>
      </c>
      <c r="F278" t="s">
        <v>412</v>
      </c>
      <c r="G278" s="9">
        <v>44975</v>
      </c>
      <c r="H278" s="7">
        <v>81.406156240000001</v>
      </c>
      <c r="I278" s="7"/>
      <c r="J278" s="7"/>
      <c r="K278" s="7"/>
      <c r="L278" s="10">
        <v>7.5</v>
      </c>
      <c r="M278" s="9">
        <v>44982</v>
      </c>
      <c r="N278" s="10">
        <v>9.5</v>
      </c>
      <c r="O278" s="9">
        <v>44991</v>
      </c>
      <c r="P278">
        <v>22</v>
      </c>
      <c r="Q278" s="11" t="s">
        <v>49</v>
      </c>
      <c r="R278" s="7">
        <v>81.406156240000001</v>
      </c>
      <c r="S278" s="7"/>
      <c r="T278" s="7"/>
      <c r="U278" s="7"/>
      <c r="V278" s="10">
        <v>9.5</v>
      </c>
      <c r="W278" s="9">
        <v>44984</v>
      </c>
      <c r="X278" s="10">
        <v>11.5</v>
      </c>
      <c r="Y278" s="9">
        <v>44991</v>
      </c>
      <c r="Z278">
        <v>22</v>
      </c>
      <c r="AA278" s="11" t="s">
        <v>49</v>
      </c>
    </row>
    <row r="279" spans="2:27" x14ac:dyDescent="0.2">
      <c r="B279" t="s">
        <v>394</v>
      </c>
      <c r="C279">
        <v>40362340</v>
      </c>
      <c r="D279" t="s">
        <v>485</v>
      </c>
      <c r="E279">
        <v>1020848</v>
      </c>
      <c r="F279" t="s">
        <v>503</v>
      </c>
      <c r="G279" s="9">
        <v>44969</v>
      </c>
      <c r="H279" s="7"/>
      <c r="I279" s="7"/>
      <c r="J279" s="7"/>
      <c r="K279" s="7"/>
      <c r="L279" s="10"/>
      <c r="N279" s="10"/>
      <c r="Q279" s="11"/>
      <c r="R279" s="7"/>
      <c r="S279" s="7"/>
      <c r="T279" s="7"/>
      <c r="U279" s="7"/>
      <c r="V279" s="10"/>
      <c r="X279" s="10"/>
      <c r="AA279" s="11"/>
    </row>
    <row r="280" spans="2:27" x14ac:dyDescent="0.2">
      <c r="B280" t="s">
        <v>394</v>
      </c>
      <c r="C280">
        <v>40362338</v>
      </c>
      <c r="D280" t="s">
        <v>485</v>
      </c>
      <c r="E280">
        <v>1020944</v>
      </c>
      <c r="F280" t="s">
        <v>498</v>
      </c>
      <c r="G280" s="9">
        <v>44969</v>
      </c>
      <c r="H280" s="7"/>
      <c r="I280" s="7"/>
      <c r="J280" s="7"/>
      <c r="K280" s="7"/>
      <c r="L280" s="10"/>
      <c r="N280" s="10"/>
      <c r="Q280" s="11"/>
      <c r="R280" s="7"/>
      <c r="S280" s="7"/>
      <c r="T280" s="7"/>
      <c r="U280" s="7"/>
      <c r="V280" s="10"/>
      <c r="X280" s="10"/>
      <c r="AA280" s="11"/>
    </row>
    <row r="281" spans="2:27" x14ac:dyDescent="0.2">
      <c r="B281" t="s">
        <v>394</v>
      </c>
      <c r="C281">
        <v>40362326</v>
      </c>
      <c r="D281" t="s">
        <v>485</v>
      </c>
      <c r="E281">
        <v>1030817</v>
      </c>
      <c r="F281" t="s">
        <v>504</v>
      </c>
      <c r="G281" s="9">
        <v>44961</v>
      </c>
      <c r="H281" s="7"/>
      <c r="I281" s="7"/>
      <c r="J281" s="7"/>
      <c r="K281" s="7"/>
      <c r="L281" s="10"/>
      <c r="N281" s="10"/>
      <c r="Q281" s="11"/>
      <c r="R281" s="7"/>
      <c r="S281" s="7"/>
      <c r="T281" s="7"/>
      <c r="U281" s="7"/>
      <c r="V281" s="10"/>
      <c r="X281" s="10"/>
      <c r="AA281" s="11"/>
    </row>
    <row r="282" spans="2:27" x14ac:dyDescent="0.2">
      <c r="B282" t="s">
        <v>394</v>
      </c>
      <c r="C282">
        <v>40362307</v>
      </c>
      <c r="D282" t="s">
        <v>485</v>
      </c>
      <c r="E282">
        <v>1021385</v>
      </c>
      <c r="F282" t="s">
        <v>495</v>
      </c>
      <c r="G282" s="9">
        <v>44960</v>
      </c>
      <c r="H282" s="7"/>
      <c r="I282" s="7"/>
      <c r="J282" s="7"/>
      <c r="K282" s="7"/>
      <c r="L282" s="10"/>
      <c r="N282" s="10"/>
      <c r="Q282" s="11"/>
      <c r="R282" s="7"/>
      <c r="S282" s="7"/>
      <c r="T282" s="7"/>
      <c r="U282" s="7"/>
      <c r="V282" s="10"/>
      <c r="X282" s="10"/>
      <c r="AA282" s="11"/>
    </row>
    <row r="283" spans="2:27" x14ac:dyDescent="0.2">
      <c r="B283" t="s">
        <v>394</v>
      </c>
      <c r="C283">
        <v>40362306</v>
      </c>
      <c r="D283" t="s">
        <v>485</v>
      </c>
      <c r="E283">
        <v>1020412</v>
      </c>
      <c r="F283" t="s">
        <v>486</v>
      </c>
      <c r="G283" s="9">
        <v>44962</v>
      </c>
      <c r="H283" s="7"/>
      <c r="I283" s="7"/>
      <c r="J283" s="7"/>
      <c r="K283" s="7"/>
      <c r="L283" s="10"/>
      <c r="N283" s="10"/>
      <c r="Q283" s="11"/>
      <c r="R283" s="7"/>
      <c r="S283" s="7"/>
      <c r="T283" s="7"/>
      <c r="U283" s="7"/>
      <c r="V283" s="10"/>
      <c r="X283" s="10"/>
      <c r="AA283" s="11"/>
    </row>
    <row r="284" spans="2:27" x14ac:dyDescent="0.2">
      <c r="B284" t="s">
        <v>394</v>
      </c>
      <c r="C284">
        <v>40362305</v>
      </c>
      <c r="D284" t="s">
        <v>485</v>
      </c>
      <c r="E284">
        <v>1020412</v>
      </c>
      <c r="F284" t="s">
        <v>486</v>
      </c>
      <c r="G284" s="9">
        <v>44954</v>
      </c>
      <c r="H284" s="7"/>
      <c r="I284" s="7"/>
      <c r="J284" s="7"/>
      <c r="K284" s="7"/>
      <c r="L284" s="10"/>
      <c r="N284" s="10"/>
      <c r="Q284" s="11"/>
      <c r="R284" s="7"/>
      <c r="S284" s="7"/>
      <c r="T284" s="7"/>
      <c r="U284" s="7"/>
      <c r="V284" s="10"/>
      <c r="X284" s="10"/>
      <c r="AA284" s="11"/>
    </row>
    <row r="285" spans="2:27" x14ac:dyDescent="0.2">
      <c r="B285" t="s">
        <v>394</v>
      </c>
      <c r="C285">
        <v>40362302</v>
      </c>
      <c r="D285" t="s">
        <v>485</v>
      </c>
      <c r="E285">
        <v>1020339</v>
      </c>
      <c r="F285" t="s">
        <v>599</v>
      </c>
      <c r="G285" s="9">
        <v>44961</v>
      </c>
      <c r="H285" s="7"/>
      <c r="I285" s="7"/>
      <c r="J285" s="7"/>
      <c r="K285" s="7"/>
      <c r="L285" s="10"/>
      <c r="N285" s="10"/>
      <c r="Q285" s="11"/>
      <c r="R285" s="7"/>
      <c r="S285" s="7"/>
      <c r="T285" s="7"/>
      <c r="U285" s="7"/>
      <c r="V285" s="10"/>
      <c r="X285" s="10"/>
      <c r="AA285" s="11"/>
    </row>
    <row r="286" spans="2:27" ht="16" x14ac:dyDescent="0.2">
      <c r="B286" t="s">
        <v>35</v>
      </c>
      <c r="C286">
        <v>40362295</v>
      </c>
      <c r="D286" t="s">
        <v>409</v>
      </c>
      <c r="E286">
        <v>1012158</v>
      </c>
      <c r="F286" t="s">
        <v>86</v>
      </c>
      <c r="G286" s="9">
        <v>44972</v>
      </c>
      <c r="H286" s="7">
        <v>19958.047999999999</v>
      </c>
      <c r="I286" s="7"/>
      <c r="J286" s="7"/>
      <c r="K286" s="7"/>
      <c r="L286" s="10">
        <v>7.5</v>
      </c>
      <c r="M286" s="9">
        <v>44979</v>
      </c>
      <c r="N286" s="10">
        <v>9.5</v>
      </c>
      <c r="O286" s="9">
        <v>44988</v>
      </c>
      <c r="P286">
        <v>24</v>
      </c>
      <c r="Q286" s="11" t="s">
        <v>49</v>
      </c>
      <c r="R286" s="7">
        <v>19958.047999999999</v>
      </c>
      <c r="S286" s="7"/>
      <c r="T286" s="7"/>
      <c r="U286" s="7"/>
      <c r="V286" s="10">
        <v>9.5</v>
      </c>
      <c r="W286" s="9">
        <v>44981</v>
      </c>
      <c r="X286" s="10">
        <v>11.5</v>
      </c>
      <c r="Y286" s="9">
        <v>44988</v>
      </c>
      <c r="Z286">
        <v>24</v>
      </c>
      <c r="AA286" s="11" t="s">
        <v>49</v>
      </c>
    </row>
    <row r="287" spans="2:27" ht="16" x14ac:dyDescent="0.2">
      <c r="B287" t="s">
        <v>35</v>
      </c>
      <c r="C287">
        <v>40362270</v>
      </c>
      <c r="D287" t="s">
        <v>389</v>
      </c>
      <c r="E287">
        <v>1030525</v>
      </c>
      <c r="F287" t="s">
        <v>377</v>
      </c>
      <c r="G287" s="9">
        <v>44989</v>
      </c>
      <c r="H287" s="7">
        <v>24000</v>
      </c>
      <c r="I287" s="7"/>
      <c r="J287" s="7"/>
      <c r="K287" s="7"/>
      <c r="L287" s="10">
        <v>5.5741092456127026</v>
      </c>
      <c r="M287" s="9">
        <v>44994</v>
      </c>
      <c r="N287" s="10">
        <v>5.5</v>
      </c>
      <c r="O287" s="9">
        <v>44999</v>
      </c>
      <c r="P287">
        <v>15</v>
      </c>
      <c r="Q287" s="11" t="s">
        <v>49</v>
      </c>
      <c r="R287" s="7">
        <v>24000</v>
      </c>
      <c r="S287" s="7"/>
      <c r="T287" s="7"/>
      <c r="U287" s="7"/>
      <c r="V287" s="10">
        <v>7.5741092456127026</v>
      </c>
      <c r="W287" s="9">
        <v>44996</v>
      </c>
      <c r="X287" s="10">
        <v>7.5</v>
      </c>
      <c r="Y287" s="9">
        <v>44999</v>
      </c>
      <c r="Z287">
        <v>15</v>
      </c>
      <c r="AA287" s="11" t="s">
        <v>49</v>
      </c>
    </row>
    <row r="288" spans="2:27" ht="16" x14ac:dyDescent="0.2">
      <c r="B288" t="s">
        <v>35</v>
      </c>
      <c r="C288">
        <v>40362253</v>
      </c>
      <c r="D288" t="s">
        <v>389</v>
      </c>
      <c r="E288">
        <v>1030685</v>
      </c>
      <c r="F288" t="s">
        <v>413</v>
      </c>
      <c r="G288" s="9">
        <v>44984</v>
      </c>
      <c r="H288" s="7">
        <v>24000</v>
      </c>
      <c r="I288" s="7"/>
      <c r="J288" s="7"/>
      <c r="K288" s="7"/>
      <c r="L288" s="10">
        <v>5.5741092456127026</v>
      </c>
      <c r="M288" s="9">
        <v>44989</v>
      </c>
      <c r="N288" s="10">
        <v>5.5</v>
      </c>
      <c r="O288" s="9">
        <v>44994</v>
      </c>
      <c r="P288">
        <v>19</v>
      </c>
      <c r="Q288" s="11" t="s">
        <v>49</v>
      </c>
      <c r="R288" s="7">
        <v>24000</v>
      </c>
      <c r="S288" s="7"/>
      <c r="T288" s="7"/>
      <c r="U288" s="7"/>
      <c r="V288" s="10">
        <v>7.5741092456127026</v>
      </c>
      <c r="W288" s="9">
        <v>44991</v>
      </c>
      <c r="X288" s="10">
        <v>7.5</v>
      </c>
      <c r="Y288" s="9">
        <v>44994</v>
      </c>
      <c r="Z288">
        <v>19</v>
      </c>
      <c r="AA288" s="11" t="s">
        <v>49</v>
      </c>
    </row>
    <row r="289" spans="2:27" ht="16" x14ac:dyDescent="0.2">
      <c r="B289" t="s">
        <v>35</v>
      </c>
      <c r="C289">
        <v>40362252</v>
      </c>
      <c r="D289" t="s">
        <v>389</v>
      </c>
      <c r="E289">
        <v>1030685</v>
      </c>
      <c r="F289" t="s">
        <v>413</v>
      </c>
      <c r="G289" s="9">
        <v>44978</v>
      </c>
      <c r="H289" s="7">
        <v>24000</v>
      </c>
      <c r="I289" s="7"/>
      <c r="J289" s="7"/>
      <c r="K289" s="7"/>
      <c r="L289" s="10">
        <v>5.5741092456127026</v>
      </c>
      <c r="M289" s="9">
        <v>44983</v>
      </c>
      <c r="N289" s="10">
        <v>5.5</v>
      </c>
      <c r="O289" s="9">
        <v>44988</v>
      </c>
      <c r="P289">
        <v>24</v>
      </c>
      <c r="Q289" s="11" t="s">
        <v>49</v>
      </c>
      <c r="R289" s="7">
        <v>24000</v>
      </c>
      <c r="S289" s="7"/>
      <c r="T289" s="7"/>
      <c r="U289" s="7"/>
      <c r="V289" s="10">
        <v>7.5741092456127026</v>
      </c>
      <c r="W289" s="9">
        <v>44985</v>
      </c>
      <c r="X289" s="10">
        <v>7.5</v>
      </c>
      <c r="Y289" s="9">
        <v>44988</v>
      </c>
      <c r="Z289">
        <v>24</v>
      </c>
      <c r="AA289" s="11" t="s">
        <v>49</v>
      </c>
    </row>
    <row r="290" spans="2:27" ht="16" x14ac:dyDescent="0.2">
      <c r="B290" t="s">
        <v>35</v>
      </c>
      <c r="C290">
        <v>40362251</v>
      </c>
      <c r="D290" t="s">
        <v>389</v>
      </c>
      <c r="E290">
        <v>1030685</v>
      </c>
      <c r="F290" t="s">
        <v>413</v>
      </c>
      <c r="G290" s="9">
        <v>44978</v>
      </c>
      <c r="H290" s="7">
        <v>24000</v>
      </c>
      <c r="I290" s="7"/>
      <c r="J290" s="7"/>
      <c r="K290" s="7"/>
      <c r="L290" s="10">
        <v>5.5741092456127026</v>
      </c>
      <c r="M290" s="9">
        <v>44983</v>
      </c>
      <c r="N290" s="10">
        <v>5.5</v>
      </c>
      <c r="O290" s="9">
        <v>44988</v>
      </c>
      <c r="P290">
        <v>24</v>
      </c>
      <c r="Q290" s="11" t="s">
        <v>49</v>
      </c>
      <c r="R290" s="7">
        <v>24000</v>
      </c>
      <c r="S290" s="7"/>
      <c r="T290" s="7"/>
      <c r="U290" s="7"/>
      <c r="V290" s="10">
        <v>7.5741092456127026</v>
      </c>
      <c r="W290" s="9">
        <v>44985</v>
      </c>
      <c r="X290" s="10">
        <v>7.5</v>
      </c>
      <c r="Y290" s="9">
        <v>44988</v>
      </c>
      <c r="Z290">
        <v>24</v>
      </c>
      <c r="AA290" s="11" t="s">
        <v>49</v>
      </c>
    </row>
    <row r="291" spans="2:27" ht="16" x14ac:dyDescent="0.2">
      <c r="B291" t="s">
        <v>35</v>
      </c>
      <c r="C291">
        <v>40362247</v>
      </c>
      <c r="D291" t="s">
        <v>389</v>
      </c>
      <c r="E291">
        <v>1022378</v>
      </c>
      <c r="F291" t="s">
        <v>304</v>
      </c>
      <c r="G291" s="9">
        <v>44985</v>
      </c>
      <c r="H291" s="7">
        <v>14000</v>
      </c>
      <c r="I291" s="7"/>
      <c r="J291" s="7"/>
      <c r="K291" s="7"/>
      <c r="L291" s="10">
        <v>5.5741092456127026</v>
      </c>
      <c r="M291" s="9">
        <v>44990</v>
      </c>
      <c r="N291" s="10">
        <v>5.5</v>
      </c>
      <c r="O291" s="9">
        <v>44995</v>
      </c>
      <c r="P291">
        <v>18</v>
      </c>
      <c r="Q291" s="11" t="s">
        <v>49</v>
      </c>
      <c r="R291" s="7">
        <v>14000</v>
      </c>
      <c r="S291" s="7"/>
      <c r="T291" s="7"/>
      <c r="U291" s="7"/>
      <c r="V291" s="10">
        <v>7.5741092456127026</v>
      </c>
      <c r="W291" s="9">
        <v>44992</v>
      </c>
      <c r="X291" s="10">
        <v>7.5</v>
      </c>
      <c r="Y291" s="9">
        <v>44995</v>
      </c>
      <c r="Z291">
        <v>18</v>
      </c>
      <c r="AA291" s="11" t="s">
        <v>49</v>
      </c>
    </row>
    <row r="292" spans="2:27" ht="16" x14ac:dyDescent="0.2">
      <c r="B292" t="s">
        <v>35</v>
      </c>
      <c r="C292">
        <v>40362247</v>
      </c>
      <c r="D292" t="s">
        <v>389</v>
      </c>
      <c r="E292">
        <v>1022378</v>
      </c>
      <c r="F292" t="s">
        <v>304</v>
      </c>
      <c r="G292" s="9">
        <v>44985</v>
      </c>
      <c r="H292" s="7">
        <v>24000</v>
      </c>
      <c r="I292" s="7"/>
      <c r="J292" s="7"/>
      <c r="K292" s="7"/>
      <c r="L292" s="10">
        <v>5.5741092456127026</v>
      </c>
      <c r="M292" s="9">
        <v>44990</v>
      </c>
      <c r="N292" s="10">
        <v>5.5</v>
      </c>
      <c r="O292" s="9">
        <v>44995</v>
      </c>
      <c r="P292">
        <v>18</v>
      </c>
      <c r="Q292" s="11" t="s">
        <v>49</v>
      </c>
      <c r="R292" s="7">
        <v>24000</v>
      </c>
      <c r="S292" s="7"/>
      <c r="T292" s="7"/>
      <c r="U292" s="7"/>
      <c r="V292" s="10">
        <v>7.5741092456127026</v>
      </c>
      <c r="W292" s="9">
        <v>44992</v>
      </c>
      <c r="X292" s="10">
        <v>7.5</v>
      </c>
      <c r="Y292" s="9">
        <v>44995</v>
      </c>
      <c r="Z292">
        <v>18</v>
      </c>
      <c r="AA292" s="11" t="s">
        <v>49</v>
      </c>
    </row>
    <row r="293" spans="2:27" ht="16" x14ac:dyDescent="0.2">
      <c r="B293" t="s">
        <v>35</v>
      </c>
      <c r="C293">
        <v>40362246</v>
      </c>
      <c r="D293" t="s">
        <v>389</v>
      </c>
      <c r="E293">
        <v>1022186</v>
      </c>
      <c r="F293" t="s">
        <v>388</v>
      </c>
      <c r="G293" s="9">
        <v>45003</v>
      </c>
      <c r="H293" s="7">
        <v>20538</v>
      </c>
      <c r="I293" s="7"/>
      <c r="J293" s="7"/>
      <c r="K293" s="7"/>
      <c r="L293" s="10">
        <v>5.5741092456127026</v>
      </c>
      <c r="M293" s="9">
        <v>45008</v>
      </c>
      <c r="N293" s="10">
        <v>5.5</v>
      </c>
      <c r="O293" s="9">
        <v>45013</v>
      </c>
      <c r="P293">
        <v>3</v>
      </c>
      <c r="Q293" s="11" t="s">
        <v>49</v>
      </c>
      <c r="R293" s="7">
        <v>20538</v>
      </c>
      <c r="S293" s="7"/>
      <c r="T293" s="7"/>
      <c r="U293" s="7"/>
      <c r="V293" s="10">
        <v>7.5741092456127026</v>
      </c>
      <c r="W293" s="9">
        <v>45010</v>
      </c>
      <c r="X293" s="10">
        <v>7.5</v>
      </c>
      <c r="Y293" s="9">
        <v>45013</v>
      </c>
      <c r="Z293">
        <v>3</v>
      </c>
      <c r="AA293" s="11" t="s">
        <v>49</v>
      </c>
    </row>
    <row r="294" spans="2:27" ht="16" x14ac:dyDescent="0.2">
      <c r="B294" t="s">
        <v>35</v>
      </c>
      <c r="C294">
        <v>40362246</v>
      </c>
      <c r="D294" t="s">
        <v>389</v>
      </c>
      <c r="E294">
        <v>1022186</v>
      </c>
      <c r="F294" t="s">
        <v>388</v>
      </c>
      <c r="G294" s="9">
        <v>45003</v>
      </c>
      <c r="H294" s="7">
        <v>24012</v>
      </c>
      <c r="I294" s="7"/>
      <c r="J294" s="7"/>
      <c r="K294" s="7"/>
      <c r="L294" s="10">
        <v>5.5741092456127026</v>
      </c>
      <c r="M294" s="9">
        <v>45008</v>
      </c>
      <c r="N294" s="10">
        <v>5.5</v>
      </c>
      <c r="O294" s="9">
        <v>45013</v>
      </c>
      <c r="P294">
        <v>3</v>
      </c>
      <c r="Q294" s="11" t="s">
        <v>49</v>
      </c>
      <c r="R294" s="7">
        <v>24012</v>
      </c>
      <c r="S294" s="7"/>
      <c r="T294" s="7"/>
      <c r="U294" s="7"/>
      <c r="V294" s="10">
        <v>7.5741092456127026</v>
      </c>
      <c r="W294" s="9">
        <v>45010</v>
      </c>
      <c r="X294" s="10">
        <v>7.5</v>
      </c>
      <c r="Y294" s="9">
        <v>45013</v>
      </c>
      <c r="Z294">
        <v>3</v>
      </c>
      <c r="AA294" s="11" t="s">
        <v>49</v>
      </c>
    </row>
    <row r="295" spans="2:27" ht="16" x14ac:dyDescent="0.2">
      <c r="B295" t="s">
        <v>35</v>
      </c>
      <c r="C295">
        <v>40362244</v>
      </c>
      <c r="D295" t="s">
        <v>389</v>
      </c>
      <c r="E295">
        <v>1022291</v>
      </c>
      <c r="F295" t="s">
        <v>414</v>
      </c>
      <c r="G295" s="9">
        <v>44981</v>
      </c>
      <c r="H295" s="7">
        <v>8796.4599999999991</v>
      </c>
      <c r="I295" s="7"/>
      <c r="J295" s="7"/>
      <c r="K295" s="7"/>
      <c r="L295" s="10">
        <v>5.5741092456127026</v>
      </c>
      <c r="M295" s="9">
        <v>44986</v>
      </c>
      <c r="N295" s="10">
        <v>5.5</v>
      </c>
      <c r="O295" s="9">
        <v>44991</v>
      </c>
      <c r="P295">
        <v>22</v>
      </c>
      <c r="Q295" s="11" t="s">
        <v>49</v>
      </c>
      <c r="R295" s="7">
        <v>8796.4599999999991</v>
      </c>
      <c r="S295" s="7"/>
      <c r="T295" s="7"/>
      <c r="U295" s="7"/>
      <c r="V295" s="10">
        <v>7.5741092456127026</v>
      </c>
      <c r="W295" s="9">
        <v>44988</v>
      </c>
      <c r="X295" s="10">
        <v>7.5</v>
      </c>
      <c r="Y295" s="9">
        <v>44991</v>
      </c>
      <c r="Z295">
        <v>22</v>
      </c>
      <c r="AA295" s="11" t="s">
        <v>49</v>
      </c>
    </row>
    <row r="296" spans="2:27" ht="16" x14ac:dyDescent="0.2">
      <c r="B296" t="s">
        <v>35</v>
      </c>
      <c r="C296">
        <v>40362244</v>
      </c>
      <c r="D296" t="s">
        <v>389</v>
      </c>
      <c r="E296">
        <v>1022291</v>
      </c>
      <c r="F296" t="s">
        <v>414</v>
      </c>
      <c r="G296" s="9">
        <v>44981</v>
      </c>
      <c r="H296" s="7">
        <v>24277.37</v>
      </c>
      <c r="I296" s="7"/>
      <c r="J296" s="7"/>
      <c r="K296" s="7"/>
      <c r="L296" s="10">
        <v>5.5741092456127026</v>
      </c>
      <c r="M296" s="9">
        <v>44986</v>
      </c>
      <c r="N296" s="10">
        <v>5.5</v>
      </c>
      <c r="O296" s="9">
        <v>44991</v>
      </c>
      <c r="P296">
        <v>22</v>
      </c>
      <c r="Q296" s="11" t="s">
        <v>49</v>
      </c>
      <c r="R296" s="7">
        <v>24277.37</v>
      </c>
      <c r="S296" s="7"/>
      <c r="T296" s="7"/>
      <c r="U296" s="7"/>
      <c r="V296" s="10">
        <v>7.5741092456127026</v>
      </c>
      <c r="W296" s="9">
        <v>44988</v>
      </c>
      <c r="X296" s="10">
        <v>7.5</v>
      </c>
      <c r="Y296" s="9">
        <v>44991</v>
      </c>
      <c r="Z296">
        <v>22</v>
      </c>
      <c r="AA296" s="11" t="s">
        <v>49</v>
      </c>
    </row>
    <row r="297" spans="2:27" ht="16" x14ac:dyDescent="0.2">
      <c r="B297" t="s">
        <v>35</v>
      </c>
      <c r="C297">
        <v>40362234</v>
      </c>
      <c r="D297" t="s">
        <v>389</v>
      </c>
      <c r="E297">
        <v>1022639</v>
      </c>
      <c r="F297" t="s">
        <v>316</v>
      </c>
      <c r="G297" s="9">
        <v>45004</v>
      </c>
      <c r="H297" s="7">
        <v>22415.66</v>
      </c>
      <c r="I297" s="7"/>
      <c r="J297" s="7"/>
      <c r="K297" s="7"/>
      <c r="L297" s="10">
        <v>5.5741092456127026</v>
      </c>
      <c r="M297" s="9">
        <v>45009</v>
      </c>
      <c r="N297" s="10">
        <v>5.5</v>
      </c>
      <c r="O297" s="9">
        <v>45014</v>
      </c>
      <c r="P297">
        <v>2</v>
      </c>
      <c r="Q297" s="11" t="s">
        <v>598</v>
      </c>
      <c r="R297" s="7">
        <v>22415.66</v>
      </c>
      <c r="S297" s="7"/>
      <c r="T297" s="7"/>
      <c r="U297" s="7"/>
      <c r="V297" s="10">
        <v>7.5741092456127026</v>
      </c>
      <c r="W297" s="9">
        <v>45011</v>
      </c>
      <c r="X297" s="10">
        <v>7.5</v>
      </c>
      <c r="Y297" s="9">
        <v>45014</v>
      </c>
      <c r="Z297">
        <v>2</v>
      </c>
      <c r="AA297" s="11" t="s">
        <v>598</v>
      </c>
    </row>
    <row r="298" spans="2:27" ht="16" x14ac:dyDescent="0.2">
      <c r="B298" t="s">
        <v>35</v>
      </c>
      <c r="C298">
        <v>40362233</v>
      </c>
      <c r="D298" t="s">
        <v>389</v>
      </c>
      <c r="E298">
        <v>1022639</v>
      </c>
      <c r="F298" t="s">
        <v>316</v>
      </c>
      <c r="G298" s="9">
        <v>44991</v>
      </c>
      <c r="H298" s="7">
        <v>22264.42</v>
      </c>
      <c r="I298" s="7"/>
      <c r="J298" s="7"/>
      <c r="K298" s="7"/>
      <c r="L298" s="10">
        <v>5.5741092456127026</v>
      </c>
      <c r="M298" s="9">
        <v>44996</v>
      </c>
      <c r="N298" s="10">
        <v>5.5</v>
      </c>
      <c r="O298" s="9">
        <v>45001</v>
      </c>
      <c r="P298">
        <v>13</v>
      </c>
      <c r="Q298" s="11" t="s">
        <v>49</v>
      </c>
      <c r="R298" s="7">
        <v>22264.42</v>
      </c>
      <c r="S298" s="7"/>
      <c r="T298" s="7"/>
      <c r="U298" s="7"/>
      <c r="V298" s="10">
        <v>7.5741092456127026</v>
      </c>
      <c r="W298" s="9">
        <v>44998</v>
      </c>
      <c r="X298" s="10">
        <v>7.5</v>
      </c>
      <c r="Y298" s="9">
        <v>45001</v>
      </c>
      <c r="Z298">
        <v>13</v>
      </c>
      <c r="AA298" s="11" t="s">
        <v>49</v>
      </c>
    </row>
    <row r="299" spans="2:27" ht="16" x14ac:dyDescent="0.2">
      <c r="B299" t="s">
        <v>35</v>
      </c>
      <c r="C299">
        <v>40362232</v>
      </c>
      <c r="D299" t="s">
        <v>389</v>
      </c>
      <c r="E299">
        <v>1022639</v>
      </c>
      <c r="F299" t="s">
        <v>316</v>
      </c>
      <c r="G299" s="9">
        <v>44991</v>
      </c>
      <c r="H299" s="7">
        <v>22448.799999999999</v>
      </c>
      <c r="I299" s="7"/>
      <c r="J299" s="7"/>
      <c r="K299" s="7"/>
      <c r="L299" s="10">
        <v>5.5741092456127026</v>
      </c>
      <c r="M299" s="9">
        <v>44996</v>
      </c>
      <c r="N299" s="10">
        <v>5.5</v>
      </c>
      <c r="O299" s="9">
        <v>45001</v>
      </c>
      <c r="P299">
        <v>13</v>
      </c>
      <c r="Q299" s="11" t="s">
        <v>49</v>
      </c>
      <c r="R299" s="7">
        <v>22448.799999999999</v>
      </c>
      <c r="S299" s="7"/>
      <c r="T299" s="7"/>
      <c r="U299" s="7"/>
      <c r="V299" s="10">
        <v>7.5741092456127026</v>
      </c>
      <c r="W299" s="9">
        <v>44998</v>
      </c>
      <c r="X299" s="10">
        <v>7.5</v>
      </c>
      <c r="Y299" s="9">
        <v>45001</v>
      </c>
      <c r="Z299">
        <v>13</v>
      </c>
      <c r="AA299" s="11" t="s">
        <v>49</v>
      </c>
    </row>
    <row r="300" spans="2:27" ht="16" x14ac:dyDescent="0.2">
      <c r="B300" t="s">
        <v>35</v>
      </c>
      <c r="C300">
        <v>40362231</v>
      </c>
      <c r="D300" t="s">
        <v>389</v>
      </c>
      <c r="E300">
        <v>1022639</v>
      </c>
      <c r="F300" t="s">
        <v>316</v>
      </c>
      <c r="G300" s="9">
        <v>44990</v>
      </c>
      <c r="H300" s="7">
        <v>22340.85</v>
      </c>
      <c r="I300" s="7"/>
      <c r="J300" s="7"/>
      <c r="K300" s="7"/>
      <c r="L300" s="10">
        <v>5.5741092456127026</v>
      </c>
      <c r="M300" s="9">
        <v>44995</v>
      </c>
      <c r="N300" s="10">
        <v>5.5</v>
      </c>
      <c r="O300" s="9">
        <v>45000</v>
      </c>
      <c r="P300">
        <v>14</v>
      </c>
      <c r="Q300" s="11" t="s">
        <v>49</v>
      </c>
      <c r="R300" s="7">
        <v>22340.85</v>
      </c>
      <c r="S300" s="7"/>
      <c r="T300" s="7"/>
      <c r="U300" s="7"/>
      <c r="V300" s="10">
        <v>7.5741092456127026</v>
      </c>
      <c r="W300" s="9">
        <v>44997</v>
      </c>
      <c r="X300" s="10">
        <v>7.5</v>
      </c>
      <c r="Y300" s="9">
        <v>45000</v>
      </c>
      <c r="Z300">
        <v>14</v>
      </c>
      <c r="AA300" s="11" t="s">
        <v>49</v>
      </c>
    </row>
    <row r="301" spans="2:27" ht="16" x14ac:dyDescent="0.2">
      <c r="B301" t="s">
        <v>35</v>
      </c>
      <c r="C301">
        <v>40362229</v>
      </c>
      <c r="D301" t="s">
        <v>389</v>
      </c>
      <c r="E301">
        <v>1022639</v>
      </c>
      <c r="F301" t="s">
        <v>316</v>
      </c>
      <c r="G301" s="9">
        <v>44991</v>
      </c>
      <c r="H301" s="7">
        <v>22286.38</v>
      </c>
      <c r="I301" s="7"/>
      <c r="J301" s="7"/>
      <c r="K301" s="7"/>
      <c r="L301" s="10">
        <v>5.5741092456127026</v>
      </c>
      <c r="M301" s="9">
        <v>44996</v>
      </c>
      <c r="N301" s="10">
        <v>5.5</v>
      </c>
      <c r="O301" s="9">
        <v>45001</v>
      </c>
      <c r="P301">
        <v>13</v>
      </c>
      <c r="Q301" s="11" t="s">
        <v>49</v>
      </c>
      <c r="R301" s="7">
        <v>22286.38</v>
      </c>
      <c r="S301" s="7"/>
      <c r="T301" s="7"/>
      <c r="U301" s="7"/>
      <c r="V301" s="10">
        <v>7.5741092456127026</v>
      </c>
      <c r="W301" s="9">
        <v>44998</v>
      </c>
      <c r="X301" s="10">
        <v>7.5</v>
      </c>
      <c r="Y301" s="9">
        <v>45001</v>
      </c>
      <c r="Z301">
        <v>13</v>
      </c>
      <c r="AA301" s="11" t="s">
        <v>49</v>
      </c>
    </row>
    <row r="302" spans="2:27" ht="16" x14ac:dyDescent="0.2">
      <c r="B302" t="s">
        <v>35</v>
      </c>
      <c r="C302">
        <v>40362228</v>
      </c>
      <c r="D302" t="s">
        <v>389</v>
      </c>
      <c r="E302">
        <v>1022639</v>
      </c>
      <c r="F302" t="s">
        <v>316</v>
      </c>
      <c r="G302" s="9">
        <v>44991</v>
      </c>
      <c r="H302" s="7">
        <v>22122.74</v>
      </c>
      <c r="I302" s="7"/>
      <c r="J302" s="7"/>
      <c r="K302" s="7"/>
      <c r="L302" s="10">
        <v>5.5741092456127026</v>
      </c>
      <c r="M302" s="9">
        <v>44996</v>
      </c>
      <c r="N302" s="10">
        <v>5.5</v>
      </c>
      <c r="O302" s="9">
        <v>45001</v>
      </c>
      <c r="P302">
        <v>13</v>
      </c>
      <c r="Q302" s="11" t="s">
        <v>49</v>
      </c>
      <c r="R302" s="7">
        <v>22122.74</v>
      </c>
      <c r="S302" s="7"/>
      <c r="T302" s="7"/>
      <c r="U302" s="7"/>
      <c r="V302" s="10">
        <v>7.5741092456127026</v>
      </c>
      <c r="W302" s="9">
        <v>44998</v>
      </c>
      <c r="X302" s="10">
        <v>7.5</v>
      </c>
      <c r="Y302" s="9">
        <v>45001</v>
      </c>
      <c r="Z302">
        <v>13</v>
      </c>
      <c r="AA302" s="11" t="s">
        <v>49</v>
      </c>
    </row>
    <row r="303" spans="2:27" ht="16" x14ac:dyDescent="0.2">
      <c r="B303" t="s">
        <v>35</v>
      </c>
      <c r="C303">
        <v>40362225</v>
      </c>
      <c r="D303" t="s">
        <v>389</v>
      </c>
      <c r="E303">
        <v>1022639</v>
      </c>
      <c r="F303" t="s">
        <v>316</v>
      </c>
      <c r="G303" s="9">
        <v>44987</v>
      </c>
      <c r="H303" s="7">
        <v>21758.22</v>
      </c>
      <c r="I303" s="7"/>
      <c r="J303" s="7"/>
      <c r="K303" s="7"/>
      <c r="L303" s="10">
        <v>5.5741092456127026</v>
      </c>
      <c r="M303" s="9">
        <v>44992</v>
      </c>
      <c r="N303" s="10">
        <v>5.5</v>
      </c>
      <c r="O303" s="9">
        <v>44997</v>
      </c>
      <c r="P303">
        <v>17</v>
      </c>
      <c r="Q303" s="11" t="s">
        <v>49</v>
      </c>
      <c r="R303" s="7">
        <v>21758.22</v>
      </c>
      <c r="S303" s="7"/>
      <c r="T303" s="7"/>
      <c r="U303" s="7"/>
      <c r="V303" s="10">
        <v>7.5741092456127026</v>
      </c>
      <c r="W303" s="9">
        <v>44994</v>
      </c>
      <c r="X303" s="10">
        <v>7.5</v>
      </c>
      <c r="Y303" s="9">
        <v>44997</v>
      </c>
      <c r="Z303">
        <v>17</v>
      </c>
      <c r="AA303" s="11" t="s">
        <v>49</v>
      </c>
    </row>
    <row r="304" spans="2:27" ht="16" x14ac:dyDescent="0.2">
      <c r="B304" t="s">
        <v>35</v>
      </c>
      <c r="C304">
        <v>40362224</v>
      </c>
      <c r="D304" t="s">
        <v>389</v>
      </c>
      <c r="E304">
        <v>1022639</v>
      </c>
      <c r="F304" t="s">
        <v>316</v>
      </c>
      <c r="G304" s="9">
        <v>44987</v>
      </c>
      <c r="H304" s="7">
        <v>22042.31</v>
      </c>
      <c r="I304" s="7"/>
      <c r="J304" s="7"/>
      <c r="K304" s="7"/>
      <c r="L304" s="10">
        <v>5.5741092456127026</v>
      </c>
      <c r="M304" s="9">
        <v>44992</v>
      </c>
      <c r="N304" s="10">
        <v>5.5</v>
      </c>
      <c r="O304" s="9">
        <v>44997</v>
      </c>
      <c r="P304">
        <v>17</v>
      </c>
      <c r="Q304" s="11" t="s">
        <v>49</v>
      </c>
      <c r="R304" s="7">
        <v>22042.31</v>
      </c>
      <c r="S304" s="7"/>
      <c r="T304" s="7"/>
      <c r="U304" s="7"/>
      <c r="V304" s="10">
        <v>7.5741092456127026</v>
      </c>
      <c r="W304" s="9">
        <v>44994</v>
      </c>
      <c r="X304" s="10">
        <v>7.5</v>
      </c>
      <c r="Y304" s="9">
        <v>44997</v>
      </c>
      <c r="Z304">
        <v>17</v>
      </c>
      <c r="AA304" s="11" t="s">
        <v>49</v>
      </c>
    </row>
    <row r="305" spans="2:27" ht="16" x14ac:dyDescent="0.2">
      <c r="B305" t="s">
        <v>35</v>
      </c>
      <c r="C305">
        <v>40362223</v>
      </c>
      <c r="D305" t="s">
        <v>389</v>
      </c>
      <c r="E305">
        <v>1022639</v>
      </c>
      <c r="F305" t="s">
        <v>316</v>
      </c>
      <c r="G305" s="9">
        <v>44987</v>
      </c>
      <c r="H305" s="7">
        <v>21974.71</v>
      </c>
      <c r="I305" s="7"/>
      <c r="J305" s="7"/>
      <c r="K305" s="7"/>
      <c r="L305" s="10">
        <v>5.5741092456127026</v>
      </c>
      <c r="M305" s="9">
        <v>44992</v>
      </c>
      <c r="N305" s="10">
        <v>5.5</v>
      </c>
      <c r="O305" s="9">
        <v>44997</v>
      </c>
      <c r="P305">
        <v>17</v>
      </c>
      <c r="Q305" s="11" t="s">
        <v>49</v>
      </c>
      <c r="R305" s="7">
        <v>21974.71</v>
      </c>
      <c r="S305" s="7"/>
      <c r="T305" s="7"/>
      <c r="U305" s="7"/>
      <c r="V305" s="10">
        <v>7.5741092456127026</v>
      </c>
      <c r="W305" s="9">
        <v>44994</v>
      </c>
      <c r="X305" s="10">
        <v>7.5</v>
      </c>
      <c r="Y305" s="9">
        <v>44997</v>
      </c>
      <c r="Z305">
        <v>17</v>
      </c>
      <c r="AA305" s="11" t="s">
        <v>49</v>
      </c>
    </row>
    <row r="306" spans="2:27" ht="16" x14ac:dyDescent="0.2">
      <c r="B306" t="s">
        <v>35</v>
      </c>
      <c r="C306">
        <v>40362220</v>
      </c>
      <c r="D306" t="s">
        <v>389</v>
      </c>
      <c r="E306">
        <v>1022639</v>
      </c>
      <c r="F306" t="s">
        <v>316</v>
      </c>
      <c r="G306" s="9">
        <v>44987</v>
      </c>
      <c r="H306" s="7">
        <v>22230.31</v>
      </c>
      <c r="I306" s="7"/>
      <c r="J306" s="7"/>
      <c r="K306" s="7"/>
      <c r="L306" s="10">
        <v>5.5741092456127026</v>
      </c>
      <c r="M306" s="9">
        <v>44992</v>
      </c>
      <c r="N306" s="10">
        <v>5.5</v>
      </c>
      <c r="O306" s="9">
        <v>44997</v>
      </c>
      <c r="P306">
        <v>17</v>
      </c>
      <c r="Q306" s="11" t="s">
        <v>49</v>
      </c>
      <c r="R306" s="7">
        <v>22230.31</v>
      </c>
      <c r="S306" s="7"/>
      <c r="T306" s="7"/>
      <c r="U306" s="7"/>
      <c r="V306" s="10">
        <v>7.5741092456127026</v>
      </c>
      <c r="W306" s="9">
        <v>44994</v>
      </c>
      <c r="X306" s="10">
        <v>7.5</v>
      </c>
      <c r="Y306" s="9">
        <v>44997</v>
      </c>
      <c r="Z306">
        <v>17</v>
      </c>
      <c r="AA306" s="11" t="s">
        <v>49</v>
      </c>
    </row>
    <row r="307" spans="2:27" ht="16" x14ac:dyDescent="0.2">
      <c r="B307" t="s">
        <v>35</v>
      </c>
      <c r="C307">
        <v>40362219</v>
      </c>
      <c r="D307" t="s">
        <v>389</v>
      </c>
      <c r="E307">
        <v>1022639</v>
      </c>
      <c r="F307" t="s">
        <v>316</v>
      </c>
      <c r="G307" s="9">
        <v>44987</v>
      </c>
      <c r="H307" s="7">
        <v>3193.27</v>
      </c>
      <c r="I307" s="7"/>
      <c r="J307" s="7"/>
      <c r="K307" s="7"/>
      <c r="L307" s="10">
        <v>5.5741092456127026</v>
      </c>
      <c r="M307" s="9">
        <v>44992</v>
      </c>
      <c r="N307" s="10">
        <v>5.5</v>
      </c>
      <c r="O307" s="9">
        <v>44997</v>
      </c>
      <c r="P307">
        <v>17</v>
      </c>
      <c r="Q307" s="11" t="s">
        <v>49</v>
      </c>
      <c r="R307" s="7">
        <v>3193.27</v>
      </c>
      <c r="S307" s="7"/>
      <c r="T307" s="7"/>
      <c r="U307" s="7"/>
      <c r="V307" s="10">
        <v>7.5741092456127026</v>
      </c>
      <c r="W307" s="9">
        <v>44994</v>
      </c>
      <c r="X307" s="10">
        <v>7.5</v>
      </c>
      <c r="Y307" s="9">
        <v>44997</v>
      </c>
      <c r="Z307">
        <v>17</v>
      </c>
      <c r="AA307" s="11" t="s">
        <v>49</v>
      </c>
    </row>
    <row r="308" spans="2:27" ht="16" x14ac:dyDescent="0.2">
      <c r="B308" t="s">
        <v>35</v>
      </c>
      <c r="C308">
        <v>40362219</v>
      </c>
      <c r="D308" t="s">
        <v>389</v>
      </c>
      <c r="E308">
        <v>1022639</v>
      </c>
      <c r="F308" t="s">
        <v>316</v>
      </c>
      <c r="G308" s="9">
        <v>44987</v>
      </c>
      <c r="H308" s="7">
        <v>22372.85</v>
      </c>
      <c r="I308" s="7"/>
      <c r="J308" s="7"/>
      <c r="K308" s="7"/>
      <c r="L308" s="10">
        <v>5.5741092456127026</v>
      </c>
      <c r="M308" s="9">
        <v>44992</v>
      </c>
      <c r="N308" s="10">
        <v>5.5</v>
      </c>
      <c r="O308" s="9">
        <v>44997</v>
      </c>
      <c r="P308">
        <v>17</v>
      </c>
      <c r="Q308" s="11" t="s">
        <v>49</v>
      </c>
      <c r="R308" s="7">
        <v>22372.85</v>
      </c>
      <c r="S308" s="7"/>
      <c r="T308" s="7"/>
      <c r="U308" s="7"/>
      <c r="V308" s="10">
        <v>7.5741092456127026</v>
      </c>
      <c r="W308" s="9">
        <v>44994</v>
      </c>
      <c r="X308" s="10">
        <v>7.5</v>
      </c>
      <c r="Y308" s="9">
        <v>44997</v>
      </c>
      <c r="Z308">
        <v>17</v>
      </c>
      <c r="AA308" s="11" t="s">
        <v>49</v>
      </c>
    </row>
    <row r="309" spans="2:27" ht="16" x14ac:dyDescent="0.2">
      <c r="B309" t="s">
        <v>35</v>
      </c>
      <c r="C309">
        <v>40362218</v>
      </c>
      <c r="D309" t="s">
        <v>389</v>
      </c>
      <c r="E309">
        <v>1022639</v>
      </c>
      <c r="F309" t="s">
        <v>316</v>
      </c>
      <c r="G309" s="9">
        <v>44980</v>
      </c>
      <c r="H309" s="7">
        <v>22273.29</v>
      </c>
      <c r="I309" s="7"/>
      <c r="J309" s="7"/>
      <c r="K309" s="7"/>
      <c r="L309" s="10">
        <v>5.5741092456127026</v>
      </c>
      <c r="M309" s="9">
        <v>44985</v>
      </c>
      <c r="N309" s="10">
        <v>5.5</v>
      </c>
      <c r="O309" s="9">
        <v>44990</v>
      </c>
      <c r="P309">
        <v>23</v>
      </c>
      <c r="Q309" s="11" t="s">
        <v>49</v>
      </c>
      <c r="R309" s="7">
        <v>22273.29</v>
      </c>
      <c r="S309" s="7"/>
      <c r="T309" s="7"/>
      <c r="U309" s="7"/>
      <c r="V309" s="10">
        <v>7.5741092456127026</v>
      </c>
      <c r="W309" s="9">
        <v>44987</v>
      </c>
      <c r="X309" s="10">
        <v>7.5</v>
      </c>
      <c r="Y309" s="9">
        <v>44990</v>
      </c>
      <c r="Z309">
        <v>23</v>
      </c>
      <c r="AA309" s="11" t="s">
        <v>49</v>
      </c>
    </row>
    <row r="310" spans="2:27" ht="16" x14ac:dyDescent="0.2">
      <c r="B310" t="s">
        <v>35</v>
      </c>
      <c r="C310">
        <v>40362217</v>
      </c>
      <c r="D310" t="s">
        <v>389</v>
      </c>
      <c r="E310">
        <v>1022639</v>
      </c>
      <c r="F310" t="s">
        <v>316</v>
      </c>
      <c r="G310" s="9">
        <v>44989</v>
      </c>
      <c r="H310" s="7">
        <v>22202.52</v>
      </c>
      <c r="I310" s="7"/>
      <c r="J310" s="7"/>
      <c r="K310" s="7"/>
      <c r="L310" s="10">
        <v>5.5741092456127026</v>
      </c>
      <c r="M310" s="9">
        <v>44994</v>
      </c>
      <c r="N310" s="10">
        <v>5.5</v>
      </c>
      <c r="O310" s="9">
        <v>44999</v>
      </c>
      <c r="P310">
        <v>15</v>
      </c>
      <c r="Q310" s="11" t="s">
        <v>49</v>
      </c>
      <c r="R310" s="7">
        <v>22202.52</v>
      </c>
      <c r="S310" s="7"/>
      <c r="T310" s="7"/>
      <c r="U310" s="7"/>
      <c r="V310" s="10">
        <v>7.5741092456127026</v>
      </c>
      <c r="W310" s="9">
        <v>44996</v>
      </c>
      <c r="X310" s="10">
        <v>7.5</v>
      </c>
      <c r="Y310" s="9">
        <v>44999</v>
      </c>
      <c r="Z310">
        <v>15</v>
      </c>
      <c r="AA310" s="11" t="s">
        <v>49</v>
      </c>
    </row>
    <row r="311" spans="2:27" ht="16" x14ac:dyDescent="0.2">
      <c r="B311" t="s">
        <v>35</v>
      </c>
      <c r="C311">
        <v>40362216</v>
      </c>
      <c r="D311" t="s">
        <v>389</v>
      </c>
      <c r="E311">
        <v>1022639</v>
      </c>
      <c r="F311" t="s">
        <v>316</v>
      </c>
      <c r="G311" s="9">
        <v>44989</v>
      </c>
      <c r="H311" s="7">
        <v>22820.09</v>
      </c>
      <c r="I311" s="7"/>
      <c r="J311" s="7"/>
      <c r="K311" s="7"/>
      <c r="L311" s="10">
        <v>5.5741092456127026</v>
      </c>
      <c r="M311" s="9">
        <v>44994</v>
      </c>
      <c r="N311" s="10">
        <v>5.5</v>
      </c>
      <c r="O311" s="9">
        <v>44999</v>
      </c>
      <c r="P311">
        <v>15</v>
      </c>
      <c r="Q311" s="11" t="s">
        <v>49</v>
      </c>
      <c r="R311" s="7">
        <v>22820.09</v>
      </c>
      <c r="S311" s="7"/>
      <c r="T311" s="7"/>
      <c r="U311" s="7"/>
      <c r="V311" s="10">
        <v>7.5741092456127026</v>
      </c>
      <c r="W311" s="9">
        <v>44996</v>
      </c>
      <c r="X311" s="10">
        <v>7.5</v>
      </c>
      <c r="Y311" s="9">
        <v>44999</v>
      </c>
      <c r="Z311">
        <v>15</v>
      </c>
      <c r="AA311" s="11" t="s">
        <v>49</v>
      </c>
    </row>
    <row r="312" spans="2:27" ht="16" x14ac:dyDescent="0.2">
      <c r="B312" t="s">
        <v>35</v>
      </c>
      <c r="C312">
        <v>40362215</v>
      </c>
      <c r="D312" t="s">
        <v>389</v>
      </c>
      <c r="E312">
        <v>1022639</v>
      </c>
      <c r="F312" t="s">
        <v>316</v>
      </c>
      <c r="G312" s="9">
        <v>44980</v>
      </c>
      <c r="H312" s="7">
        <v>22089.41</v>
      </c>
      <c r="I312" s="7"/>
      <c r="J312" s="7"/>
      <c r="K312" s="7"/>
      <c r="L312" s="10">
        <v>5.5741092456127026</v>
      </c>
      <c r="M312" s="9">
        <v>44985</v>
      </c>
      <c r="N312" s="10">
        <v>5.5</v>
      </c>
      <c r="O312" s="9">
        <v>44990</v>
      </c>
      <c r="P312">
        <v>23</v>
      </c>
      <c r="Q312" s="11" t="s">
        <v>49</v>
      </c>
      <c r="R312" s="7">
        <v>22089.41</v>
      </c>
      <c r="S312" s="7"/>
      <c r="T312" s="7"/>
      <c r="U312" s="7"/>
      <c r="V312" s="10">
        <v>7.5741092456127026</v>
      </c>
      <c r="W312" s="9">
        <v>44987</v>
      </c>
      <c r="X312" s="10">
        <v>7.5</v>
      </c>
      <c r="Y312" s="9">
        <v>44990</v>
      </c>
      <c r="Z312">
        <v>23</v>
      </c>
      <c r="AA312" s="11" t="s">
        <v>49</v>
      </c>
    </row>
    <row r="313" spans="2:27" ht="16" x14ac:dyDescent="0.2">
      <c r="B313" t="s">
        <v>35</v>
      </c>
      <c r="C313">
        <v>40362214</v>
      </c>
      <c r="D313" t="s">
        <v>389</v>
      </c>
      <c r="E313">
        <v>1022639</v>
      </c>
      <c r="F313" t="s">
        <v>316</v>
      </c>
      <c r="G313" s="9">
        <v>44989</v>
      </c>
      <c r="H313" s="7">
        <v>22190.41</v>
      </c>
      <c r="I313" s="7"/>
      <c r="J313" s="7"/>
      <c r="K313" s="7"/>
      <c r="L313" s="10">
        <v>5.5741092456127026</v>
      </c>
      <c r="M313" s="9">
        <v>44994</v>
      </c>
      <c r="N313" s="10">
        <v>5.5</v>
      </c>
      <c r="O313" s="9">
        <v>44999</v>
      </c>
      <c r="P313">
        <v>15</v>
      </c>
      <c r="Q313" s="11" t="s">
        <v>49</v>
      </c>
      <c r="R313" s="7">
        <v>22190.41</v>
      </c>
      <c r="S313" s="7"/>
      <c r="T313" s="7"/>
      <c r="U313" s="7"/>
      <c r="V313" s="10">
        <v>7.5741092456127026</v>
      </c>
      <c r="W313" s="9">
        <v>44996</v>
      </c>
      <c r="X313" s="10">
        <v>7.5</v>
      </c>
      <c r="Y313" s="9">
        <v>44999</v>
      </c>
      <c r="Z313">
        <v>15</v>
      </c>
      <c r="AA313" s="11" t="s">
        <v>49</v>
      </c>
    </row>
    <row r="314" spans="2:27" ht="16" x14ac:dyDescent="0.2">
      <c r="B314" t="s">
        <v>35</v>
      </c>
      <c r="C314">
        <v>40362213</v>
      </c>
      <c r="D314" t="s">
        <v>389</v>
      </c>
      <c r="E314">
        <v>1022639</v>
      </c>
      <c r="F314" t="s">
        <v>316</v>
      </c>
      <c r="G314" s="9">
        <v>44985</v>
      </c>
      <c r="H314" s="7">
        <v>22451.81</v>
      </c>
      <c r="I314" s="7"/>
      <c r="J314" s="7"/>
      <c r="K314" s="7"/>
      <c r="L314" s="10">
        <v>5.5741092456127026</v>
      </c>
      <c r="M314" s="9">
        <v>44990</v>
      </c>
      <c r="N314" s="10">
        <v>5.5</v>
      </c>
      <c r="O314" s="9">
        <v>44995</v>
      </c>
      <c r="P314">
        <v>18</v>
      </c>
      <c r="Q314" s="11" t="s">
        <v>49</v>
      </c>
      <c r="R314" s="7">
        <v>22451.81</v>
      </c>
      <c r="S314" s="7"/>
      <c r="T314" s="7"/>
      <c r="U314" s="7"/>
      <c r="V314" s="10">
        <v>7.5741092456127026</v>
      </c>
      <c r="W314" s="9">
        <v>44992</v>
      </c>
      <c r="X314" s="10">
        <v>7.5</v>
      </c>
      <c r="Y314" s="9">
        <v>44995</v>
      </c>
      <c r="Z314">
        <v>18</v>
      </c>
      <c r="AA314" s="11" t="s">
        <v>49</v>
      </c>
    </row>
    <row r="315" spans="2:27" ht="16" x14ac:dyDescent="0.2">
      <c r="B315" t="s">
        <v>35</v>
      </c>
      <c r="C315">
        <v>40362212</v>
      </c>
      <c r="D315" t="s">
        <v>389</v>
      </c>
      <c r="E315">
        <v>1022639</v>
      </c>
      <c r="F315" t="s">
        <v>316</v>
      </c>
      <c r="G315" s="9">
        <v>44985</v>
      </c>
      <c r="H315" s="7">
        <v>22115.13</v>
      </c>
      <c r="I315" s="7"/>
      <c r="J315" s="7"/>
      <c r="K315" s="7"/>
      <c r="L315" s="10">
        <v>5.5741092456127026</v>
      </c>
      <c r="M315" s="9">
        <v>44990</v>
      </c>
      <c r="N315" s="10">
        <v>5.5</v>
      </c>
      <c r="O315" s="9">
        <v>44995</v>
      </c>
      <c r="P315">
        <v>18</v>
      </c>
      <c r="Q315" s="11" t="s">
        <v>49</v>
      </c>
      <c r="R315" s="7">
        <v>22115.13</v>
      </c>
      <c r="S315" s="7"/>
      <c r="T315" s="7"/>
      <c r="U315" s="7"/>
      <c r="V315" s="10">
        <v>7.5741092456127026</v>
      </c>
      <c r="W315" s="9">
        <v>44992</v>
      </c>
      <c r="X315" s="10">
        <v>7.5</v>
      </c>
      <c r="Y315" s="9">
        <v>44995</v>
      </c>
      <c r="Z315">
        <v>18</v>
      </c>
      <c r="AA315" s="11" t="s">
        <v>49</v>
      </c>
    </row>
    <row r="316" spans="2:27" ht="16" x14ac:dyDescent="0.2">
      <c r="B316" t="s">
        <v>35</v>
      </c>
      <c r="C316">
        <v>40362211</v>
      </c>
      <c r="D316" t="s">
        <v>389</v>
      </c>
      <c r="E316">
        <v>1022639</v>
      </c>
      <c r="F316" t="s">
        <v>316</v>
      </c>
      <c r="G316" s="9">
        <v>44983</v>
      </c>
      <c r="H316" s="7">
        <v>22349.51</v>
      </c>
      <c r="I316" s="7"/>
      <c r="J316" s="7"/>
      <c r="K316" s="7"/>
      <c r="L316" s="10">
        <v>5.5741092456127026</v>
      </c>
      <c r="M316" s="9">
        <v>44988</v>
      </c>
      <c r="N316" s="10">
        <v>5.5</v>
      </c>
      <c r="O316" s="9">
        <v>44993</v>
      </c>
      <c r="P316">
        <v>20</v>
      </c>
      <c r="Q316" s="11" t="s">
        <v>49</v>
      </c>
      <c r="R316" s="7">
        <v>22349.51</v>
      </c>
      <c r="S316" s="7"/>
      <c r="T316" s="7"/>
      <c r="U316" s="7"/>
      <c r="V316" s="10">
        <v>7.5741092456127026</v>
      </c>
      <c r="W316" s="9">
        <v>44990</v>
      </c>
      <c r="X316" s="10">
        <v>7.5</v>
      </c>
      <c r="Y316" s="9">
        <v>44993</v>
      </c>
      <c r="Z316">
        <v>20</v>
      </c>
      <c r="AA316" s="11" t="s">
        <v>49</v>
      </c>
    </row>
    <row r="317" spans="2:27" ht="16" x14ac:dyDescent="0.2">
      <c r="B317" t="s">
        <v>35</v>
      </c>
      <c r="C317">
        <v>40362210</v>
      </c>
      <c r="D317" t="s">
        <v>389</v>
      </c>
      <c r="E317">
        <v>1022639</v>
      </c>
      <c r="F317" t="s">
        <v>316</v>
      </c>
      <c r="G317" s="9">
        <v>44981</v>
      </c>
      <c r="H317" s="7">
        <v>22163.46</v>
      </c>
      <c r="I317" s="7"/>
      <c r="J317" s="7"/>
      <c r="K317" s="7"/>
      <c r="L317" s="10">
        <v>5.5741092456127026</v>
      </c>
      <c r="M317" s="9">
        <v>44986</v>
      </c>
      <c r="N317" s="10">
        <v>5.5</v>
      </c>
      <c r="O317" s="9">
        <v>44991</v>
      </c>
      <c r="P317">
        <v>22</v>
      </c>
      <c r="Q317" s="11" t="s">
        <v>49</v>
      </c>
      <c r="R317" s="7">
        <v>22163.46</v>
      </c>
      <c r="S317" s="7"/>
      <c r="T317" s="7"/>
      <c r="U317" s="7"/>
      <c r="V317" s="10">
        <v>7.5741092456127026</v>
      </c>
      <c r="W317" s="9">
        <v>44988</v>
      </c>
      <c r="X317" s="10">
        <v>7.5</v>
      </c>
      <c r="Y317" s="9">
        <v>44991</v>
      </c>
      <c r="Z317">
        <v>22</v>
      </c>
      <c r="AA317" s="11" t="s">
        <v>49</v>
      </c>
    </row>
    <row r="318" spans="2:27" ht="16" x14ac:dyDescent="0.2">
      <c r="B318" t="s">
        <v>35</v>
      </c>
      <c r="C318">
        <v>40362209</v>
      </c>
      <c r="D318" t="s">
        <v>389</v>
      </c>
      <c r="E318">
        <v>1022639</v>
      </c>
      <c r="F318" t="s">
        <v>316</v>
      </c>
      <c r="G318" s="9">
        <v>44981</v>
      </c>
      <c r="H318" s="7">
        <v>21958.880000000001</v>
      </c>
      <c r="I318" s="7"/>
      <c r="J318" s="7"/>
      <c r="K318" s="7"/>
      <c r="L318" s="10">
        <v>5.5741092456127026</v>
      </c>
      <c r="M318" s="9">
        <v>44986</v>
      </c>
      <c r="N318" s="10">
        <v>5.5</v>
      </c>
      <c r="O318" s="9">
        <v>44991</v>
      </c>
      <c r="P318">
        <v>22</v>
      </c>
      <c r="Q318" s="11" t="s">
        <v>49</v>
      </c>
      <c r="R318" s="7">
        <v>21958.880000000001</v>
      </c>
      <c r="S318" s="7"/>
      <c r="T318" s="7"/>
      <c r="U318" s="7"/>
      <c r="V318" s="10">
        <v>7.5741092456127026</v>
      </c>
      <c r="W318" s="9">
        <v>44988</v>
      </c>
      <c r="X318" s="10">
        <v>7.5</v>
      </c>
      <c r="Y318" s="9">
        <v>44991</v>
      </c>
      <c r="Z318">
        <v>22</v>
      </c>
      <c r="AA318" s="11" t="s">
        <v>49</v>
      </c>
    </row>
    <row r="319" spans="2:27" ht="16" x14ac:dyDescent="0.2">
      <c r="B319" t="s">
        <v>35</v>
      </c>
      <c r="C319">
        <v>40362208</v>
      </c>
      <c r="D319" t="s">
        <v>389</v>
      </c>
      <c r="E319">
        <v>1022639</v>
      </c>
      <c r="F319" t="s">
        <v>316</v>
      </c>
      <c r="G319" s="9">
        <v>44987</v>
      </c>
      <c r="H319" s="7">
        <v>21852.11</v>
      </c>
      <c r="I319" s="7"/>
      <c r="J319" s="7"/>
      <c r="K319" s="7"/>
      <c r="L319" s="10">
        <v>5.5741092456127026</v>
      </c>
      <c r="M319" s="9">
        <v>44992</v>
      </c>
      <c r="N319" s="10">
        <v>5.5</v>
      </c>
      <c r="O319" s="9">
        <v>44997</v>
      </c>
      <c r="P319">
        <v>17</v>
      </c>
      <c r="Q319" s="11" t="s">
        <v>49</v>
      </c>
      <c r="R319" s="7">
        <v>21852.11</v>
      </c>
      <c r="S319" s="7"/>
      <c r="T319" s="7"/>
      <c r="U319" s="7"/>
      <c r="V319" s="10">
        <v>7.5741092456127026</v>
      </c>
      <c r="W319" s="9">
        <v>44994</v>
      </c>
      <c r="X319" s="10">
        <v>7.5</v>
      </c>
      <c r="Y319" s="9">
        <v>44997</v>
      </c>
      <c r="Z319">
        <v>17</v>
      </c>
      <c r="AA319" s="11" t="s">
        <v>49</v>
      </c>
    </row>
    <row r="320" spans="2:27" ht="16" x14ac:dyDescent="0.2">
      <c r="B320" t="s">
        <v>35</v>
      </c>
      <c r="C320">
        <v>40362207</v>
      </c>
      <c r="D320" t="s">
        <v>389</v>
      </c>
      <c r="E320">
        <v>1022639</v>
      </c>
      <c r="F320" t="s">
        <v>316</v>
      </c>
      <c r="G320" s="9">
        <v>44980</v>
      </c>
      <c r="H320" s="7">
        <v>21996.93</v>
      </c>
      <c r="I320" s="7"/>
      <c r="J320" s="7"/>
      <c r="K320" s="7"/>
      <c r="L320" s="10">
        <v>5.5741092456127026</v>
      </c>
      <c r="M320" s="9">
        <v>44985</v>
      </c>
      <c r="N320" s="10">
        <v>5.5</v>
      </c>
      <c r="O320" s="9">
        <v>44990</v>
      </c>
      <c r="P320">
        <v>23</v>
      </c>
      <c r="Q320" s="11" t="s">
        <v>49</v>
      </c>
      <c r="R320" s="7">
        <v>21996.93</v>
      </c>
      <c r="S320" s="7"/>
      <c r="T320" s="7"/>
      <c r="U320" s="7"/>
      <c r="V320" s="10">
        <v>7.5741092456127026</v>
      </c>
      <c r="W320" s="9">
        <v>44987</v>
      </c>
      <c r="X320" s="10">
        <v>7.5</v>
      </c>
      <c r="Y320" s="9">
        <v>44990</v>
      </c>
      <c r="Z320">
        <v>23</v>
      </c>
      <c r="AA320" s="11" t="s">
        <v>49</v>
      </c>
    </row>
    <row r="321" spans="2:27" ht="16" x14ac:dyDescent="0.2">
      <c r="B321" t="s">
        <v>35</v>
      </c>
      <c r="C321">
        <v>40362206</v>
      </c>
      <c r="D321" t="s">
        <v>389</v>
      </c>
      <c r="E321">
        <v>1022639</v>
      </c>
      <c r="F321" t="s">
        <v>316</v>
      </c>
      <c r="G321" s="9">
        <v>44977</v>
      </c>
      <c r="H321" s="7">
        <v>21996.62</v>
      </c>
      <c r="I321" s="7"/>
      <c r="J321" s="7"/>
      <c r="K321" s="7"/>
      <c r="L321" s="10">
        <v>5.5741092456127026</v>
      </c>
      <c r="M321" s="9">
        <v>44982</v>
      </c>
      <c r="N321" s="10">
        <v>5.5</v>
      </c>
      <c r="O321" s="9">
        <v>44987</v>
      </c>
      <c r="P321">
        <v>25</v>
      </c>
      <c r="Q321" s="11" t="s">
        <v>49</v>
      </c>
      <c r="R321" s="7">
        <v>21996.62</v>
      </c>
      <c r="S321" s="7"/>
      <c r="T321" s="7"/>
      <c r="U321" s="7"/>
      <c r="V321" s="10">
        <v>7.5741092456127026</v>
      </c>
      <c r="W321" s="9">
        <v>44984</v>
      </c>
      <c r="X321" s="10">
        <v>7.5</v>
      </c>
      <c r="Y321" s="9">
        <v>44987</v>
      </c>
      <c r="Z321">
        <v>25</v>
      </c>
      <c r="AA321" s="11" t="s">
        <v>49</v>
      </c>
    </row>
    <row r="322" spans="2:27" ht="16" x14ac:dyDescent="0.2">
      <c r="B322" t="s">
        <v>35</v>
      </c>
      <c r="C322">
        <v>40362192</v>
      </c>
      <c r="D322" t="s">
        <v>389</v>
      </c>
      <c r="E322">
        <v>1022212</v>
      </c>
      <c r="F322" t="s">
        <v>300</v>
      </c>
      <c r="G322" s="9">
        <v>44991</v>
      </c>
      <c r="H322" s="7">
        <v>24001.74</v>
      </c>
      <c r="I322" s="7"/>
      <c r="J322" s="7"/>
      <c r="K322" s="7"/>
      <c r="L322" s="10">
        <v>5.5741092456127026</v>
      </c>
      <c r="M322" s="9">
        <v>44996</v>
      </c>
      <c r="N322" s="10">
        <v>5.5</v>
      </c>
      <c r="O322" s="9">
        <v>45001</v>
      </c>
      <c r="P322">
        <v>13</v>
      </c>
      <c r="Q322" s="11" t="s">
        <v>49</v>
      </c>
      <c r="R322" s="7">
        <v>24001.74</v>
      </c>
      <c r="S322" s="7"/>
      <c r="T322" s="7"/>
      <c r="U322" s="7"/>
      <c r="V322" s="10">
        <v>7.5741092456127026</v>
      </c>
      <c r="W322" s="9">
        <v>44998</v>
      </c>
      <c r="X322" s="10">
        <v>7.5</v>
      </c>
      <c r="Y322" s="9">
        <v>45001</v>
      </c>
      <c r="Z322">
        <v>13</v>
      </c>
      <c r="AA322" s="11" t="s">
        <v>49</v>
      </c>
    </row>
    <row r="323" spans="2:27" ht="16" x14ac:dyDescent="0.2">
      <c r="B323" t="s">
        <v>35</v>
      </c>
      <c r="C323">
        <v>40362191</v>
      </c>
      <c r="D323" t="s">
        <v>389</v>
      </c>
      <c r="E323">
        <v>1022212</v>
      </c>
      <c r="F323" t="s">
        <v>300</v>
      </c>
      <c r="G323" s="9">
        <v>44991</v>
      </c>
      <c r="H323" s="7">
        <v>23670.38</v>
      </c>
      <c r="I323" s="7"/>
      <c r="J323" s="7"/>
      <c r="K323" s="7"/>
      <c r="L323" s="10">
        <v>5.5741092456127026</v>
      </c>
      <c r="M323" s="9">
        <v>44996</v>
      </c>
      <c r="N323" s="10">
        <v>5.5</v>
      </c>
      <c r="O323" s="9">
        <v>45001</v>
      </c>
      <c r="P323">
        <v>13</v>
      </c>
      <c r="Q323" s="11" t="s">
        <v>49</v>
      </c>
      <c r="R323" s="7">
        <v>23670.38</v>
      </c>
      <c r="S323" s="7"/>
      <c r="T323" s="7"/>
      <c r="U323" s="7"/>
      <c r="V323" s="10">
        <v>7.5741092456127026</v>
      </c>
      <c r="W323" s="9">
        <v>44998</v>
      </c>
      <c r="X323" s="10">
        <v>7.5</v>
      </c>
      <c r="Y323" s="9">
        <v>45001</v>
      </c>
      <c r="Z323">
        <v>13</v>
      </c>
      <c r="AA323" s="11" t="s">
        <v>49</v>
      </c>
    </row>
    <row r="324" spans="2:27" ht="16" x14ac:dyDescent="0.2">
      <c r="B324" t="s">
        <v>35</v>
      </c>
      <c r="C324">
        <v>40362189</v>
      </c>
      <c r="D324" t="s">
        <v>389</v>
      </c>
      <c r="E324">
        <v>1022212</v>
      </c>
      <c r="F324" t="s">
        <v>300</v>
      </c>
      <c r="G324" s="9">
        <v>44989</v>
      </c>
      <c r="H324" s="7">
        <v>24300.47</v>
      </c>
      <c r="I324" s="7"/>
      <c r="J324" s="7"/>
      <c r="K324" s="7"/>
      <c r="L324" s="10">
        <v>5.5741092456127026</v>
      </c>
      <c r="M324" s="9">
        <v>44994</v>
      </c>
      <c r="N324" s="10">
        <v>5.5</v>
      </c>
      <c r="O324" s="9">
        <v>44999</v>
      </c>
      <c r="P324">
        <v>15</v>
      </c>
      <c r="Q324" s="11" t="s">
        <v>49</v>
      </c>
      <c r="R324" s="7">
        <v>24300.47</v>
      </c>
      <c r="S324" s="7"/>
      <c r="T324" s="7"/>
      <c r="U324" s="7"/>
      <c r="V324" s="10">
        <v>7.5741092456127026</v>
      </c>
      <c r="W324" s="9">
        <v>44996</v>
      </c>
      <c r="X324" s="10">
        <v>7.5</v>
      </c>
      <c r="Y324" s="9">
        <v>44999</v>
      </c>
      <c r="Z324">
        <v>15</v>
      </c>
      <c r="AA324" s="11" t="s">
        <v>49</v>
      </c>
    </row>
    <row r="325" spans="2:27" ht="16" x14ac:dyDescent="0.2">
      <c r="B325" t="s">
        <v>35</v>
      </c>
      <c r="C325">
        <v>40362185</v>
      </c>
      <c r="D325" t="s">
        <v>389</v>
      </c>
      <c r="E325">
        <v>1022212</v>
      </c>
      <c r="F325" t="s">
        <v>300</v>
      </c>
      <c r="G325" s="9">
        <v>44983</v>
      </c>
      <c r="H325" s="7">
        <v>23491.56</v>
      </c>
      <c r="I325" s="7"/>
      <c r="J325" s="7"/>
      <c r="K325" s="7"/>
      <c r="L325" s="10">
        <v>5.5741092456127026</v>
      </c>
      <c r="M325" s="9">
        <v>44988</v>
      </c>
      <c r="N325" s="10">
        <v>5.5</v>
      </c>
      <c r="O325" s="9">
        <v>44993</v>
      </c>
      <c r="P325">
        <v>20</v>
      </c>
      <c r="Q325" s="11" t="s">
        <v>49</v>
      </c>
      <c r="R325" s="7">
        <v>23491.56</v>
      </c>
      <c r="S325" s="7"/>
      <c r="T325" s="7"/>
      <c r="U325" s="7"/>
      <c r="V325" s="10">
        <v>7.5741092456127026</v>
      </c>
      <c r="W325" s="9">
        <v>44990</v>
      </c>
      <c r="X325" s="10">
        <v>7.5</v>
      </c>
      <c r="Y325" s="9">
        <v>44993</v>
      </c>
      <c r="Z325">
        <v>20</v>
      </c>
      <c r="AA325" s="11" t="s">
        <v>49</v>
      </c>
    </row>
    <row r="326" spans="2:27" ht="16" x14ac:dyDescent="0.2">
      <c r="B326" t="s">
        <v>35</v>
      </c>
      <c r="C326">
        <v>40362182</v>
      </c>
      <c r="D326" t="s">
        <v>389</v>
      </c>
      <c r="E326">
        <v>1022212</v>
      </c>
      <c r="F326" t="s">
        <v>300</v>
      </c>
      <c r="G326" s="9">
        <v>44981</v>
      </c>
      <c r="H326" s="7">
        <v>23670.92</v>
      </c>
      <c r="I326" s="7"/>
      <c r="J326" s="7"/>
      <c r="K326" s="7"/>
      <c r="L326" s="10">
        <v>5.5741092456127026</v>
      </c>
      <c r="M326" s="9">
        <v>44986</v>
      </c>
      <c r="N326" s="10">
        <v>5.5</v>
      </c>
      <c r="O326" s="9">
        <v>44991</v>
      </c>
      <c r="P326">
        <v>22</v>
      </c>
      <c r="Q326" s="11" t="s">
        <v>49</v>
      </c>
      <c r="R326" s="7">
        <v>23670.92</v>
      </c>
      <c r="S326" s="7"/>
      <c r="T326" s="7"/>
      <c r="U326" s="7"/>
      <c r="V326" s="10">
        <v>7.5741092456127026</v>
      </c>
      <c r="W326" s="9">
        <v>44988</v>
      </c>
      <c r="X326" s="10">
        <v>7.5</v>
      </c>
      <c r="Y326" s="9">
        <v>44991</v>
      </c>
      <c r="Z326">
        <v>22</v>
      </c>
      <c r="AA326" s="11" t="s">
        <v>49</v>
      </c>
    </row>
    <row r="327" spans="2:27" ht="16" x14ac:dyDescent="0.2">
      <c r="B327" t="s">
        <v>35</v>
      </c>
      <c r="C327">
        <v>40362181</v>
      </c>
      <c r="D327" t="s">
        <v>389</v>
      </c>
      <c r="E327">
        <v>1022212</v>
      </c>
      <c r="F327" t="s">
        <v>300</v>
      </c>
      <c r="G327" s="9">
        <v>44987</v>
      </c>
      <c r="H327" s="7">
        <v>23516.27</v>
      </c>
      <c r="I327" s="7"/>
      <c r="J327" s="7"/>
      <c r="K327" s="7"/>
      <c r="L327" s="10">
        <v>5.5741092456127026</v>
      </c>
      <c r="M327" s="9">
        <v>44992</v>
      </c>
      <c r="N327" s="10">
        <v>5.5</v>
      </c>
      <c r="O327" s="9">
        <v>44997</v>
      </c>
      <c r="P327">
        <v>17</v>
      </c>
      <c r="Q327" s="11" t="s">
        <v>49</v>
      </c>
      <c r="R327" s="7">
        <v>23516.27</v>
      </c>
      <c r="S327" s="7"/>
      <c r="T327" s="7"/>
      <c r="U327" s="7"/>
      <c r="V327" s="10">
        <v>7.5741092456127026</v>
      </c>
      <c r="W327" s="9">
        <v>44994</v>
      </c>
      <c r="X327" s="10">
        <v>7.5</v>
      </c>
      <c r="Y327" s="9">
        <v>44997</v>
      </c>
      <c r="Z327">
        <v>17</v>
      </c>
      <c r="AA327" s="11" t="s">
        <v>49</v>
      </c>
    </row>
    <row r="328" spans="2:27" ht="16" x14ac:dyDescent="0.2">
      <c r="B328" t="s">
        <v>35</v>
      </c>
      <c r="C328">
        <v>40362180</v>
      </c>
      <c r="D328" t="s">
        <v>389</v>
      </c>
      <c r="E328">
        <v>1022212</v>
      </c>
      <c r="F328" t="s">
        <v>300</v>
      </c>
      <c r="G328" s="9">
        <v>44989</v>
      </c>
      <c r="H328" s="7">
        <v>23950.03</v>
      </c>
      <c r="I328" s="7"/>
      <c r="J328" s="7"/>
      <c r="K328" s="7"/>
      <c r="L328" s="10">
        <v>5.5741092456127026</v>
      </c>
      <c r="M328" s="9">
        <v>44994</v>
      </c>
      <c r="N328" s="10">
        <v>5.5</v>
      </c>
      <c r="O328" s="9">
        <v>44999</v>
      </c>
      <c r="P328">
        <v>15</v>
      </c>
      <c r="Q328" s="11" t="s">
        <v>49</v>
      </c>
      <c r="R328" s="7">
        <v>23950.03</v>
      </c>
      <c r="S328" s="7"/>
      <c r="T328" s="7"/>
      <c r="U328" s="7"/>
      <c r="V328" s="10">
        <v>7.5741092456127026</v>
      </c>
      <c r="W328" s="9">
        <v>44996</v>
      </c>
      <c r="X328" s="10">
        <v>7.5</v>
      </c>
      <c r="Y328" s="9">
        <v>44999</v>
      </c>
      <c r="Z328">
        <v>15</v>
      </c>
      <c r="AA328" s="11" t="s">
        <v>49</v>
      </c>
    </row>
    <row r="329" spans="2:27" ht="16" x14ac:dyDescent="0.2">
      <c r="B329" t="s">
        <v>35</v>
      </c>
      <c r="C329">
        <v>40362179</v>
      </c>
      <c r="D329" t="s">
        <v>389</v>
      </c>
      <c r="E329">
        <v>1022212</v>
      </c>
      <c r="F329" t="s">
        <v>300</v>
      </c>
      <c r="G329" s="9">
        <v>44989</v>
      </c>
      <c r="H329" s="7">
        <v>23652.98</v>
      </c>
      <c r="I329" s="7"/>
      <c r="J329" s="7"/>
      <c r="K329" s="7"/>
      <c r="L329" s="10">
        <v>5.5741092456127026</v>
      </c>
      <c r="M329" s="9">
        <v>44994</v>
      </c>
      <c r="N329" s="10">
        <v>5.5</v>
      </c>
      <c r="O329" s="9">
        <v>44999</v>
      </c>
      <c r="P329">
        <v>15</v>
      </c>
      <c r="Q329" s="11" t="s">
        <v>49</v>
      </c>
      <c r="R329" s="7">
        <v>23652.98</v>
      </c>
      <c r="S329" s="7"/>
      <c r="T329" s="7"/>
      <c r="U329" s="7"/>
      <c r="V329" s="10">
        <v>7.5741092456127026</v>
      </c>
      <c r="W329" s="9">
        <v>44996</v>
      </c>
      <c r="X329" s="10">
        <v>7.5</v>
      </c>
      <c r="Y329" s="9">
        <v>44999</v>
      </c>
      <c r="Z329">
        <v>15</v>
      </c>
      <c r="AA329" s="11" t="s">
        <v>49</v>
      </c>
    </row>
    <row r="330" spans="2:27" ht="16" x14ac:dyDescent="0.2">
      <c r="B330" t="s">
        <v>35</v>
      </c>
      <c r="C330">
        <v>40362178</v>
      </c>
      <c r="D330" t="s">
        <v>389</v>
      </c>
      <c r="E330">
        <v>1022212</v>
      </c>
      <c r="F330" t="s">
        <v>300</v>
      </c>
      <c r="G330" s="9">
        <v>44987</v>
      </c>
      <c r="H330" s="7">
        <v>23693.23</v>
      </c>
      <c r="I330" s="7"/>
      <c r="J330" s="7"/>
      <c r="K330" s="7"/>
      <c r="L330" s="10">
        <v>5.5741092456127026</v>
      </c>
      <c r="M330" s="9">
        <v>44992</v>
      </c>
      <c r="N330" s="10">
        <v>5.5</v>
      </c>
      <c r="O330" s="9">
        <v>44997</v>
      </c>
      <c r="P330">
        <v>17</v>
      </c>
      <c r="Q330" s="11" t="s">
        <v>49</v>
      </c>
      <c r="R330" s="7">
        <v>23693.23</v>
      </c>
      <c r="S330" s="7"/>
      <c r="T330" s="7"/>
      <c r="U330" s="7"/>
      <c r="V330" s="10">
        <v>7.5741092456127026</v>
      </c>
      <c r="W330" s="9">
        <v>44994</v>
      </c>
      <c r="X330" s="10">
        <v>7.5</v>
      </c>
      <c r="Y330" s="9">
        <v>44997</v>
      </c>
      <c r="Z330">
        <v>17</v>
      </c>
      <c r="AA330" s="11" t="s">
        <v>49</v>
      </c>
    </row>
    <row r="331" spans="2:27" ht="16" x14ac:dyDescent="0.2">
      <c r="B331" t="s">
        <v>35</v>
      </c>
      <c r="C331">
        <v>40362175</v>
      </c>
      <c r="D331" t="s">
        <v>389</v>
      </c>
      <c r="E331">
        <v>1022033</v>
      </c>
      <c r="F331" t="s">
        <v>415</v>
      </c>
      <c r="G331" s="9">
        <v>44989</v>
      </c>
      <c r="H331" s="7">
        <v>24000</v>
      </c>
      <c r="I331" s="7"/>
      <c r="J331" s="7"/>
      <c r="K331" s="7"/>
      <c r="L331" s="10">
        <v>5.5741092456127026</v>
      </c>
      <c r="M331" s="9">
        <v>44994</v>
      </c>
      <c r="N331" s="10">
        <v>5.5</v>
      </c>
      <c r="O331" s="9">
        <v>44999</v>
      </c>
      <c r="P331">
        <v>15</v>
      </c>
      <c r="Q331" s="11" t="s">
        <v>49</v>
      </c>
      <c r="R331" s="7">
        <v>24000</v>
      </c>
      <c r="S331" s="7"/>
      <c r="T331" s="7"/>
      <c r="U331" s="7"/>
      <c r="V331" s="10">
        <v>7.5741092456127026</v>
      </c>
      <c r="W331" s="9">
        <v>44996</v>
      </c>
      <c r="X331" s="10">
        <v>7.5</v>
      </c>
      <c r="Y331" s="9">
        <v>44999</v>
      </c>
      <c r="Z331">
        <v>15</v>
      </c>
      <c r="AA331" s="11" t="s">
        <v>49</v>
      </c>
    </row>
    <row r="332" spans="2:27" ht="16" x14ac:dyDescent="0.2">
      <c r="B332" t="s">
        <v>35</v>
      </c>
      <c r="C332">
        <v>40362167</v>
      </c>
      <c r="D332" t="s">
        <v>389</v>
      </c>
      <c r="E332">
        <v>1022414</v>
      </c>
      <c r="F332" t="s">
        <v>308</v>
      </c>
      <c r="G332" s="9">
        <v>44987</v>
      </c>
      <c r="H332" s="7">
        <v>24120</v>
      </c>
      <c r="I332" s="7"/>
      <c r="J332" s="7"/>
      <c r="K332" s="7"/>
      <c r="L332" s="10">
        <v>5.5741092456127026</v>
      </c>
      <c r="M332" s="9">
        <v>44992</v>
      </c>
      <c r="N332" s="10">
        <v>5.5</v>
      </c>
      <c r="O332" s="9">
        <v>44997</v>
      </c>
      <c r="P332">
        <v>17</v>
      </c>
      <c r="Q332" s="11" t="s">
        <v>49</v>
      </c>
      <c r="R332" s="7">
        <v>24120</v>
      </c>
      <c r="S332" s="7"/>
      <c r="T332" s="7"/>
      <c r="U332" s="7"/>
      <c r="V332" s="10">
        <v>7.5741092456127026</v>
      </c>
      <c r="W332" s="9">
        <v>44994</v>
      </c>
      <c r="X332" s="10">
        <v>7.5</v>
      </c>
      <c r="Y332" s="9">
        <v>44997</v>
      </c>
      <c r="Z332">
        <v>17</v>
      </c>
      <c r="AA332" s="11" t="s">
        <v>49</v>
      </c>
    </row>
    <row r="333" spans="2:27" ht="16" x14ac:dyDescent="0.2">
      <c r="B333" t="s">
        <v>35</v>
      </c>
      <c r="C333">
        <v>40362166</v>
      </c>
      <c r="D333" t="s">
        <v>389</v>
      </c>
      <c r="E333">
        <v>1022414</v>
      </c>
      <c r="F333" t="s">
        <v>308</v>
      </c>
      <c r="G333" s="9">
        <v>44984</v>
      </c>
      <c r="H333" s="7">
        <v>24430</v>
      </c>
      <c r="I333" s="7"/>
      <c r="J333" s="7"/>
      <c r="K333" s="7"/>
      <c r="L333" s="10">
        <v>5.5741092456127026</v>
      </c>
      <c r="M333" s="9">
        <v>44989</v>
      </c>
      <c r="N333" s="10">
        <v>5.5</v>
      </c>
      <c r="O333" s="9">
        <v>44994</v>
      </c>
      <c r="P333">
        <v>19</v>
      </c>
      <c r="Q333" s="11" t="s">
        <v>49</v>
      </c>
      <c r="R333" s="7">
        <v>24430</v>
      </c>
      <c r="S333" s="7"/>
      <c r="T333" s="7"/>
      <c r="U333" s="7"/>
      <c r="V333" s="10">
        <v>7.5741092456127026</v>
      </c>
      <c r="W333" s="9">
        <v>44991</v>
      </c>
      <c r="X333" s="10">
        <v>7.5</v>
      </c>
      <c r="Y333" s="9">
        <v>44994</v>
      </c>
      <c r="Z333">
        <v>19</v>
      </c>
      <c r="AA333" s="11" t="s">
        <v>49</v>
      </c>
    </row>
    <row r="334" spans="2:27" ht="16" x14ac:dyDescent="0.2">
      <c r="B334" t="s">
        <v>35</v>
      </c>
      <c r="C334">
        <v>40362141</v>
      </c>
      <c r="D334" t="s">
        <v>389</v>
      </c>
      <c r="E334">
        <v>1021766</v>
      </c>
      <c r="F334" t="s">
        <v>286</v>
      </c>
      <c r="G334" s="9">
        <v>45004</v>
      </c>
      <c r="H334" s="7">
        <v>24300</v>
      </c>
      <c r="I334" s="7"/>
      <c r="J334" s="7"/>
      <c r="K334" s="7"/>
      <c r="L334" s="10">
        <v>5.5741092456127026</v>
      </c>
      <c r="M334" s="9">
        <v>45009</v>
      </c>
      <c r="N334" s="10">
        <v>5.5</v>
      </c>
      <c r="O334" s="9">
        <v>45014</v>
      </c>
      <c r="P334">
        <v>2</v>
      </c>
      <c r="Q334" s="11" t="s">
        <v>598</v>
      </c>
      <c r="R334" s="7">
        <v>24300</v>
      </c>
      <c r="S334" s="7"/>
      <c r="T334" s="7"/>
      <c r="U334" s="7"/>
      <c r="V334" s="10">
        <v>7.5741092456127026</v>
      </c>
      <c r="W334" s="9">
        <v>45011</v>
      </c>
      <c r="X334" s="10">
        <v>7.5</v>
      </c>
      <c r="Y334" s="9">
        <v>45014</v>
      </c>
      <c r="Z334">
        <v>2</v>
      </c>
      <c r="AA334" s="11" t="s">
        <v>598</v>
      </c>
    </row>
    <row r="335" spans="2:27" ht="16" x14ac:dyDescent="0.2">
      <c r="B335" t="s">
        <v>35</v>
      </c>
      <c r="C335">
        <v>40362138</v>
      </c>
      <c r="D335" t="s">
        <v>389</v>
      </c>
      <c r="E335">
        <v>1021766</v>
      </c>
      <c r="F335" t="s">
        <v>286</v>
      </c>
      <c r="G335" s="9">
        <v>44987</v>
      </c>
      <c r="H335" s="7">
        <v>23400</v>
      </c>
      <c r="I335" s="7"/>
      <c r="J335" s="7"/>
      <c r="K335" s="7"/>
      <c r="L335" s="10">
        <v>5.5741092456127026</v>
      </c>
      <c r="M335" s="9">
        <v>44992</v>
      </c>
      <c r="N335" s="10">
        <v>5.5</v>
      </c>
      <c r="O335" s="9">
        <v>44997</v>
      </c>
      <c r="P335">
        <v>17</v>
      </c>
      <c r="Q335" s="11" t="s">
        <v>49</v>
      </c>
      <c r="R335" s="7">
        <v>23400</v>
      </c>
      <c r="S335" s="7"/>
      <c r="T335" s="7"/>
      <c r="U335" s="7"/>
      <c r="V335" s="10">
        <v>7.5741092456127026</v>
      </c>
      <c r="W335" s="9">
        <v>44994</v>
      </c>
      <c r="X335" s="10">
        <v>7.5</v>
      </c>
      <c r="Y335" s="9">
        <v>44997</v>
      </c>
      <c r="Z335">
        <v>17</v>
      </c>
      <c r="AA335" s="11" t="s">
        <v>49</v>
      </c>
    </row>
    <row r="336" spans="2:27" ht="16" x14ac:dyDescent="0.2">
      <c r="B336" t="s">
        <v>35</v>
      </c>
      <c r="C336">
        <v>40362137</v>
      </c>
      <c r="D336" t="s">
        <v>389</v>
      </c>
      <c r="E336">
        <v>1021766</v>
      </c>
      <c r="F336" t="s">
        <v>286</v>
      </c>
      <c r="G336" s="9">
        <v>44989</v>
      </c>
      <c r="H336" s="7">
        <v>24192</v>
      </c>
      <c r="I336" s="7"/>
      <c r="J336" s="7"/>
      <c r="K336" s="7"/>
      <c r="L336" s="10">
        <v>5.5741092456127026</v>
      </c>
      <c r="M336" s="9">
        <v>44994</v>
      </c>
      <c r="N336" s="10">
        <v>5.5</v>
      </c>
      <c r="O336" s="9">
        <v>44999</v>
      </c>
      <c r="P336">
        <v>15</v>
      </c>
      <c r="Q336" s="11" t="s">
        <v>49</v>
      </c>
      <c r="R336" s="7">
        <v>24192</v>
      </c>
      <c r="S336" s="7"/>
      <c r="T336" s="7"/>
      <c r="U336" s="7"/>
      <c r="V336" s="10">
        <v>7.5741092456127026</v>
      </c>
      <c r="W336" s="9">
        <v>44996</v>
      </c>
      <c r="X336" s="10">
        <v>7.5</v>
      </c>
      <c r="Y336" s="9">
        <v>44999</v>
      </c>
      <c r="Z336">
        <v>15</v>
      </c>
      <c r="AA336" s="11" t="s">
        <v>49</v>
      </c>
    </row>
    <row r="337" spans="2:27" ht="16" x14ac:dyDescent="0.2">
      <c r="B337" t="s">
        <v>35</v>
      </c>
      <c r="C337">
        <v>40362136</v>
      </c>
      <c r="D337" t="s">
        <v>389</v>
      </c>
      <c r="E337">
        <v>1021766</v>
      </c>
      <c r="F337" t="s">
        <v>286</v>
      </c>
      <c r="G337" s="9">
        <v>44987</v>
      </c>
      <c r="H337" s="7">
        <v>24696</v>
      </c>
      <c r="I337" s="7"/>
      <c r="J337" s="7"/>
      <c r="K337" s="7"/>
      <c r="L337" s="10">
        <v>5.5741092456127026</v>
      </c>
      <c r="M337" s="9">
        <v>44992</v>
      </c>
      <c r="N337" s="10">
        <v>5.5</v>
      </c>
      <c r="O337" s="9">
        <v>44997</v>
      </c>
      <c r="P337">
        <v>17</v>
      </c>
      <c r="Q337" s="11" t="s">
        <v>49</v>
      </c>
      <c r="R337" s="7">
        <v>24696</v>
      </c>
      <c r="S337" s="7"/>
      <c r="T337" s="7"/>
      <c r="U337" s="7"/>
      <c r="V337" s="10">
        <v>7.5741092456127026</v>
      </c>
      <c r="W337" s="9">
        <v>44994</v>
      </c>
      <c r="X337" s="10">
        <v>7.5</v>
      </c>
      <c r="Y337" s="9">
        <v>44997</v>
      </c>
      <c r="Z337">
        <v>17</v>
      </c>
      <c r="AA337" s="11" t="s">
        <v>49</v>
      </c>
    </row>
    <row r="338" spans="2:27" ht="16" x14ac:dyDescent="0.2">
      <c r="B338" t="s">
        <v>35</v>
      </c>
      <c r="C338">
        <v>40362135</v>
      </c>
      <c r="D338" t="s">
        <v>389</v>
      </c>
      <c r="E338">
        <v>1021766</v>
      </c>
      <c r="F338" t="s">
        <v>286</v>
      </c>
      <c r="G338" s="9">
        <v>44977</v>
      </c>
      <c r="H338" s="7">
        <v>11700</v>
      </c>
      <c r="I338" s="7"/>
      <c r="J338" s="7"/>
      <c r="K338" s="7"/>
      <c r="L338" s="10">
        <v>5.5741092456127026</v>
      </c>
      <c r="M338" s="9">
        <v>44982</v>
      </c>
      <c r="N338" s="10">
        <v>5.5</v>
      </c>
      <c r="O338" s="9">
        <v>44987</v>
      </c>
      <c r="P338">
        <v>25</v>
      </c>
      <c r="Q338" s="11" t="s">
        <v>49</v>
      </c>
      <c r="R338" s="7">
        <v>11700</v>
      </c>
      <c r="S338" s="7"/>
      <c r="T338" s="7"/>
      <c r="U338" s="7"/>
      <c r="V338" s="10">
        <v>7.5741092456127026</v>
      </c>
      <c r="W338" s="9">
        <v>44984</v>
      </c>
      <c r="X338" s="10">
        <v>7.5</v>
      </c>
      <c r="Y338" s="9">
        <v>44987</v>
      </c>
      <c r="Z338">
        <v>25</v>
      </c>
      <c r="AA338" s="11" t="s">
        <v>49</v>
      </c>
    </row>
    <row r="339" spans="2:27" ht="16" x14ac:dyDescent="0.2">
      <c r="B339" t="s">
        <v>35</v>
      </c>
      <c r="C339">
        <v>40362135</v>
      </c>
      <c r="D339" t="s">
        <v>389</v>
      </c>
      <c r="E339">
        <v>1021766</v>
      </c>
      <c r="F339" t="s">
        <v>286</v>
      </c>
      <c r="G339" s="9">
        <v>44977</v>
      </c>
      <c r="H339" s="7">
        <v>24498</v>
      </c>
      <c r="I339" s="7"/>
      <c r="J339" s="7"/>
      <c r="K339" s="7"/>
      <c r="L339" s="10">
        <v>5.5741092456127026</v>
      </c>
      <c r="M339" s="9">
        <v>44982</v>
      </c>
      <c r="N339" s="10">
        <v>5.5</v>
      </c>
      <c r="O339" s="9">
        <v>44987</v>
      </c>
      <c r="P339">
        <v>25</v>
      </c>
      <c r="Q339" s="11" t="s">
        <v>49</v>
      </c>
      <c r="R339" s="7">
        <v>24498</v>
      </c>
      <c r="S339" s="7"/>
      <c r="T339" s="7"/>
      <c r="U339" s="7"/>
      <c r="V339" s="10">
        <v>7.5741092456127026</v>
      </c>
      <c r="W339" s="9">
        <v>44984</v>
      </c>
      <c r="X339" s="10">
        <v>7.5</v>
      </c>
      <c r="Y339" s="9">
        <v>44987</v>
      </c>
      <c r="Z339">
        <v>25</v>
      </c>
      <c r="AA339" s="11" t="s">
        <v>49</v>
      </c>
    </row>
    <row r="340" spans="2:27" ht="16" x14ac:dyDescent="0.2">
      <c r="B340" t="s">
        <v>35</v>
      </c>
      <c r="C340">
        <v>40362134</v>
      </c>
      <c r="D340" t="s">
        <v>389</v>
      </c>
      <c r="E340">
        <v>1021766</v>
      </c>
      <c r="F340" t="s">
        <v>286</v>
      </c>
      <c r="G340" s="9">
        <v>44977</v>
      </c>
      <c r="H340" s="7">
        <v>24084</v>
      </c>
      <c r="I340" s="7"/>
      <c r="J340" s="7"/>
      <c r="K340" s="7"/>
      <c r="L340" s="10">
        <v>5.5741092456127026</v>
      </c>
      <c r="M340" s="9">
        <v>44982</v>
      </c>
      <c r="N340" s="10">
        <v>5.5</v>
      </c>
      <c r="O340" s="9">
        <v>44987</v>
      </c>
      <c r="P340">
        <v>25</v>
      </c>
      <c r="Q340" s="11" t="s">
        <v>49</v>
      </c>
      <c r="R340" s="7">
        <v>24084</v>
      </c>
      <c r="S340" s="7"/>
      <c r="T340" s="7"/>
      <c r="U340" s="7"/>
      <c r="V340" s="10">
        <v>7.5741092456127026</v>
      </c>
      <c r="W340" s="9">
        <v>44984</v>
      </c>
      <c r="X340" s="10">
        <v>7.5</v>
      </c>
      <c r="Y340" s="9">
        <v>44987</v>
      </c>
      <c r="Z340">
        <v>25</v>
      </c>
      <c r="AA340" s="11" t="s">
        <v>49</v>
      </c>
    </row>
    <row r="341" spans="2:27" ht="16" x14ac:dyDescent="0.2">
      <c r="B341" t="s">
        <v>35</v>
      </c>
      <c r="C341">
        <v>40362121</v>
      </c>
      <c r="D341" t="s">
        <v>389</v>
      </c>
      <c r="E341">
        <v>1023306</v>
      </c>
      <c r="F341" t="s">
        <v>330</v>
      </c>
      <c r="G341" s="9">
        <v>44991</v>
      </c>
      <c r="H341" s="7">
        <v>23980</v>
      </c>
      <c r="I341" s="7"/>
      <c r="J341" s="7"/>
      <c r="K341" s="7"/>
      <c r="L341" s="10">
        <v>5.5741092456127026</v>
      </c>
      <c r="M341" s="9">
        <v>44996</v>
      </c>
      <c r="N341" s="10">
        <v>5.5</v>
      </c>
      <c r="O341" s="9">
        <v>45001</v>
      </c>
      <c r="P341">
        <v>13</v>
      </c>
      <c r="Q341" s="11" t="s">
        <v>49</v>
      </c>
      <c r="R341" s="7">
        <v>23980</v>
      </c>
      <c r="S341" s="7"/>
      <c r="T341" s="7"/>
      <c r="U341" s="7"/>
      <c r="V341" s="10">
        <v>7.5741092456127026</v>
      </c>
      <c r="W341" s="9">
        <v>44998</v>
      </c>
      <c r="X341" s="10">
        <v>7.5</v>
      </c>
      <c r="Y341" s="9">
        <v>45001</v>
      </c>
      <c r="Z341">
        <v>13</v>
      </c>
      <c r="AA341" s="11" t="s">
        <v>49</v>
      </c>
    </row>
    <row r="342" spans="2:27" ht="16" x14ac:dyDescent="0.2">
      <c r="B342" t="s">
        <v>35</v>
      </c>
      <c r="C342">
        <v>40362118</v>
      </c>
      <c r="D342" t="s">
        <v>389</v>
      </c>
      <c r="E342">
        <v>1023306</v>
      </c>
      <c r="F342" t="s">
        <v>330</v>
      </c>
      <c r="G342" s="9">
        <v>44989</v>
      </c>
      <c r="H342" s="7">
        <v>24200</v>
      </c>
      <c r="I342" s="7"/>
      <c r="J342" s="7"/>
      <c r="K342" s="7"/>
      <c r="L342" s="10">
        <v>5.5741092456127026</v>
      </c>
      <c r="M342" s="9">
        <v>44994</v>
      </c>
      <c r="N342" s="10">
        <v>5.5</v>
      </c>
      <c r="O342" s="9">
        <v>44999</v>
      </c>
      <c r="P342">
        <v>15</v>
      </c>
      <c r="Q342" s="11" t="s">
        <v>49</v>
      </c>
      <c r="R342" s="7">
        <v>24200</v>
      </c>
      <c r="S342" s="7"/>
      <c r="T342" s="7"/>
      <c r="U342" s="7"/>
      <c r="V342" s="10">
        <v>7.5741092456127026</v>
      </c>
      <c r="W342" s="9">
        <v>44996</v>
      </c>
      <c r="X342" s="10">
        <v>7.5</v>
      </c>
      <c r="Y342" s="9">
        <v>44999</v>
      </c>
      <c r="Z342">
        <v>15</v>
      </c>
      <c r="AA342" s="11" t="s">
        <v>49</v>
      </c>
    </row>
    <row r="343" spans="2:27" ht="16" x14ac:dyDescent="0.2">
      <c r="B343" t="s">
        <v>35</v>
      </c>
      <c r="C343">
        <v>40362115</v>
      </c>
      <c r="D343" t="s">
        <v>389</v>
      </c>
      <c r="E343">
        <v>1022388</v>
      </c>
      <c r="F343" t="s">
        <v>170</v>
      </c>
      <c r="G343" s="9">
        <v>44983</v>
      </c>
      <c r="H343" s="7">
        <v>15170</v>
      </c>
      <c r="I343" s="7"/>
      <c r="J343" s="7"/>
      <c r="K343" s="7"/>
      <c r="L343" s="10">
        <v>5.5741092456127026</v>
      </c>
      <c r="M343" s="9">
        <v>44988</v>
      </c>
      <c r="N343" s="10">
        <v>5.5</v>
      </c>
      <c r="O343" s="9">
        <v>44993</v>
      </c>
      <c r="P343">
        <v>20</v>
      </c>
      <c r="Q343" s="11" t="s">
        <v>49</v>
      </c>
      <c r="R343" s="7">
        <v>15170</v>
      </c>
      <c r="S343" s="7"/>
      <c r="T343" s="7"/>
      <c r="U343" s="7"/>
      <c r="V343" s="10">
        <v>7.5741092456127026</v>
      </c>
      <c r="W343" s="9">
        <v>44990</v>
      </c>
      <c r="X343" s="10">
        <v>7.5</v>
      </c>
      <c r="Y343" s="9">
        <v>44993</v>
      </c>
      <c r="Z343">
        <v>20</v>
      </c>
      <c r="AA343" s="11" t="s">
        <v>49</v>
      </c>
    </row>
    <row r="344" spans="2:27" ht="16" x14ac:dyDescent="0.2">
      <c r="B344" t="s">
        <v>35</v>
      </c>
      <c r="C344">
        <v>40362115</v>
      </c>
      <c r="D344" t="s">
        <v>389</v>
      </c>
      <c r="E344">
        <v>1022388</v>
      </c>
      <c r="F344" t="s">
        <v>170</v>
      </c>
      <c r="G344" s="9">
        <v>44983</v>
      </c>
      <c r="H344" s="7">
        <v>24000</v>
      </c>
      <c r="I344" s="7"/>
      <c r="J344" s="7"/>
      <c r="K344" s="7"/>
      <c r="L344" s="10">
        <v>5.5741092456127026</v>
      </c>
      <c r="M344" s="9">
        <v>44988</v>
      </c>
      <c r="N344" s="10">
        <v>5.5</v>
      </c>
      <c r="O344" s="9">
        <v>44993</v>
      </c>
      <c r="P344">
        <v>20</v>
      </c>
      <c r="Q344" s="11" t="s">
        <v>49</v>
      </c>
      <c r="R344" s="7">
        <v>24000</v>
      </c>
      <c r="S344" s="7"/>
      <c r="T344" s="7"/>
      <c r="U344" s="7"/>
      <c r="V344" s="10">
        <v>7.5741092456127026</v>
      </c>
      <c r="W344" s="9">
        <v>44990</v>
      </c>
      <c r="X344" s="10">
        <v>7.5</v>
      </c>
      <c r="Y344" s="9">
        <v>44993</v>
      </c>
      <c r="Z344">
        <v>20</v>
      </c>
      <c r="AA344" s="11" t="s">
        <v>49</v>
      </c>
    </row>
    <row r="345" spans="2:27" ht="16" x14ac:dyDescent="0.2">
      <c r="B345" t="s">
        <v>35</v>
      </c>
      <c r="C345">
        <v>40362113</v>
      </c>
      <c r="D345" t="s">
        <v>389</v>
      </c>
      <c r="E345">
        <v>1022388</v>
      </c>
      <c r="F345" t="s">
        <v>170</v>
      </c>
      <c r="G345" s="9">
        <v>44983</v>
      </c>
      <c r="H345" s="7">
        <v>24190</v>
      </c>
      <c r="I345" s="7"/>
      <c r="J345" s="7"/>
      <c r="K345" s="7"/>
      <c r="L345" s="10">
        <v>5.5741092456127026</v>
      </c>
      <c r="M345" s="9">
        <v>44988</v>
      </c>
      <c r="N345" s="10">
        <v>5.5</v>
      </c>
      <c r="O345" s="9">
        <v>44993</v>
      </c>
      <c r="P345">
        <v>20</v>
      </c>
      <c r="Q345" s="11" t="s">
        <v>49</v>
      </c>
      <c r="R345" s="7">
        <v>24190</v>
      </c>
      <c r="S345" s="7"/>
      <c r="T345" s="7"/>
      <c r="U345" s="7"/>
      <c r="V345" s="10">
        <v>7.5741092456127026</v>
      </c>
      <c r="W345" s="9">
        <v>44990</v>
      </c>
      <c r="X345" s="10">
        <v>7.5</v>
      </c>
      <c r="Y345" s="9">
        <v>44993</v>
      </c>
      <c r="Z345">
        <v>20</v>
      </c>
      <c r="AA345" s="11" t="s">
        <v>49</v>
      </c>
    </row>
    <row r="346" spans="2:27" ht="16" x14ac:dyDescent="0.2">
      <c r="B346" t="s">
        <v>35</v>
      </c>
      <c r="C346">
        <v>40362100</v>
      </c>
      <c r="D346" t="s">
        <v>389</v>
      </c>
      <c r="E346">
        <v>1022943</v>
      </c>
      <c r="F346" t="s">
        <v>324</v>
      </c>
      <c r="G346" s="9">
        <v>44991</v>
      </c>
      <c r="H346" s="7">
        <v>23906.1</v>
      </c>
      <c r="I346" s="7"/>
      <c r="J346" s="7"/>
      <c r="K346" s="7"/>
      <c r="L346" s="10">
        <v>5.5741092456127026</v>
      </c>
      <c r="M346" s="9">
        <v>44996</v>
      </c>
      <c r="N346" s="10">
        <v>5.5</v>
      </c>
      <c r="O346" s="9">
        <v>45001</v>
      </c>
      <c r="P346">
        <v>13</v>
      </c>
      <c r="Q346" s="11" t="s">
        <v>49</v>
      </c>
      <c r="R346" s="7">
        <v>23906.1</v>
      </c>
      <c r="S346" s="7"/>
      <c r="T346" s="7"/>
      <c r="U346" s="7"/>
      <c r="V346" s="10">
        <v>7.5741092456127026</v>
      </c>
      <c r="W346" s="9">
        <v>44998</v>
      </c>
      <c r="X346" s="10">
        <v>7.5</v>
      </c>
      <c r="Y346" s="9">
        <v>45001</v>
      </c>
      <c r="Z346">
        <v>13</v>
      </c>
      <c r="AA346" s="11" t="s">
        <v>49</v>
      </c>
    </row>
    <row r="347" spans="2:27" ht="16" x14ac:dyDescent="0.2">
      <c r="B347" t="s">
        <v>35</v>
      </c>
      <c r="C347">
        <v>40362099</v>
      </c>
      <c r="D347" t="s">
        <v>389</v>
      </c>
      <c r="E347">
        <v>1022943</v>
      </c>
      <c r="F347" t="s">
        <v>324</v>
      </c>
      <c r="G347" s="9">
        <v>44978</v>
      </c>
      <c r="H347" s="7">
        <v>7420.66</v>
      </c>
      <c r="I347" s="7"/>
      <c r="J347" s="7"/>
      <c r="K347" s="7"/>
      <c r="L347" s="10">
        <v>5.5741092456127026</v>
      </c>
      <c r="M347" s="9">
        <v>44983</v>
      </c>
      <c r="N347" s="10">
        <v>5.5</v>
      </c>
      <c r="O347" s="9">
        <v>44988</v>
      </c>
      <c r="P347">
        <v>24</v>
      </c>
      <c r="Q347" s="11" t="s">
        <v>49</v>
      </c>
      <c r="R347" s="7">
        <v>7420.66</v>
      </c>
      <c r="S347" s="7"/>
      <c r="T347" s="7"/>
      <c r="U347" s="7"/>
      <c r="V347" s="10">
        <v>7.5741092456127026</v>
      </c>
      <c r="W347" s="9">
        <v>44985</v>
      </c>
      <c r="X347" s="10">
        <v>7.5</v>
      </c>
      <c r="Y347" s="9">
        <v>44988</v>
      </c>
      <c r="Z347">
        <v>24</v>
      </c>
      <c r="AA347" s="11" t="s">
        <v>49</v>
      </c>
    </row>
    <row r="348" spans="2:27" ht="16" x14ac:dyDescent="0.2">
      <c r="B348" t="s">
        <v>35</v>
      </c>
      <c r="C348">
        <v>40362099</v>
      </c>
      <c r="D348" t="s">
        <v>389</v>
      </c>
      <c r="E348">
        <v>1022943</v>
      </c>
      <c r="F348" t="s">
        <v>324</v>
      </c>
      <c r="G348" s="9">
        <v>44978</v>
      </c>
      <c r="H348" s="7">
        <v>24004.28</v>
      </c>
      <c r="I348" s="7"/>
      <c r="J348" s="7"/>
      <c r="K348" s="7"/>
      <c r="L348" s="10">
        <v>5.5741092456127026</v>
      </c>
      <c r="M348" s="9">
        <v>44983</v>
      </c>
      <c r="N348" s="10">
        <v>5.5</v>
      </c>
      <c r="O348" s="9">
        <v>44988</v>
      </c>
      <c r="P348">
        <v>24</v>
      </c>
      <c r="Q348" s="11" t="s">
        <v>49</v>
      </c>
      <c r="R348" s="7">
        <v>24004.28</v>
      </c>
      <c r="S348" s="7"/>
      <c r="T348" s="7"/>
      <c r="U348" s="7"/>
      <c r="V348" s="10">
        <v>7.5741092456127026</v>
      </c>
      <c r="W348" s="9">
        <v>44985</v>
      </c>
      <c r="X348" s="10">
        <v>7.5</v>
      </c>
      <c r="Y348" s="9">
        <v>44988</v>
      </c>
      <c r="Z348">
        <v>24</v>
      </c>
      <c r="AA348" s="11" t="s">
        <v>49</v>
      </c>
    </row>
    <row r="349" spans="2:27" ht="16" x14ac:dyDescent="0.2">
      <c r="B349" t="s">
        <v>35</v>
      </c>
      <c r="C349">
        <v>40362094</v>
      </c>
      <c r="D349" t="s">
        <v>389</v>
      </c>
      <c r="E349">
        <v>1023411</v>
      </c>
      <c r="F349" t="s">
        <v>331</v>
      </c>
      <c r="G349" s="9">
        <v>44991</v>
      </c>
      <c r="H349" s="7">
        <v>24377.06</v>
      </c>
      <c r="I349" s="7"/>
      <c r="J349" s="7"/>
      <c r="K349" s="7"/>
      <c r="L349" s="10">
        <v>5.5741092456127026</v>
      </c>
      <c r="M349" s="9">
        <v>44996</v>
      </c>
      <c r="N349" s="10">
        <v>5.5</v>
      </c>
      <c r="O349" s="9">
        <v>45001</v>
      </c>
      <c r="P349">
        <v>13</v>
      </c>
      <c r="Q349" s="11" t="s">
        <v>49</v>
      </c>
      <c r="R349" s="7">
        <v>24377.06</v>
      </c>
      <c r="S349" s="7"/>
      <c r="T349" s="7"/>
      <c r="U349" s="7"/>
      <c r="V349" s="10">
        <v>7.5741092456127026</v>
      </c>
      <c r="W349" s="9">
        <v>44998</v>
      </c>
      <c r="X349" s="10">
        <v>7.5</v>
      </c>
      <c r="Y349" s="9">
        <v>45001</v>
      </c>
      <c r="Z349">
        <v>13</v>
      </c>
      <c r="AA349" s="11" t="s">
        <v>49</v>
      </c>
    </row>
    <row r="350" spans="2:27" ht="16" x14ac:dyDescent="0.2">
      <c r="B350" t="s">
        <v>35</v>
      </c>
      <c r="C350">
        <v>40362089</v>
      </c>
      <c r="D350" t="s">
        <v>389</v>
      </c>
      <c r="E350">
        <v>1023412</v>
      </c>
      <c r="F350" t="s">
        <v>333</v>
      </c>
      <c r="G350" s="9">
        <v>44989</v>
      </c>
      <c r="H350" s="7">
        <v>24285.08</v>
      </c>
      <c r="I350" s="7"/>
      <c r="J350" s="7"/>
      <c r="K350" s="7"/>
      <c r="L350" s="10">
        <v>5.5741092456127026</v>
      </c>
      <c r="M350" s="9">
        <v>44994</v>
      </c>
      <c r="N350" s="10">
        <v>5.5</v>
      </c>
      <c r="O350" s="9">
        <v>44999</v>
      </c>
      <c r="P350">
        <v>15</v>
      </c>
      <c r="Q350" s="11" t="s">
        <v>49</v>
      </c>
      <c r="R350" s="7">
        <v>24285.08</v>
      </c>
      <c r="S350" s="7"/>
      <c r="T350" s="7"/>
      <c r="U350" s="7"/>
      <c r="V350" s="10">
        <v>7.5741092456127026</v>
      </c>
      <c r="W350" s="9">
        <v>44996</v>
      </c>
      <c r="X350" s="10">
        <v>7.5</v>
      </c>
      <c r="Y350" s="9">
        <v>44999</v>
      </c>
      <c r="Z350">
        <v>15</v>
      </c>
      <c r="AA350" s="11" t="s">
        <v>49</v>
      </c>
    </row>
    <row r="351" spans="2:27" ht="16" x14ac:dyDescent="0.2">
      <c r="B351" t="s">
        <v>35</v>
      </c>
      <c r="C351">
        <v>40362053</v>
      </c>
      <c r="D351" t="s">
        <v>389</v>
      </c>
      <c r="E351">
        <v>1021733</v>
      </c>
      <c r="F351" t="s">
        <v>277</v>
      </c>
      <c r="G351" s="9">
        <v>44989</v>
      </c>
      <c r="H351" s="7">
        <v>24427.61</v>
      </c>
      <c r="I351" s="7"/>
      <c r="J351" s="7"/>
      <c r="K351" s="7"/>
      <c r="L351" s="10">
        <v>5.5741092456127026</v>
      </c>
      <c r="M351" s="9">
        <v>44994</v>
      </c>
      <c r="N351" s="10">
        <v>5.5</v>
      </c>
      <c r="O351" s="9">
        <v>44999</v>
      </c>
      <c r="P351">
        <v>15</v>
      </c>
      <c r="Q351" s="11" t="s">
        <v>49</v>
      </c>
      <c r="R351" s="7">
        <v>24427.61</v>
      </c>
      <c r="S351" s="7"/>
      <c r="T351" s="7"/>
      <c r="U351" s="7"/>
      <c r="V351" s="10">
        <v>7.5741092456127026</v>
      </c>
      <c r="W351" s="9">
        <v>44996</v>
      </c>
      <c r="X351" s="10">
        <v>7.5</v>
      </c>
      <c r="Y351" s="9">
        <v>44999</v>
      </c>
      <c r="Z351">
        <v>15</v>
      </c>
      <c r="AA351" s="11" t="s">
        <v>49</v>
      </c>
    </row>
    <row r="352" spans="2:27" ht="16" x14ac:dyDescent="0.2">
      <c r="B352" t="s">
        <v>35</v>
      </c>
      <c r="C352">
        <v>40362052</v>
      </c>
      <c r="D352" t="s">
        <v>389</v>
      </c>
      <c r="E352">
        <v>1021733</v>
      </c>
      <c r="F352" t="s">
        <v>277</v>
      </c>
      <c r="G352" s="9">
        <v>44989</v>
      </c>
      <c r="H352" s="7">
        <v>23613.67</v>
      </c>
      <c r="I352" s="7"/>
      <c r="J352" s="7"/>
      <c r="K352" s="7"/>
      <c r="L352" s="10">
        <v>5.5741092456127026</v>
      </c>
      <c r="M352" s="9">
        <v>44994</v>
      </c>
      <c r="N352" s="10">
        <v>5.5</v>
      </c>
      <c r="O352" s="9">
        <v>44999</v>
      </c>
      <c r="P352">
        <v>15</v>
      </c>
      <c r="Q352" s="11" t="s">
        <v>49</v>
      </c>
      <c r="R352" s="7">
        <v>23613.67</v>
      </c>
      <c r="S352" s="7"/>
      <c r="T352" s="7"/>
      <c r="U352" s="7"/>
      <c r="V352" s="10">
        <v>7.5741092456127026</v>
      </c>
      <c r="W352" s="9">
        <v>44996</v>
      </c>
      <c r="X352" s="10">
        <v>7.5</v>
      </c>
      <c r="Y352" s="9">
        <v>44999</v>
      </c>
      <c r="Z352">
        <v>15</v>
      </c>
      <c r="AA352" s="11" t="s">
        <v>49</v>
      </c>
    </row>
    <row r="353" spans="2:27" ht="16" x14ac:dyDescent="0.2">
      <c r="B353" t="s">
        <v>35</v>
      </c>
      <c r="C353">
        <v>40362051</v>
      </c>
      <c r="D353" t="s">
        <v>389</v>
      </c>
      <c r="E353">
        <v>1021733</v>
      </c>
      <c r="F353" t="s">
        <v>277</v>
      </c>
      <c r="G353" s="9">
        <v>44989</v>
      </c>
      <c r="H353" s="7">
        <v>24020.05</v>
      </c>
      <c r="I353" s="7"/>
      <c r="J353" s="7"/>
      <c r="K353" s="7"/>
      <c r="L353" s="10">
        <v>5.5741092456127026</v>
      </c>
      <c r="M353" s="9">
        <v>44994</v>
      </c>
      <c r="N353" s="10">
        <v>5.5</v>
      </c>
      <c r="O353" s="9">
        <v>44999</v>
      </c>
      <c r="P353">
        <v>15</v>
      </c>
      <c r="Q353" s="11" t="s">
        <v>49</v>
      </c>
      <c r="R353" s="7">
        <v>24020.05</v>
      </c>
      <c r="S353" s="7"/>
      <c r="T353" s="7"/>
      <c r="U353" s="7"/>
      <c r="V353" s="10">
        <v>7.5741092456127026</v>
      </c>
      <c r="W353" s="9">
        <v>44996</v>
      </c>
      <c r="X353" s="10">
        <v>7.5</v>
      </c>
      <c r="Y353" s="9">
        <v>44999</v>
      </c>
      <c r="Z353">
        <v>15</v>
      </c>
      <c r="AA353" s="11" t="s">
        <v>49</v>
      </c>
    </row>
    <row r="354" spans="2:27" ht="16" x14ac:dyDescent="0.2">
      <c r="B354" t="s">
        <v>35</v>
      </c>
      <c r="C354">
        <v>40362050</v>
      </c>
      <c r="D354" t="s">
        <v>389</v>
      </c>
      <c r="E354">
        <v>1021733</v>
      </c>
      <c r="F354" t="s">
        <v>277</v>
      </c>
      <c r="G354" s="9">
        <v>44989</v>
      </c>
      <c r="H354" s="7">
        <v>24415.24</v>
      </c>
      <c r="I354" s="7"/>
      <c r="J354" s="7"/>
      <c r="K354" s="7"/>
      <c r="L354" s="10">
        <v>5.5741092456127026</v>
      </c>
      <c r="M354" s="9">
        <v>44994</v>
      </c>
      <c r="N354" s="10">
        <v>5.5</v>
      </c>
      <c r="O354" s="9">
        <v>44999</v>
      </c>
      <c r="P354">
        <v>15</v>
      </c>
      <c r="Q354" s="11" t="s">
        <v>49</v>
      </c>
      <c r="R354" s="7">
        <v>24415.24</v>
      </c>
      <c r="S354" s="7"/>
      <c r="T354" s="7"/>
      <c r="U354" s="7"/>
      <c r="V354" s="10">
        <v>7.5741092456127026</v>
      </c>
      <c r="W354" s="9">
        <v>44996</v>
      </c>
      <c r="X354" s="10">
        <v>7.5</v>
      </c>
      <c r="Y354" s="9">
        <v>44999</v>
      </c>
      <c r="Z354">
        <v>15</v>
      </c>
      <c r="AA354" s="11" t="s">
        <v>49</v>
      </c>
    </row>
    <row r="355" spans="2:27" ht="16" x14ac:dyDescent="0.2">
      <c r="B355" t="s">
        <v>35</v>
      </c>
      <c r="C355">
        <v>40362049</v>
      </c>
      <c r="D355" t="s">
        <v>389</v>
      </c>
      <c r="E355">
        <v>1021733</v>
      </c>
      <c r="F355" t="s">
        <v>277</v>
      </c>
      <c r="G355" s="9">
        <v>44989</v>
      </c>
      <c r="H355" s="7">
        <v>24282.11</v>
      </c>
      <c r="I355" s="7"/>
      <c r="J355" s="7"/>
      <c r="K355" s="7"/>
      <c r="L355" s="10">
        <v>5.5741092456127026</v>
      </c>
      <c r="M355" s="9">
        <v>44994</v>
      </c>
      <c r="N355" s="10">
        <v>5.5</v>
      </c>
      <c r="O355" s="9">
        <v>44999</v>
      </c>
      <c r="P355">
        <v>15</v>
      </c>
      <c r="Q355" s="11" t="s">
        <v>49</v>
      </c>
      <c r="R355" s="7">
        <v>24282.11</v>
      </c>
      <c r="S355" s="7"/>
      <c r="T355" s="7"/>
      <c r="U355" s="7"/>
      <c r="V355" s="10">
        <v>7.5741092456127026</v>
      </c>
      <c r="W355" s="9">
        <v>44996</v>
      </c>
      <c r="X355" s="10">
        <v>7.5</v>
      </c>
      <c r="Y355" s="9">
        <v>44999</v>
      </c>
      <c r="Z355">
        <v>15</v>
      </c>
      <c r="AA355" s="11" t="s">
        <v>49</v>
      </c>
    </row>
    <row r="356" spans="2:27" ht="16" x14ac:dyDescent="0.2">
      <c r="B356" t="s">
        <v>35</v>
      </c>
      <c r="C356">
        <v>40362044</v>
      </c>
      <c r="D356" t="s">
        <v>389</v>
      </c>
      <c r="E356">
        <v>1021733</v>
      </c>
      <c r="F356" t="s">
        <v>277</v>
      </c>
      <c r="G356" s="9">
        <v>44977</v>
      </c>
      <c r="H356" s="7">
        <v>11748.91</v>
      </c>
      <c r="I356" s="7"/>
      <c r="J356" s="7"/>
      <c r="K356" s="7"/>
      <c r="L356" s="10">
        <v>5.5741092456127026</v>
      </c>
      <c r="M356" s="9">
        <v>44982</v>
      </c>
      <c r="N356" s="10">
        <v>5.5</v>
      </c>
      <c r="O356" s="9">
        <v>44987</v>
      </c>
      <c r="P356">
        <v>25</v>
      </c>
      <c r="Q356" s="11" t="s">
        <v>49</v>
      </c>
      <c r="R356" s="7">
        <v>11748.91</v>
      </c>
      <c r="S356" s="7"/>
      <c r="T356" s="7"/>
      <c r="U356" s="7"/>
      <c r="V356" s="10">
        <v>7.5741092456127026</v>
      </c>
      <c r="W356" s="9">
        <v>44984</v>
      </c>
      <c r="X356" s="10">
        <v>7.5</v>
      </c>
      <c r="Y356" s="9">
        <v>44987</v>
      </c>
      <c r="Z356">
        <v>25</v>
      </c>
      <c r="AA356" s="11" t="s">
        <v>49</v>
      </c>
    </row>
    <row r="357" spans="2:27" ht="16" x14ac:dyDescent="0.2">
      <c r="B357" t="s">
        <v>35</v>
      </c>
      <c r="C357">
        <v>40362044</v>
      </c>
      <c r="D357" t="s">
        <v>389</v>
      </c>
      <c r="E357">
        <v>1021733</v>
      </c>
      <c r="F357" t="s">
        <v>277</v>
      </c>
      <c r="G357" s="9">
        <v>44977</v>
      </c>
      <c r="H357" s="7">
        <v>23959.34</v>
      </c>
      <c r="I357" s="7"/>
      <c r="J357" s="7"/>
      <c r="K357" s="7"/>
      <c r="L357" s="10">
        <v>5.5741092456127026</v>
      </c>
      <c r="M357" s="9">
        <v>44982</v>
      </c>
      <c r="N357" s="10">
        <v>5.5</v>
      </c>
      <c r="O357" s="9">
        <v>44987</v>
      </c>
      <c r="P357">
        <v>25</v>
      </c>
      <c r="Q357" s="11" t="s">
        <v>49</v>
      </c>
      <c r="R357" s="7">
        <v>23959.34</v>
      </c>
      <c r="S357" s="7"/>
      <c r="T357" s="7"/>
      <c r="U357" s="7"/>
      <c r="V357" s="10">
        <v>7.5741092456127026</v>
      </c>
      <c r="W357" s="9">
        <v>44984</v>
      </c>
      <c r="X357" s="10">
        <v>7.5</v>
      </c>
      <c r="Y357" s="9">
        <v>44987</v>
      </c>
      <c r="Z357">
        <v>25</v>
      </c>
      <c r="AA357" s="11" t="s">
        <v>49</v>
      </c>
    </row>
    <row r="358" spans="2:27" ht="16" x14ac:dyDescent="0.2">
      <c r="B358" t="s">
        <v>35</v>
      </c>
      <c r="C358">
        <v>40362042</v>
      </c>
      <c r="D358" t="s">
        <v>389</v>
      </c>
      <c r="E358">
        <v>1022073</v>
      </c>
      <c r="F358" t="s">
        <v>45</v>
      </c>
      <c r="G358" s="9">
        <v>44989</v>
      </c>
      <c r="H358" s="7">
        <v>3343.47</v>
      </c>
      <c r="I358" s="7"/>
      <c r="J358" s="7"/>
      <c r="K358" s="7"/>
      <c r="L358" s="10">
        <v>5.5741092456127026</v>
      </c>
      <c r="M358" s="9">
        <v>44994</v>
      </c>
      <c r="N358" s="10">
        <v>5.5</v>
      </c>
      <c r="O358" s="9">
        <v>44999</v>
      </c>
      <c r="P358">
        <v>15</v>
      </c>
      <c r="Q358" s="11" t="s">
        <v>49</v>
      </c>
      <c r="R358" s="7">
        <v>3343.47</v>
      </c>
      <c r="S358" s="7"/>
      <c r="T358" s="7"/>
      <c r="U358" s="7"/>
      <c r="V358" s="10">
        <v>7.5741092456127026</v>
      </c>
      <c r="W358" s="9">
        <v>44996</v>
      </c>
      <c r="X358" s="10">
        <v>7.5</v>
      </c>
      <c r="Y358" s="9">
        <v>44999</v>
      </c>
      <c r="Z358">
        <v>15</v>
      </c>
      <c r="AA358" s="11" t="s">
        <v>49</v>
      </c>
    </row>
    <row r="359" spans="2:27" ht="16" x14ac:dyDescent="0.2">
      <c r="B359" t="s">
        <v>35</v>
      </c>
      <c r="C359">
        <v>40362042</v>
      </c>
      <c r="D359" t="s">
        <v>389</v>
      </c>
      <c r="E359">
        <v>1022073</v>
      </c>
      <c r="F359" t="s">
        <v>45</v>
      </c>
      <c r="G359" s="9">
        <v>44989</v>
      </c>
      <c r="H359" s="7">
        <v>24053.29</v>
      </c>
      <c r="I359" s="7"/>
      <c r="J359" s="7"/>
      <c r="K359" s="7"/>
      <c r="L359" s="10">
        <v>5.5741092456127026</v>
      </c>
      <c r="M359" s="9">
        <v>44994</v>
      </c>
      <c r="N359" s="10">
        <v>5.5</v>
      </c>
      <c r="O359" s="9">
        <v>44999</v>
      </c>
      <c r="P359">
        <v>15</v>
      </c>
      <c r="Q359" s="11" t="s">
        <v>49</v>
      </c>
      <c r="R359" s="7">
        <v>24053.29</v>
      </c>
      <c r="S359" s="7"/>
      <c r="T359" s="7"/>
      <c r="U359" s="7"/>
      <c r="V359" s="10">
        <v>7.5741092456127026</v>
      </c>
      <c r="W359" s="9">
        <v>44996</v>
      </c>
      <c r="X359" s="10">
        <v>7.5</v>
      </c>
      <c r="Y359" s="9">
        <v>44999</v>
      </c>
      <c r="Z359">
        <v>15</v>
      </c>
      <c r="AA359" s="11" t="s">
        <v>49</v>
      </c>
    </row>
    <row r="360" spans="2:27" ht="16" x14ac:dyDescent="0.2">
      <c r="B360" t="s">
        <v>35</v>
      </c>
      <c r="C360">
        <v>40362041</v>
      </c>
      <c r="D360" t="s">
        <v>389</v>
      </c>
      <c r="E360">
        <v>1022073</v>
      </c>
      <c r="F360" t="s">
        <v>45</v>
      </c>
      <c r="G360" s="9">
        <v>44977</v>
      </c>
      <c r="H360" s="7">
        <v>24134.37</v>
      </c>
      <c r="I360" s="7"/>
      <c r="J360" s="7"/>
      <c r="K360" s="7"/>
      <c r="L360" s="10">
        <v>5.5741092456127026</v>
      </c>
      <c r="M360" s="9">
        <v>44982</v>
      </c>
      <c r="N360" s="10">
        <v>5.5</v>
      </c>
      <c r="O360" s="9">
        <v>44987</v>
      </c>
      <c r="P360">
        <v>25</v>
      </c>
      <c r="Q360" s="11" t="s">
        <v>49</v>
      </c>
      <c r="R360" s="7">
        <v>24134.37</v>
      </c>
      <c r="S360" s="7"/>
      <c r="T360" s="7"/>
      <c r="U360" s="7"/>
      <c r="V360" s="10">
        <v>7.5741092456127026</v>
      </c>
      <c r="W360" s="9">
        <v>44984</v>
      </c>
      <c r="X360" s="10">
        <v>7.5</v>
      </c>
      <c r="Y360" s="9">
        <v>44987</v>
      </c>
      <c r="Z360">
        <v>25</v>
      </c>
      <c r="AA360" s="11" t="s">
        <v>49</v>
      </c>
    </row>
    <row r="361" spans="2:27" ht="16" x14ac:dyDescent="0.2">
      <c r="B361" t="s">
        <v>35</v>
      </c>
      <c r="C361">
        <v>40362040</v>
      </c>
      <c r="D361" t="s">
        <v>389</v>
      </c>
      <c r="E361">
        <v>1022073</v>
      </c>
      <c r="F361" t="s">
        <v>45</v>
      </c>
      <c r="G361" s="9">
        <v>44976</v>
      </c>
      <c r="H361" s="7">
        <v>24014</v>
      </c>
      <c r="I361" s="7"/>
      <c r="J361" s="7"/>
      <c r="K361" s="7"/>
      <c r="L361" s="10">
        <v>5.5741092456127026</v>
      </c>
      <c r="M361" s="9">
        <v>44981</v>
      </c>
      <c r="N361" s="10">
        <v>5.5</v>
      </c>
      <c r="O361" s="9">
        <v>44986</v>
      </c>
      <c r="P361">
        <v>26</v>
      </c>
      <c r="Q361" s="11" t="s">
        <v>49</v>
      </c>
      <c r="R361" s="7">
        <v>24014</v>
      </c>
      <c r="S361" s="7"/>
      <c r="T361" s="7"/>
      <c r="U361" s="7"/>
      <c r="V361" s="10">
        <v>7.5741092456127026</v>
      </c>
      <c r="W361" s="9">
        <v>44983</v>
      </c>
      <c r="X361" s="10">
        <v>7.5</v>
      </c>
      <c r="Y361" s="9">
        <v>44986</v>
      </c>
      <c r="Z361">
        <v>26</v>
      </c>
      <c r="AA361" s="11" t="s">
        <v>49</v>
      </c>
    </row>
    <row r="362" spans="2:27" ht="16" x14ac:dyDescent="0.2">
      <c r="B362" t="s">
        <v>35</v>
      </c>
      <c r="C362">
        <v>40362034</v>
      </c>
      <c r="D362" t="s">
        <v>389</v>
      </c>
      <c r="E362">
        <v>1022636</v>
      </c>
      <c r="F362" t="s">
        <v>312</v>
      </c>
      <c r="G362" s="9">
        <v>45008</v>
      </c>
      <c r="H362" s="7"/>
      <c r="I362" s="7">
        <v>21630</v>
      </c>
      <c r="J362" s="7"/>
      <c r="K362" s="7"/>
      <c r="L362" s="10">
        <v>5.5741092456127026</v>
      </c>
      <c r="M362" s="9">
        <v>45013</v>
      </c>
      <c r="N362" s="10">
        <v>5.5</v>
      </c>
      <c r="O362" s="9">
        <v>45018</v>
      </c>
      <c r="P362">
        <v>23</v>
      </c>
      <c r="Q362" s="11" t="s">
        <v>49</v>
      </c>
      <c r="R362" s="7"/>
      <c r="S362" s="7">
        <v>21630</v>
      </c>
      <c r="T362" s="7"/>
      <c r="U362" s="7"/>
      <c r="V362" s="10">
        <v>7.5741092456127026</v>
      </c>
      <c r="W362" s="9">
        <v>45015</v>
      </c>
      <c r="X362" s="10">
        <v>7.5</v>
      </c>
      <c r="Y362" s="9">
        <v>45018</v>
      </c>
      <c r="Z362">
        <v>23</v>
      </c>
      <c r="AA362" s="11" t="s">
        <v>49</v>
      </c>
    </row>
    <row r="363" spans="2:27" ht="16" x14ac:dyDescent="0.2">
      <c r="B363" t="s">
        <v>35</v>
      </c>
      <c r="C363">
        <v>40362032</v>
      </c>
      <c r="D363" t="s">
        <v>389</v>
      </c>
      <c r="E363">
        <v>1022636</v>
      </c>
      <c r="F363" t="s">
        <v>312</v>
      </c>
      <c r="G363" s="9">
        <v>45008</v>
      </c>
      <c r="H363" s="7"/>
      <c r="I363" s="7">
        <v>21870</v>
      </c>
      <c r="J363" s="7"/>
      <c r="K363" s="7"/>
      <c r="L363" s="10">
        <v>5.5741092456127026</v>
      </c>
      <c r="M363" s="9">
        <v>45013</v>
      </c>
      <c r="N363" s="10">
        <v>5.5</v>
      </c>
      <c r="O363" s="9">
        <v>45018</v>
      </c>
      <c r="P363">
        <v>23</v>
      </c>
      <c r="Q363" s="11" t="s">
        <v>49</v>
      </c>
      <c r="R363" s="7"/>
      <c r="S363" s="7">
        <v>21870</v>
      </c>
      <c r="T363" s="7"/>
      <c r="U363" s="7"/>
      <c r="V363" s="10">
        <v>7.5741092456127026</v>
      </c>
      <c r="W363" s="9">
        <v>45015</v>
      </c>
      <c r="X363" s="10">
        <v>7.5</v>
      </c>
      <c r="Y363" s="9">
        <v>45018</v>
      </c>
      <c r="Z363">
        <v>23</v>
      </c>
      <c r="AA363" s="11" t="s">
        <v>49</v>
      </c>
    </row>
    <row r="364" spans="2:27" ht="16" x14ac:dyDescent="0.2">
      <c r="B364" t="s">
        <v>35</v>
      </c>
      <c r="C364">
        <v>40362031</v>
      </c>
      <c r="D364" t="s">
        <v>389</v>
      </c>
      <c r="E364">
        <v>1022636</v>
      </c>
      <c r="F364" t="s">
        <v>312</v>
      </c>
      <c r="G364" s="9">
        <v>45007</v>
      </c>
      <c r="H364" s="7"/>
      <c r="I364" s="7">
        <v>21510</v>
      </c>
      <c r="J364" s="7"/>
      <c r="K364" s="7"/>
      <c r="L364" s="10">
        <v>5.5741092456127026</v>
      </c>
      <c r="M364" s="9">
        <v>45012</v>
      </c>
      <c r="N364" s="10">
        <v>5.5</v>
      </c>
      <c r="O364" s="9">
        <v>45017</v>
      </c>
      <c r="P364">
        <v>23</v>
      </c>
      <c r="Q364" s="11" t="s">
        <v>49</v>
      </c>
      <c r="R364" s="7"/>
      <c r="S364" s="7">
        <v>21510</v>
      </c>
      <c r="T364" s="7"/>
      <c r="U364" s="7"/>
      <c r="V364" s="10">
        <v>7.5741092456127026</v>
      </c>
      <c r="W364" s="9">
        <v>45014</v>
      </c>
      <c r="X364" s="10">
        <v>7.5</v>
      </c>
      <c r="Y364" s="9">
        <v>45017</v>
      </c>
      <c r="Z364">
        <v>23</v>
      </c>
      <c r="AA364" s="11" t="s">
        <v>49</v>
      </c>
    </row>
    <row r="365" spans="2:27" ht="16" x14ac:dyDescent="0.2">
      <c r="B365" t="s">
        <v>35</v>
      </c>
      <c r="C365">
        <v>40362029</v>
      </c>
      <c r="D365" t="s">
        <v>389</v>
      </c>
      <c r="E365">
        <v>1022183</v>
      </c>
      <c r="F365" t="s">
        <v>165</v>
      </c>
      <c r="G365" s="9">
        <v>44991</v>
      </c>
      <c r="H365" s="7">
        <v>24574.52</v>
      </c>
      <c r="I365" s="7"/>
      <c r="J365" s="7"/>
      <c r="K365" s="7"/>
      <c r="L365" s="10">
        <v>5.5741092456127026</v>
      </c>
      <c r="M365" s="9">
        <v>44996</v>
      </c>
      <c r="N365" s="10">
        <v>5.5</v>
      </c>
      <c r="O365" s="9">
        <v>45001</v>
      </c>
      <c r="P365">
        <v>13</v>
      </c>
      <c r="Q365" s="11" t="s">
        <v>49</v>
      </c>
      <c r="R365" s="7">
        <v>24574.52</v>
      </c>
      <c r="S365" s="7"/>
      <c r="T365" s="7"/>
      <c r="U365" s="7"/>
      <c r="V365" s="10">
        <v>7.5741092456127026</v>
      </c>
      <c r="W365" s="9">
        <v>44998</v>
      </c>
      <c r="X365" s="10">
        <v>7.5</v>
      </c>
      <c r="Y365" s="9">
        <v>45001</v>
      </c>
      <c r="Z365">
        <v>13</v>
      </c>
      <c r="AA365" s="11" t="s">
        <v>49</v>
      </c>
    </row>
    <row r="366" spans="2:27" ht="16" x14ac:dyDescent="0.2">
      <c r="B366" t="s">
        <v>35</v>
      </c>
      <c r="C366">
        <v>40362027</v>
      </c>
      <c r="D366" t="s">
        <v>389</v>
      </c>
      <c r="E366">
        <v>1022183</v>
      </c>
      <c r="F366" t="s">
        <v>165</v>
      </c>
      <c r="G366" s="9">
        <v>44984</v>
      </c>
      <c r="H366" s="7">
        <v>24266</v>
      </c>
      <c r="I366" s="7"/>
      <c r="J366" s="7"/>
      <c r="K366" s="7"/>
      <c r="L366" s="10">
        <v>5.5741092456127026</v>
      </c>
      <c r="M366" s="9">
        <v>44989</v>
      </c>
      <c r="N366" s="10">
        <v>5.5</v>
      </c>
      <c r="O366" s="9">
        <v>44994</v>
      </c>
      <c r="P366">
        <v>19</v>
      </c>
      <c r="Q366" s="11" t="s">
        <v>49</v>
      </c>
      <c r="R366" s="7">
        <v>24266</v>
      </c>
      <c r="S366" s="7"/>
      <c r="T366" s="7"/>
      <c r="U366" s="7"/>
      <c r="V366" s="10">
        <v>7.5741092456127026</v>
      </c>
      <c r="W366" s="9">
        <v>44991</v>
      </c>
      <c r="X366" s="10">
        <v>7.5</v>
      </c>
      <c r="Y366" s="9">
        <v>44994</v>
      </c>
      <c r="Z366">
        <v>19</v>
      </c>
      <c r="AA366" s="11" t="s">
        <v>49</v>
      </c>
    </row>
    <row r="367" spans="2:27" ht="16" x14ac:dyDescent="0.2">
      <c r="B367" t="s">
        <v>35</v>
      </c>
      <c r="C367">
        <v>40362026</v>
      </c>
      <c r="D367" t="s">
        <v>389</v>
      </c>
      <c r="E367">
        <v>1022183</v>
      </c>
      <c r="F367" t="s">
        <v>165</v>
      </c>
      <c r="G367" s="9">
        <v>44991</v>
      </c>
      <c r="H367" s="7">
        <v>25001.18</v>
      </c>
      <c r="I367" s="7"/>
      <c r="J367" s="7"/>
      <c r="K367" s="7"/>
      <c r="L367" s="10">
        <v>5.5741092456127026</v>
      </c>
      <c r="M367" s="9">
        <v>44996</v>
      </c>
      <c r="N367" s="10">
        <v>5.5</v>
      </c>
      <c r="O367" s="9">
        <v>45001</v>
      </c>
      <c r="P367">
        <v>13</v>
      </c>
      <c r="Q367" s="11" t="s">
        <v>49</v>
      </c>
      <c r="R367" s="7">
        <v>25001.18</v>
      </c>
      <c r="S367" s="7"/>
      <c r="T367" s="7"/>
      <c r="U367" s="7"/>
      <c r="V367" s="10">
        <v>7.5741092456127026</v>
      </c>
      <c r="W367" s="9">
        <v>44998</v>
      </c>
      <c r="X367" s="10">
        <v>7.5</v>
      </c>
      <c r="Y367" s="9">
        <v>45001</v>
      </c>
      <c r="Z367">
        <v>13</v>
      </c>
      <c r="AA367" s="11" t="s">
        <v>49</v>
      </c>
    </row>
    <row r="368" spans="2:27" ht="16" x14ac:dyDescent="0.2">
      <c r="B368" t="s">
        <v>35</v>
      </c>
      <c r="C368">
        <v>40362025</v>
      </c>
      <c r="D368" t="s">
        <v>389</v>
      </c>
      <c r="E368">
        <v>1022183</v>
      </c>
      <c r="F368" t="s">
        <v>165</v>
      </c>
      <c r="G368" s="9">
        <v>44991</v>
      </c>
      <c r="H368" s="7">
        <v>25001.35</v>
      </c>
      <c r="I368" s="7"/>
      <c r="J368" s="7"/>
      <c r="K368" s="7"/>
      <c r="L368" s="10">
        <v>5.5741092456127026</v>
      </c>
      <c r="M368" s="9">
        <v>44996</v>
      </c>
      <c r="N368" s="10">
        <v>5.5</v>
      </c>
      <c r="O368" s="9">
        <v>45001</v>
      </c>
      <c r="P368">
        <v>13</v>
      </c>
      <c r="Q368" s="11" t="s">
        <v>49</v>
      </c>
      <c r="R368" s="7">
        <v>25001.35</v>
      </c>
      <c r="S368" s="7"/>
      <c r="T368" s="7"/>
      <c r="U368" s="7"/>
      <c r="V368" s="10">
        <v>7.5741092456127026</v>
      </c>
      <c r="W368" s="9">
        <v>44998</v>
      </c>
      <c r="X368" s="10">
        <v>7.5</v>
      </c>
      <c r="Y368" s="9">
        <v>45001</v>
      </c>
      <c r="Z368">
        <v>13</v>
      </c>
      <c r="AA368" s="11" t="s">
        <v>49</v>
      </c>
    </row>
    <row r="369" spans="2:27" ht="16" x14ac:dyDescent="0.2">
      <c r="B369" t="s">
        <v>35</v>
      </c>
      <c r="C369">
        <v>40362023</v>
      </c>
      <c r="D369" t="s">
        <v>389</v>
      </c>
      <c r="E369">
        <v>1022183</v>
      </c>
      <c r="F369" t="s">
        <v>165</v>
      </c>
      <c r="G369" s="9">
        <v>44991</v>
      </c>
      <c r="H369" s="7">
        <v>24941.33</v>
      </c>
      <c r="I369" s="7"/>
      <c r="J369" s="7"/>
      <c r="K369" s="7"/>
      <c r="L369" s="10">
        <v>5.5741092456127026</v>
      </c>
      <c r="M369" s="9">
        <v>44996</v>
      </c>
      <c r="N369" s="10">
        <v>5.5</v>
      </c>
      <c r="O369" s="9">
        <v>45001</v>
      </c>
      <c r="P369">
        <v>13</v>
      </c>
      <c r="Q369" s="11" t="s">
        <v>49</v>
      </c>
      <c r="R369" s="7">
        <v>24941.33</v>
      </c>
      <c r="S369" s="7"/>
      <c r="T369" s="7"/>
      <c r="U369" s="7"/>
      <c r="V369" s="10">
        <v>7.5741092456127026</v>
      </c>
      <c r="W369" s="9">
        <v>44998</v>
      </c>
      <c r="X369" s="10">
        <v>7.5</v>
      </c>
      <c r="Y369" s="9">
        <v>45001</v>
      </c>
      <c r="Z369">
        <v>13</v>
      </c>
      <c r="AA369" s="11" t="s">
        <v>49</v>
      </c>
    </row>
    <row r="370" spans="2:27" ht="16" x14ac:dyDescent="0.2">
      <c r="B370" t="s">
        <v>35</v>
      </c>
      <c r="C370">
        <v>40362021</v>
      </c>
      <c r="D370" t="s">
        <v>389</v>
      </c>
      <c r="E370">
        <v>1022183</v>
      </c>
      <c r="F370" t="s">
        <v>165</v>
      </c>
      <c r="G370" s="9">
        <v>44991</v>
      </c>
      <c r="H370" s="7">
        <v>24467.5</v>
      </c>
      <c r="I370" s="7"/>
      <c r="J370" s="7"/>
      <c r="K370" s="7"/>
      <c r="L370" s="10">
        <v>5.5741092456127026</v>
      </c>
      <c r="M370" s="9">
        <v>44996</v>
      </c>
      <c r="N370" s="10">
        <v>5.5</v>
      </c>
      <c r="O370" s="9">
        <v>45001</v>
      </c>
      <c r="P370">
        <v>13</v>
      </c>
      <c r="Q370" s="11" t="s">
        <v>49</v>
      </c>
      <c r="R370" s="7">
        <v>24467.5</v>
      </c>
      <c r="S370" s="7"/>
      <c r="T370" s="7"/>
      <c r="U370" s="7"/>
      <c r="V370" s="10">
        <v>7.5741092456127026</v>
      </c>
      <c r="W370" s="9">
        <v>44998</v>
      </c>
      <c r="X370" s="10">
        <v>7.5</v>
      </c>
      <c r="Y370" s="9">
        <v>45001</v>
      </c>
      <c r="Z370">
        <v>13</v>
      </c>
      <c r="AA370" s="11" t="s">
        <v>49</v>
      </c>
    </row>
    <row r="371" spans="2:27" ht="16" x14ac:dyDescent="0.2">
      <c r="B371" t="s">
        <v>35</v>
      </c>
      <c r="C371">
        <v>40362014</v>
      </c>
      <c r="D371" t="s">
        <v>389</v>
      </c>
      <c r="E371">
        <v>1022183</v>
      </c>
      <c r="F371" t="s">
        <v>165</v>
      </c>
      <c r="G371" s="9">
        <v>44985</v>
      </c>
      <c r="H371" s="7">
        <v>24601.97</v>
      </c>
      <c r="I371" s="7"/>
      <c r="J371" s="7"/>
      <c r="K371" s="7"/>
      <c r="L371" s="10">
        <v>5.5741092456127026</v>
      </c>
      <c r="M371" s="9">
        <v>44990</v>
      </c>
      <c r="N371" s="10">
        <v>5.5</v>
      </c>
      <c r="O371" s="9">
        <v>44995</v>
      </c>
      <c r="P371">
        <v>18</v>
      </c>
      <c r="Q371" s="11" t="s">
        <v>49</v>
      </c>
      <c r="R371" s="7">
        <v>24601.97</v>
      </c>
      <c r="S371" s="7"/>
      <c r="T371" s="7"/>
      <c r="U371" s="7"/>
      <c r="V371" s="10">
        <v>7.5741092456127026</v>
      </c>
      <c r="W371" s="9">
        <v>44992</v>
      </c>
      <c r="X371" s="10">
        <v>7.5</v>
      </c>
      <c r="Y371" s="9">
        <v>44995</v>
      </c>
      <c r="Z371">
        <v>18</v>
      </c>
      <c r="AA371" s="11" t="s">
        <v>49</v>
      </c>
    </row>
    <row r="372" spans="2:27" ht="16" x14ac:dyDescent="0.2">
      <c r="B372" t="s">
        <v>35</v>
      </c>
      <c r="C372">
        <v>40362013</v>
      </c>
      <c r="D372" t="s">
        <v>389</v>
      </c>
      <c r="E372">
        <v>1022183</v>
      </c>
      <c r="F372" t="s">
        <v>165</v>
      </c>
      <c r="G372" s="9">
        <v>44983</v>
      </c>
      <c r="H372" s="7">
        <v>25005.43</v>
      </c>
      <c r="I372" s="7"/>
      <c r="J372" s="7"/>
      <c r="K372" s="7"/>
      <c r="L372" s="10">
        <v>5.5741092456127026</v>
      </c>
      <c r="M372" s="9">
        <v>44988</v>
      </c>
      <c r="N372" s="10">
        <v>5.5</v>
      </c>
      <c r="O372" s="9">
        <v>44993</v>
      </c>
      <c r="P372">
        <v>20</v>
      </c>
      <c r="Q372" s="11" t="s">
        <v>49</v>
      </c>
      <c r="R372" s="7">
        <v>25005.43</v>
      </c>
      <c r="S372" s="7"/>
      <c r="T372" s="7"/>
      <c r="U372" s="7"/>
      <c r="V372" s="10">
        <v>7.5741092456127026</v>
      </c>
      <c r="W372" s="9">
        <v>44990</v>
      </c>
      <c r="X372" s="10">
        <v>7.5</v>
      </c>
      <c r="Y372" s="9">
        <v>44993</v>
      </c>
      <c r="Z372">
        <v>20</v>
      </c>
      <c r="AA372" s="11" t="s">
        <v>49</v>
      </c>
    </row>
    <row r="373" spans="2:27" ht="16" x14ac:dyDescent="0.2">
      <c r="B373" t="s">
        <v>35</v>
      </c>
      <c r="C373">
        <v>40362012</v>
      </c>
      <c r="D373" t="s">
        <v>389</v>
      </c>
      <c r="E373">
        <v>1022183</v>
      </c>
      <c r="F373" t="s">
        <v>165</v>
      </c>
      <c r="G373" s="9">
        <v>44977</v>
      </c>
      <c r="H373" s="7">
        <v>24429.08</v>
      </c>
      <c r="I373" s="7"/>
      <c r="J373" s="7"/>
      <c r="K373" s="7"/>
      <c r="L373" s="10">
        <v>5.5741092456127026</v>
      </c>
      <c r="M373" s="9">
        <v>44982</v>
      </c>
      <c r="N373" s="10">
        <v>5.5</v>
      </c>
      <c r="O373" s="9">
        <v>44987</v>
      </c>
      <c r="P373">
        <v>25</v>
      </c>
      <c r="Q373" s="11" t="s">
        <v>49</v>
      </c>
      <c r="R373" s="7">
        <v>24429.08</v>
      </c>
      <c r="S373" s="7"/>
      <c r="T373" s="7"/>
      <c r="U373" s="7"/>
      <c r="V373" s="10">
        <v>7.5741092456127026</v>
      </c>
      <c r="W373" s="9">
        <v>44984</v>
      </c>
      <c r="X373" s="10">
        <v>7.5</v>
      </c>
      <c r="Y373" s="9">
        <v>44987</v>
      </c>
      <c r="Z373">
        <v>25</v>
      </c>
      <c r="AA373" s="11" t="s">
        <v>49</v>
      </c>
    </row>
    <row r="374" spans="2:27" ht="16" x14ac:dyDescent="0.2">
      <c r="B374" t="s">
        <v>35</v>
      </c>
      <c r="C374">
        <v>40362011</v>
      </c>
      <c r="D374" t="s">
        <v>389</v>
      </c>
      <c r="E374">
        <v>1022183</v>
      </c>
      <c r="F374" t="s">
        <v>165</v>
      </c>
      <c r="G374" s="9">
        <v>44977</v>
      </c>
      <c r="H374" s="7">
        <v>24221.09</v>
      </c>
      <c r="I374" s="7"/>
      <c r="J374" s="7"/>
      <c r="K374" s="7"/>
      <c r="L374" s="10">
        <v>5.5741092456127026</v>
      </c>
      <c r="M374" s="9">
        <v>44982</v>
      </c>
      <c r="N374" s="10">
        <v>5.5</v>
      </c>
      <c r="O374" s="9">
        <v>44987</v>
      </c>
      <c r="P374">
        <v>25</v>
      </c>
      <c r="Q374" s="11" t="s">
        <v>49</v>
      </c>
      <c r="R374" s="7">
        <v>24221.09</v>
      </c>
      <c r="S374" s="7"/>
      <c r="T374" s="7"/>
      <c r="U374" s="7"/>
      <c r="V374" s="10">
        <v>7.5741092456127026</v>
      </c>
      <c r="W374" s="9">
        <v>44984</v>
      </c>
      <c r="X374" s="10">
        <v>7.5</v>
      </c>
      <c r="Y374" s="9">
        <v>44987</v>
      </c>
      <c r="Z374">
        <v>25</v>
      </c>
      <c r="AA374" s="11" t="s">
        <v>49</v>
      </c>
    </row>
    <row r="375" spans="2:27" ht="16" x14ac:dyDescent="0.2">
      <c r="B375" t="s">
        <v>35</v>
      </c>
      <c r="C375">
        <v>40362009</v>
      </c>
      <c r="D375" t="s">
        <v>389</v>
      </c>
      <c r="E375">
        <v>1022183</v>
      </c>
      <c r="F375" t="s">
        <v>165</v>
      </c>
      <c r="G375" s="9">
        <v>44985</v>
      </c>
      <c r="H375" s="7">
        <v>25016.27</v>
      </c>
      <c r="I375" s="7"/>
      <c r="J375" s="7"/>
      <c r="K375" s="7"/>
      <c r="L375" s="10">
        <v>5.5741092456127026</v>
      </c>
      <c r="M375" s="9">
        <v>44990</v>
      </c>
      <c r="N375" s="10">
        <v>5.5</v>
      </c>
      <c r="O375" s="9">
        <v>44995</v>
      </c>
      <c r="P375">
        <v>18</v>
      </c>
      <c r="Q375" s="11" t="s">
        <v>49</v>
      </c>
      <c r="R375" s="7">
        <v>25016.27</v>
      </c>
      <c r="S375" s="7"/>
      <c r="T375" s="7"/>
      <c r="U375" s="7"/>
      <c r="V375" s="10">
        <v>7.5741092456127026</v>
      </c>
      <c r="W375" s="9">
        <v>44992</v>
      </c>
      <c r="X375" s="10">
        <v>7.5</v>
      </c>
      <c r="Y375" s="9">
        <v>44995</v>
      </c>
      <c r="Z375">
        <v>18</v>
      </c>
      <c r="AA375" s="11" t="s">
        <v>49</v>
      </c>
    </row>
    <row r="376" spans="2:27" ht="16" x14ac:dyDescent="0.2">
      <c r="B376" t="s">
        <v>35</v>
      </c>
      <c r="C376">
        <v>40362008</v>
      </c>
      <c r="D376" t="s">
        <v>389</v>
      </c>
      <c r="E376">
        <v>1022183</v>
      </c>
      <c r="F376" t="s">
        <v>165</v>
      </c>
      <c r="G376" s="9">
        <v>44985</v>
      </c>
      <c r="H376" s="7">
        <v>24521.599999999999</v>
      </c>
      <c r="I376" s="7"/>
      <c r="J376" s="7"/>
      <c r="K376" s="7"/>
      <c r="L376" s="10">
        <v>5.5741092456127026</v>
      </c>
      <c r="M376" s="9">
        <v>44990</v>
      </c>
      <c r="N376" s="10">
        <v>5.5</v>
      </c>
      <c r="O376" s="9">
        <v>44995</v>
      </c>
      <c r="P376">
        <v>18</v>
      </c>
      <c r="Q376" s="11" t="s">
        <v>49</v>
      </c>
      <c r="R376" s="7">
        <v>24521.599999999999</v>
      </c>
      <c r="S376" s="7"/>
      <c r="T376" s="7"/>
      <c r="U376" s="7"/>
      <c r="V376" s="10">
        <v>7.5741092456127026</v>
      </c>
      <c r="W376" s="9">
        <v>44992</v>
      </c>
      <c r="X376" s="10">
        <v>7.5</v>
      </c>
      <c r="Y376" s="9">
        <v>44995</v>
      </c>
      <c r="Z376">
        <v>18</v>
      </c>
      <c r="AA376" s="11" t="s">
        <v>49</v>
      </c>
    </row>
    <row r="377" spans="2:27" ht="16" x14ac:dyDescent="0.2">
      <c r="B377" t="s">
        <v>35</v>
      </c>
      <c r="C377">
        <v>40362006</v>
      </c>
      <c r="D377" t="s">
        <v>389</v>
      </c>
      <c r="E377">
        <v>1022183</v>
      </c>
      <c r="F377" t="s">
        <v>165</v>
      </c>
      <c r="G377" s="9">
        <v>44977</v>
      </c>
      <c r="H377" s="7">
        <v>11281.11</v>
      </c>
      <c r="I377" s="7"/>
      <c r="J377" s="7"/>
      <c r="K377" s="7"/>
      <c r="L377" s="10">
        <v>5.5741092456127026</v>
      </c>
      <c r="M377" s="9">
        <v>44982</v>
      </c>
      <c r="N377" s="10">
        <v>5.5</v>
      </c>
      <c r="O377" s="9">
        <v>44987</v>
      </c>
      <c r="P377">
        <v>25</v>
      </c>
      <c r="Q377" s="11" t="s">
        <v>49</v>
      </c>
      <c r="R377" s="7">
        <v>11281.11</v>
      </c>
      <c r="S377" s="7"/>
      <c r="T377" s="7"/>
      <c r="U377" s="7"/>
      <c r="V377" s="10">
        <v>7.5741092456127026</v>
      </c>
      <c r="W377" s="9">
        <v>44984</v>
      </c>
      <c r="X377" s="10">
        <v>7.5</v>
      </c>
      <c r="Y377" s="9">
        <v>44987</v>
      </c>
      <c r="Z377">
        <v>25</v>
      </c>
      <c r="AA377" s="11" t="s">
        <v>49</v>
      </c>
    </row>
    <row r="378" spans="2:27" ht="16" x14ac:dyDescent="0.2">
      <c r="B378" t="s">
        <v>35</v>
      </c>
      <c r="C378">
        <v>40362006</v>
      </c>
      <c r="D378" t="s">
        <v>389</v>
      </c>
      <c r="E378">
        <v>1022183</v>
      </c>
      <c r="F378" t="s">
        <v>165</v>
      </c>
      <c r="G378" s="9">
        <v>44977</v>
      </c>
      <c r="H378" s="7">
        <v>24812.53</v>
      </c>
      <c r="I378" s="7"/>
      <c r="J378" s="7"/>
      <c r="K378" s="7"/>
      <c r="L378" s="10">
        <v>5.5741092456127026</v>
      </c>
      <c r="M378" s="9">
        <v>44982</v>
      </c>
      <c r="N378" s="10">
        <v>5.5</v>
      </c>
      <c r="O378" s="9">
        <v>44987</v>
      </c>
      <c r="P378">
        <v>25</v>
      </c>
      <c r="Q378" s="11" t="s">
        <v>49</v>
      </c>
      <c r="R378" s="7">
        <v>24812.53</v>
      </c>
      <c r="S378" s="7"/>
      <c r="T378" s="7"/>
      <c r="U378" s="7"/>
      <c r="V378" s="10">
        <v>7.5741092456127026</v>
      </c>
      <c r="W378" s="9">
        <v>44984</v>
      </c>
      <c r="X378" s="10">
        <v>7.5</v>
      </c>
      <c r="Y378" s="9">
        <v>44987</v>
      </c>
      <c r="Z378">
        <v>25</v>
      </c>
      <c r="AA378" s="11" t="s">
        <v>49</v>
      </c>
    </row>
    <row r="379" spans="2:27" ht="16" x14ac:dyDescent="0.2">
      <c r="B379" t="s">
        <v>35</v>
      </c>
      <c r="C379">
        <v>40362005</v>
      </c>
      <c r="D379" t="s">
        <v>389</v>
      </c>
      <c r="E379">
        <v>1022183</v>
      </c>
      <c r="F379" t="s">
        <v>165</v>
      </c>
      <c r="G379" s="9">
        <v>44976</v>
      </c>
      <c r="H379" s="7">
        <v>25015.55</v>
      </c>
      <c r="I379" s="7"/>
      <c r="J379" s="7"/>
      <c r="K379" s="7"/>
      <c r="L379" s="10">
        <v>5.5741092456127026</v>
      </c>
      <c r="M379" s="9">
        <v>44981</v>
      </c>
      <c r="N379" s="10">
        <v>5.5</v>
      </c>
      <c r="O379" s="9">
        <v>44986</v>
      </c>
      <c r="P379">
        <v>26</v>
      </c>
      <c r="Q379" s="11" t="s">
        <v>49</v>
      </c>
      <c r="R379" s="7">
        <v>25015.55</v>
      </c>
      <c r="S379" s="7"/>
      <c r="T379" s="7"/>
      <c r="U379" s="7"/>
      <c r="V379" s="10">
        <v>7.5741092456127026</v>
      </c>
      <c r="W379" s="9">
        <v>44983</v>
      </c>
      <c r="X379" s="10">
        <v>7.5</v>
      </c>
      <c r="Y379" s="9">
        <v>44986</v>
      </c>
      <c r="Z379">
        <v>26</v>
      </c>
      <c r="AA379" s="11" t="s">
        <v>49</v>
      </c>
    </row>
    <row r="380" spans="2:27" ht="16" x14ac:dyDescent="0.2">
      <c r="B380" t="s">
        <v>35</v>
      </c>
      <c r="C380">
        <v>40362004</v>
      </c>
      <c r="D380" t="s">
        <v>389</v>
      </c>
      <c r="E380">
        <v>1022183</v>
      </c>
      <c r="F380" t="s">
        <v>165</v>
      </c>
      <c r="G380" s="9">
        <v>44976</v>
      </c>
      <c r="H380" s="7">
        <v>25009.24</v>
      </c>
      <c r="I380" s="7"/>
      <c r="J380" s="7"/>
      <c r="K380" s="7"/>
      <c r="L380" s="10">
        <v>5.5741092456127026</v>
      </c>
      <c r="M380" s="9">
        <v>44981</v>
      </c>
      <c r="N380" s="10">
        <v>5.5</v>
      </c>
      <c r="O380" s="9">
        <v>44986</v>
      </c>
      <c r="P380">
        <v>26</v>
      </c>
      <c r="Q380" s="11" t="s">
        <v>49</v>
      </c>
      <c r="R380" s="7">
        <v>25009.24</v>
      </c>
      <c r="S380" s="7"/>
      <c r="T380" s="7"/>
      <c r="U380" s="7"/>
      <c r="V380" s="10">
        <v>7.5741092456127026</v>
      </c>
      <c r="W380" s="9">
        <v>44983</v>
      </c>
      <c r="X380" s="10">
        <v>7.5</v>
      </c>
      <c r="Y380" s="9">
        <v>44986</v>
      </c>
      <c r="Z380">
        <v>26</v>
      </c>
      <c r="AA380" s="11" t="s">
        <v>49</v>
      </c>
    </row>
    <row r="381" spans="2:27" ht="16" x14ac:dyDescent="0.2">
      <c r="B381" t="s">
        <v>35</v>
      </c>
      <c r="C381">
        <v>40362003</v>
      </c>
      <c r="D381" t="s">
        <v>389</v>
      </c>
      <c r="E381">
        <v>1022183</v>
      </c>
      <c r="F381" t="s">
        <v>165</v>
      </c>
      <c r="G381" s="9">
        <v>44985</v>
      </c>
      <c r="H381" s="7">
        <v>24296.68</v>
      </c>
      <c r="I381" s="7"/>
      <c r="J381" s="7"/>
      <c r="K381" s="7"/>
      <c r="L381" s="10">
        <v>5.5741092456127026</v>
      </c>
      <c r="M381" s="9">
        <v>44990</v>
      </c>
      <c r="N381" s="10">
        <v>5.5</v>
      </c>
      <c r="O381" s="9">
        <v>44995</v>
      </c>
      <c r="P381">
        <v>18</v>
      </c>
      <c r="Q381" s="11" t="s">
        <v>49</v>
      </c>
      <c r="R381" s="7">
        <v>24296.68</v>
      </c>
      <c r="S381" s="7"/>
      <c r="T381" s="7"/>
      <c r="U381" s="7"/>
      <c r="V381" s="10">
        <v>7.5741092456127026</v>
      </c>
      <c r="W381" s="9">
        <v>44992</v>
      </c>
      <c r="X381" s="10">
        <v>7.5</v>
      </c>
      <c r="Y381" s="9">
        <v>44995</v>
      </c>
      <c r="Z381">
        <v>18</v>
      </c>
      <c r="AA381" s="11" t="s">
        <v>49</v>
      </c>
    </row>
    <row r="382" spans="2:27" ht="16" x14ac:dyDescent="0.2">
      <c r="B382" t="s">
        <v>35</v>
      </c>
      <c r="C382">
        <v>40362002</v>
      </c>
      <c r="D382" t="s">
        <v>389</v>
      </c>
      <c r="E382">
        <v>1022183</v>
      </c>
      <c r="F382" t="s">
        <v>165</v>
      </c>
      <c r="G382" s="9">
        <v>44976</v>
      </c>
      <c r="H382" s="7">
        <v>22494.75</v>
      </c>
      <c r="I382" s="7"/>
      <c r="J382" s="7"/>
      <c r="K382" s="7"/>
      <c r="L382" s="10">
        <v>5.5741092456127026</v>
      </c>
      <c r="M382" s="9">
        <v>44981</v>
      </c>
      <c r="N382" s="10">
        <v>5.5</v>
      </c>
      <c r="O382" s="9">
        <v>44986</v>
      </c>
      <c r="P382">
        <v>26</v>
      </c>
      <c r="Q382" s="11" t="s">
        <v>49</v>
      </c>
      <c r="R382" s="7">
        <v>22494.75</v>
      </c>
      <c r="S382" s="7"/>
      <c r="T382" s="7"/>
      <c r="U382" s="7"/>
      <c r="V382" s="10">
        <v>7.5741092456127026</v>
      </c>
      <c r="W382" s="9">
        <v>44983</v>
      </c>
      <c r="X382" s="10">
        <v>7.5</v>
      </c>
      <c r="Y382" s="9">
        <v>44986</v>
      </c>
      <c r="Z382">
        <v>26</v>
      </c>
      <c r="AA382" s="11" t="s">
        <v>49</v>
      </c>
    </row>
    <row r="383" spans="2:27" ht="16" x14ac:dyDescent="0.2">
      <c r="B383" t="s">
        <v>35</v>
      </c>
      <c r="C383">
        <v>40362001</v>
      </c>
      <c r="D383" t="s">
        <v>389</v>
      </c>
      <c r="E383">
        <v>1022183</v>
      </c>
      <c r="F383" t="s">
        <v>165</v>
      </c>
      <c r="G383" s="9">
        <v>44976</v>
      </c>
      <c r="H383" s="7">
        <v>24094.29</v>
      </c>
      <c r="I383" s="7"/>
      <c r="J383" s="7"/>
      <c r="K383" s="7"/>
      <c r="L383" s="10">
        <v>5.5741092456127026</v>
      </c>
      <c r="M383" s="9">
        <v>44981</v>
      </c>
      <c r="N383" s="10">
        <v>5.5</v>
      </c>
      <c r="O383" s="9">
        <v>44986</v>
      </c>
      <c r="P383">
        <v>26</v>
      </c>
      <c r="Q383" s="11" t="s">
        <v>49</v>
      </c>
      <c r="R383" s="7">
        <v>24094.29</v>
      </c>
      <c r="S383" s="7"/>
      <c r="T383" s="7"/>
      <c r="U383" s="7"/>
      <c r="V383" s="10">
        <v>7.5741092456127026</v>
      </c>
      <c r="W383" s="9">
        <v>44983</v>
      </c>
      <c r="X383" s="10">
        <v>7.5</v>
      </c>
      <c r="Y383" s="9">
        <v>44986</v>
      </c>
      <c r="Z383">
        <v>26</v>
      </c>
      <c r="AA383" s="11" t="s">
        <v>49</v>
      </c>
    </row>
    <row r="384" spans="2:27" ht="16" x14ac:dyDescent="0.2">
      <c r="B384" t="s">
        <v>35</v>
      </c>
      <c r="C384">
        <v>40361999</v>
      </c>
      <c r="D384" t="s">
        <v>389</v>
      </c>
      <c r="E384">
        <v>1021738</v>
      </c>
      <c r="F384" t="s">
        <v>282</v>
      </c>
      <c r="G384" s="9">
        <v>44989</v>
      </c>
      <c r="H384" s="7">
        <v>12700</v>
      </c>
      <c r="I384" s="7"/>
      <c r="J384" s="7"/>
      <c r="K384" s="7"/>
      <c r="L384" s="10">
        <v>5.5741092456127026</v>
      </c>
      <c r="M384" s="9">
        <v>44994</v>
      </c>
      <c r="N384" s="10">
        <v>5.5</v>
      </c>
      <c r="O384" s="9">
        <v>44999</v>
      </c>
      <c r="P384">
        <v>15</v>
      </c>
      <c r="Q384" s="11" t="s">
        <v>49</v>
      </c>
      <c r="R384" s="7">
        <v>12700</v>
      </c>
      <c r="S384" s="7"/>
      <c r="T384" s="7"/>
      <c r="U384" s="7"/>
      <c r="V384" s="10">
        <v>7.5741092456127026</v>
      </c>
      <c r="W384" s="9">
        <v>44996</v>
      </c>
      <c r="X384" s="10">
        <v>7.5</v>
      </c>
      <c r="Y384" s="9">
        <v>44999</v>
      </c>
      <c r="Z384">
        <v>15</v>
      </c>
      <c r="AA384" s="11" t="s">
        <v>49</v>
      </c>
    </row>
    <row r="385" spans="2:27" ht="16" x14ac:dyDescent="0.2">
      <c r="B385" t="s">
        <v>35</v>
      </c>
      <c r="C385">
        <v>40361999</v>
      </c>
      <c r="D385" t="s">
        <v>389</v>
      </c>
      <c r="E385">
        <v>1021738</v>
      </c>
      <c r="F385" t="s">
        <v>282</v>
      </c>
      <c r="G385" s="9">
        <v>44989</v>
      </c>
      <c r="H385" s="7">
        <v>24060</v>
      </c>
      <c r="I385" s="7"/>
      <c r="J385" s="7"/>
      <c r="K385" s="7"/>
      <c r="L385" s="10">
        <v>5.5741092456127026</v>
      </c>
      <c r="M385" s="9">
        <v>44994</v>
      </c>
      <c r="N385" s="10">
        <v>5.5</v>
      </c>
      <c r="O385" s="9">
        <v>44999</v>
      </c>
      <c r="P385">
        <v>15</v>
      </c>
      <c r="Q385" s="11" t="s">
        <v>49</v>
      </c>
      <c r="R385" s="7">
        <v>24060</v>
      </c>
      <c r="S385" s="7"/>
      <c r="T385" s="7"/>
      <c r="U385" s="7"/>
      <c r="V385" s="10">
        <v>7.5741092456127026</v>
      </c>
      <c r="W385" s="9">
        <v>44996</v>
      </c>
      <c r="X385" s="10">
        <v>7.5</v>
      </c>
      <c r="Y385" s="9">
        <v>44999</v>
      </c>
      <c r="Z385">
        <v>15</v>
      </c>
      <c r="AA385" s="11" t="s">
        <v>49</v>
      </c>
    </row>
    <row r="386" spans="2:27" ht="16" x14ac:dyDescent="0.2">
      <c r="B386" t="s">
        <v>35</v>
      </c>
      <c r="C386">
        <v>40361998</v>
      </c>
      <c r="D386" t="s">
        <v>389</v>
      </c>
      <c r="E386">
        <v>1021738</v>
      </c>
      <c r="F386" t="s">
        <v>282</v>
      </c>
      <c r="G386" s="9">
        <v>44981</v>
      </c>
      <c r="H386" s="7">
        <v>24140</v>
      </c>
      <c r="I386" s="7"/>
      <c r="J386" s="7"/>
      <c r="K386" s="7"/>
      <c r="L386" s="10">
        <v>5.5741092456127026</v>
      </c>
      <c r="M386" s="9">
        <v>44986</v>
      </c>
      <c r="N386" s="10">
        <v>5.5</v>
      </c>
      <c r="O386" s="9">
        <v>44991</v>
      </c>
      <c r="P386">
        <v>22</v>
      </c>
      <c r="Q386" s="11" t="s">
        <v>49</v>
      </c>
      <c r="R386" s="7">
        <v>24140</v>
      </c>
      <c r="S386" s="7"/>
      <c r="T386" s="7"/>
      <c r="U386" s="7"/>
      <c r="V386" s="10">
        <v>7.5741092456127026</v>
      </c>
      <c r="W386" s="9">
        <v>44988</v>
      </c>
      <c r="X386" s="10">
        <v>7.5</v>
      </c>
      <c r="Y386" s="9">
        <v>44991</v>
      </c>
      <c r="Z386">
        <v>22</v>
      </c>
      <c r="AA386" s="11" t="s">
        <v>49</v>
      </c>
    </row>
    <row r="387" spans="2:27" ht="16" x14ac:dyDescent="0.2">
      <c r="B387" t="s">
        <v>35</v>
      </c>
      <c r="C387">
        <v>40361997</v>
      </c>
      <c r="D387" t="s">
        <v>389</v>
      </c>
      <c r="E387">
        <v>1021738</v>
      </c>
      <c r="F387" t="s">
        <v>282</v>
      </c>
      <c r="G387" s="9">
        <v>44976</v>
      </c>
      <c r="H387" s="7">
        <v>24240</v>
      </c>
      <c r="I387" s="7"/>
      <c r="J387" s="7"/>
      <c r="K387" s="7"/>
      <c r="L387" s="10">
        <v>5.5741092456127026</v>
      </c>
      <c r="M387" s="9">
        <v>44981</v>
      </c>
      <c r="N387" s="10">
        <v>5.5</v>
      </c>
      <c r="O387" s="9">
        <v>44986</v>
      </c>
      <c r="P387">
        <v>26</v>
      </c>
      <c r="Q387" s="11" t="s">
        <v>49</v>
      </c>
      <c r="R387" s="7">
        <v>24240</v>
      </c>
      <c r="S387" s="7"/>
      <c r="T387" s="7"/>
      <c r="U387" s="7"/>
      <c r="V387" s="10">
        <v>7.5741092456127026</v>
      </c>
      <c r="W387" s="9">
        <v>44983</v>
      </c>
      <c r="X387" s="10">
        <v>7.5</v>
      </c>
      <c r="Y387" s="9">
        <v>44986</v>
      </c>
      <c r="Z387">
        <v>26</v>
      </c>
      <c r="AA387" s="11" t="s">
        <v>49</v>
      </c>
    </row>
    <row r="388" spans="2:27" ht="16" x14ac:dyDescent="0.2">
      <c r="B388" t="s">
        <v>35</v>
      </c>
      <c r="C388">
        <v>40361996</v>
      </c>
      <c r="D388" t="s">
        <v>389</v>
      </c>
      <c r="E388">
        <v>1021738</v>
      </c>
      <c r="F388" t="s">
        <v>282</v>
      </c>
      <c r="G388" s="9">
        <v>44971</v>
      </c>
      <c r="H388" s="7"/>
      <c r="I388" s="7"/>
      <c r="J388" s="7"/>
      <c r="K388" s="7"/>
      <c r="L388" s="10">
        <v>5.5741092456127026</v>
      </c>
      <c r="M388" s="9">
        <v>44976</v>
      </c>
      <c r="N388" s="10">
        <v>5.5</v>
      </c>
      <c r="O388" s="9">
        <v>44981</v>
      </c>
      <c r="P388">
        <v>3</v>
      </c>
      <c r="Q388" s="11" t="s">
        <v>49</v>
      </c>
      <c r="R388" s="7"/>
      <c r="S388" s="7"/>
      <c r="T388" s="7"/>
      <c r="U388" s="7"/>
      <c r="V388" s="10">
        <v>7.5741092456127026</v>
      </c>
      <c r="W388" s="9">
        <v>44978</v>
      </c>
      <c r="X388" s="10">
        <v>7.5</v>
      </c>
      <c r="Y388" s="9">
        <v>44981</v>
      </c>
      <c r="Z388">
        <v>3</v>
      </c>
      <c r="AA388" s="11" t="s">
        <v>49</v>
      </c>
    </row>
    <row r="389" spans="2:27" ht="16" x14ac:dyDescent="0.2">
      <c r="B389" t="s">
        <v>35</v>
      </c>
      <c r="C389">
        <v>40361990</v>
      </c>
      <c r="D389" t="s">
        <v>389</v>
      </c>
      <c r="E389">
        <v>1021739</v>
      </c>
      <c r="F389" t="s">
        <v>416</v>
      </c>
      <c r="G389" s="9">
        <v>44993</v>
      </c>
      <c r="H389" s="7">
        <v>6548.76</v>
      </c>
      <c r="I389" s="7"/>
      <c r="J389" s="7"/>
      <c r="K389" s="7"/>
      <c r="L389" s="10">
        <v>5.5741092456127026</v>
      </c>
      <c r="M389" s="9">
        <v>44998</v>
      </c>
      <c r="N389" s="10">
        <v>5.5</v>
      </c>
      <c r="O389" s="9">
        <v>45003</v>
      </c>
      <c r="P389">
        <v>11</v>
      </c>
      <c r="Q389" s="11" t="s">
        <v>49</v>
      </c>
      <c r="R389" s="7">
        <v>6548.76</v>
      </c>
      <c r="S389" s="7"/>
      <c r="T389" s="7"/>
      <c r="U389" s="7"/>
      <c r="V389" s="10">
        <v>7.5741092456127026</v>
      </c>
      <c r="W389" s="9">
        <v>45000</v>
      </c>
      <c r="X389" s="10">
        <v>7.5</v>
      </c>
      <c r="Y389" s="9">
        <v>45003</v>
      </c>
      <c r="Z389">
        <v>11</v>
      </c>
      <c r="AA389" s="11" t="s">
        <v>49</v>
      </c>
    </row>
    <row r="390" spans="2:27" ht="16" x14ac:dyDescent="0.2">
      <c r="B390" t="s">
        <v>35</v>
      </c>
      <c r="C390">
        <v>40361990</v>
      </c>
      <c r="D390" t="s">
        <v>389</v>
      </c>
      <c r="E390">
        <v>1021739</v>
      </c>
      <c r="F390" t="s">
        <v>416</v>
      </c>
      <c r="G390" s="9">
        <v>44993</v>
      </c>
      <c r="H390" s="7">
        <v>24158.17</v>
      </c>
      <c r="I390" s="7"/>
      <c r="J390" s="7"/>
      <c r="K390" s="7"/>
      <c r="L390" s="10">
        <v>5.5741092456127026</v>
      </c>
      <c r="M390" s="9">
        <v>44998</v>
      </c>
      <c r="N390" s="10">
        <v>5.5</v>
      </c>
      <c r="O390" s="9">
        <v>45003</v>
      </c>
      <c r="P390">
        <v>11</v>
      </c>
      <c r="Q390" s="11" t="s">
        <v>49</v>
      </c>
      <c r="R390" s="7">
        <v>24158.17</v>
      </c>
      <c r="S390" s="7"/>
      <c r="T390" s="7"/>
      <c r="U390" s="7"/>
      <c r="V390" s="10">
        <v>7.5741092456127026</v>
      </c>
      <c r="W390" s="9">
        <v>45000</v>
      </c>
      <c r="X390" s="10">
        <v>7.5</v>
      </c>
      <c r="Y390" s="9">
        <v>45003</v>
      </c>
      <c r="Z390">
        <v>11</v>
      </c>
      <c r="AA390" s="11" t="s">
        <v>49</v>
      </c>
    </row>
    <row r="391" spans="2:27" ht="16" x14ac:dyDescent="0.2">
      <c r="B391" t="s">
        <v>35</v>
      </c>
      <c r="C391">
        <v>40361988</v>
      </c>
      <c r="D391" t="s">
        <v>389</v>
      </c>
      <c r="E391">
        <v>1021737</v>
      </c>
      <c r="F391" t="s">
        <v>280</v>
      </c>
      <c r="G391" s="9">
        <v>44995</v>
      </c>
      <c r="H391" s="7">
        <v>25000</v>
      </c>
      <c r="I391" s="7"/>
      <c r="J391" s="7"/>
      <c r="K391" s="7"/>
      <c r="L391" s="10">
        <v>5.5741092456127026</v>
      </c>
      <c r="M391" s="9">
        <v>45000</v>
      </c>
      <c r="N391" s="10">
        <v>5.5</v>
      </c>
      <c r="O391" s="9">
        <v>45005</v>
      </c>
      <c r="P391">
        <v>10</v>
      </c>
      <c r="Q391" s="11" t="s">
        <v>49</v>
      </c>
      <c r="R391" s="7">
        <v>25000</v>
      </c>
      <c r="S391" s="7"/>
      <c r="T391" s="7"/>
      <c r="U391" s="7"/>
      <c r="V391" s="10">
        <v>7.5741092456127026</v>
      </c>
      <c r="W391" s="9">
        <v>45002</v>
      </c>
      <c r="X391" s="10">
        <v>7.5</v>
      </c>
      <c r="Y391" s="9">
        <v>45005</v>
      </c>
      <c r="Z391">
        <v>10</v>
      </c>
      <c r="AA391" s="11" t="s">
        <v>49</v>
      </c>
    </row>
    <row r="392" spans="2:27" ht="16" x14ac:dyDescent="0.2">
      <c r="B392" t="s">
        <v>35</v>
      </c>
      <c r="C392">
        <v>40361972</v>
      </c>
      <c r="D392" t="s">
        <v>389</v>
      </c>
      <c r="E392">
        <v>1022099</v>
      </c>
      <c r="F392" t="s">
        <v>294</v>
      </c>
      <c r="G392" s="9">
        <v>44983</v>
      </c>
      <c r="H392" s="7">
        <v>24192</v>
      </c>
      <c r="I392" s="7"/>
      <c r="J392" s="7"/>
      <c r="K392" s="7"/>
      <c r="L392" s="10">
        <v>5.5741092456127026</v>
      </c>
      <c r="M392" s="9">
        <v>44988</v>
      </c>
      <c r="N392" s="10">
        <v>5.5</v>
      </c>
      <c r="O392" s="9">
        <v>44993</v>
      </c>
      <c r="P392">
        <v>20</v>
      </c>
      <c r="Q392" s="11" t="s">
        <v>49</v>
      </c>
      <c r="R392" s="7">
        <v>24192</v>
      </c>
      <c r="S392" s="7"/>
      <c r="T392" s="7"/>
      <c r="U392" s="7"/>
      <c r="V392" s="10">
        <v>7.5741092456127026</v>
      </c>
      <c r="W392" s="9">
        <v>44990</v>
      </c>
      <c r="X392" s="10">
        <v>7.5</v>
      </c>
      <c r="Y392" s="9">
        <v>44993</v>
      </c>
      <c r="Z392">
        <v>20</v>
      </c>
      <c r="AA392" s="11" t="s">
        <v>49</v>
      </c>
    </row>
    <row r="393" spans="2:27" ht="16" x14ac:dyDescent="0.2">
      <c r="B393" t="s">
        <v>35</v>
      </c>
      <c r="C393">
        <v>40361966</v>
      </c>
      <c r="D393" t="s">
        <v>389</v>
      </c>
      <c r="E393">
        <v>1021732</v>
      </c>
      <c r="F393" t="s">
        <v>275</v>
      </c>
      <c r="G393" s="9">
        <v>45004</v>
      </c>
      <c r="H393" s="7">
        <v>25000</v>
      </c>
      <c r="I393" s="7"/>
      <c r="J393" s="7"/>
      <c r="K393" s="7"/>
      <c r="L393" s="10">
        <v>5.5741092456127026</v>
      </c>
      <c r="M393" s="9">
        <v>45009</v>
      </c>
      <c r="N393" s="10">
        <v>5.5</v>
      </c>
      <c r="O393" s="9">
        <v>45014</v>
      </c>
      <c r="P393">
        <v>2</v>
      </c>
      <c r="Q393" s="11" t="s">
        <v>598</v>
      </c>
      <c r="R393" s="7">
        <v>25000</v>
      </c>
      <c r="S393" s="7"/>
      <c r="T393" s="7"/>
      <c r="U393" s="7"/>
      <c r="V393" s="10">
        <v>7.5741092456127026</v>
      </c>
      <c r="W393" s="9">
        <v>45011</v>
      </c>
      <c r="X393" s="10">
        <v>7.5</v>
      </c>
      <c r="Y393" s="9">
        <v>45014</v>
      </c>
      <c r="Z393">
        <v>2</v>
      </c>
      <c r="AA393" s="11" t="s">
        <v>598</v>
      </c>
    </row>
    <row r="394" spans="2:27" ht="16" x14ac:dyDescent="0.2">
      <c r="B394" t="s">
        <v>35</v>
      </c>
      <c r="C394">
        <v>40361964</v>
      </c>
      <c r="D394" t="s">
        <v>389</v>
      </c>
      <c r="E394">
        <v>1021732</v>
      </c>
      <c r="F394" t="s">
        <v>275</v>
      </c>
      <c r="G394" s="9">
        <v>45000</v>
      </c>
      <c r="H394" s="7">
        <v>25000</v>
      </c>
      <c r="I394" s="7"/>
      <c r="J394" s="7"/>
      <c r="K394" s="7"/>
      <c r="L394" s="10">
        <v>5.5741092456127026</v>
      </c>
      <c r="M394" s="9">
        <v>45005</v>
      </c>
      <c r="N394" s="10">
        <v>5.5</v>
      </c>
      <c r="O394" s="9">
        <v>45010</v>
      </c>
      <c r="P394">
        <v>5</v>
      </c>
      <c r="Q394" s="11" t="s">
        <v>49</v>
      </c>
      <c r="R394" s="7">
        <v>25000</v>
      </c>
      <c r="S394" s="7"/>
      <c r="T394" s="7"/>
      <c r="U394" s="7"/>
      <c r="V394" s="10">
        <v>7.5741092456127026</v>
      </c>
      <c r="W394" s="9">
        <v>45007</v>
      </c>
      <c r="X394" s="10">
        <v>7.5</v>
      </c>
      <c r="Y394" s="9">
        <v>45010</v>
      </c>
      <c r="Z394">
        <v>5</v>
      </c>
      <c r="AA394" s="11" t="s">
        <v>49</v>
      </c>
    </row>
    <row r="395" spans="2:27" ht="16" x14ac:dyDescent="0.2">
      <c r="B395" t="s">
        <v>35</v>
      </c>
      <c r="C395">
        <v>40361963</v>
      </c>
      <c r="D395" t="s">
        <v>389</v>
      </c>
      <c r="E395">
        <v>1021732</v>
      </c>
      <c r="F395" t="s">
        <v>275</v>
      </c>
      <c r="G395" s="9">
        <v>45000</v>
      </c>
      <c r="H395" s="7">
        <v>25000</v>
      </c>
      <c r="I395" s="7"/>
      <c r="J395" s="7"/>
      <c r="K395" s="7"/>
      <c r="L395" s="10">
        <v>5.5741092456127026</v>
      </c>
      <c r="M395" s="9">
        <v>45005</v>
      </c>
      <c r="N395" s="10">
        <v>5.5</v>
      </c>
      <c r="O395" s="9">
        <v>45010</v>
      </c>
      <c r="P395">
        <v>5</v>
      </c>
      <c r="Q395" s="11" t="s">
        <v>49</v>
      </c>
      <c r="R395" s="7">
        <v>25000</v>
      </c>
      <c r="S395" s="7"/>
      <c r="T395" s="7"/>
      <c r="U395" s="7"/>
      <c r="V395" s="10">
        <v>7.5741092456127026</v>
      </c>
      <c r="W395" s="9">
        <v>45007</v>
      </c>
      <c r="X395" s="10">
        <v>7.5</v>
      </c>
      <c r="Y395" s="9">
        <v>45010</v>
      </c>
      <c r="Z395">
        <v>5</v>
      </c>
      <c r="AA395" s="11" t="s">
        <v>49</v>
      </c>
    </row>
    <row r="396" spans="2:27" ht="16" x14ac:dyDescent="0.2">
      <c r="B396" t="s">
        <v>35</v>
      </c>
      <c r="C396">
        <v>40361962</v>
      </c>
      <c r="D396" t="s">
        <v>389</v>
      </c>
      <c r="E396">
        <v>1021732</v>
      </c>
      <c r="F396" t="s">
        <v>275</v>
      </c>
      <c r="G396" s="9">
        <v>45000</v>
      </c>
      <c r="H396" s="7">
        <v>24260</v>
      </c>
      <c r="I396" s="7"/>
      <c r="J396" s="7"/>
      <c r="K396" s="7"/>
      <c r="L396" s="10">
        <v>5.5741092456127026</v>
      </c>
      <c r="M396" s="9">
        <v>45005</v>
      </c>
      <c r="N396" s="10">
        <v>5.5</v>
      </c>
      <c r="O396" s="9">
        <v>45010</v>
      </c>
      <c r="P396">
        <v>5</v>
      </c>
      <c r="Q396" s="11" t="s">
        <v>49</v>
      </c>
      <c r="R396" s="7">
        <v>24260</v>
      </c>
      <c r="S396" s="7"/>
      <c r="T396" s="7"/>
      <c r="U396" s="7"/>
      <c r="V396" s="10">
        <v>7.5741092456127026</v>
      </c>
      <c r="W396" s="9">
        <v>45007</v>
      </c>
      <c r="X396" s="10">
        <v>7.5</v>
      </c>
      <c r="Y396" s="9">
        <v>45010</v>
      </c>
      <c r="Z396">
        <v>5</v>
      </c>
      <c r="AA396" s="11" t="s">
        <v>49</v>
      </c>
    </row>
    <row r="397" spans="2:27" ht="16" x14ac:dyDescent="0.2">
      <c r="B397" t="s">
        <v>35</v>
      </c>
      <c r="C397">
        <v>40361961</v>
      </c>
      <c r="D397" t="s">
        <v>389</v>
      </c>
      <c r="E397">
        <v>1021732</v>
      </c>
      <c r="F397" t="s">
        <v>275</v>
      </c>
      <c r="G397" s="9">
        <v>45003</v>
      </c>
      <c r="H397" s="7">
        <v>18100</v>
      </c>
      <c r="I397" s="7"/>
      <c r="J397" s="7"/>
      <c r="K397" s="7"/>
      <c r="L397" s="10">
        <v>5.5741092456127026</v>
      </c>
      <c r="M397" s="9">
        <v>45008</v>
      </c>
      <c r="N397" s="10">
        <v>5.5</v>
      </c>
      <c r="O397" s="9">
        <v>45013</v>
      </c>
      <c r="P397">
        <v>3</v>
      </c>
      <c r="Q397" s="11" t="s">
        <v>49</v>
      </c>
      <c r="R397" s="7">
        <v>18100</v>
      </c>
      <c r="S397" s="7"/>
      <c r="T397" s="7"/>
      <c r="U397" s="7"/>
      <c r="V397" s="10">
        <v>7.5741092456127026</v>
      </c>
      <c r="W397" s="9">
        <v>45010</v>
      </c>
      <c r="X397" s="10">
        <v>7.5</v>
      </c>
      <c r="Y397" s="9">
        <v>45013</v>
      </c>
      <c r="Z397">
        <v>3</v>
      </c>
      <c r="AA397" s="11" t="s">
        <v>49</v>
      </c>
    </row>
    <row r="398" spans="2:27" ht="16" x14ac:dyDescent="0.2">
      <c r="B398" t="s">
        <v>35</v>
      </c>
      <c r="C398">
        <v>40361961</v>
      </c>
      <c r="D398" t="s">
        <v>389</v>
      </c>
      <c r="E398">
        <v>1021732</v>
      </c>
      <c r="F398" t="s">
        <v>275</v>
      </c>
      <c r="G398" s="9">
        <v>45003</v>
      </c>
      <c r="H398" s="7">
        <v>24440</v>
      </c>
      <c r="I398" s="7"/>
      <c r="J398" s="7"/>
      <c r="K398" s="7"/>
      <c r="L398" s="10">
        <v>5.5741092456127026</v>
      </c>
      <c r="M398" s="9">
        <v>45008</v>
      </c>
      <c r="N398" s="10">
        <v>5.5</v>
      </c>
      <c r="O398" s="9">
        <v>45013</v>
      </c>
      <c r="P398">
        <v>3</v>
      </c>
      <c r="Q398" s="11" t="s">
        <v>49</v>
      </c>
      <c r="R398" s="7">
        <v>24440</v>
      </c>
      <c r="S398" s="7"/>
      <c r="T398" s="7"/>
      <c r="U398" s="7"/>
      <c r="V398" s="10">
        <v>7.5741092456127026</v>
      </c>
      <c r="W398" s="9">
        <v>45010</v>
      </c>
      <c r="X398" s="10">
        <v>7.5</v>
      </c>
      <c r="Y398" s="9">
        <v>45013</v>
      </c>
      <c r="Z398">
        <v>3</v>
      </c>
      <c r="AA398" s="11" t="s">
        <v>49</v>
      </c>
    </row>
    <row r="399" spans="2:27" ht="16" x14ac:dyDescent="0.2">
      <c r="B399" t="s">
        <v>35</v>
      </c>
      <c r="C399">
        <v>40361960</v>
      </c>
      <c r="D399" t="s">
        <v>389</v>
      </c>
      <c r="E399">
        <v>1021732</v>
      </c>
      <c r="F399" t="s">
        <v>275</v>
      </c>
      <c r="G399" s="9">
        <v>44980</v>
      </c>
      <c r="H399" s="7">
        <v>14820</v>
      </c>
      <c r="I399" s="7"/>
      <c r="J399" s="7"/>
      <c r="K399" s="7"/>
      <c r="L399" s="10">
        <v>5.5741092456127026</v>
      </c>
      <c r="M399" s="9">
        <v>44985</v>
      </c>
      <c r="N399" s="10">
        <v>5.5</v>
      </c>
      <c r="O399" s="9">
        <v>44990</v>
      </c>
      <c r="P399">
        <v>23</v>
      </c>
      <c r="Q399" s="11" t="s">
        <v>49</v>
      </c>
      <c r="R399" s="7">
        <v>14820</v>
      </c>
      <c r="S399" s="7"/>
      <c r="T399" s="7"/>
      <c r="U399" s="7"/>
      <c r="V399" s="10">
        <v>7.5741092456127026</v>
      </c>
      <c r="W399" s="9">
        <v>44987</v>
      </c>
      <c r="X399" s="10">
        <v>7.5</v>
      </c>
      <c r="Y399" s="9">
        <v>44990</v>
      </c>
      <c r="Z399">
        <v>23</v>
      </c>
      <c r="AA399" s="11" t="s">
        <v>49</v>
      </c>
    </row>
    <row r="400" spans="2:27" ht="16" x14ac:dyDescent="0.2">
      <c r="B400" t="s">
        <v>35</v>
      </c>
      <c r="C400">
        <v>40361960</v>
      </c>
      <c r="D400" t="s">
        <v>389</v>
      </c>
      <c r="E400">
        <v>1021732</v>
      </c>
      <c r="F400" t="s">
        <v>275</v>
      </c>
      <c r="G400" s="9">
        <v>44980</v>
      </c>
      <c r="H400" s="7">
        <v>23920</v>
      </c>
      <c r="I400" s="7"/>
      <c r="J400" s="7"/>
      <c r="K400" s="7"/>
      <c r="L400" s="10">
        <v>5.5741092456127026</v>
      </c>
      <c r="M400" s="9">
        <v>44985</v>
      </c>
      <c r="N400" s="10">
        <v>5.5</v>
      </c>
      <c r="O400" s="9">
        <v>44990</v>
      </c>
      <c r="P400">
        <v>23</v>
      </c>
      <c r="Q400" s="11" t="s">
        <v>49</v>
      </c>
      <c r="R400" s="7">
        <v>23920</v>
      </c>
      <c r="S400" s="7"/>
      <c r="T400" s="7"/>
      <c r="U400" s="7"/>
      <c r="V400" s="10">
        <v>7.5741092456127026</v>
      </c>
      <c r="W400" s="9">
        <v>44987</v>
      </c>
      <c r="X400" s="10">
        <v>7.5</v>
      </c>
      <c r="Y400" s="9">
        <v>44990</v>
      </c>
      <c r="Z400">
        <v>23</v>
      </c>
      <c r="AA400" s="11" t="s">
        <v>49</v>
      </c>
    </row>
    <row r="401" spans="2:27" ht="16" x14ac:dyDescent="0.2">
      <c r="B401" t="s">
        <v>35</v>
      </c>
      <c r="C401">
        <v>40361934</v>
      </c>
      <c r="D401" t="s">
        <v>389</v>
      </c>
      <c r="E401">
        <v>1021992</v>
      </c>
      <c r="F401" t="s">
        <v>290</v>
      </c>
      <c r="G401" s="9">
        <v>44989</v>
      </c>
      <c r="H401" s="7">
        <v>24260</v>
      </c>
      <c r="I401" s="7"/>
      <c r="J401" s="7"/>
      <c r="K401" s="7"/>
      <c r="L401" s="10">
        <v>5.5741092456127026</v>
      </c>
      <c r="M401" s="9">
        <v>44994</v>
      </c>
      <c r="N401" s="10">
        <v>5.5</v>
      </c>
      <c r="O401" s="9">
        <v>44999</v>
      </c>
      <c r="P401">
        <v>15</v>
      </c>
      <c r="Q401" s="11" t="s">
        <v>49</v>
      </c>
      <c r="R401" s="7">
        <v>24260</v>
      </c>
      <c r="S401" s="7"/>
      <c r="T401" s="7"/>
      <c r="U401" s="7"/>
      <c r="V401" s="10">
        <v>7.5741092456127026</v>
      </c>
      <c r="W401" s="9">
        <v>44996</v>
      </c>
      <c r="X401" s="10">
        <v>7.5</v>
      </c>
      <c r="Y401" s="9">
        <v>44999</v>
      </c>
      <c r="Z401">
        <v>15</v>
      </c>
      <c r="AA401" s="11" t="s">
        <v>49</v>
      </c>
    </row>
    <row r="402" spans="2:27" ht="16" x14ac:dyDescent="0.2">
      <c r="B402" t="s">
        <v>35</v>
      </c>
      <c r="C402">
        <v>40361933</v>
      </c>
      <c r="D402" t="s">
        <v>389</v>
      </c>
      <c r="E402">
        <v>1021992</v>
      </c>
      <c r="F402" t="s">
        <v>290</v>
      </c>
      <c r="G402" s="9">
        <v>44989</v>
      </c>
      <c r="H402" s="7">
        <v>8960</v>
      </c>
      <c r="I402" s="7"/>
      <c r="J402" s="7"/>
      <c r="K402" s="7"/>
      <c r="L402" s="10">
        <v>5.5741092456127026</v>
      </c>
      <c r="M402" s="9">
        <v>44994</v>
      </c>
      <c r="N402" s="10">
        <v>5.5</v>
      </c>
      <c r="O402" s="9">
        <v>44999</v>
      </c>
      <c r="P402">
        <v>15</v>
      </c>
      <c r="Q402" s="11" t="s">
        <v>49</v>
      </c>
      <c r="R402" s="7">
        <v>8960</v>
      </c>
      <c r="S402" s="7"/>
      <c r="T402" s="7"/>
      <c r="U402" s="7"/>
      <c r="V402" s="10">
        <v>7.5741092456127026</v>
      </c>
      <c r="W402" s="9">
        <v>44996</v>
      </c>
      <c r="X402" s="10">
        <v>7.5</v>
      </c>
      <c r="Y402" s="9">
        <v>44999</v>
      </c>
      <c r="Z402">
        <v>15</v>
      </c>
      <c r="AA402" s="11" t="s">
        <v>49</v>
      </c>
    </row>
    <row r="403" spans="2:27" ht="16" x14ac:dyDescent="0.2">
      <c r="B403" t="s">
        <v>35</v>
      </c>
      <c r="C403">
        <v>40361933</v>
      </c>
      <c r="D403" t="s">
        <v>389</v>
      </c>
      <c r="E403">
        <v>1021992</v>
      </c>
      <c r="F403" t="s">
        <v>290</v>
      </c>
      <c r="G403" s="9">
        <v>44989</v>
      </c>
      <c r="H403" s="7">
        <v>24660</v>
      </c>
      <c r="I403" s="7"/>
      <c r="J403" s="7"/>
      <c r="K403" s="7"/>
      <c r="L403" s="10">
        <v>5.5741092456127026</v>
      </c>
      <c r="M403" s="9">
        <v>44994</v>
      </c>
      <c r="N403" s="10">
        <v>5.5</v>
      </c>
      <c r="O403" s="9">
        <v>44999</v>
      </c>
      <c r="P403">
        <v>15</v>
      </c>
      <c r="Q403" s="11" t="s">
        <v>49</v>
      </c>
      <c r="R403" s="7">
        <v>24660</v>
      </c>
      <c r="S403" s="7"/>
      <c r="T403" s="7"/>
      <c r="U403" s="7"/>
      <c r="V403" s="10">
        <v>7.5741092456127026</v>
      </c>
      <c r="W403" s="9">
        <v>44996</v>
      </c>
      <c r="X403" s="10">
        <v>7.5</v>
      </c>
      <c r="Y403" s="9">
        <v>44999</v>
      </c>
      <c r="Z403">
        <v>15</v>
      </c>
      <c r="AA403" s="11" t="s">
        <v>49</v>
      </c>
    </row>
    <row r="404" spans="2:27" ht="16" x14ac:dyDescent="0.2">
      <c r="B404" t="s">
        <v>35</v>
      </c>
      <c r="C404">
        <v>40361932</v>
      </c>
      <c r="D404" t="s">
        <v>389</v>
      </c>
      <c r="E404">
        <v>1021992</v>
      </c>
      <c r="F404" t="s">
        <v>290</v>
      </c>
      <c r="G404" s="9">
        <v>44975</v>
      </c>
      <c r="H404" s="7"/>
      <c r="I404" s="7"/>
      <c r="J404" s="7"/>
      <c r="K404" s="7"/>
      <c r="L404" s="10">
        <v>5.5741092456127026</v>
      </c>
      <c r="M404" s="9">
        <v>44980</v>
      </c>
      <c r="N404" s="10">
        <v>5.5</v>
      </c>
      <c r="O404" s="9">
        <v>44985</v>
      </c>
      <c r="P404">
        <v>0</v>
      </c>
      <c r="Q404" s="11" t="s">
        <v>594</v>
      </c>
      <c r="R404" s="7"/>
      <c r="S404" s="7"/>
      <c r="T404" s="7"/>
      <c r="U404" s="7"/>
      <c r="V404" s="10">
        <v>7.5741092456127026</v>
      </c>
      <c r="W404" s="9">
        <v>44982</v>
      </c>
      <c r="X404" s="10">
        <v>7.5</v>
      </c>
      <c r="Y404" s="9">
        <v>44985</v>
      </c>
      <c r="Z404">
        <v>0</v>
      </c>
      <c r="AA404" s="11" t="s">
        <v>594</v>
      </c>
    </row>
    <row r="405" spans="2:27" ht="16" x14ac:dyDescent="0.2">
      <c r="B405" t="s">
        <v>35</v>
      </c>
      <c r="C405">
        <v>40361926</v>
      </c>
      <c r="D405" t="s">
        <v>389</v>
      </c>
      <c r="E405">
        <v>1021767</v>
      </c>
      <c r="F405" t="s">
        <v>288</v>
      </c>
      <c r="G405" s="9">
        <v>45004</v>
      </c>
      <c r="H405" s="7">
        <v>24552</v>
      </c>
      <c r="I405" s="7"/>
      <c r="J405" s="7"/>
      <c r="K405" s="7"/>
      <c r="L405" s="10">
        <v>5.5741092456127026</v>
      </c>
      <c r="M405" s="9">
        <v>45009</v>
      </c>
      <c r="N405" s="10">
        <v>5.5</v>
      </c>
      <c r="O405" s="9">
        <v>45014</v>
      </c>
      <c r="P405">
        <v>2</v>
      </c>
      <c r="Q405" s="11" t="s">
        <v>598</v>
      </c>
      <c r="R405" s="7">
        <v>24552</v>
      </c>
      <c r="S405" s="7"/>
      <c r="T405" s="7"/>
      <c r="U405" s="7"/>
      <c r="V405" s="10">
        <v>7.5741092456127026</v>
      </c>
      <c r="W405" s="9">
        <v>45011</v>
      </c>
      <c r="X405" s="10">
        <v>7.5</v>
      </c>
      <c r="Y405" s="9">
        <v>45014</v>
      </c>
      <c r="Z405">
        <v>2</v>
      </c>
      <c r="AA405" s="11" t="s">
        <v>598</v>
      </c>
    </row>
    <row r="406" spans="2:27" ht="16" x14ac:dyDescent="0.2">
      <c r="B406" t="s">
        <v>35</v>
      </c>
      <c r="C406">
        <v>40361923</v>
      </c>
      <c r="D406" t="s">
        <v>389</v>
      </c>
      <c r="E406">
        <v>1021767</v>
      </c>
      <c r="F406" t="s">
        <v>288</v>
      </c>
      <c r="G406" s="9">
        <v>45004</v>
      </c>
      <c r="H406" s="7">
        <v>25002</v>
      </c>
      <c r="I406" s="7"/>
      <c r="J406" s="7"/>
      <c r="K406" s="7"/>
      <c r="L406" s="10">
        <v>5.5741092456127026</v>
      </c>
      <c r="M406" s="9">
        <v>45009</v>
      </c>
      <c r="N406" s="10">
        <v>5.5</v>
      </c>
      <c r="O406" s="9">
        <v>45014</v>
      </c>
      <c r="P406">
        <v>2</v>
      </c>
      <c r="Q406" s="11" t="s">
        <v>598</v>
      </c>
      <c r="R406" s="7">
        <v>25002</v>
      </c>
      <c r="S406" s="7"/>
      <c r="T406" s="7"/>
      <c r="U406" s="7"/>
      <c r="V406" s="10">
        <v>7.5741092456127026</v>
      </c>
      <c r="W406" s="9">
        <v>45011</v>
      </c>
      <c r="X406" s="10">
        <v>7.5</v>
      </c>
      <c r="Y406" s="9">
        <v>45014</v>
      </c>
      <c r="Z406">
        <v>2</v>
      </c>
      <c r="AA406" s="11" t="s">
        <v>598</v>
      </c>
    </row>
    <row r="407" spans="2:27" ht="16" x14ac:dyDescent="0.2">
      <c r="B407" t="s">
        <v>35</v>
      </c>
      <c r="C407">
        <v>40361919</v>
      </c>
      <c r="D407" t="s">
        <v>389</v>
      </c>
      <c r="E407">
        <v>1021767</v>
      </c>
      <c r="F407" t="s">
        <v>288</v>
      </c>
      <c r="G407" s="9">
        <v>44987</v>
      </c>
      <c r="H407" s="7">
        <v>9234</v>
      </c>
      <c r="I407" s="7"/>
      <c r="J407" s="7"/>
      <c r="K407" s="7"/>
      <c r="L407" s="10">
        <v>5.5741092456127026</v>
      </c>
      <c r="M407" s="9">
        <v>44992</v>
      </c>
      <c r="N407" s="10">
        <v>5.5</v>
      </c>
      <c r="O407" s="9">
        <v>44997</v>
      </c>
      <c r="P407">
        <v>17</v>
      </c>
      <c r="Q407" s="11" t="s">
        <v>49</v>
      </c>
      <c r="R407" s="7">
        <v>9234</v>
      </c>
      <c r="S407" s="7"/>
      <c r="T407" s="7"/>
      <c r="U407" s="7"/>
      <c r="V407" s="10">
        <v>7.5741092456127026</v>
      </c>
      <c r="W407" s="9">
        <v>44994</v>
      </c>
      <c r="X407" s="10">
        <v>7.5</v>
      </c>
      <c r="Y407" s="9">
        <v>44997</v>
      </c>
      <c r="Z407">
        <v>17</v>
      </c>
      <c r="AA407" s="11" t="s">
        <v>49</v>
      </c>
    </row>
    <row r="408" spans="2:27" ht="16" x14ac:dyDescent="0.2">
      <c r="B408" t="s">
        <v>35</v>
      </c>
      <c r="C408">
        <v>40361919</v>
      </c>
      <c r="D408" t="s">
        <v>389</v>
      </c>
      <c r="E408">
        <v>1021767</v>
      </c>
      <c r="F408" t="s">
        <v>288</v>
      </c>
      <c r="G408" s="9">
        <v>44987</v>
      </c>
      <c r="H408" s="7">
        <v>24012</v>
      </c>
      <c r="I408" s="7"/>
      <c r="J408" s="7"/>
      <c r="K408" s="7"/>
      <c r="L408" s="10">
        <v>5.5741092456127026</v>
      </c>
      <c r="M408" s="9">
        <v>44992</v>
      </c>
      <c r="N408" s="10">
        <v>5.5</v>
      </c>
      <c r="O408" s="9">
        <v>44997</v>
      </c>
      <c r="P408">
        <v>17</v>
      </c>
      <c r="Q408" s="11" t="s">
        <v>49</v>
      </c>
      <c r="R408" s="7">
        <v>24012</v>
      </c>
      <c r="S408" s="7"/>
      <c r="T408" s="7"/>
      <c r="U408" s="7"/>
      <c r="V408" s="10">
        <v>7.5741092456127026</v>
      </c>
      <c r="W408" s="9">
        <v>44994</v>
      </c>
      <c r="X408" s="10">
        <v>7.5</v>
      </c>
      <c r="Y408" s="9">
        <v>44997</v>
      </c>
      <c r="Z408">
        <v>17</v>
      </c>
      <c r="AA408" s="11" t="s">
        <v>49</v>
      </c>
    </row>
    <row r="409" spans="2:27" ht="16" x14ac:dyDescent="0.2">
      <c r="B409" t="s">
        <v>35</v>
      </c>
      <c r="C409">
        <v>40361918</v>
      </c>
      <c r="D409" t="s">
        <v>389</v>
      </c>
      <c r="E409">
        <v>1021767</v>
      </c>
      <c r="F409" t="s">
        <v>288</v>
      </c>
      <c r="G409" s="9">
        <v>44985</v>
      </c>
      <c r="H409" s="7">
        <v>25002</v>
      </c>
      <c r="I409" s="7"/>
      <c r="J409" s="7"/>
      <c r="K409" s="7"/>
      <c r="L409" s="10">
        <v>5.5741092456127026</v>
      </c>
      <c r="M409" s="9">
        <v>44990</v>
      </c>
      <c r="N409" s="10">
        <v>5.5</v>
      </c>
      <c r="O409" s="9">
        <v>44995</v>
      </c>
      <c r="P409">
        <v>18</v>
      </c>
      <c r="Q409" s="11" t="s">
        <v>49</v>
      </c>
      <c r="R409" s="7">
        <v>25002</v>
      </c>
      <c r="S409" s="7"/>
      <c r="T409" s="7"/>
      <c r="U409" s="7"/>
      <c r="V409" s="10">
        <v>7.5741092456127026</v>
      </c>
      <c r="W409" s="9">
        <v>44992</v>
      </c>
      <c r="X409" s="10">
        <v>7.5</v>
      </c>
      <c r="Y409" s="9">
        <v>44995</v>
      </c>
      <c r="Z409">
        <v>18</v>
      </c>
      <c r="AA409" s="11" t="s">
        <v>49</v>
      </c>
    </row>
    <row r="410" spans="2:27" ht="16" x14ac:dyDescent="0.2">
      <c r="B410" t="s">
        <v>35</v>
      </c>
      <c r="C410">
        <v>40361917</v>
      </c>
      <c r="D410" t="s">
        <v>389</v>
      </c>
      <c r="E410">
        <v>1021767</v>
      </c>
      <c r="F410" t="s">
        <v>288</v>
      </c>
      <c r="G410" s="9">
        <v>44985</v>
      </c>
      <c r="H410" s="7">
        <v>24444</v>
      </c>
      <c r="I410" s="7"/>
      <c r="J410" s="7"/>
      <c r="K410" s="7"/>
      <c r="L410" s="10">
        <v>5.5741092456127026</v>
      </c>
      <c r="M410" s="9">
        <v>44990</v>
      </c>
      <c r="N410" s="10">
        <v>5.5</v>
      </c>
      <c r="O410" s="9">
        <v>44995</v>
      </c>
      <c r="P410">
        <v>18</v>
      </c>
      <c r="Q410" s="11" t="s">
        <v>49</v>
      </c>
      <c r="R410" s="7">
        <v>24444</v>
      </c>
      <c r="S410" s="7"/>
      <c r="T410" s="7"/>
      <c r="U410" s="7"/>
      <c r="V410" s="10">
        <v>7.5741092456127026</v>
      </c>
      <c r="W410" s="9">
        <v>44992</v>
      </c>
      <c r="X410" s="10">
        <v>7.5</v>
      </c>
      <c r="Y410" s="9">
        <v>44995</v>
      </c>
      <c r="Z410">
        <v>18</v>
      </c>
      <c r="AA410" s="11" t="s">
        <v>49</v>
      </c>
    </row>
    <row r="411" spans="2:27" ht="16" x14ac:dyDescent="0.2">
      <c r="B411" t="s">
        <v>35</v>
      </c>
      <c r="C411">
        <v>40361916</v>
      </c>
      <c r="D411" t="s">
        <v>389</v>
      </c>
      <c r="E411">
        <v>1021767</v>
      </c>
      <c r="F411" t="s">
        <v>288</v>
      </c>
      <c r="G411" s="9">
        <v>44983</v>
      </c>
      <c r="H411" s="7">
        <v>24156</v>
      </c>
      <c r="I411" s="7"/>
      <c r="J411" s="7"/>
      <c r="K411" s="7"/>
      <c r="L411" s="10">
        <v>5.5741092456127026</v>
      </c>
      <c r="M411" s="9">
        <v>44988</v>
      </c>
      <c r="N411" s="10">
        <v>5.5</v>
      </c>
      <c r="O411" s="9">
        <v>44993</v>
      </c>
      <c r="P411">
        <v>20</v>
      </c>
      <c r="Q411" s="11" t="s">
        <v>49</v>
      </c>
      <c r="R411" s="7">
        <v>24156</v>
      </c>
      <c r="S411" s="7"/>
      <c r="T411" s="7"/>
      <c r="U411" s="7"/>
      <c r="V411" s="10">
        <v>7.5741092456127026</v>
      </c>
      <c r="W411" s="9">
        <v>44990</v>
      </c>
      <c r="X411" s="10">
        <v>7.5</v>
      </c>
      <c r="Y411" s="9">
        <v>44993</v>
      </c>
      <c r="Z411">
        <v>20</v>
      </c>
      <c r="AA411" s="11" t="s">
        <v>49</v>
      </c>
    </row>
    <row r="412" spans="2:27" ht="16" x14ac:dyDescent="0.2">
      <c r="B412" t="s">
        <v>35</v>
      </c>
      <c r="C412">
        <v>40361915</v>
      </c>
      <c r="D412" t="s">
        <v>389</v>
      </c>
      <c r="E412">
        <v>1021767</v>
      </c>
      <c r="F412" t="s">
        <v>288</v>
      </c>
      <c r="G412" s="9">
        <v>44977</v>
      </c>
      <c r="H412" s="7">
        <v>22968</v>
      </c>
      <c r="I412" s="7"/>
      <c r="J412" s="7"/>
      <c r="K412" s="7"/>
      <c r="L412" s="10">
        <v>5.5741092456127026</v>
      </c>
      <c r="M412" s="9">
        <v>44982</v>
      </c>
      <c r="N412" s="10">
        <v>5.5</v>
      </c>
      <c r="O412" s="9">
        <v>44987</v>
      </c>
      <c r="P412">
        <v>25</v>
      </c>
      <c r="Q412" s="11" t="s">
        <v>49</v>
      </c>
      <c r="R412" s="7">
        <v>22968</v>
      </c>
      <c r="S412" s="7"/>
      <c r="T412" s="7"/>
      <c r="U412" s="7"/>
      <c r="V412" s="10">
        <v>7.5741092456127026</v>
      </c>
      <c r="W412" s="9">
        <v>44984</v>
      </c>
      <c r="X412" s="10">
        <v>7.5</v>
      </c>
      <c r="Y412" s="9">
        <v>44987</v>
      </c>
      <c r="Z412">
        <v>25</v>
      </c>
      <c r="AA412" s="11" t="s">
        <v>49</v>
      </c>
    </row>
    <row r="413" spans="2:27" ht="16" x14ac:dyDescent="0.2">
      <c r="B413" t="s">
        <v>35</v>
      </c>
      <c r="C413">
        <v>40361914</v>
      </c>
      <c r="D413" t="s">
        <v>389</v>
      </c>
      <c r="E413">
        <v>1021767</v>
      </c>
      <c r="F413" t="s">
        <v>288</v>
      </c>
      <c r="G413" s="9">
        <v>44977</v>
      </c>
      <c r="H413" s="7">
        <v>17316</v>
      </c>
      <c r="I413" s="7"/>
      <c r="J413" s="7"/>
      <c r="K413" s="7"/>
      <c r="L413" s="10">
        <v>5.5741092456127026</v>
      </c>
      <c r="M413" s="9">
        <v>44982</v>
      </c>
      <c r="N413" s="10">
        <v>5.5</v>
      </c>
      <c r="O413" s="9">
        <v>44987</v>
      </c>
      <c r="P413">
        <v>25</v>
      </c>
      <c r="Q413" s="11" t="s">
        <v>49</v>
      </c>
      <c r="R413" s="7">
        <v>17316</v>
      </c>
      <c r="S413" s="7"/>
      <c r="T413" s="7"/>
      <c r="U413" s="7"/>
      <c r="V413" s="10">
        <v>7.5741092456127026</v>
      </c>
      <c r="W413" s="9">
        <v>44984</v>
      </c>
      <c r="X413" s="10">
        <v>7.5</v>
      </c>
      <c r="Y413" s="9">
        <v>44987</v>
      </c>
      <c r="Z413">
        <v>25</v>
      </c>
      <c r="AA413" s="11" t="s">
        <v>49</v>
      </c>
    </row>
    <row r="414" spans="2:27" ht="16" x14ac:dyDescent="0.2">
      <c r="B414" t="s">
        <v>35</v>
      </c>
      <c r="C414">
        <v>40361914</v>
      </c>
      <c r="D414" t="s">
        <v>389</v>
      </c>
      <c r="E414">
        <v>1021767</v>
      </c>
      <c r="F414" t="s">
        <v>288</v>
      </c>
      <c r="G414" s="9">
        <v>44977</v>
      </c>
      <c r="H414" s="7">
        <v>24894</v>
      </c>
      <c r="I414" s="7"/>
      <c r="J414" s="7"/>
      <c r="K414" s="7"/>
      <c r="L414" s="10">
        <v>5.5741092456127026</v>
      </c>
      <c r="M414" s="9">
        <v>44982</v>
      </c>
      <c r="N414" s="10">
        <v>5.5</v>
      </c>
      <c r="O414" s="9">
        <v>44987</v>
      </c>
      <c r="P414">
        <v>25</v>
      </c>
      <c r="Q414" s="11" t="s">
        <v>49</v>
      </c>
      <c r="R414" s="7">
        <v>24894</v>
      </c>
      <c r="S414" s="7"/>
      <c r="T414" s="7"/>
      <c r="U414" s="7"/>
      <c r="V414" s="10">
        <v>7.5741092456127026</v>
      </c>
      <c r="W414" s="9">
        <v>44984</v>
      </c>
      <c r="X414" s="10">
        <v>7.5</v>
      </c>
      <c r="Y414" s="9">
        <v>44987</v>
      </c>
      <c r="Z414">
        <v>25</v>
      </c>
      <c r="AA414" s="11" t="s">
        <v>49</v>
      </c>
    </row>
    <row r="415" spans="2:27" ht="16" x14ac:dyDescent="0.2">
      <c r="B415" t="s">
        <v>35</v>
      </c>
      <c r="C415">
        <v>40361891</v>
      </c>
      <c r="D415" t="s">
        <v>389</v>
      </c>
      <c r="E415">
        <v>1011969</v>
      </c>
      <c r="F415" t="s">
        <v>417</v>
      </c>
      <c r="G415" s="9">
        <v>44985</v>
      </c>
      <c r="H415" s="7">
        <v>24000</v>
      </c>
      <c r="I415" s="7"/>
      <c r="J415" s="7"/>
      <c r="K415" s="7"/>
      <c r="L415" s="10">
        <v>5.5741092456127026</v>
      </c>
      <c r="M415" s="9">
        <v>44990</v>
      </c>
      <c r="N415" s="10">
        <v>5.5</v>
      </c>
      <c r="O415" s="9">
        <v>44995</v>
      </c>
      <c r="P415">
        <v>18</v>
      </c>
      <c r="Q415" s="11" t="s">
        <v>49</v>
      </c>
      <c r="R415" s="7">
        <v>24000</v>
      </c>
      <c r="S415" s="7"/>
      <c r="T415" s="7"/>
      <c r="U415" s="7"/>
      <c r="V415" s="10">
        <v>7.5741092456127026</v>
      </c>
      <c r="W415" s="9">
        <v>44992</v>
      </c>
      <c r="X415" s="10">
        <v>7.5</v>
      </c>
      <c r="Y415" s="9">
        <v>44995</v>
      </c>
      <c r="Z415">
        <v>18</v>
      </c>
      <c r="AA415" s="11" t="s">
        <v>49</v>
      </c>
    </row>
    <row r="416" spans="2:27" ht="16" x14ac:dyDescent="0.2">
      <c r="B416" t="s">
        <v>35</v>
      </c>
      <c r="C416">
        <v>40361890</v>
      </c>
      <c r="D416" t="s">
        <v>389</v>
      </c>
      <c r="E416">
        <v>1011969</v>
      </c>
      <c r="F416" t="s">
        <v>417</v>
      </c>
      <c r="G416" s="9">
        <v>44977</v>
      </c>
      <c r="H416" s="7">
        <v>24000</v>
      </c>
      <c r="I416" s="7"/>
      <c r="J416" s="7"/>
      <c r="K416" s="7"/>
      <c r="L416" s="10">
        <v>5.5741092456127026</v>
      </c>
      <c r="M416" s="9">
        <v>44982</v>
      </c>
      <c r="N416" s="10">
        <v>5.5</v>
      </c>
      <c r="O416" s="9">
        <v>44987</v>
      </c>
      <c r="P416">
        <v>25</v>
      </c>
      <c r="Q416" s="11" t="s">
        <v>49</v>
      </c>
      <c r="R416" s="7">
        <v>24000</v>
      </c>
      <c r="S416" s="7"/>
      <c r="T416" s="7"/>
      <c r="U416" s="7"/>
      <c r="V416" s="10">
        <v>7.5741092456127026</v>
      </c>
      <c r="W416" s="9">
        <v>44984</v>
      </c>
      <c r="X416" s="10">
        <v>7.5</v>
      </c>
      <c r="Y416" s="9">
        <v>44987</v>
      </c>
      <c r="Z416">
        <v>25</v>
      </c>
      <c r="AA416" s="11" t="s">
        <v>49</v>
      </c>
    </row>
    <row r="417" spans="2:27" ht="16" x14ac:dyDescent="0.2">
      <c r="B417" t="s">
        <v>35</v>
      </c>
      <c r="C417">
        <v>40361889</v>
      </c>
      <c r="D417" t="s">
        <v>389</v>
      </c>
      <c r="E417">
        <v>1011969</v>
      </c>
      <c r="F417" t="s">
        <v>417</v>
      </c>
      <c r="G417" s="9">
        <v>44977</v>
      </c>
      <c r="H417" s="7">
        <v>24000</v>
      </c>
      <c r="I417" s="7"/>
      <c r="J417" s="7"/>
      <c r="K417" s="7"/>
      <c r="L417" s="10">
        <v>5.5741092456127026</v>
      </c>
      <c r="M417" s="9">
        <v>44982</v>
      </c>
      <c r="N417" s="10">
        <v>5.5</v>
      </c>
      <c r="O417" s="9">
        <v>44987</v>
      </c>
      <c r="P417">
        <v>25</v>
      </c>
      <c r="Q417" s="11" t="s">
        <v>49</v>
      </c>
      <c r="R417" s="7">
        <v>24000</v>
      </c>
      <c r="S417" s="7"/>
      <c r="T417" s="7"/>
      <c r="U417" s="7"/>
      <c r="V417" s="10">
        <v>7.5741092456127026</v>
      </c>
      <c r="W417" s="9">
        <v>44984</v>
      </c>
      <c r="X417" s="10">
        <v>7.5</v>
      </c>
      <c r="Y417" s="9">
        <v>44987</v>
      </c>
      <c r="Z417">
        <v>25</v>
      </c>
      <c r="AA417" s="11" t="s">
        <v>49</v>
      </c>
    </row>
    <row r="418" spans="2:27" ht="16" x14ac:dyDescent="0.2">
      <c r="B418" t="s">
        <v>35</v>
      </c>
      <c r="C418">
        <v>40361885</v>
      </c>
      <c r="D418" t="s">
        <v>389</v>
      </c>
      <c r="E418">
        <v>1011967</v>
      </c>
      <c r="F418" t="s">
        <v>418</v>
      </c>
      <c r="G418" s="9">
        <v>44985</v>
      </c>
      <c r="H418" s="7">
        <v>24000</v>
      </c>
      <c r="I418" s="7"/>
      <c r="J418" s="7"/>
      <c r="K418" s="7"/>
      <c r="L418" s="10">
        <v>5.5741092456127026</v>
      </c>
      <c r="M418" s="9">
        <v>44990</v>
      </c>
      <c r="N418" s="10">
        <v>5.5</v>
      </c>
      <c r="O418" s="9">
        <v>44995</v>
      </c>
      <c r="P418">
        <v>18</v>
      </c>
      <c r="Q418" s="11" t="s">
        <v>49</v>
      </c>
      <c r="R418" s="7">
        <v>24000</v>
      </c>
      <c r="S418" s="7"/>
      <c r="T418" s="7"/>
      <c r="U418" s="7"/>
      <c r="V418" s="10">
        <v>7.5741092456127026</v>
      </c>
      <c r="W418" s="9">
        <v>44992</v>
      </c>
      <c r="X418" s="10">
        <v>7.5</v>
      </c>
      <c r="Y418" s="9">
        <v>44995</v>
      </c>
      <c r="Z418">
        <v>18</v>
      </c>
      <c r="AA418" s="11" t="s">
        <v>49</v>
      </c>
    </row>
    <row r="419" spans="2:27" ht="16" x14ac:dyDescent="0.2">
      <c r="B419" t="s">
        <v>35</v>
      </c>
      <c r="C419">
        <v>40361884</v>
      </c>
      <c r="D419" t="s">
        <v>389</v>
      </c>
      <c r="E419">
        <v>1011967</v>
      </c>
      <c r="F419" t="s">
        <v>418</v>
      </c>
      <c r="G419" s="9">
        <v>44977</v>
      </c>
      <c r="H419" s="7">
        <v>24000</v>
      </c>
      <c r="I419" s="7"/>
      <c r="J419" s="7"/>
      <c r="K419" s="7"/>
      <c r="L419" s="10">
        <v>5.5741092456127026</v>
      </c>
      <c r="M419" s="9">
        <v>44982</v>
      </c>
      <c r="N419" s="10">
        <v>5.5</v>
      </c>
      <c r="O419" s="9">
        <v>44987</v>
      </c>
      <c r="P419">
        <v>25</v>
      </c>
      <c r="Q419" s="11" t="s">
        <v>49</v>
      </c>
      <c r="R419" s="7">
        <v>24000</v>
      </c>
      <c r="S419" s="7"/>
      <c r="T419" s="7"/>
      <c r="U419" s="7"/>
      <c r="V419" s="10">
        <v>7.5741092456127026</v>
      </c>
      <c r="W419" s="9">
        <v>44984</v>
      </c>
      <c r="X419" s="10">
        <v>7.5</v>
      </c>
      <c r="Y419" s="9">
        <v>44987</v>
      </c>
      <c r="Z419">
        <v>25</v>
      </c>
      <c r="AA419" s="11" t="s">
        <v>49</v>
      </c>
    </row>
    <row r="420" spans="2:27" ht="16" x14ac:dyDescent="0.2">
      <c r="B420" t="s">
        <v>35</v>
      </c>
      <c r="C420">
        <v>40361883</v>
      </c>
      <c r="D420" t="s">
        <v>389</v>
      </c>
      <c r="E420">
        <v>1011967</v>
      </c>
      <c r="F420" t="s">
        <v>418</v>
      </c>
      <c r="G420" s="9">
        <v>44971</v>
      </c>
      <c r="H420" s="7"/>
      <c r="I420" s="7"/>
      <c r="J420" s="7"/>
      <c r="K420" s="7"/>
      <c r="L420" s="10">
        <v>5.5741092456127026</v>
      </c>
      <c r="M420" s="9">
        <v>44976</v>
      </c>
      <c r="N420" s="10">
        <v>5.5</v>
      </c>
      <c r="O420" s="9">
        <v>44981</v>
      </c>
      <c r="P420">
        <v>3</v>
      </c>
      <c r="Q420" s="11" t="s">
        <v>49</v>
      </c>
      <c r="R420" s="7"/>
      <c r="S420" s="7"/>
      <c r="T420" s="7"/>
      <c r="U420" s="7"/>
      <c r="V420" s="10">
        <v>7.5741092456127026</v>
      </c>
      <c r="W420" s="9">
        <v>44978</v>
      </c>
      <c r="X420" s="10">
        <v>7.5</v>
      </c>
      <c r="Y420" s="9">
        <v>44981</v>
      </c>
      <c r="Z420">
        <v>3</v>
      </c>
      <c r="AA420" s="11" t="s">
        <v>49</v>
      </c>
    </row>
    <row r="421" spans="2:27" ht="16" x14ac:dyDescent="0.2">
      <c r="B421" t="s">
        <v>35</v>
      </c>
      <c r="C421">
        <v>40361882</v>
      </c>
      <c r="D421" t="s">
        <v>389</v>
      </c>
      <c r="E421">
        <v>1011967</v>
      </c>
      <c r="F421" t="s">
        <v>418</v>
      </c>
      <c r="G421" s="9">
        <v>44973</v>
      </c>
      <c r="H421" s="7"/>
      <c r="I421" s="7"/>
      <c r="J421" s="7"/>
      <c r="K421" s="7"/>
      <c r="L421" s="10">
        <v>5.5741092456127026</v>
      </c>
      <c r="M421" s="9">
        <v>44978</v>
      </c>
      <c r="N421" s="10">
        <v>5.5</v>
      </c>
      <c r="O421" s="9">
        <v>44983</v>
      </c>
      <c r="P421">
        <v>2</v>
      </c>
      <c r="Q421" s="11" t="s">
        <v>594</v>
      </c>
      <c r="R421" s="7"/>
      <c r="S421" s="7"/>
      <c r="T421" s="7"/>
      <c r="U421" s="7"/>
      <c r="V421" s="10">
        <v>7.5741092456127026</v>
      </c>
      <c r="W421" s="9">
        <v>44980</v>
      </c>
      <c r="X421" s="10">
        <v>7.5</v>
      </c>
      <c r="Y421" s="9">
        <v>44983</v>
      </c>
      <c r="Z421">
        <v>2</v>
      </c>
      <c r="AA421" s="11" t="s">
        <v>594</v>
      </c>
    </row>
    <row r="422" spans="2:27" ht="16" x14ac:dyDescent="0.2">
      <c r="B422" t="s">
        <v>35</v>
      </c>
      <c r="C422">
        <v>40361880</v>
      </c>
      <c r="D422" t="s">
        <v>389</v>
      </c>
      <c r="E422">
        <v>1012452</v>
      </c>
      <c r="F422" t="s">
        <v>419</v>
      </c>
      <c r="G422" s="9">
        <v>44987</v>
      </c>
      <c r="H422" s="7">
        <v>19976</v>
      </c>
      <c r="I422" s="7"/>
      <c r="J422" s="7"/>
      <c r="K422" s="7"/>
      <c r="L422" s="10">
        <v>5.5741092456127026</v>
      </c>
      <c r="M422" s="9">
        <v>44992</v>
      </c>
      <c r="N422" s="10">
        <v>5.5</v>
      </c>
      <c r="O422" s="9">
        <v>44997</v>
      </c>
      <c r="P422">
        <v>17</v>
      </c>
      <c r="Q422" s="11" t="s">
        <v>49</v>
      </c>
      <c r="R422" s="7">
        <v>19976</v>
      </c>
      <c r="S422" s="7"/>
      <c r="T422" s="7"/>
      <c r="U422" s="7"/>
      <c r="V422" s="10">
        <v>7.5741092456127026</v>
      </c>
      <c r="W422" s="9">
        <v>44994</v>
      </c>
      <c r="X422" s="10">
        <v>7.5</v>
      </c>
      <c r="Y422" s="9">
        <v>44997</v>
      </c>
      <c r="Z422">
        <v>17</v>
      </c>
      <c r="AA422" s="11" t="s">
        <v>49</v>
      </c>
    </row>
    <row r="423" spans="2:27" ht="16" x14ac:dyDescent="0.2">
      <c r="B423" t="s">
        <v>35</v>
      </c>
      <c r="C423">
        <v>40361877</v>
      </c>
      <c r="D423" t="s">
        <v>389</v>
      </c>
      <c r="E423">
        <v>1011586</v>
      </c>
      <c r="F423" t="s">
        <v>420</v>
      </c>
      <c r="G423" s="9">
        <v>44989</v>
      </c>
      <c r="H423" s="7">
        <v>19954</v>
      </c>
      <c r="I423" s="7"/>
      <c r="J423" s="7"/>
      <c r="K423" s="7"/>
      <c r="L423" s="10">
        <v>5.5741092456127026</v>
      </c>
      <c r="M423" s="9">
        <v>44994</v>
      </c>
      <c r="N423" s="10">
        <v>5.5</v>
      </c>
      <c r="O423" s="9">
        <v>44999</v>
      </c>
      <c r="P423">
        <v>15</v>
      </c>
      <c r="Q423" s="11" t="s">
        <v>49</v>
      </c>
      <c r="R423" s="7">
        <v>19954</v>
      </c>
      <c r="S423" s="7"/>
      <c r="T423" s="7"/>
      <c r="U423" s="7"/>
      <c r="V423" s="10">
        <v>7.5741092456127026</v>
      </c>
      <c r="W423" s="9">
        <v>44996</v>
      </c>
      <c r="X423" s="10">
        <v>7.5</v>
      </c>
      <c r="Y423" s="9">
        <v>44999</v>
      </c>
      <c r="Z423">
        <v>15</v>
      </c>
      <c r="AA423" s="11" t="s">
        <v>49</v>
      </c>
    </row>
    <row r="424" spans="2:27" ht="16" x14ac:dyDescent="0.2">
      <c r="B424" t="s">
        <v>35</v>
      </c>
      <c r="C424">
        <v>40361876</v>
      </c>
      <c r="D424" t="s">
        <v>389</v>
      </c>
      <c r="E424">
        <v>1011586</v>
      </c>
      <c r="F424" t="s">
        <v>420</v>
      </c>
      <c r="G424" s="9">
        <v>44984</v>
      </c>
      <c r="H424" s="7">
        <v>19954</v>
      </c>
      <c r="I424" s="7"/>
      <c r="J424" s="7"/>
      <c r="K424" s="7"/>
      <c r="L424" s="10">
        <v>5.5741092456127026</v>
      </c>
      <c r="M424" s="9">
        <v>44989</v>
      </c>
      <c r="N424" s="10">
        <v>5.5</v>
      </c>
      <c r="O424" s="9">
        <v>44994</v>
      </c>
      <c r="P424">
        <v>19</v>
      </c>
      <c r="Q424" s="11" t="s">
        <v>49</v>
      </c>
      <c r="R424" s="7">
        <v>19954</v>
      </c>
      <c r="S424" s="7"/>
      <c r="T424" s="7"/>
      <c r="U424" s="7"/>
      <c r="V424" s="10">
        <v>7.5741092456127026</v>
      </c>
      <c r="W424" s="9">
        <v>44991</v>
      </c>
      <c r="X424" s="10">
        <v>7.5</v>
      </c>
      <c r="Y424" s="9">
        <v>44994</v>
      </c>
      <c r="Z424">
        <v>19</v>
      </c>
      <c r="AA424" s="11" t="s">
        <v>49</v>
      </c>
    </row>
    <row r="425" spans="2:27" ht="16" x14ac:dyDescent="0.2">
      <c r="B425" t="s">
        <v>35</v>
      </c>
      <c r="C425">
        <v>40361875</v>
      </c>
      <c r="D425" t="s">
        <v>389</v>
      </c>
      <c r="E425">
        <v>1011586</v>
      </c>
      <c r="F425" t="s">
        <v>420</v>
      </c>
      <c r="G425" s="9">
        <v>44981</v>
      </c>
      <c r="H425" s="7">
        <v>19954</v>
      </c>
      <c r="I425" s="7"/>
      <c r="J425" s="7"/>
      <c r="K425" s="7"/>
      <c r="L425" s="10">
        <v>5.5741092456127026</v>
      </c>
      <c r="M425" s="9">
        <v>44986</v>
      </c>
      <c r="N425" s="10">
        <v>5.5</v>
      </c>
      <c r="O425" s="9">
        <v>44991</v>
      </c>
      <c r="P425">
        <v>22</v>
      </c>
      <c r="Q425" s="11" t="s">
        <v>49</v>
      </c>
      <c r="R425" s="7">
        <v>19954</v>
      </c>
      <c r="S425" s="7"/>
      <c r="T425" s="7"/>
      <c r="U425" s="7"/>
      <c r="V425" s="10">
        <v>7.5741092456127026</v>
      </c>
      <c r="W425" s="9">
        <v>44988</v>
      </c>
      <c r="X425" s="10">
        <v>7.5</v>
      </c>
      <c r="Y425" s="9">
        <v>44991</v>
      </c>
      <c r="Z425">
        <v>22</v>
      </c>
      <c r="AA425" s="11" t="s">
        <v>49</v>
      </c>
    </row>
    <row r="426" spans="2:27" ht="16" x14ac:dyDescent="0.2">
      <c r="B426" t="s">
        <v>35</v>
      </c>
      <c r="C426">
        <v>40361874</v>
      </c>
      <c r="D426" t="s">
        <v>389</v>
      </c>
      <c r="E426">
        <v>1011586</v>
      </c>
      <c r="F426" t="s">
        <v>420</v>
      </c>
      <c r="G426" s="9">
        <v>44981</v>
      </c>
      <c r="H426" s="7">
        <v>19954</v>
      </c>
      <c r="I426" s="7"/>
      <c r="J426" s="7"/>
      <c r="K426" s="7"/>
      <c r="L426" s="10">
        <v>5.5741092456127026</v>
      </c>
      <c r="M426" s="9">
        <v>44986</v>
      </c>
      <c r="N426" s="10">
        <v>5.5</v>
      </c>
      <c r="O426" s="9">
        <v>44991</v>
      </c>
      <c r="P426">
        <v>22</v>
      </c>
      <c r="Q426" s="11" t="s">
        <v>49</v>
      </c>
      <c r="R426" s="7">
        <v>19954</v>
      </c>
      <c r="S426" s="7"/>
      <c r="T426" s="7"/>
      <c r="U426" s="7"/>
      <c r="V426" s="10">
        <v>7.5741092456127026</v>
      </c>
      <c r="W426" s="9">
        <v>44988</v>
      </c>
      <c r="X426" s="10">
        <v>7.5</v>
      </c>
      <c r="Y426" s="9">
        <v>44991</v>
      </c>
      <c r="Z426">
        <v>22</v>
      </c>
      <c r="AA426" s="11" t="s">
        <v>49</v>
      </c>
    </row>
    <row r="427" spans="2:27" ht="16" x14ac:dyDescent="0.2">
      <c r="B427" t="s">
        <v>35</v>
      </c>
      <c r="C427">
        <v>40361870</v>
      </c>
      <c r="D427" t="s">
        <v>389</v>
      </c>
      <c r="E427">
        <v>1011417</v>
      </c>
      <c r="F427" t="s">
        <v>421</v>
      </c>
      <c r="G427" s="9">
        <v>44989</v>
      </c>
      <c r="H427" s="7">
        <v>19800</v>
      </c>
      <c r="I427" s="7"/>
      <c r="J427" s="7"/>
      <c r="K427" s="7"/>
      <c r="L427" s="10">
        <v>5.5741092456127026</v>
      </c>
      <c r="M427" s="9">
        <v>44994</v>
      </c>
      <c r="N427" s="10">
        <v>5.5</v>
      </c>
      <c r="O427" s="9">
        <v>44999</v>
      </c>
      <c r="P427">
        <v>15</v>
      </c>
      <c r="Q427" s="11" t="s">
        <v>49</v>
      </c>
      <c r="R427" s="7">
        <v>19800</v>
      </c>
      <c r="S427" s="7"/>
      <c r="T427" s="7"/>
      <c r="U427" s="7"/>
      <c r="V427" s="10">
        <v>7.5741092456127026</v>
      </c>
      <c r="W427" s="9">
        <v>44996</v>
      </c>
      <c r="X427" s="10">
        <v>7.5</v>
      </c>
      <c r="Y427" s="9">
        <v>44999</v>
      </c>
      <c r="Z427">
        <v>15</v>
      </c>
      <c r="AA427" s="11" t="s">
        <v>49</v>
      </c>
    </row>
    <row r="428" spans="2:27" ht="16" x14ac:dyDescent="0.2">
      <c r="B428" t="s">
        <v>35</v>
      </c>
      <c r="C428">
        <v>40361867</v>
      </c>
      <c r="D428" t="s">
        <v>389</v>
      </c>
      <c r="E428">
        <v>1011417</v>
      </c>
      <c r="F428" t="s">
        <v>421</v>
      </c>
      <c r="G428" s="9">
        <v>44981</v>
      </c>
      <c r="H428" s="7">
        <v>19800</v>
      </c>
      <c r="I428" s="7"/>
      <c r="J428" s="7"/>
      <c r="K428" s="7"/>
      <c r="L428" s="10">
        <v>5.5741092456127026</v>
      </c>
      <c r="M428" s="9">
        <v>44986</v>
      </c>
      <c r="N428" s="10">
        <v>5.5</v>
      </c>
      <c r="O428" s="9">
        <v>44991</v>
      </c>
      <c r="P428">
        <v>22</v>
      </c>
      <c r="Q428" s="11" t="s">
        <v>49</v>
      </c>
      <c r="R428" s="7">
        <v>19800</v>
      </c>
      <c r="S428" s="7"/>
      <c r="T428" s="7"/>
      <c r="U428" s="7"/>
      <c r="V428" s="10">
        <v>7.5741092456127026</v>
      </c>
      <c r="W428" s="9">
        <v>44988</v>
      </c>
      <c r="X428" s="10">
        <v>7.5</v>
      </c>
      <c r="Y428" s="9">
        <v>44991</v>
      </c>
      <c r="Z428">
        <v>22</v>
      </c>
      <c r="AA428" s="11" t="s">
        <v>49</v>
      </c>
    </row>
    <row r="429" spans="2:27" ht="16" x14ac:dyDescent="0.2">
      <c r="B429" t="s">
        <v>35</v>
      </c>
      <c r="C429">
        <v>40361866</v>
      </c>
      <c r="D429" t="s">
        <v>389</v>
      </c>
      <c r="E429">
        <v>1011417</v>
      </c>
      <c r="F429" t="s">
        <v>421</v>
      </c>
      <c r="G429" s="9">
        <v>44981</v>
      </c>
      <c r="H429" s="7">
        <v>19800</v>
      </c>
      <c r="I429" s="7"/>
      <c r="J429" s="7"/>
      <c r="K429" s="7"/>
      <c r="L429" s="10">
        <v>5.5741092456127026</v>
      </c>
      <c r="M429" s="9">
        <v>44986</v>
      </c>
      <c r="N429" s="10">
        <v>5.5</v>
      </c>
      <c r="O429" s="9">
        <v>44991</v>
      </c>
      <c r="P429">
        <v>22</v>
      </c>
      <c r="Q429" s="11" t="s">
        <v>49</v>
      </c>
      <c r="R429" s="7">
        <v>19800</v>
      </c>
      <c r="S429" s="7"/>
      <c r="T429" s="7"/>
      <c r="U429" s="7"/>
      <c r="V429" s="10">
        <v>7.5741092456127026</v>
      </c>
      <c r="W429" s="9">
        <v>44988</v>
      </c>
      <c r="X429" s="10">
        <v>7.5</v>
      </c>
      <c r="Y429" s="9">
        <v>44991</v>
      </c>
      <c r="Z429">
        <v>22</v>
      </c>
      <c r="AA429" s="11" t="s">
        <v>49</v>
      </c>
    </row>
    <row r="430" spans="2:27" ht="16" x14ac:dyDescent="0.2">
      <c r="B430" t="s">
        <v>35</v>
      </c>
      <c r="C430">
        <v>40361865</v>
      </c>
      <c r="D430" t="s">
        <v>389</v>
      </c>
      <c r="E430">
        <v>1011417</v>
      </c>
      <c r="F430" t="s">
        <v>421</v>
      </c>
      <c r="G430" s="9">
        <v>44978</v>
      </c>
      <c r="H430" s="7">
        <v>19800</v>
      </c>
      <c r="I430" s="7"/>
      <c r="J430" s="7"/>
      <c r="K430" s="7"/>
      <c r="L430" s="10">
        <v>5.5741092456127026</v>
      </c>
      <c r="M430" s="9">
        <v>44983</v>
      </c>
      <c r="N430" s="10">
        <v>5.5</v>
      </c>
      <c r="O430" s="9">
        <v>44988</v>
      </c>
      <c r="P430">
        <v>24</v>
      </c>
      <c r="Q430" s="11" t="s">
        <v>49</v>
      </c>
      <c r="R430" s="7">
        <v>19800</v>
      </c>
      <c r="S430" s="7"/>
      <c r="T430" s="7"/>
      <c r="U430" s="7"/>
      <c r="V430" s="10">
        <v>7.5741092456127026</v>
      </c>
      <c r="W430" s="9">
        <v>44985</v>
      </c>
      <c r="X430" s="10">
        <v>7.5</v>
      </c>
      <c r="Y430" s="9">
        <v>44988</v>
      </c>
      <c r="Z430">
        <v>24</v>
      </c>
      <c r="AA430" s="11" t="s">
        <v>49</v>
      </c>
    </row>
    <row r="431" spans="2:27" ht="16" x14ac:dyDescent="0.2">
      <c r="B431" t="s">
        <v>35</v>
      </c>
      <c r="C431">
        <v>40361863</v>
      </c>
      <c r="D431" t="s">
        <v>389</v>
      </c>
      <c r="E431">
        <v>1012218</v>
      </c>
      <c r="F431" t="s">
        <v>235</v>
      </c>
      <c r="G431" s="9">
        <v>44985</v>
      </c>
      <c r="H431" s="7">
        <v>21000</v>
      </c>
      <c r="I431" s="7"/>
      <c r="J431" s="7"/>
      <c r="K431" s="7"/>
      <c r="L431" s="10">
        <v>5.5741092456127026</v>
      </c>
      <c r="M431" s="9">
        <v>44990</v>
      </c>
      <c r="N431" s="10">
        <v>5.5</v>
      </c>
      <c r="O431" s="9">
        <v>44995</v>
      </c>
      <c r="P431">
        <v>18</v>
      </c>
      <c r="Q431" s="11" t="s">
        <v>49</v>
      </c>
      <c r="R431" s="7">
        <v>21000</v>
      </c>
      <c r="S431" s="7"/>
      <c r="T431" s="7"/>
      <c r="U431" s="7"/>
      <c r="V431" s="10">
        <v>7.5741092456127026</v>
      </c>
      <c r="W431" s="9">
        <v>44992</v>
      </c>
      <c r="X431" s="10">
        <v>7.5</v>
      </c>
      <c r="Y431" s="9">
        <v>44995</v>
      </c>
      <c r="Z431">
        <v>18</v>
      </c>
      <c r="AA431" s="11" t="s">
        <v>49</v>
      </c>
    </row>
    <row r="432" spans="2:27" ht="16" x14ac:dyDescent="0.2">
      <c r="B432" t="s">
        <v>35</v>
      </c>
      <c r="C432">
        <v>40361862</v>
      </c>
      <c r="D432" t="s">
        <v>389</v>
      </c>
      <c r="E432">
        <v>1012218</v>
      </c>
      <c r="F432" t="s">
        <v>235</v>
      </c>
      <c r="G432" s="9">
        <v>44983</v>
      </c>
      <c r="H432" s="7">
        <v>21000</v>
      </c>
      <c r="I432" s="7"/>
      <c r="J432" s="7"/>
      <c r="K432" s="7"/>
      <c r="L432" s="10">
        <v>5.5741092456127026</v>
      </c>
      <c r="M432" s="9">
        <v>44988</v>
      </c>
      <c r="N432" s="10">
        <v>5.5</v>
      </c>
      <c r="O432" s="9">
        <v>44993</v>
      </c>
      <c r="P432">
        <v>20</v>
      </c>
      <c r="Q432" s="11" t="s">
        <v>49</v>
      </c>
      <c r="R432" s="7">
        <v>21000</v>
      </c>
      <c r="S432" s="7"/>
      <c r="T432" s="7"/>
      <c r="U432" s="7"/>
      <c r="V432" s="10">
        <v>7.5741092456127026</v>
      </c>
      <c r="W432" s="9">
        <v>44990</v>
      </c>
      <c r="X432" s="10">
        <v>7.5</v>
      </c>
      <c r="Y432" s="9">
        <v>44993</v>
      </c>
      <c r="Z432">
        <v>20</v>
      </c>
      <c r="AA432" s="11" t="s">
        <v>49</v>
      </c>
    </row>
    <row r="433" spans="2:27" ht="16" x14ac:dyDescent="0.2">
      <c r="B433" t="s">
        <v>35</v>
      </c>
      <c r="C433">
        <v>40361834</v>
      </c>
      <c r="D433" t="s">
        <v>423</v>
      </c>
      <c r="E433">
        <v>1030658</v>
      </c>
      <c r="F433" t="s">
        <v>371</v>
      </c>
      <c r="G433" s="9">
        <v>44961</v>
      </c>
      <c r="H433" s="7"/>
      <c r="I433" s="7"/>
      <c r="J433" s="7"/>
      <c r="K433" s="7"/>
      <c r="L433" s="10">
        <v>5.4496124031007751</v>
      </c>
      <c r="M433" s="9">
        <v>44966</v>
      </c>
      <c r="N433" s="10">
        <v>10</v>
      </c>
      <c r="O433" s="9">
        <v>44976</v>
      </c>
      <c r="P433">
        <v>8</v>
      </c>
      <c r="Q433" s="11" t="s">
        <v>49</v>
      </c>
      <c r="R433" s="7"/>
      <c r="S433" s="7"/>
      <c r="T433" s="7"/>
      <c r="U433" s="7"/>
      <c r="V433" s="10">
        <v>7.4496124031007751</v>
      </c>
      <c r="W433" s="9">
        <v>44968</v>
      </c>
      <c r="X433" s="10">
        <v>12</v>
      </c>
      <c r="Y433" s="9">
        <v>44976</v>
      </c>
      <c r="Z433">
        <v>8</v>
      </c>
      <c r="AA433" s="11" t="s">
        <v>49</v>
      </c>
    </row>
    <row r="434" spans="2:27" ht="16" x14ac:dyDescent="0.2">
      <c r="B434" t="s">
        <v>35</v>
      </c>
      <c r="C434">
        <v>40361831</v>
      </c>
      <c r="D434" t="s">
        <v>423</v>
      </c>
      <c r="E434">
        <v>1030658</v>
      </c>
      <c r="F434" t="s">
        <v>371</v>
      </c>
      <c r="G434" s="9">
        <v>44969</v>
      </c>
      <c r="H434" s="7"/>
      <c r="I434" s="7"/>
      <c r="J434" s="7"/>
      <c r="K434" s="7"/>
      <c r="L434" s="10">
        <v>5.4496124031007751</v>
      </c>
      <c r="M434" s="9">
        <v>44974</v>
      </c>
      <c r="N434" s="10">
        <v>10</v>
      </c>
      <c r="O434" s="9">
        <v>44984</v>
      </c>
      <c r="P434">
        <v>1</v>
      </c>
      <c r="Q434" s="11" t="s">
        <v>594</v>
      </c>
      <c r="R434" s="7"/>
      <c r="S434" s="7"/>
      <c r="T434" s="7"/>
      <c r="U434" s="7"/>
      <c r="V434" s="10">
        <v>7.4496124031007751</v>
      </c>
      <c r="W434" s="9">
        <v>44976</v>
      </c>
      <c r="X434" s="10">
        <v>12</v>
      </c>
      <c r="Y434" s="9">
        <v>44984</v>
      </c>
      <c r="Z434">
        <v>1</v>
      </c>
      <c r="AA434" s="11" t="s">
        <v>594</v>
      </c>
    </row>
    <row r="435" spans="2:27" ht="16" x14ac:dyDescent="0.2">
      <c r="B435" t="s">
        <v>35</v>
      </c>
      <c r="C435">
        <v>40361829</v>
      </c>
      <c r="D435" t="s">
        <v>423</v>
      </c>
      <c r="E435">
        <v>1030658</v>
      </c>
      <c r="F435" t="s">
        <v>371</v>
      </c>
      <c r="G435" s="9">
        <v>44961</v>
      </c>
      <c r="H435" s="7"/>
      <c r="I435" s="7"/>
      <c r="J435" s="7"/>
      <c r="K435" s="7"/>
      <c r="L435" s="10">
        <v>5.4496124031007751</v>
      </c>
      <c r="M435" s="9">
        <v>44966</v>
      </c>
      <c r="N435" s="10">
        <v>10</v>
      </c>
      <c r="O435" s="9">
        <v>44976</v>
      </c>
      <c r="P435">
        <v>8</v>
      </c>
      <c r="Q435" s="11" t="s">
        <v>49</v>
      </c>
      <c r="R435" s="7"/>
      <c r="S435" s="7"/>
      <c r="T435" s="7"/>
      <c r="U435" s="7"/>
      <c r="V435" s="10">
        <v>7.4496124031007751</v>
      </c>
      <c r="W435" s="9">
        <v>44968</v>
      </c>
      <c r="X435" s="10">
        <v>12</v>
      </c>
      <c r="Y435" s="9">
        <v>44976</v>
      </c>
      <c r="Z435">
        <v>8</v>
      </c>
      <c r="AA435" s="11" t="s">
        <v>49</v>
      </c>
    </row>
    <row r="436" spans="2:27" ht="16" x14ac:dyDescent="0.2">
      <c r="B436" t="s">
        <v>35</v>
      </c>
      <c r="C436">
        <v>40361825</v>
      </c>
      <c r="D436" t="s">
        <v>423</v>
      </c>
      <c r="E436">
        <v>1030337</v>
      </c>
      <c r="F436" t="s">
        <v>369</v>
      </c>
      <c r="G436" s="9">
        <v>44961</v>
      </c>
      <c r="H436" s="7"/>
      <c r="I436" s="7"/>
      <c r="J436" s="7"/>
      <c r="K436" s="7"/>
      <c r="L436" s="10">
        <v>5.4496124031007751</v>
      </c>
      <c r="M436" s="9">
        <v>44966</v>
      </c>
      <c r="N436" s="10">
        <v>10</v>
      </c>
      <c r="O436" s="9">
        <v>44976</v>
      </c>
      <c r="P436">
        <v>8</v>
      </c>
      <c r="Q436" s="11" t="s">
        <v>49</v>
      </c>
      <c r="R436" s="7"/>
      <c r="S436" s="7"/>
      <c r="T436" s="7"/>
      <c r="U436" s="7"/>
      <c r="V436" s="10">
        <v>7.4496124031007751</v>
      </c>
      <c r="W436" s="9">
        <v>44968</v>
      </c>
      <c r="X436" s="10">
        <v>12</v>
      </c>
      <c r="Y436" s="9">
        <v>44976</v>
      </c>
      <c r="Z436">
        <v>8</v>
      </c>
      <c r="AA436" s="11" t="s">
        <v>49</v>
      </c>
    </row>
    <row r="437" spans="2:27" ht="16" x14ac:dyDescent="0.2">
      <c r="B437" t="s">
        <v>35</v>
      </c>
      <c r="C437">
        <v>40361823</v>
      </c>
      <c r="D437" t="s">
        <v>423</v>
      </c>
      <c r="E437">
        <v>1030337</v>
      </c>
      <c r="F437" t="s">
        <v>369</v>
      </c>
      <c r="G437" s="9">
        <v>44956</v>
      </c>
      <c r="H437" s="7"/>
      <c r="I437" s="7"/>
      <c r="J437" s="7"/>
      <c r="K437" s="7"/>
      <c r="L437" s="10">
        <v>5.4496124031007751</v>
      </c>
      <c r="M437" s="9">
        <v>44961</v>
      </c>
      <c r="N437" s="10">
        <v>10</v>
      </c>
      <c r="O437" s="9">
        <v>44971</v>
      </c>
      <c r="P437">
        <v>12</v>
      </c>
      <c r="Q437" s="11" t="s">
        <v>49</v>
      </c>
      <c r="R437" s="7"/>
      <c r="S437" s="7"/>
      <c r="T437" s="7"/>
      <c r="U437" s="7"/>
      <c r="V437" s="10">
        <v>7.4496124031007751</v>
      </c>
      <c r="W437" s="9">
        <v>44963</v>
      </c>
      <c r="X437" s="10">
        <v>12</v>
      </c>
      <c r="Y437" s="9">
        <v>44971</v>
      </c>
      <c r="Z437">
        <v>12</v>
      </c>
      <c r="AA437" s="11" t="s">
        <v>49</v>
      </c>
    </row>
    <row r="438" spans="2:27" ht="16" x14ac:dyDescent="0.2">
      <c r="B438" t="s">
        <v>35</v>
      </c>
      <c r="C438">
        <v>40361820</v>
      </c>
      <c r="D438" t="s">
        <v>423</v>
      </c>
      <c r="E438">
        <v>1030337</v>
      </c>
      <c r="F438" t="s">
        <v>369</v>
      </c>
      <c r="G438" s="9">
        <v>44961</v>
      </c>
      <c r="H438" s="7"/>
      <c r="I438" s="7"/>
      <c r="J438" s="7"/>
      <c r="K438" s="7"/>
      <c r="L438" s="10">
        <v>5.4496124031007751</v>
      </c>
      <c r="M438" s="9">
        <v>44966</v>
      </c>
      <c r="N438" s="10">
        <v>10</v>
      </c>
      <c r="O438" s="9">
        <v>44976</v>
      </c>
      <c r="P438">
        <v>8</v>
      </c>
      <c r="Q438" s="11" t="s">
        <v>49</v>
      </c>
      <c r="R438" s="7"/>
      <c r="S438" s="7"/>
      <c r="T438" s="7"/>
      <c r="U438" s="7"/>
      <c r="V438" s="10">
        <v>7.4496124031007751</v>
      </c>
      <c r="W438" s="9">
        <v>44968</v>
      </c>
      <c r="X438" s="10">
        <v>12</v>
      </c>
      <c r="Y438" s="9">
        <v>44976</v>
      </c>
      <c r="Z438">
        <v>8</v>
      </c>
      <c r="AA438" s="11" t="s">
        <v>49</v>
      </c>
    </row>
    <row r="439" spans="2:27" ht="16" x14ac:dyDescent="0.2">
      <c r="B439" t="s">
        <v>35</v>
      </c>
      <c r="C439">
        <v>40361817</v>
      </c>
      <c r="D439" t="s">
        <v>423</v>
      </c>
      <c r="E439">
        <v>1030337</v>
      </c>
      <c r="F439" t="s">
        <v>369</v>
      </c>
      <c r="G439" s="9">
        <v>44956</v>
      </c>
      <c r="H439" s="7"/>
      <c r="I439" s="7"/>
      <c r="J439" s="7"/>
      <c r="K439" s="7"/>
      <c r="L439" s="10">
        <v>5.4496124031007751</v>
      </c>
      <c r="M439" s="9">
        <v>44961</v>
      </c>
      <c r="N439" s="10">
        <v>10</v>
      </c>
      <c r="O439" s="9">
        <v>44971</v>
      </c>
      <c r="P439">
        <v>12</v>
      </c>
      <c r="Q439" s="11" t="s">
        <v>49</v>
      </c>
      <c r="R439" s="7"/>
      <c r="S439" s="7"/>
      <c r="T439" s="7"/>
      <c r="U439" s="7"/>
      <c r="V439" s="10">
        <v>7.4496124031007751</v>
      </c>
      <c r="W439" s="9">
        <v>44963</v>
      </c>
      <c r="X439" s="10">
        <v>12</v>
      </c>
      <c r="Y439" s="9">
        <v>44971</v>
      </c>
      <c r="Z439">
        <v>12</v>
      </c>
      <c r="AA439" s="11" t="s">
        <v>49</v>
      </c>
    </row>
    <row r="440" spans="2:27" ht="16" x14ac:dyDescent="0.2">
      <c r="B440" t="s">
        <v>35</v>
      </c>
      <c r="C440">
        <v>40361815</v>
      </c>
      <c r="D440" t="s">
        <v>423</v>
      </c>
      <c r="E440">
        <v>1021555</v>
      </c>
      <c r="F440" t="s">
        <v>422</v>
      </c>
      <c r="G440" s="9">
        <v>44979</v>
      </c>
      <c r="H440" s="7">
        <v>24005.52</v>
      </c>
      <c r="I440" s="7"/>
      <c r="J440" s="7"/>
      <c r="K440" s="7"/>
      <c r="L440" s="10">
        <v>5.4496124031007751</v>
      </c>
      <c r="M440" s="9">
        <v>44984</v>
      </c>
      <c r="N440" s="10">
        <v>10</v>
      </c>
      <c r="O440" s="9">
        <v>44994</v>
      </c>
      <c r="P440">
        <v>17</v>
      </c>
      <c r="Q440" s="11" t="s">
        <v>49</v>
      </c>
      <c r="R440" s="7">
        <v>24005.52</v>
      </c>
      <c r="S440" s="7"/>
      <c r="T440" s="7"/>
      <c r="U440" s="7"/>
      <c r="V440" s="10">
        <v>7.4496124031007751</v>
      </c>
      <c r="W440" s="9">
        <v>44986</v>
      </c>
      <c r="X440" s="10">
        <v>12</v>
      </c>
      <c r="Y440" s="9">
        <v>44994</v>
      </c>
      <c r="Z440">
        <v>17</v>
      </c>
      <c r="AA440" s="11" t="s">
        <v>49</v>
      </c>
    </row>
    <row r="441" spans="2:27" ht="16" x14ac:dyDescent="0.2">
      <c r="B441" t="s">
        <v>35</v>
      </c>
      <c r="C441">
        <v>40361812</v>
      </c>
      <c r="D441" t="s">
        <v>423</v>
      </c>
      <c r="E441">
        <v>1021555</v>
      </c>
      <c r="F441" t="s">
        <v>422</v>
      </c>
      <c r="G441" s="9">
        <v>44971</v>
      </c>
      <c r="H441" s="7">
        <v>15313.44</v>
      </c>
      <c r="I441" s="7"/>
      <c r="J441" s="7"/>
      <c r="K441" s="7"/>
      <c r="L441" s="10">
        <v>5.4496124031007751</v>
      </c>
      <c r="M441" s="9">
        <v>44976</v>
      </c>
      <c r="N441" s="10">
        <v>10</v>
      </c>
      <c r="O441" s="9">
        <v>44986</v>
      </c>
      <c r="P441">
        <v>24</v>
      </c>
      <c r="Q441" s="11" t="s">
        <v>49</v>
      </c>
      <c r="R441" s="7">
        <v>15313.44</v>
      </c>
      <c r="S441" s="7"/>
      <c r="T441" s="7"/>
      <c r="U441" s="7"/>
      <c r="V441" s="10">
        <v>7.4496124031007751</v>
      </c>
      <c r="W441" s="9">
        <v>44978</v>
      </c>
      <c r="X441" s="10">
        <v>12</v>
      </c>
      <c r="Y441" s="9">
        <v>44986</v>
      </c>
      <c r="Z441">
        <v>24</v>
      </c>
      <c r="AA441" s="11" t="s">
        <v>49</v>
      </c>
    </row>
    <row r="442" spans="2:27" ht="16" x14ac:dyDescent="0.2">
      <c r="B442" t="s">
        <v>35</v>
      </c>
      <c r="C442">
        <v>40361812</v>
      </c>
      <c r="D442" t="s">
        <v>423</v>
      </c>
      <c r="E442">
        <v>1021555</v>
      </c>
      <c r="F442" t="s">
        <v>422</v>
      </c>
      <c r="G442" s="9">
        <v>44971</v>
      </c>
      <c r="H442" s="7">
        <v>24016.39</v>
      </c>
      <c r="I442" s="7"/>
      <c r="J442" s="7"/>
      <c r="K442" s="7"/>
      <c r="L442" s="10">
        <v>5.4496124031007751</v>
      </c>
      <c r="M442" s="9">
        <v>44976</v>
      </c>
      <c r="N442" s="10">
        <v>10</v>
      </c>
      <c r="O442" s="9">
        <v>44986</v>
      </c>
      <c r="P442">
        <v>24</v>
      </c>
      <c r="Q442" s="11" t="s">
        <v>49</v>
      </c>
      <c r="R442" s="7">
        <v>24016.39</v>
      </c>
      <c r="S442" s="7"/>
      <c r="T442" s="7"/>
      <c r="U442" s="7"/>
      <c r="V442" s="10">
        <v>7.4496124031007751</v>
      </c>
      <c r="W442" s="9">
        <v>44978</v>
      </c>
      <c r="X442" s="10">
        <v>12</v>
      </c>
      <c r="Y442" s="9">
        <v>44986</v>
      </c>
      <c r="Z442">
        <v>24</v>
      </c>
      <c r="AA442" s="11" t="s">
        <v>49</v>
      </c>
    </row>
    <row r="443" spans="2:27" ht="16" x14ac:dyDescent="0.2">
      <c r="B443" t="s">
        <v>35</v>
      </c>
      <c r="C443">
        <v>40361809</v>
      </c>
      <c r="D443" t="s">
        <v>423</v>
      </c>
      <c r="E443">
        <v>1021272</v>
      </c>
      <c r="F443" t="s">
        <v>263</v>
      </c>
      <c r="G443" s="9">
        <v>44969</v>
      </c>
      <c r="H443" s="7"/>
      <c r="I443" s="7"/>
      <c r="J443" s="7"/>
      <c r="K443" s="7"/>
      <c r="L443" s="10">
        <v>5.4496124031007751</v>
      </c>
      <c r="M443" s="9">
        <v>44974</v>
      </c>
      <c r="N443" s="10">
        <v>10</v>
      </c>
      <c r="O443" s="9">
        <v>44984</v>
      </c>
      <c r="P443">
        <v>1</v>
      </c>
      <c r="Q443" s="11" t="s">
        <v>594</v>
      </c>
      <c r="R443" s="7"/>
      <c r="S443" s="7"/>
      <c r="T443" s="7"/>
      <c r="U443" s="7"/>
      <c r="V443" s="10">
        <v>7.4496124031007751</v>
      </c>
      <c r="W443" s="9">
        <v>44976</v>
      </c>
      <c r="X443" s="10">
        <v>12</v>
      </c>
      <c r="Y443" s="9">
        <v>44984</v>
      </c>
      <c r="Z443">
        <v>1</v>
      </c>
      <c r="AA443" s="11" t="s">
        <v>594</v>
      </c>
    </row>
    <row r="444" spans="2:27" ht="16" x14ac:dyDescent="0.2">
      <c r="B444" t="s">
        <v>35</v>
      </c>
      <c r="C444">
        <v>40361806</v>
      </c>
      <c r="D444" t="s">
        <v>423</v>
      </c>
      <c r="E444">
        <v>1021272</v>
      </c>
      <c r="F444" t="s">
        <v>263</v>
      </c>
      <c r="G444" s="9">
        <v>44967</v>
      </c>
      <c r="H444" s="7"/>
      <c r="I444" s="7"/>
      <c r="J444" s="7"/>
      <c r="K444" s="7"/>
      <c r="L444" s="10">
        <v>5.4496124031007751</v>
      </c>
      <c r="M444" s="9">
        <v>44972</v>
      </c>
      <c r="N444" s="10">
        <v>10</v>
      </c>
      <c r="O444" s="9">
        <v>44982</v>
      </c>
      <c r="P444">
        <v>2</v>
      </c>
      <c r="Q444" s="11" t="s">
        <v>594</v>
      </c>
      <c r="R444" s="7"/>
      <c r="S444" s="7"/>
      <c r="T444" s="7"/>
      <c r="U444" s="7"/>
      <c r="V444" s="10">
        <v>7.4496124031007751</v>
      </c>
      <c r="W444" s="9">
        <v>44974</v>
      </c>
      <c r="X444" s="10">
        <v>12</v>
      </c>
      <c r="Y444" s="9">
        <v>44982</v>
      </c>
      <c r="Z444">
        <v>2</v>
      </c>
      <c r="AA444" s="11" t="s">
        <v>594</v>
      </c>
    </row>
    <row r="445" spans="2:27" ht="16" x14ac:dyDescent="0.2">
      <c r="B445" t="s">
        <v>35</v>
      </c>
      <c r="C445">
        <v>40361804</v>
      </c>
      <c r="D445" t="s">
        <v>423</v>
      </c>
      <c r="E445">
        <v>1030337</v>
      </c>
      <c r="F445" t="s">
        <v>369</v>
      </c>
      <c r="G445" s="9">
        <v>44969</v>
      </c>
      <c r="H445" s="7"/>
      <c r="I445" s="7"/>
      <c r="J445" s="7"/>
      <c r="K445" s="7"/>
      <c r="L445" s="10">
        <v>5.4496124031007751</v>
      </c>
      <c r="M445" s="9">
        <v>44974</v>
      </c>
      <c r="N445" s="10">
        <v>10</v>
      </c>
      <c r="O445" s="9">
        <v>44984</v>
      </c>
      <c r="P445">
        <v>1</v>
      </c>
      <c r="Q445" s="11" t="s">
        <v>594</v>
      </c>
      <c r="R445" s="7"/>
      <c r="S445" s="7"/>
      <c r="T445" s="7"/>
      <c r="U445" s="7"/>
      <c r="V445" s="10">
        <v>7.4496124031007751</v>
      </c>
      <c r="W445" s="9">
        <v>44976</v>
      </c>
      <c r="X445" s="10">
        <v>12</v>
      </c>
      <c r="Y445" s="9">
        <v>44984</v>
      </c>
      <c r="Z445">
        <v>1</v>
      </c>
      <c r="AA445" s="11" t="s">
        <v>594</v>
      </c>
    </row>
    <row r="446" spans="2:27" ht="16" x14ac:dyDescent="0.2">
      <c r="B446" t="s">
        <v>35</v>
      </c>
      <c r="C446">
        <v>40361801</v>
      </c>
      <c r="D446" t="s">
        <v>423</v>
      </c>
      <c r="E446">
        <v>1023343</v>
      </c>
      <c r="F446" t="s">
        <v>483</v>
      </c>
      <c r="G446" s="9">
        <v>44967</v>
      </c>
      <c r="H446" s="7"/>
      <c r="I446" s="7"/>
      <c r="J446" s="7"/>
      <c r="K446" s="7"/>
      <c r="L446" s="10">
        <v>5.4496124031007751</v>
      </c>
      <c r="M446" s="9">
        <v>44972</v>
      </c>
      <c r="N446" s="10">
        <v>10</v>
      </c>
      <c r="O446" s="9">
        <v>44982</v>
      </c>
      <c r="P446">
        <v>2</v>
      </c>
      <c r="Q446" s="11" t="s">
        <v>594</v>
      </c>
      <c r="R446" s="7"/>
      <c r="S446" s="7"/>
      <c r="T446" s="7"/>
      <c r="U446" s="7"/>
      <c r="V446" s="10">
        <v>7.4496124031007751</v>
      </c>
      <c r="W446" s="9">
        <v>44974</v>
      </c>
      <c r="X446" s="10">
        <v>12</v>
      </c>
      <c r="Y446" s="9">
        <v>44982</v>
      </c>
      <c r="Z446">
        <v>2</v>
      </c>
      <c r="AA446" s="11" t="s">
        <v>594</v>
      </c>
    </row>
    <row r="447" spans="2:27" ht="16" x14ac:dyDescent="0.2">
      <c r="B447" t="s">
        <v>35</v>
      </c>
      <c r="C447">
        <v>40361800</v>
      </c>
      <c r="D447" t="s">
        <v>423</v>
      </c>
      <c r="E447">
        <v>1023343</v>
      </c>
      <c r="F447" t="s">
        <v>483</v>
      </c>
      <c r="G447" s="9">
        <v>44969</v>
      </c>
      <c r="H447" s="7"/>
      <c r="I447" s="7"/>
      <c r="J447" s="7"/>
      <c r="K447" s="7"/>
      <c r="L447" s="10">
        <v>5.4496124031007751</v>
      </c>
      <c r="M447" s="9">
        <v>44974</v>
      </c>
      <c r="N447" s="10">
        <v>10</v>
      </c>
      <c r="O447" s="9">
        <v>44984</v>
      </c>
      <c r="P447">
        <v>1</v>
      </c>
      <c r="Q447" s="11" t="s">
        <v>594</v>
      </c>
      <c r="R447" s="7"/>
      <c r="S447" s="7"/>
      <c r="T447" s="7"/>
      <c r="U447" s="7"/>
      <c r="V447" s="10">
        <v>7.4496124031007751</v>
      </c>
      <c r="W447" s="9">
        <v>44976</v>
      </c>
      <c r="X447" s="10">
        <v>12</v>
      </c>
      <c r="Y447" s="9">
        <v>44984</v>
      </c>
      <c r="Z447">
        <v>1</v>
      </c>
      <c r="AA447" s="11" t="s">
        <v>594</v>
      </c>
    </row>
    <row r="448" spans="2:27" ht="16" x14ac:dyDescent="0.2">
      <c r="B448" t="s">
        <v>35</v>
      </c>
      <c r="C448">
        <v>40361793</v>
      </c>
      <c r="D448" t="s">
        <v>423</v>
      </c>
      <c r="E448">
        <v>1021272</v>
      </c>
      <c r="F448" t="s">
        <v>263</v>
      </c>
      <c r="G448" s="9">
        <v>44961</v>
      </c>
      <c r="H448" s="7"/>
      <c r="I448" s="7"/>
      <c r="J448" s="7"/>
      <c r="K448" s="7"/>
      <c r="L448" s="10">
        <v>5.4496124031007751</v>
      </c>
      <c r="M448" s="9">
        <v>44966</v>
      </c>
      <c r="N448" s="10">
        <v>10</v>
      </c>
      <c r="O448" s="9">
        <v>44976</v>
      </c>
      <c r="P448">
        <v>8</v>
      </c>
      <c r="Q448" s="11" t="s">
        <v>49</v>
      </c>
      <c r="R448" s="7"/>
      <c r="S448" s="7"/>
      <c r="T448" s="7"/>
      <c r="U448" s="7"/>
      <c r="V448" s="10">
        <v>7.4496124031007751</v>
      </c>
      <c r="W448" s="9">
        <v>44968</v>
      </c>
      <c r="X448" s="10">
        <v>12</v>
      </c>
      <c r="Y448" s="9">
        <v>44976</v>
      </c>
      <c r="Z448">
        <v>8</v>
      </c>
      <c r="AA448" s="11" t="s">
        <v>49</v>
      </c>
    </row>
    <row r="449" spans="2:27" ht="16" x14ac:dyDescent="0.2">
      <c r="B449" t="s">
        <v>35</v>
      </c>
      <c r="C449">
        <v>40361790</v>
      </c>
      <c r="D449" t="s">
        <v>423</v>
      </c>
      <c r="E449">
        <v>1021272</v>
      </c>
      <c r="F449" t="s">
        <v>263</v>
      </c>
      <c r="G449" s="9">
        <v>44961</v>
      </c>
      <c r="H449" s="7"/>
      <c r="I449" s="7"/>
      <c r="J449" s="7"/>
      <c r="K449" s="7"/>
      <c r="L449" s="10">
        <v>5.4496124031007751</v>
      </c>
      <c r="M449" s="9">
        <v>44966</v>
      </c>
      <c r="N449" s="10">
        <v>10</v>
      </c>
      <c r="O449" s="9">
        <v>44976</v>
      </c>
      <c r="P449">
        <v>8</v>
      </c>
      <c r="Q449" s="11" t="s">
        <v>49</v>
      </c>
      <c r="R449" s="7"/>
      <c r="S449" s="7"/>
      <c r="T449" s="7"/>
      <c r="U449" s="7"/>
      <c r="V449" s="10">
        <v>7.4496124031007751</v>
      </c>
      <c r="W449" s="9">
        <v>44968</v>
      </c>
      <c r="X449" s="10">
        <v>12</v>
      </c>
      <c r="Y449" s="9">
        <v>44976</v>
      </c>
      <c r="Z449">
        <v>8</v>
      </c>
      <c r="AA449" s="11" t="s">
        <v>49</v>
      </c>
    </row>
    <row r="450" spans="2:27" ht="16" x14ac:dyDescent="0.2">
      <c r="B450" t="s">
        <v>35</v>
      </c>
      <c r="C450">
        <v>40361779</v>
      </c>
      <c r="D450" t="s">
        <v>423</v>
      </c>
      <c r="E450">
        <v>1021270</v>
      </c>
      <c r="F450" t="s">
        <v>424</v>
      </c>
      <c r="G450" s="9">
        <v>44979</v>
      </c>
      <c r="H450" s="7">
        <v>23962.76</v>
      </c>
      <c r="I450" s="7"/>
      <c r="J450" s="7"/>
      <c r="K450" s="7"/>
      <c r="L450" s="10">
        <v>5.4496124031007751</v>
      </c>
      <c r="M450" s="9">
        <v>44984</v>
      </c>
      <c r="N450" s="10">
        <v>10</v>
      </c>
      <c r="O450" s="9">
        <v>44994</v>
      </c>
      <c r="P450">
        <v>17</v>
      </c>
      <c r="Q450" s="11" t="s">
        <v>49</v>
      </c>
      <c r="R450" s="7">
        <v>23962.76</v>
      </c>
      <c r="S450" s="7"/>
      <c r="T450" s="7"/>
      <c r="U450" s="7"/>
      <c r="V450" s="10">
        <v>7.4496124031007751</v>
      </c>
      <c r="W450" s="9">
        <v>44986</v>
      </c>
      <c r="X450" s="10">
        <v>12</v>
      </c>
      <c r="Y450" s="9">
        <v>44994</v>
      </c>
      <c r="Z450">
        <v>17</v>
      </c>
      <c r="AA450" s="11" t="s">
        <v>49</v>
      </c>
    </row>
    <row r="451" spans="2:27" ht="16" x14ac:dyDescent="0.2">
      <c r="B451" t="s">
        <v>35</v>
      </c>
      <c r="C451">
        <v>40361778</v>
      </c>
      <c r="D451" t="s">
        <v>423</v>
      </c>
      <c r="E451">
        <v>1023302</v>
      </c>
      <c r="F451" t="s">
        <v>268</v>
      </c>
      <c r="G451" s="9">
        <v>44969</v>
      </c>
      <c r="H451" s="7"/>
      <c r="I451" s="7"/>
      <c r="J451" s="7"/>
      <c r="K451" s="7"/>
      <c r="L451" s="10">
        <v>5.4496124031007751</v>
      </c>
      <c r="M451" s="9">
        <v>44974</v>
      </c>
      <c r="N451" s="10">
        <v>10</v>
      </c>
      <c r="O451" s="9">
        <v>44984</v>
      </c>
      <c r="P451">
        <v>1</v>
      </c>
      <c r="Q451" s="11" t="s">
        <v>594</v>
      </c>
      <c r="R451" s="7"/>
      <c r="S451" s="7"/>
      <c r="T451" s="7"/>
      <c r="U451" s="7"/>
      <c r="V451" s="10">
        <v>7.4496124031007751</v>
      </c>
      <c r="W451" s="9">
        <v>44976</v>
      </c>
      <c r="X451" s="10">
        <v>12</v>
      </c>
      <c r="Y451" s="9">
        <v>44984</v>
      </c>
      <c r="Z451">
        <v>1</v>
      </c>
      <c r="AA451" s="11" t="s">
        <v>594</v>
      </c>
    </row>
    <row r="452" spans="2:27" ht="16" x14ac:dyDescent="0.2">
      <c r="B452" t="s">
        <v>35</v>
      </c>
      <c r="C452">
        <v>40361773</v>
      </c>
      <c r="D452" t="s">
        <v>423</v>
      </c>
      <c r="E452">
        <v>1021270</v>
      </c>
      <c r="F452" t="s">
        <v>424</v>
      </c>
      <c r="G452" s="9">
        <v>44979</v>
      </c>
      <c r="H452" s="7">
        <v>24013.919999999998</v>
      </c>
      <c r="I452" s="7"/>
      <c r="J452" s="7"/>
      <c r="K452" s="7"/>
      <c r="L452" s="10">
        <v>5.4496124031007751</v>
      </c>
      <c r="M452" s="9">
        <v>44984</v>
      </c>
      <c r="N452" s="10">
        <v>10</v>
      </c>
      <c r="O452" s="9">
        <v>44994</v>
      </c>
      <c r="P452">
        <v>17</v>
      </c>
      <c r="Q452" s="11" t="s">
        <v>49</v>
      </c>
      <c r="R452" s="7">
        <v>24013.919999999998</v>
      </c>
      <c r="S452" s="7"/>
      <c r="T452" s="7"/>
      <c r="U452" s="7"/>
      <c r="V452" s="10">
        <v>7.4496124031007751</v>
      </c>
      <c r="W452" s="9">
        <v>44986</v>
      </c>
      <c r="X452" s="10">
        <v>12</v>
      </c>
      <c r="Y452" s="9">
        <v>44994</v>
      </c>
      <c r="Z452">
        <v>17</v>
      </c>
      <c r="AA452" s="11" t="s">
        <v>49</v>
      </c>
    </row>
    <row r="453" spans="2:27" ht="16" x14ac:dyDescent="0.2">
      <c r="B453" t="s">
        <v>35</v>
      </c>
      <c r="C453">
        <v>40361772</v>
      </c>
      <c r="D453" t="s">
        <v>423</v>
      </c>
      <c r="E453">
        <v>1023302</v>
      </c>
      <c r="F453" t="s">
        <v>268</v>
      </c>
      <c r="G453" s="9">
        <v>44969</v>
      </c>
      <c r="H453" s="7"/>
      <c r="I453" s="7"/>
      <c r="J453" s="7"/>
      <c r="K453" s="7"/>
      <c r="L453" s="10">
        <v>5.4496124031007751</v>
      </c>
      <c r="M453" s="9">
        <v>44974</v>
      </c>
      <c r="N453" s="10">
        <v>10</v>
      </c>
      <c r="O453" s="9">
        <v>44984</v>
      </c>
      <c r="P453">
        <v>1</v>
      </c>
      <c r="Q453" s="11" t="s">
        <v>594</v>
      </c>
      <c r="R453" s="7"/>
      <c r="S453" s="7"/>
      <c r="T453" s="7"/>
      <c r="U453" s="7"/>
      <c r="V453" s="10">
        <v>7.4496124031007751</v>
      </c>
      <c r="W453" s="9">
        <v>44976</v>
      </c>
      <c r="X453" s="10">
        <v>12</v>
      </c>
      <c r="Y453" s="9">
        <v>44984</v>
      </c>
      <c r="Z453">
        <v>1</v>
      </c>
      <c r="AA453" s="11" t="s">
        <v>594</v>
      </c>
    </row>
    <row r="454" spans="2:27" ht="16" x14ac:dyDescent="0.2">
      <c r="B454" t="s">
        <v>35</v>
      </c>
      <c r="C454">
        <v>40361768</v>
      </c>
      <c r="D454" t="s">
        <v>423</v>
      </c>
      <c r="E454">
        <v>1021270</v>
      </c>
      <c r="F454" t="s">
        <v>424</v>
      </c>
      <c r="G454" s="9">
        <v>44979</v>
      </c>
      <c r="H454" s="7">
        <v>23960</v>
      </c>
      <c r="I454" s="7"/>
      <c r="J454" s="7"/>
      <c r="K454" s="7"/>
      <c r="L454" s="10">
        <v>5.4496124031007751</v>
      </c>
      <c r="M454" s="9">
        <v>44984</v>
      </c>
      <c r="N454" s="10">
        <v>10</v>
      </c>
      <c r="O454" s="9">
        <v>44994</v>
      </c>
      <c r="P454">
        <v>17</v>
      </c>
      <c r="Q454" s="11" t="s">
        <v>49</v>
      </c>
      <c r="R454" s="7">
        <v>23960</v>
      </c>
      <c r="S454" s="7"/>
      <c r="T454" s="7"/>
      <c r="U454" s="7"/>
      <c r="V454" s="10">
        <v>7.4496124031007751</v>
      </c>
      <c r="W454" s="9">
        <v>44986</v>
      </c>
      <c r="X454" s="10">
        <v>12</v>
      </c>
      <c r="Y454" s="9">
        <v>44994</v>
      </c>
      <c r="Z454">
        <v>17</v>
      </c>
      <c r="AA454" s="11" t="s">
        <v>49</v>
      </c>
    </row>
    <row r="455" spans="2:27" ht="16" x14ac:dyDescent="0.2">
      <c r="B455" t="s">
        <v>35</v>
      </c>
      <c r="C455">
        <v>40361765</v>
      </c>
      <c r="D455" t="s">
        <v>423</v>
      </c>
      <c r="E455">
        <v>1011614</v>
      </c>
      <c r="F455" t="s">
        <v>487</v>
      </c>
      <c r="G455" s="9">
        <v>44969</v>
      </c>
      <c r="H455" s="7"/>
      <c r="I455" s="7"/>
      <c r="J455" s="7"/>
      <c r="K455" s="7"/>
      <c r="L455" s="10">
        <v>5.4496124031007751</v>
      </c>
      <c r="M455" s="9">
        <v>44974</v>
      </c>
      <c r="N455" s="10">
        <v>10</v>
      </c>
      <c r="O455" s="9">
        <v>44984</v>
      </c>
      <c r="P455">
        <v>1</v>
      </c>
      <c r="Q455" s="11" t="s">
        <v>594</v>
      </c>
      <c r="R455" s="7"/>
      <c r="S455" s="7"/>
      <c r="T455" s="7"/>
      <c r="U455" s="7"/>
      <c r="V455" s="10">
        <v>7.4496124031007751</v>
      </c>
      <c r="W455" s="9">
        <v>44976</v>
      </c>
      <c r="X455" s="10">
        <v>12</v>
      </c>
      <c r="Y455" s="9">
        <v>44984</v>
      </c>
      <c r="Z455">
        <v>1</v>
      </c>
      <c r="AA455" s="11" t="s">
        <v>594</v>
      </c>
    </row>
    <row r="456" spans="2:27" ht="16" x14ac:dyDescent="0.2">
      <c r="B456" t="s">
        <v>35</v>
      </c>
      <c r="C456">
        <v>40361750</v>
      </c>
      <c r="D456" t="s">
        <v>423</v>
      </c>
      <c r="E456">
        <v>1011127</v>
      </c>
      <c r="F456" t="s">
        <v>228</v>
      </c>
      <c r="G456" s="9">
        <v>44967</v>
      </c>
      <c r="H456" s="7"/>
      <c r="I456" s="7"/>
      <c r="J456" s="7"/>
      <c r="K456" s="7"/>
      <c r="L456" s="10">
        <v>5.4496124031007751</v>
      </c>
      <c r="M456" s="9">
        <v>44972</v>
      </c>
      <c r="N456" s="10">
        <v>10</v>
      </c>
      <c r="O456" s="9">
        <v>44982</v>
      </c>
      <c r="P456">
        <v>2</v>
      </c>
      <c r="Q456" s="11" t="s">
        <v>594</v>
      </c>
      <c r="R456" s="7"/>
      <c r="S456" s="7"/>
      <c r="T456" s="7"/>
      <c r="U456" s="7"/>
      <c r="V456" s="10">
        <v>7.4496124031007751</v>
      </c>
      <c r="W456" s="9">
        <v>44974</v>
      </c>
      <c r="X456" s="10">
        <v>12</v>
      </c>
      <c r="Y456" s="9">
        <v>44982</v>
      </c>
      <c r="Z456">
        <v>2</v>
      </c>
      <c r="AA456" s="11" t="s">
        <v>594</v>
      </c>
    </row>
    <row r="457" spans="2:27" ht="16" x14ac:dyDescent="0.2">
      <c r="B457" t="s">
        <v>35</v>
      </c>
      <c r="C457">
        <v>40361747</v>
      </c>
      <c r="D457" t="s">
        <v>423</v>
      </c>
      <c r="E457">
        <v>1011127</v>
      </c>
      <c r="F457" t="s">
        <v>228</v>
      </c>
      <c r="G457" s="9">
        <v>44969</v>
      </c>
      <c r="H457" s="7"/>
      <c r="I457" s="7"/>
      <c r="J457" s="7"/>
      <c r="K457" s="7"/>
      <c r="L457" s="10">
        <v>5.4496124031007751</v>
      </c>
      <c r="M457" s="9">
        <v>44974</v>
      </c>
      <c r="N457" s="10">
        <v>10</v>
      </c>
      <c r="O457" s="9">
        <v>44984</v>
      </c>
      <c r="P457">
        <v>1</v>
      </c>
      <c r="Q457" s="11" t="s">
        <v>594</v>
      </c>
      <c r="R457" s="7"/>
      <c r="S457" s="7"/>
      <c r="T457" s="7"/>
      <c r="U457" s="7"/>
      <c r="V457" s="10">
        <v>7.4496124031007751</v>
      </c>
      <c r="W457" s="9">
        <v>44976</v>
      </c>
      <c r="X457" s="10">
        <v>12</v>
      </c>
      <c r="Y457" s="9">
        <v>44984</v>
      </c>
      <c r="Z457">
        <v>1</v>
      </c>
      <c r="AA457" s="11" t="s">
        <v>594</v>
      </c>
    </row>
    <row r="458" spans="2:27" ht="16" x14ac:dyDescent="0.2">
      <c r="B458" t="s">
        <v>35</v>
      </c>
      <c r="C458">
        <v>40361746</v>
      </c>
      <c r="D458" t="s">
        <v>423</v>
      </c>
      <c r="E458">
        <v>1011127</v>
      </c>
      <c r="F458" t="s">
        <v>228</v>
      </c>
      <c r="G458" s="9">
        <v>44967</v>
      </c>
      <c r="H458" s="7"/>
      <c r="I458" s="7"/>
      <c r="J458" s="7"/>
      <c r="K458" s="7"/>
      <c r="L458" s="10">
        <v>5.4496124031007751</v>
      </c>
      <c r="M458" s="9">
        <v>44972</v>
      </c>
      <c r="N458" s="10">
        <v>10</v>
      </c>
      <c r="O458" s="9">
        <v>44982</v>
      </c>
      <c r="P458">
        <v>2</v>
      </c>
      <c r="Q458" s="11" t="s">
        <v>594</v>
      </c>
      <c r="R458" s="7"/>
      <c r="S458" s="7"/>
      <c r="T458" s="7"/>
      <c r="U458" s="7"/>
      <c r="V458" s="10">
        <v>7.4496124031007751</v>
      </c>
      <c r="W458" s="9">
        <v>44974</v>
      </c>
      <c r="X458" s="10">
        <v>12</v>
      </c>
      <c r="Y458" s="9">
        <v>44982</v>
      </c>
      <c r="Z458">
        <v>2</v>
      </c>
      <c r="AA458" s="11" t="s">
        <v>594</v>
      </c>
    </row>
    <row r="459" spans="2:27" ht="16" x14ac:dyDescent="0.2">
      <c r="B459" t="s">
        <v>35</v>
      </c>
      <c r="C459">
        <v>40361744</v>
      </c>
      <c r="D459" t="s">
        <v>423</v>
      </c>
      <c r="E459">
        <v>1011127</v>
      </c>
      <c r="F459" t="s">
        <v>228</v>
      </c>
      <c r="G459" s="9">
        <v>44969</v>
      </c>
      <c r="H459" s="7"/>
      <c r="I459" s="7"/>
      <c r="J459" s="7"/>
      <c r="K459" s="7"/>
      <c r="L459" s="10">
        <v>5.4496124031007751</v>
      </c>
      <c r="M459" s="9">
        <v>44974</v>
      </c>
      <c r="N459" s="10">
        <v>10</v>
      </c>
      <c r="O459" s="9">
        <v>44984</v>
      </c>
      <c r="P459">
        <v>1</v>
      </c>
      <c r="Q459" s="11" t="s">
        <v>594</v>
      </c>
      <c r="R459" s="7"/>
      <c r="S459" s="7"/>
      <c r="T459" s="7"/>
      <c r="U459" s="7"/>
      <c r="V459" s="10">
        <v>7.4496124031007751</v>
      </c>
      <c r="W459" s="9">
        <v>44976</v>
      </c>
      <c r="X459" s="10">
        <v>12</v>
      </c>
      <c r="Y459" s="9">
        <v>44984</v>
      </c>
      <c r="Z459">
        <v>1</v>
      </c>
      <c r="AA459" s="11" t="s">
        <v>594</v>
      </c>
    </row>
    <row r="460" spans="2:27" ht="16" x14ac:dyDescent="0.2">
      <c r="B460" t="s">
        <v>35</v>
      </c>
      <c r="C460">
        <v>40361743</v>
      </c>
      <c r="D460" t="s">
        <v>423</v>
      </c>
      <c r="E460">
        <v>1011127</v>
      </c>
      <c r="F460" t="s">
        <v>228</v>
      </c>
      <c r="G460" s="9">
        <v>44961</v>
      </c>
      <c r="H460" s="7"/>
      <c r="I460" s="7"/>
      <c r="J460" s="7"/>
      <c r="K460" s="7"/>
      <c r="L460" s="10">
        <v>5.4496124031007751</v>
      </c>
      <c r="M460" s="9">
        <v>44966</v>
      </c>
      <c r="N460" s="10">
        <v>10</v>
      </c>
      <c r="O460" s="9">
        <v>44976</v>
      </c>
      <c r="P460">
        <v>8</v>
      </c>
      <c r="Q460" s="11" t="s">
        <v>49</v>
      </c>
      <c r="R460" s="7"/>
      <c r="S460" s="7"/>
      <c r="T460" s="7"/>
      <c r="U460" s="7"/>
      <c r="V460" s="10">
        <v>7.4496124031007751</v>
      </c>
      <c r="W460" s="9">
        <v>44968</v>
      </c>
      <c r="X460" s="10">
        <v>12</v>
      </c>
      <c r="Y460" s="9">
        <v>44976</v>
      </c>
      <c r="Z460">
        <v>8</v>
      </c>
      <c r="AA460" s="11" t="s">
        <v>49</v>
      </c>
    </row>
    <row r="461" spans="2:27" ht="16" x14ac:dyDescent="0.2">
      <c r="B461" t="s">
        <v>35</v>
      </c>
      <c r="C461">
        <v>40361741</v>
      </c>
      <c r="D461" t="s">
        <v>423</v>
      </c>
      <c r="E461">
        <v>1011127</v>
      </c>
      <c r="F461" t="s">
        <v>228</v>
      </c>
      <c r="G461" s="9">
        <v>44969</v>
      </c>
      <c r="H461" s="7"/>
      <c r="I461" s="7"/>
      <c r="J461" s="7"/>
      <c r="K461" s="7"/>
      <c r="L461" s="10">
        <v>5.4496124031007751</v>
      </c>
      <c r="M461" s="9">
        <v>44974</v>
      </c>
      <c r="N461" s="10">
        <v>10</v>
      </c>
      <c r="O461" s="9">
        <v>44984</v>
      </c>
      <c r="P461">
        <v>1</v>
      </c>
      <c r="Q461" s="11" t="s">
        <v>594</v>
      </c>
      <c r="R461" s="7"/>
      <c r="S461" s="7"/>
      <c r="T461" s="7"/>
      <c r="U461" s="7"/>
      <c r="V461" s="10">
        <v>7.4496124031007751</v>
      </c>
      <c r="W461" s="9">
        <v>44976</v>
      </c>
      <c r="X461" s="10">
        <v>12</v>
      </c>
      <c r="Y461" s="9">
        <v>44984</v>
      </c>
      <c r="Z461">
        <v>1</v>
      </c>
      <c r="AA461" s="11" t="s">
        <v>594</v>
      </c>
    </row>
    <row r="462" spans="2:27" ht="16" x14ac:dyDescent="0.2">
      <c r="B462" t="s">
        <v>35</v>
      </c>
      <c r="C462">
        <v>40361740</v>
      </c>
      <c r="D462" t="s">
        <v>423</v>
      </c>
      <c r="E462">
        <v>1011127</v>
      </c>
      <c r="F462" t="s">
        <v>228</v>
      </c>
      <c r="G462" s="9">
        <v>44961</v>
      </c>
      <c r="H462" s="7"/>
      <c r="I462" s="7"/>
      <c r="J462" s="7"/>
      <c r="K462" s="7"/>
      <c r="L462" s="10">
        <v>5.4496124031007751</v>
      </c>
      <c r="M462" s="9">
        <v>44966</v>
      </c>
      <c r="N462" s="10">
        <v>10</v>
      </c>
      <c r="O462" s="9">
        <v>44976</v>
      </c>
      <c r="P462">
        <v>8</v>
      </c>
      <c r="Q462" s="11" t="s">
        <v>49</v>
      </c>
      <c r="R462" s="7"/>
      <c r="S462" s="7"/>
      <c r="T462" s="7"/>
      <c r="U462" s="7"/>
      <c r="V462" s="10">
        <v>7.4496124031007751</v>
      </c>
      <c r="W462" s="9">
        <v>44968</v>
      </c>
      <c r="X462" s="10">
        <v>12</v>
      </c>
      <c r="Y462" s="9">
        <v>44976</v>
      </c>
      <c r="Z462">
        <v>8</v>
      </c>
      <c r="AA462" s="11" t="s">
        <v>49</v>
      </c>
    </row>
    <row r="463" spans="2:27" ht="16" x14ac:dyDescent="0.2">
      <c r="B463" t="s">
        <v>35</v>
      </c>
      <c r="C463">
        <v>40361738</v>
      </c>
      <c r="D463" t="s">
        <v>423</v>
      </c>
      <c r="E463">
        <v>1011127</v>
      </c>
      <c r="F463" t="s">
        <v>228</v>
      </c>
      <c r="G463" s="9">
        <v>44969</v>
      </c>
      <c r="H463" s="7"/>
      <c r="I463" s="7"/>
      <c r="J463" s="7"/>
      <c r="K463" s="7"/>
      <c r="L463" s="10">
        <v>5.4496124031007751</v>
      </c>
      <c r="M463" s="9">
        <v>44974</v>
      </c>
      <c r="N463" s="10">
        <v>10</v>
      </c>
      <c r="O463" s="9">
        <v>44984</v>
      </c>
      <c r="P463">
        <v>1</v>
      </c>
      <c r="Q463" s="11" t="s">
        <v>594</v>
      </c>
      <c r="R463" s="7"/>
      <c r="S463" s="7"/>
      <c r="T463" s="7"/>
      <c r="U463" s="7"/>
      <c r="V463" s="10">
        <v>7.4496124031007751</v>
      </c>
      <c r="W463" s="9">
        <v>44976</v>
      </c>
      <c r="X463" s="10">
        <v>12</v>
      </c>
      <c r="Y463" s="9">
        <v>44984</v>
      </c>
      <c r="Z463">
        <v>1</v>
      </c>
      <c r="AA463" s="11" t="s">
        <v>594</v>
      </c>
    </row>
    <row r="464" spans="2:27" ht="16" x14ac:dyDescent="0.2">
      <c r="B464" t="s">
        <v>35</v>
      </c>
      <c r="C464">
        <v>40361737</v>
      </c>
      <c r="D464" t="s">
        <v>423</v>
      </c>
      <c r="E464">
        <v>1011127</v>
      </c>
      <c r="F464" t="s">
        <v>228</v>
      </c>
      <c r="G464" s="9">
        <v>44961</v>
      </c>
      <c r="H464" s="7"/>
      <c r="I464" s="7"/>
      <c r="J464" s="7"/>
      <c r="K464" s="7"/>
      <c r="L464" s="10">
        <v>5.4496124031007751</v>
      </c>
      <c r="M464" s="9">
        <v>44966</v>
      </c>
      <c r="N464" s="10">
        <v>10</v>
      </c>
      <c r="O464" s="9">
        <v>44976</v>
      </c>
      <c r="P464">
        <v>8</v>
      </c>
      <c r="Q464" s="11" t="s">
        <v>49</v>
      </c>
      <c r="R464" s="7"/>
      <c r="S464" s="7"/>
      <c r="T464" s="7"/>
      <c r="U464" s="7"/>
      <c r="V464" s="10">
        <v>7.4496124031007751</v>
      </c>
      <c r="W464" s="9">
        <v>44968</v>
      </c>
      <c r="X464" s="10">
        <v>12</v>
      </c>
      <c r="Y464" s="9">
        <v>44976</v>
      </c>
      <c r="Z464">
        <v>8</v>
      </c>
      <c r="AA464" s="11" t="s">
        <v>49</v>
      </c>
    </row>
    <row r="465" spans="2:27" ht="16" x14ac:dyDescent="0.2">
      <c r="B465" t="s">
        <v>35</v>
      </c>
      <c r="C465">
        <v>40361735</v>
      </c>
      <c r="D465" t="s">
        <v>423</v>
      </c>
      <c r="E465">
        <v>1011127</v>
      </c>
      <c r="F465" t="s">
        <v>228</v>
      </c>
      <c r="G465" s="9">
        <v>44969</v>
      </c>
      <c r="H465" s="7"/>
      <c r="I465" s="7"/>
      <c r="J465" s="7"/>
      <c r="K465" s="7"/>
      <c r="L465" s="10">
        <v>5.4496124031007751</v>
      </c>
      <c r="M465" s="9">
        <v>44974</v>
      </c>
      <c r="N465" s="10">
        <v>10</v>
      </c>
      <c r="O465" s="9">
        <v>44984</v>
      </c>
      <c r="P465">
        <v>1</v>
      </c>
      <c r="Q465" s="11" t="s">
        <v>594</v>
      </c>
      <c r="R465" s="7"/>
      <c r="S465" s="7"/>
      <c r="T465" s="7"/>
      <c r="U465" s="7"/>
      <c r="V465" s="10">
        <v>7.4496124031007751</v>
      </c>
      <c r="W465" s="9">
        <v>44976</v>
      </c>
      <c r="X465" s="10">
        <v>12</v>
      </c>
      <c r="Y465" s="9">
        <v>44984</v>
      </c>
      <c r="Z465">
        <v>1</v>
      </c>
      <c r="AA465" s="11" t="s">
        <v>594</v>
      </c>
    </row>
    <row r="466" spans="2:27" ht="16" x14ac:dyDescent="0.2">
      <c r="B466" t="s">
        <v>35</v>
      </c>
      <c r="C466">
        <v>40361734</v>
      </c>
      <c r="D466" t="s">
        <v>423</v>
      </c>
      <c r="E466">
        <v>1011127</v>
      </c>
      <c r="F466" t="s">
        <v>228</v>
      </c>
      <c r="G466" s="9">
        <v>44961</v>
      </c>
      <c r="H466" s="7"/>
      <c r="I466" s="7"/>
      <c r="J466" s="7"/>
      <c r="K466" s="7"/>
      <c r="L466" s="10">
        <v>5.4496124031007751</v>
      </c>
      <c r="M466" s="9">
        <v>44966</v>
      </c>
      <c r="N466" s="10">
        <v>10</v>
      </c>
      <c r="O466" s="9">
        <v>44976</v>
      </c>
      <c r="P466">
        <v>8</v>
      </c>
      <c r="Q466" s="11" t="s">
        <v>49</v>
      </c>
      <c r="R466" s="7"/>
      <c r="S466" s="7"/>
      <c r="T466" s="7"/>
      <c r="U466" s="7"/>
      <c r="V466" s="10">
        <v>7.4496124031007751</v>
      </c>
      <c r="W466" s="9">
        <v>44968</v>
      </c>
      <c r="X466" s="10">
        <v>12</v>
      </c>
      <c r="Y466" s="9">
        <v>44976</v>
      </c>
      <c r="Z466">
        <v>8</v>
      </c>
      <c r="AA466" s="11" t="s">
        <v>49</v>
      </c>
    </row>
    <row r="467" spans="2:27" ht="16" x14ac:dyDescent="0.2">
      <c r="B467" t="s">
        <v>35</v>
      </c>
      <c r="C467">
        <v>40361731</v>
      </c>
      <c r="D467" t="s">
        <v>423</v>
      </c>
      <c r="E467">
        <v>1011127</v>
      </c>
      <c r="F467" t="s">
        <v>228</v>
      </c>
      <c r="G467" s="9">
        <v>44961</v>
      </c>
      <c r="H467" s="7"/>
      <c r="I467" s="7"/>
      <c r="J467" s="7"/>
      <c r="K467" s="7"/>
      <c r="L467" s="10">
        <v>5.4496124031007751</v>
      </c>
      <c r="M467" s="9">
        <v>44966</v>
      </c>
      <c r="N467" s="10">
        <v>10</v>
      </c>
      <c r="O467" s="9">
        <v>44976</v>
      </c>
      <c r="P467">
        <v>8</v>
      </c>
      <c r="Q467" s="11" t="s">
        <v>49</v>
      </c>
      <c r="R467" s="7"/>
      <c r="S467" s="7"/>
      <c r="T467" s="7"/>
      <c r="U467" s="7"/>
      <c r="V467" s="10">
        <v>7.4496124031007751</v>
      </c>
      <c r="W467" s="9">
        <v>44968</v>
      </c>
      <c r="X467" s="10">
        <v>12</v>
      </c>
      <c r="Y467" s="9">
        <v>44976</v>
      </c>
      <c r="Z467">
        <v>8</v>
      </c>
      <c r="AA467" s="11" t="s">
        <v>49</v>
      </c>
    </row>
    <row r="468" spans="2:27" ht="16" x14ac:dyDescent="0.2">
      <c r="B468" t="s">
        <v>35</v>
      </c>
      <c r="C468">
        <v>40361729</v>
      </c>
      <c r="D468" t="s">
        <v>423</v>
      </c>
      <c r="E468">
        <v>1011127</v>
      </c>
      <c r="F468" t="s">
        <v>228</v>
      </c>
      <c r="G468" s="9">
        <v>44967</v>
      </c>
      <c r="H468" s="7"/>
      <c r="I468" s="7"/>
      <c r="J468" s="7"/>
      <c r="K468" s="7"/>
      <c r="L468" s="10">
        <v>5.4496124031007751</v>
      </c>
      <c r="M468" s="9">
        <v>44972</v>
      </c>
      <c r="N468" s="10">
        <v>10</v>
      </c>
      <c r="O468" s="9">
        <v>44982</v>
      </c>
      <c r="P468">
        <v>2</v>
      </c>
      <c r="Q468" s="11" t="s">
        <v>594</v>
      </c>
      <c r="R468" s="7"/>
      <c r="S468" s="7"/>
      <c r="T468" s="7"/>
      <c r="U468" s="7"/>
      <c r="V468" s="10">
        <v>7.4496124031007751</v>
      </c>
      <c r="W468" s="9">
        <v>44974</v>
      </c>
      <c r="X468" s="10">
        <v>12</v>
      </c>
      <c r="Y468" s="9">
        <v>44982</v>
      </c>
      <c r="Z468">
        <v>2</v>
      </c>
      <c r="AA468" s="11" t="s">
        <v>594</v>
      </c>
    </row>
    <row r="469" spans="2:27" ht="16" x14ac:dyDescent="0.2">
      <c r="B469" t="s">
        <v>35</v>
      </c>
      <c r="C469">
        <v>40361728</v>
      </c>
      <c r="D469" t="s">
        <v>423</v>
      </c>
      <c r="E469">
        <v>1011127</v>
      </c>
      <c r="F469" t="s">
        <v>228</v>
      </c>
      <c r="G469" s="9">
        <v>44961</v>
      </c>
      <c r="H469" s="7"/>
      <c r="I469" s="7"/>
      <c r="J469" s="7"/>
      <c r="K469" s="7"/>
      <c r="L469" s="10">
        <v>5.4496124031007751</v>
      </c>
      <c r="M469" s="9">
        <v>44966</v>
      </c>
      <c r="N469" s="10">
        <v>10</v>
      </c>
      <c r="O469" s="9">
        <v>44976</v>
      </c>
      <c r="P469">
        <v>8</v>
      </c>
      <c r="Q469" s="11" t="s">
        <v>49</v>
      </c>
      <c r="R469" s="7"/>
      <c r="S469" s="7"/>
      <c r="T469" s="7"/>
      <c r="U469" s="7"/>
      <c r="V469" s="10">
        <v>7.4496124031007751</v>
      </c>
      <c r="W469" s="9">
        <v>44968</v>
      </c>
      <c r="X469" s="10">
        <v>12</v>
      </c>
      <c r="Y469" s="9">
        <v>44976</v>
      </c>
      <c r="Z469">
        <v>8</v>
      </c>
      <c r="AA469" s="11" t="s">
        <v>49</v>
      </c>
    </row>
    <row r="470" spans="2:27" ht="16" x14ac:dyDescent="0.2">
      <c r="B470" t="s">
        <v>35</v>
      </c>
      <c r="C470">
        <v>40361725</v>
      </c>
      <c r="D470" t="s">
        <v>423</v>
      </c>
      <c r="E470">
        <v>1011127</v>
      </c>
      <c r="F470" t="s">
        <v>228</v>
      </c>
      <c r="G470" s="9">
        <v>44956</v>
      </c>
      <c r="H470" s="7"/>
      <c r="I470" s="7"/>
      <c r="J470" s="7"/>
      <c r="K470" s="7"/>
      <c r="L470" s="10">
        <v>5.4496124031007751</v>
      </c>
      <c r="M470" s="9">
        <v>44961</v>
      </c>
      <c r="N470" s="10">
        <v>10</v>
      </c>
      <c r="O470" s="9">
        <v>44971</v>
      </c>
      <c r="P470">
        <v>12</v>
      </c>
      <c r="Q470" s="11" t="s">
        <v>49</v>
      </c>
      <c r="R470" s="7"/>
      <c r="S470" s="7"/>
      <c r="T470" s="7"/>
      <c r="U470" s="7"/>
      <c r="V470" s="10">
        <v>7.4496124031007751</v>
      </c>
      <c r="W470" s="9">
        <v>44963</v>
      </c>
      <c r="X470" s="10">
        <v>12</v>
      </c>
      <c r="Y470" s="9">
        <v>44971</v>
      </c>
      <c r="Z470">
        <v>12</v>
      </c>
      <c r="AA470" s="11" t="s">
        <v>49</v>
      </c>
    </row>
    <row r="471" spans="2:27" ht="16" x14ac:dyDescent="0.2">
      <c r="B471" t="s">
        <v>35</v>
      </c>
      <c r="C471">
        <v>40361723</v>
      </c>
      <c r="D471" t="s">
        <v>423</v>
      </c>
      <c r="E471">
        <v>1011127</v>
      </c>
      <c r="F471" t="s">
        <v>228</v>
      </c>
      <c r="G471" s="9">
        <v>44969</v>
      </c>
      <c r="H471" s="7"/>
      <c r="I471" s="7"/>
      <c r="J471" s="7"/>
      <c r="K471" s="7"/>
      <c r="L471" s="10">
        <v>5.4496124031007751</v>
      </c>
      <c r="M471" s="9">
        <v>44974</v>
      </c>
      <c r="N471" s="10">
        <v>10</v>
      </c>
      <c r="O471" s="9">
        <v>44984</v>
      </c>
      <c r="P471">
        <v>1</v>
      </c>
      <c r="Q471" s="11" t="s">
        <v>594</v>
      </c>
      <c r="R471" s="7"/>
      <c r="S471" s="7"/>
      <c r="T471" s="7"/>
      <c r="U471" s="7"/>
      <c r="V471" s="10">
        <v>7.4496124031007751</v>
      </c>
      <c r="W471" s="9">
        <v>44976</v>
      </c>
      <c r="X471" s="10">
        <v>12</v>
      </c>
      <c r="Y471" s="9">
        <v>44984</v>
      </c>
      <c r="Z471">
        <v>1</v>
      </c>
      <c r="AA471" s="11" t="s">
        <v>594</v>
      </c>
    </row>
    <row r="472" spans="2:27" ht="16" x14ac:dyDescent="0.2">
      <c r="B472" t="s">
        <v>35</v>
      </c>
      <c r="C472">
        <v>40361722</v>
      </c>
      <c r="D472" t="s">
        <v>423</v>
      </c>
      <c r="E472">
        <v>1011127</v>
      </c>
      <c r="F472" t="s">
        <v>228</v>
      </c>
      <c r="G472" s="9">
        <v>44961</v>
      </c>
      <c r="H472" s="7"/>
      <c r="I472" s="7"/>
      <c r="J472" s="7"/>
      <c r="K472" s="7"/>
      <c r="L472" s="10">
        <v>5.4496124031007751</v>
      </c>
      <c r="M472" s="9">
        <v>44966</v>
      </c>
      <c r="N472" s="10">
        <v>10</v>
      </c>
      <c r="O472" s="9">
        <v>44976</v>
      </c>
      <c r="P472">
        <v>8</v>
      </c>
      <c r="Q472" s="11" t="s">
        <v>49</v>
      </c>
      <c r="R472" s="7"/>
      <c r="S472" s="7"/>
      <c r="T472" s="7"/>
      <c r="U472" s="7"/>
      <c r="V472" s="10">
        <v>7.4496124031007751</v>
      </c>
      <c r="W472" s="9">
        <v>44968</v>
      </c>
      <c r="X472" s="10">
        <v>12</v>
      </c>
      <c r="Y472" s="9">
        <v>44976</v>
      </c>
      <c r="Z472">
        <v>8</v>
      </c>
      <c r="AA472" s="11" t="s">
        <v>49</v>
      </c>
    </row>
    <row r="473" spans="2:27" ht="16" x14ac:dyDescent="0.2">
      <c r="B473" t="s">
        <v>35</v>
      </c>
      <c r="C473">
        <v>40361720</v>
      </c>
      <c r="D473" t="s">
        <v>423</v>
      </c>
      <c r="E473">
        <v>1011127</v>
      </c>
      <c r="F473" t="s">
        <v>228</v>
      </c>
      <c r="G473" s="9">
        <v>44969</v>
      </c>
      <c r="H473" s="7"/>
      <c r="I473" s="7"/>
      <c r="J473" s="7"/>
      <c r="K473" s="7"/>
      <c r="L473" s="10">
        <v>5.4496124031007751</v>
      </c>
      <c r="M473" s="9">
        <v>44974</v>
      </c>
      <c r="N473" s="10">
        <v>10</v>
      </c>
      <c r="O473" s="9">
        <v>44984</v>
      </c>
      <c r="P473">
        <v>1</v>
      </c>
      <c r="Q473" s="11" t="s">
        <v>594</v>
      </c>
      <c r="R473" s="7"/>
      <c r="S473" s="7"/>
      <c r="T473" s="7"/>
      <c r="U473" s="7"/>
      <c r="V473" s="10">
        <v>7.4496124031007751</v>
      </c>
      <c r="W473" s="9">
        <v>44976</v>
      </c>
      <c r="X473" s="10">
        <v>12</v>
      </c>
      <c r="Y473" s="9">
        <v>44984</v>
      </c>
      <c r="Z473">
        <v>1</v>
      </c>
      <c r="AA473" s="11" t="s">
        <v>594</v>
      </c>
    </row>
    <row r="474" spans="2:27" ht="16" x14ac:dyDescent="0.2">
      <c r="B474" t="s">
        <v>35</v>
      </c>
      <c r="C474">
        <v>40361719</v>
      </c>
      <c r="D474" t="s">
        <v>423</v>
      </c>
      <c r="E474">
        <v>1011127</v>
      </c>
      <c r="F474" t="s">
        <v>228</v>
      </c>
      <c r="G474" s="9">
        <v>44961</v>
      </c>
      <c r="H474" s="7"/>
      <c r="I474" s="7"/>
      <c r="J474" s="7"/>
      <c r="K474" s="7"/>
      <c r="L474" s="10">
        <v>5.4496124031007751</v>
      </c>
      <c r="M474" s="9">
        <v>44966</v>
      </c>
      <c r="N474" s="10">
        <v>10</v>
      </c>
      <c r="O474" s="9">
        <v>44976</v>
      </c>
      <c r="P474">
        <v>8</v>
      </c>
      <c r="Q474" s="11" t="s">
        <v>49</v>
      </c>
      <c r="R474" s="7"/>
      <c r="S474" s="7"/>
      <c r="T474" s="7"/>
      <c r="U474" s="7"/>
      <c r="V474" s="10">
        <v>7.4496124031007751</v>
      </c>
      <c r="W474" s="9">
        <v>44968</v>
      </c>
      <c r="X474" s="10">
        <v>12</v>
      </c>
      <c r="Y474" s="9">
        <v>44976</v>
      </c>
      <c r="Z474">
        <v>8</v>
      </c>
      <c r="AA474" s="11" t="s">
        <v>49</v>
      </c>
    </row>
    <row r="475" spans="2:27" ht="16" x14ac:dyDescent="0.2">
      <c r="B475" t="s">
        <v>35</v>
      </c>
      <c r="C475">
        <v>40361716</v>
      </c>
      <c r="D475" t="s">
        <v>423</v>
      </c>
      <c r="E475">
        <v>1011127</v>
      </c>
      <c r="F475" t="s">
        <v>228</v>
      </c>
      <c r="G475" s="9">
        <v>44956</v>
      </c>
      <c r="H475" s="7"/>
      <c r="I475" s="7"/>
      <c r="J475" s="7"/>
      <c r="K475" s="7"/>
      <c r="L475" s="10">
        <v>5.4496124031007751</v>
      </c>
      <c r="M475" s="9">
        <v>44961</v>
      </c>
      <c r="N475" s="10">
        <v>10</v>
      </c>
      <c r="O475" s="9">
        <v>44971</v>
      </c>
      <c r="P475">
        <v>12</v>
      </c>
      <c r="Q475" s="11" t="s">
        <v>49</v>
      </c>
      <c r="R475" s="7"/>
      <c r="S475" s="7"/>
      <c r="T475" s="7"/>
      <c r="U475" s="7"/>
      <c r="V475" s="10">
        <v>7.4496124031007751</v>
      </c>
      <c r="W475" s="9">
        <v>44963</v>
      </c>
      <c r="X475" s="10">
        <v>12</v>
      </c>
      <c r="Y475" s="9">
        <v>44971</v>
      </c>
      <c r="Z475">
        <v>12</v>
      </c>
      <c r="AA475" s="11" t="s">
        <v>49</v>
      </c>
    </row>
    <row r="476" spans="2:27" ht="16" x14ac:dyDescent="0.2">
      <c r="B476" t="s">
        <v>35</v>
      </c>
      <c r="C476">
        <v>40361714</v>
      </c>
      <c r="D476" t="s">
        <v>423</v>
      </c>
      <c r="E476">
        <v>1011127</v>
      </c>
      <c r="F476" t="s">
        <v>228</v>
      </c>
      <c r="G476" s="9">
        <v>44961</v>
      </c>
      <c r="H476" s="7"/>
      <c r="I476" s="7"/>
      <c r="J476" s="7"/>
      <c r="K476" s="7"/>
      <c r="L476" s="10">
        <v>5.4496124031007751</v>
      </c>
      <c r="M476" s="9">
        <v>44966</v>
      </c>
      <c r="N476" s="10">
        <v>10</v>
      </c>
      <c r="O476" s="9">
        <v>44976</v>
      </c>
      <c r="P476">
        <v>8</v>
      </c>
      <c r="Q476" s="11" t="s">
        <v>49</v>
      </c>
      <c r="R476" s="7"/>
      <c r="S476" s="7"/>
      <c r="T476" s="7"/>
      <c r="U476" s="7"/>
      <c r="V476" s="10">
        <v>7.4496124031007751</v>
      </c>
      <c r="W476" s="9">
        <v>44968</v>
      </c>
      <c r="X476" s="10">
        <v>12</v>
      </c>
      <c r="Y476" s="9">
        <v>44976</v>
      </c>
      <c r="Z476">
        <v>8</v>
      </c>
      <c r="AA476" s="11" t="s">
        <v>49</v>
      </c>
    </row>
    <row r="477" spans="2:27" ht="16" x14ac:dyDescent="0.2">
      <c r="B477" t="s">
        <v>35</v>
      </c>
      <c r="C477">
        <v>40361713</v>
      </c>
      <c r="D477" t="s">
        <v>423</v>
      </c>
      <c r="E477">
        <v>1011127</v>
      </c>
      <c r="F477" t="s">
        <v>228</v>
      </c>
      <c r="G477" s="9">
        <v>44956</v>
      </c>
      <c r="H477" s="7"/>
      <c r="I477" s="7"/>
      <c r="J477" s="7"/>
      <c r="K477" s="7"/>
      <c r="L477" s="10">
        <v>5.4496124031007751</v>
      </c>
      <c r="M477" s="9">
        <v>44961</v>
      </c>
      <c r="N477" s="10">
        <v>10</v>
      </c>
      <c r="O477" s="9">
        <v>44971</v>
      </c>
      <c r="P477">
        <v>12</v>
      </c>
      <c r="Q477" s="11" t="s">
        <v>49</v>
      </c>
      <c r="R477" s="7"/>
      <c r="S477" s="7"/>
      <c r="T477" s="7"/>
      <c r="U477" s="7"/>
      <c r="V477" s="10">
        <v>7.4496124031007751</v>
      </c>
      <c r="W477" s="9">
        <v>44963</v>
      </c>
      <c r="X477" s="10">
        <v>12</v>
      </c>
      <c r="Y477" s="9">
        <v>44971</v>
      </c>
      <c r="Z477">
        <v>12</v>
      </c>
      <c r="AA477" s="11" t="s">
        <v>49</v>
      </c>
    </row>
    <row r="478" spans="2:27" ht="16" x14ac:dyDescent="0.2">
      <c r="B478" t="s">
        <v>35</v>
      </c>
      <c r="C478">
        <v>40361711</v>
      </c>
      <c r="D478" t="s">
        <v>423</v>
      </c>
      <c r="E478">
        <v>1011127</v>
      </c>
      <c r="F478" t="s">
        <v>228</v>
      </c>
      <c r="G478" s="9">
        <v>44961</v>
      </c>
      <c r="H478" s="7"/>
      <c r="I478" s="7"/>
      <c r="J478" s="7"/>
      <c r="K478" s="7"/>
      <c r="L478" s="10">
        <v>5.4496124031007751</v>
      </c>
      <c r="M478" s="9">
        <v>44966</v>
      </c>
      <c r="N478" s="10">
        <v>10</v>
      </c>
      <c r="O478" s="9">
        <v>44976</v>
      </c>
      <c r="P478">
        <v>8</v>
      </c>
      <c r="Q478" s="11" t="s">
        <v>49</v>
      </c>
      <c r="R478" s="7"/>
      <c r="S478" s="7"/>
      <c r="T478" s="7"/>
      <c r="U478" s="7"/>
      <c r="V478" s="10">
        <v>7.4496124031007751</v>
      </c>
      <c r="W478" s="9">
        <v>44968</v>
      </c>
      <c r="X478" s="10">
        <v>12</v>
      </c>
      <c r="Y478" s="9">
        <v>44976</v>
      </c>
      <c r="Z478">
        <v>8</v>
      </c>
      <c r="AA478" s="11" t="s">
        <v>49</v>
      </c>
    </row>
    <row r="479" spans="2:27" ht="16" x14ac:dyDescent="0.2">
      <c r="B479" t="s">
        <v>35</v>
      </c>
      <c r="C479">
        <v>40361710</v>
      </c>
      <c r="D479" t="s">
        <v>423</v>
      </c>
      <c r="E479">
        <v>1011127</v>
      </c>
      <c r="F479" t="s">
        <v>228</v>
      </c>
      <c r="G479" s="9">
        <v>44956</v>
      </c>
      <c r="H479" s="7"/>
      <c r="I479" s="7"/>
      <c r="J479" s="7"/>
      <c r="K479" s="7"/>
      <c r="L479" s="10">
        <v>5.4496124031007751</v>
      </c>
      <c r="M479" s="9">
        <v>44961</v>
      </c>
      <c r="N479" s="10">
        <v>10</v>
      </c>
      <c r="O479" s="9">
        <v>44971</v>
      </c>
      <c r="P479">
        <v>12</v>
      </c>
      <c r="Q479" s="11" t="s">
        <v>49</v>
      </c>
      <c r="R479" s="7"/>
      <c r="S479" s="7"/>
      <c r="T479" s="7"/>
      <c r="U479" s="7"/>
      <c r="V479" s="10">
        <v>7.4496124031007751</v>
      </c>
      <c r="W479" s="9">
        <v>44963</v>
      </c>
      <c r="X479" s="10">
        <v>12</v>
      </c>
      <c r="Y479" s="9">
        <v>44971</v>
      </c>
      <c r="Z479">
        <v>12</v>
      </c>
      <c r="AA479" s="11" t="s">
        <v>49</v>
      </c>
    </row>
    <row r="480" spans="2:27" ht="16" x14ac:dyDescent="0.2">
      <c r="B480" t="s">
        <v>35</v>
      </c>
      <c r="C480">
        <v>40361709</v>
      </c>
      <c r="D480" t="s">
        <v>423</v>
      </c>
      <c r="E480">
        <v>1011127</v>
      </c>
      <c r="F480" t="s">
        <v>228</v>
      </c>
      <c r="G480" s="9">
        <v>44967</v>
      </c>
      <c r="H480" s="7"/>
      <c r="I480" s="7"/>
      <c r="J480" s="7"/>
      <c r="K480" s="7"/>
      <c r="L480" s="10">
        <v>5.4496124031007751</v>
      </c>
      <c r="M480" s="9">
        <v>44972</v>
      </c>
      <c r="N480" s="10">
        <v>10</v>
      </c>
      <c r="O480" s="9">
        <v>44982</v>
      </c>
      <c r="P480">
        <v>2</v>
      </c>
      <c r="Q480" s="11" t="s">
        <v>594</v>
      </c>
      <c r="R480" s="7"/>
      <c r="S480" s="7"/>
      <c r="T480" s="7"/>
      <c r="U480" s="7"/>
      <c r="V480" s="10">
        <v>7.4496124031007751</v>
      </c>
      <c r="W480" s="9">
        <v>44974</v>
      </c>
      <c r="X480" s="10">
        <v>12</v>
      </c>
      <c r="Y480" s="9">
        <v>44982</v>
      </c>
      <c r="Z480">
        <v>2</v>
      </c>
      <c r="AA480" s="11" t="s">
        <v>594</v>
      </c>
    </row>
    <row r="481" spans="2:27" ht="16" x14ac:dyDescent="0.2">
      <c r="B481" t="s">
        <v>35</v>
      </c>
      <c r="C481">
        <v>40361708</v>
      </c>
      <c r="D481" t="s">
        <v>423</v>
      </c>
      <c r="E481">
        <v>1011127</v>
      </c>
      <c r="F481" t="s">
        <v>228</v>
      </c>
      <c r="G481" s="9">
        <v>44960</v>
      </c>
      <c r="H481" s="7"/>
      <c r="I481" s="7"/>
      <c r="J481" s="7"/>
      <c r="K481" s="7"/>
      <c r="L481" s="10">
        <v>5.4496124031007751</v>
      </c>
      <c r="M481" s="9">
        <v>44965</v>
      </c>
      <c r="N481" s="10">
        <v>10</v>
      </c>
      <c r="O481" s="9">
        <v>44975</v>
      </c>
      <c r="P481">
        <v>8</v>
      </c>
      <c r="Q481" s="11" t="s">
        <v>49</v>
      </c>
      <c r="R481" s="7"/>
      <c r="S481" s="7"/>
      <c r="T481" s="7"/>
      <c r="U481" s="7"/>
      <c r="V481" s="10">
        <v>7.4496124031007751</v>
      </c>
      <c r="W481" s="9">
        <v>44967</v>
      </c>
      <c r="X481" s="10">
        <v>12</v>
      </c>
      <c r="Y481" s="9">
        <v>44975</v>
      </c>
      <c r="Z481">
        <v>8</v>
      </c>
      <c r="AA481" s="11" t="s">
        <v>49</v>
      </c>
    </row>
    <row r="482" spans="2:27" ht="16" x14ac:dyDescent="0.2">
      <c r="B482" t="s">
        <v>35</v>
      </c>
      <c r="C482">
        <v>40361707</v>
      </c>
      <c r="D482" t="s">
        <v>423</v>
      </c>
      <c r="E482">
        <v>1011127</v>
      </c>
      <c r="F482" t="s">
        <v>228</v>
      </c>
      <c r="G482" s="9">
        <v>44956</v>
      </c>
      <c r="H482" s="7"/>
      <c r="I482" s="7"/>
      <c r="J482" s="7"/>
      <c r="K482" s="7"/>
      <c r="L482" s="10">
        <v>5.4496124031007751</v>
      </c>
      <c r="M482" s="9">
        <v>44961</v>
      </c>
      <c r="N482" s="10">
        <v>10</v>
      </c>
      <c r="O482" s="9">
        <v>44971</v>
      </c>
      <c r="P482">
        <v>12</v>
      </c>
      <c r="Q482" s="11" t="s">
        <v>49</v>
      </c>
      <c r="R482" s="7"/>
      <c r="S482" s="7"/>
      <c r="T482" s="7"/>
      <c r="U482" s="7"/>
      <c r="V482" s="10">
        <v>7.4496124031007751</v>
      </c>
      <c r="W482" s="9">
        <v>44963</v>
      </c>
      <c r="X482" s="10">
        <v>12</v>
      </c>
      <c r="Y482" s="9">
        <v>44971</v>
      </c>
      <c r="Z482">
        <v>12</v>
      </c>
      <c r="AA482" s="11" t="s">
        <v>49</v>
      </c>
    </row>
    <row r="483" spans="2:27" ht="16" x14ac:dyDescent="0.2">
      <c r="B483" t="s">
        <v>35</v>
      </c>
      <c r="C483">
        <v>40361706</v>
      </c>
      <c r="D483" t="s">
        <v>423</v>
      </c>
      <c r="E483">
        <v>1011127</v>
      </c>
      <c r="F483" t="s">
        <v>228</v>
      </c>
      <c r="G483" s="9">
        <v>44967</v>
      </c>
      <c r="H483" s="7"/>
      <c r="I483" s="7"/>
      <c r="J483" s="7"/>
      <c r="K483" s="7"/>
      <c r="L483" s="10">
        <v>5.4496124031007751</v>
      </c>
      <c r="M483" s="9">
        <v>44972</v>
      </c>
      <c r="N483" s="10">
        <v>10</v>
      </c>
      <c r="O483" s="9">
        <v>44982</v>
      </c>
      <c r="P483">
        <v>2</v>
      </c>
      <c r="Q483" s="11" t="s">
        <v>594</v>
      </c>
      <c r="R483" s="7"/>
      <c r="S483" s="7"/>
      <c r="T483" s="7"/>
      <c r="U483" s="7"/>
      <c r="V483" s="10">
        <v>7.4496124031007751</v>
      </c>
      <c r="W483" s="9">
        <v>44974</v>
      </c>
      <c r="X483" s="10">
        <v>12</v>
      </c>
      <c r="Y483" s="9">
        <v>44982</v>
      </c>
      <c r="Z483">
        <v>2</v>
      </c>
      <c r="AA483" s="11" t="s">
        <v>594</v>
      </c>
    </row>
    <row r="484" spans="2:27" ht="16" x14ac:dyDescent="0.2">
      <c r="B484" t="s">
        <v>35</v>
      </c>
      <c r="C484">
        <v>40361705</v>
      </c>
      <c r="D484" t="s">
        <v>423</v>
      </c>
      <c r="E484">
        <v>1011127</v>
      </c>
      <c r="F484" t="s">
        <v>228</v>
      </c>
      <c r="G484" s="9">
        <v>44961</v>
      </c>
      <c r="H484" s="7"/>
      <c r="I484" s="7"/>
      <c r="J484" s="7"/>
      <c r="K484" s="7"/>
      <c r="L484" s="10">
        <v>5.4496124031007751</v>
      </c>
      <c r="M484" s="9">
        <v>44966</v>
      </c>
      <c r="N484" s="10">
        <v>10</v>
      </c>
      <c r="O484" s="9">
        <v>44976</v>
      </c>
      <c r="P484">
        <v>8</v>
      </c>
      <c r="Q484" s="11" t="s">
        <v>49</v>
      </c>
      <c r="R484" s="7"/>
      <c r="S484" s="7"/>
      <c r="T484" s="7"/>
      <c r="U484" s="7"/>
      <c r="V484" s="10">
        <v>7.4496124031007751</v>
      </c>
      <c r="W484" s="9">
        <v>44968</v>
      </c>
      <c r="X484" s="10">
        <v>12</v>
      </c>
      <c r="Y484" s="9">
        <v>44976</v>
      </c>
      <c r="Z484">
        <v>8</v>
      </c>
      <c r="AA484" s="11" t="s">
        <v>49</v>
      </c>
    </row>
    <row r="485" spans="2:27" ht="16" x14ac:dyDescent="0.2">
      <c r="B485" t="s">
        <v>35</v>
      </c>
      <c r="C485">
        <v>40361703</v>
      </c>
      <c r="D485" t="s">
        <v>423</v>
      </c>
      <c r="E485">
        <v>1011127</v>
      </c>
      <c r="F485" t="s">
        <v>228</v>
      </c>
      <c r="G485" s="9">
        <v>44956</v>
      </c>
      <c r="H485" s="7"/>
      <c r="I485" s="7"/>
      <c r="J485" s="7"/>
      <c r="K485" s="7"/>
      <c r="L485" s="10">
        <v>5.4496124031007751</v>
      </c>
      <c r="M485" s="9">
        <v>44961</v>
      </c>
      <c r="N485" s="10">
        <v>10</v>
      </c>
      <c r="O485" s="9">
        <v>44971</v>
      </c>
      <c r="P485">
        <v>12</v>
      </c>
      <c r="Q485" s="11" t="s">
        <v>49</v>
      </c>
      <c r="R485" s="7"/>
      <c r="S485" s="7"/>
      <c r="T485" s="7"/>
      <c r="U485" s="7"/>
      <c r="V485" s="10">
        <v>7.4496124031007751</v>
      </c>
      <c r="W485" s="9">
        <v>44963</v>
      </c>
      <c r="X485" s="10">
        <v>12</v>
      </c>
      <c r="Y485" s="9">
        <v>44971</v>
      </c>
      <c r="Z485">
        <v>12</v>
      </c>
      <c r="AA485" s="11" t="s">
        <v>49</v>
      </c>
    </row>
    <row r="486" spans="2:27" ht="16" x14ac:dyDescent="0.2">
      <c r="B486" t="s">
        <v>35</v>
      </c>
      <c r="C486">
        <v>40361702</v>
      </c>
      <c r="D486" t="s">
        <v>423</v>
      </c>
      <c r="E486">
        <v>1011127</v>
      </c>
      <c r="F486" t="s">
        <v>228</v>
      </c>
      <c r="G486" s="9">
        <v>44967</v>
      </c>
      <c r="H486" s="7"/>
      <c r="I486" s="7"/>
      <c r="J486" s="7"/>
      <c r="K486" s="7"/>
      <c r="L486" s="10">
        <v>5.4496124031007751</v>
      </c>
      <c r="M486" s="9">
        <v>44972</v>
      </c>
      <c r="N486" s="10">
        <v>10</v>
      </c>
      <c r="O486" s="9">
        <v>44982</v>
      </c>
      <c r="P486">
        <v>2</v>
      </c>
      <c r="Q486" s="11" t="s">
        <v>594</v>
      </c>
      <c r="R486" s="7"/>
      <c r="S486" s="7"/>
      <c r="T486" s="7"/>
      <c r="U486" s="7"/>
      <c r="V486" s="10">
        <v>7.4496124031007751</v>
      </c>
      <c r="W486" s="9">
        <v>44974</v>
      </c>
      <c r="X486" s="10">
        <v>12</v>
      </c>
      <c r="Y486" s="9">
        <v>44982</v>
      </c>
      <c r="Z486">
        <v>2</v>
      </c>
      <c r="AA486" s="11" t="s">
        <v>594</v>
      </c>
    </row>
    <row r="487" spans="2:27" ht="16" x14ac:dyDescent="0.2">
      <c r="B487" t="s">
        <v>35</v>
      </c>
      <c r="C487">
        <v>40361701</v>
      </c>
      <c r="D487" t="s">
        <v>423</v>
      </c>
      <c r="E487">
        <v>1011127</v>
      </c>
      <c r="F487" t="s">
        <v>228</v>
      </c>
      <c r="G487" s="9">
        <v>44961</v>
      </c>
      <c r="H487" s="7"/>
      <c r="I487" s="7"/>
      <c r="J487" s="7"/>
      <c r="K487" s="7"/>
      <c r="L487" s="10">
        <v>5.4496124031007751</v>
      </c>
      <c r="M487" s="9">
        <v>44966</v>
      </c>
      <c r="N487" s="10">
        <v>10</v>
      </c>
      <c r="O487" s="9">
        <v>44976</v>
      </c>
      <c r="P487">
        <v>8</v>
      </c>
      <c r="Q487" s="11" t="s">
        <v>49</v>
      </c>
      <c r="R487" s="7"/>
      <c r="S487" s="7"/>
      <c r="T487" s="7"/>
      <c r="U487" s="7"/>
      <c r="V487" s="10">
        <v>7.4496124031007751</v>
      </c>
      <c r="W487" s="9">
        <v>44968</v>
      </c>
      <c r="X487" s="10">
        <v>12</v>
      </c>
      <c r="Y487" s="9">
        <v>44976</v>
      </c>
      <c r="Z487">
        <v>8</v>
      </c>
      <c r="AA487" s="11" t="s">
        <v>49</v>
      </c>
    </row>
    <row r="488" spans="2:27" ht="16" x14ac:dyDescent="0.2">
      <c r="B488" t="s">
        <v>35</v>
      </c>
      <c r="C488">
        <v>40361700</v>
      </c>
      <c r="D488" t="s">
        <v>423</v>
      </c>
      <c r="E488">
        <v>1011127</v>
      </c>
      <c r="F488" t="s">
        <v>228</v>
      </c>
      <c r="G488" s="9">
        <v>44956</v>
      </c>
      <c r="H488" s="7"/>
      <c r="I488" s="7"/>
      <c r="J488" s="7"/>
      <c r="K488" s="7"/>
      <c r="L488" s="10">
        <v>5.4496124031007751</v>
      </c>
      <c r="M488" s="9">
        <v>44961</v>
      </c>
      <c r="N488" s="10">
        <v>10</v>
      </c>
      <c r="O488" s="9">
        <v>44971</v>
      </c>
      <c r="P488">
        <v>12</v>
      </c>
      <c r="Q488" s="11" t="s">
        <v>49</v>
      </c>
      <c r="R488" s="7"/>
      <c r="S488" s="7"/>
      <c r="T488" s="7"/>
      <c r="U488" s="7"/>
      <c r="V488" s="10">
        <v>7.4496124031007751</v>
      </c>
      <c r="W488" s="9">
        <v>44963</v>
      </c>
      <c r="X488" s="10">
        <v>12</v>
      </c>
      <c r="Y488" s="9">
        <v>44971</v>
      </c>
      <c r="Z488">
        <v>12</v>
      </c>
      <c r="AA488" s="11" t="s">
        <v>49</v>
      </c>
    </row>
    <row r="489" spans="2:27" ht="16" x14ac:dyDescent="0.2">
      <c r="B489" t="s">
        <v>35</v>
      </c>
      <c r="C489">
        <v>40361699</v>
      </c>
      <c r="D489" t="s">
        <v>423</v>
      </c>
      <c r="E489">
        <v>1011127</v>
      </c>
      <c r="F489" t="s">
        <v>228</v>
      </c>
      <c r="G489" s="9">
        <v>44969</v>
      </c>
      <c r="H489" s="7"/>
      <c r="I489" s="7"/>
      <c r="J489" s="7"/>
      <c r="K489" s="7"/>
      <c r="L489" s="10">
        <v>5.4496124031007751</v>
      </c>
      <c r="M489" s="9">
        <v>44974</v>
      </c>
      <c r="N489" s="10">
        <v>10</v>
      </c>
      <c r="O489" s="9">
        <v>44984</v>
      </c>
      <c r="P489">
        <v>1</v>
      </c>
      <c r="Q489" s="11" t="s">
        <v>594</v>
      </c>
      <c r="R489" s="7"/>
      <c r="S489" s="7"/>
      <c r="T489" s="7"/>
      <c r="U489" s="7"/>
      <c r="V489" s="10">
        <v>7.4496124031007751</v>
      </c>
      <c r="W489" s="9">
        <v>44976</v>
      </c>
      <c r="X489" s="10">
        <v>12</v>
      </c>
      <c r="Y489" s="9">
        <v>44984</v>
      </c>
      <c r="Z489">
        <v>1</v>
      </c>
      <c r="AA489" s="11" t="s">
        <v>594</v>
      </c>
    </row>
    <row r="490" spans="2:27" ht="16" x14ac:dyDescent="0.2">
      <c r="B490" t="s">
        <v>35</v>
      </c>
      <c r="C490">
        <v>40361698</v>
      </c>
      <c r="D490" t="s">
        <v>423</v>
      </c>
      <c r="E490">
        <v>1011127</v>
      </c>
      <c r="F490" t="s">
        <v>228</v>
      </c>
      <c r="G490" s="9">
        <v>44969</v>
      </c>
      <c r="H490" s="7"/>
      <c r="I490" s="7"/>
      <c r="J490" s="7"/>
      <c r="K490" s="7"/>
      <c r="L490" s="10">
        <v>5.4496124031007751</v>
      </c>
      <c r="M490" s="9">
        <v>44974</v>
      </c>
      <c r="N490" s="10">
        <v>10</v>
      </c>
      <c r="O490" s="9">
        <v>44984</v>
      </c>
      <c r="P490">
        <v>1</v>
      </c>
      <c r="Q490" s="11" t="s">
        <v>594</v>
      </c>
      <c r="R490" s="7"/>
      <c r="S490" s="7"/>
      <c r="T490" s="7"/>
      <c r="U490" s="7"/>
      <c r="V490" s="10">
        <v>7.4496124031007751</v>
      </c>
      <c r="W490" s="9">
        <v>44976</v>
      </c>
      <c r="X490" s="10">
        <v>12</v>
      </c>
      <c r="Y490" s="9">
        <v>44984</v>
      </c>
      <c r="Z490">
        <v>1</v>
      </c>
      <c r="AA490" s="11" t="s">
        <v>594</v>
      </c>
    </row>
    <row r="491" spans="2:27" ht="16" x14ac:dyDescent="0.2">
      <c r="B491" t="s">
        <v>35</v>
      </c>
      <c r="C491">
        <v>40361637</v>
      </c>
      <c r="D491" t="s">
        <v>423</v>
      </c>
      <c r="E491">
        <v>1011151</v>
      </c>
      <c r="F491" t="s">
        <v>152</v>
      </c>
      <c r="G491" s="9">
        <v>44969</v>
      </c>
      <c r="H491" s="7"/>
      <c r="I491" s="7"/>
      <c r="J491" s="7"/>
      <c r="K491" s="7"/>
      <c r="L491" s="10">
        <v>5.4496124031007751</v>
      </c>
      <c r="M491" s="9">
        <v>44974</v>
      </c>
      <c r="N491" s="10">
        <v>10</v>
      </c>
      <c r="O491" s="9">
        <v>44984</v>
      </c>
      <c r="P491">
        <v>1</v>
      </c>
      <c r="Q491" s="11" t="s">
        <v>594</v>
      </c>
      <c r="R491" s="7"/>
      <c r="S491" s="7"/>
      <c r="T491" s="7"/>
      <c r="U491" s="7"/>
      <c r="V491" s="10">
        <v>7.4496124031007751</v>
      </c>
      <c r="W491" s="9">
        <v>44976</v>
      </c>
      <c r="X491" s="10">
        <v>12</v>
      </c>
      <c r="Y491" s="9">
        <v>44984</v>
      </c>
      <c r="Z491">
        <v>1</v>
      </c>
      <c r="AA491" s="11" t="s">
        <v>594</v>
      </c>
    </row>
    <row r="492" spans="2:27" ht="16" x14ac:dyDescent="0.2">
      <c r="B492" t="s">
        <v>35</v>
      </c>
      <c r="C492">
        <v>40361632</v>
      </c>
      <c r="D492" t="s">
        <v>423</v>
      </c>
      <c r="E492">
        <v>1012278</v>
      </c>
      <c r="F492" t="s">
        <v>230</v>
      </c>
      <c r="G492" s="9">
        <v>44967</v>
      </c>
      <c r="H492" s="7"/>
      <c r="I492" s="7"/>
      <c r="J492" s="7"/>
      <c r="K492" s="7"/>
      <c r="L492" s="10">
        <v>5.4496124031007751</v>
      </c>
      <c r="M492" s="9">
        <v>44972</v>
      </c>
      <c r="N492" s="10">
        <v>10</v>
      </c>
      <c r="O492" s="9">
        <v>44982</v>
      </c>
      <c r="P492">
        <v>2</v>
      </c>
      <c r="Q492" s="11" t="s">
        <v>594</v>
      </c>
      <c r="R492" s="7"/>
      <c r="S492" s="7"/>
      <c r="T492" s="7"/>
      <c r="U492" s="7"/>
      <c r="V492" s="10">
        <v>7.4496124031007751</v>
      </c>
      <c r="W492" s="9">
        <v>44974</v>
      </c>
      <c r="X492" s="10">
        <v>12</v>
      </c>
      <c r="Y492" s="9">
        <v>44982</v>
      </c>
      <c r="Z492">
        <v>2</v>
      </c>
      <c r="AA492" s="11" t="s">
        <v>594</v>
      </c>
    </row>
    <row r="493" spans="2:27" ht="16" x14ac:dyDescent="0.2">
      <c r="B493" t="s">
        <v>35</v>
      </c>
      <c r="C493">
        <v>40361627</v>
      </c>
      <c r="D493" t="s">
        <v>423</v>
      </c>
      <c r="E493">
        <v>1012278</v>
      </c>
      <c r="F493" t="s">
        <v>230</v>
      </c>
      <c r="G493" s="9">
        <v>44961</v>
      </c>
      <c r="H493" s="7"/>
      <c r="I493" s="7"/>
      <c r="J493" s="7"/>
      <c r="K493" s="7"/>
      <c r="L493" s="10">
        <v>5.4496124031007751</v>
      </c>
      <c r="M493" s="9">
        <v>44966</v>
      </c>
      <c r="N493" s="10">
        <v>10</v>
      </c>
      <c r="O493" s="9">
        <v>44976</v>
      </c>
      <c r="P493">
        <v>8</v>
      </c>
      <c r="Q493" s="11" t="s">
        <v>49</v>
      </c>
      <c r="R493" s="7"/>
      <c r="S493" s="7"/>
      <c r="T493" s="7"/>
      <c r="U493" s="7"/>
      <c r="V493" s="10">
        <v>7.4496124031007751</v>
      </c>
      <c r="W493" s="9">
        <v>44968</v>
      </c>
      <c r="X493" s="10">
        <v>12</v>
      </c>
      <c r="Y493" s="9">
        <v>44976</v>
      </c>
      <c r="Z493">
        <v>8</v>
      </c>
      <c r="AA493" s="11" t="s">
        <v>49</v>
      </c>
    </row>
    <row r="494" spans="2:27" ht="16" x14ac:dyDescent="0.2">
      <c r="B494" t="s">
        <v>35</v>
      </c>
      <c r="C494">
        <v>40361622</v>
      </c>
      <c r="D494" t="s">
        <v>423</v>
      </c>
      <c r="E494">
        <v>1012278</v>
      </c>
      <c r="F494" t="s">
        <v>230</v>
      </c>
      <c r="G494" s="9">
        <v>44961</v>
      </c>
      <c r="H494" s="7"/>
      <c r="I494" s="7"/>
      <c r="J494" s="7"/>
      <c r="K494" s="7"/>
      <c r="L494" s="10">
        <v>5.4496124031007751</v>
      </c>
      <c r="M494" s="9">
        <v>44966</v>
      </c>
      <c r="N494" s="10">
        <v>10</v>
      </c>
      <c r="O494" s="9">
        <v>44976</v>
      </c>
      <c r="P494">
        <v>8</v>
      </c>
      <c r="Q494" s="11" t="s">
        <v>49</v>
      </c>
      <c r="R494" s="7"/>
      <c r="S494" s="7"/>
      <c r="T494" s="7"/>
      <c r="U494" s="7"/>
      <c r="V494" s="10">
        <v>7.4496124031007751</v>
      </c>
      <c r="W494" s="9">
        <v>44968</v>
      </c>
      <c r="X494" s="10">
        <v>12</v>
      </c>
      <c r="Y494" s="9">
        <v>44976</v>
      </c>
      <c r="Z494">
        <v>8</v>
      </c>
      <c r="AA494" s="11" t="s">
        <v>49</v>
      </c>
    </row>
    <row r="495" spans="2:27" ht="16" x14ac:dyDescent="0.2">
      <c r="B495" t="s">
        <v>35</v>
      </c>
      <c r="C495">
        <v>40361470</v>
      </c>
      <c r="D495" t="s">
        <v>386</v>
      </c>
      <c r="E495">
        <v>1012745</v>
      </c>
      <c r="F495" t="s">
        <v>425</v>
      </c>
      <c r="G495" s="9">
        <v>44983</v>
      </c>
      <c r="H495" s="7">
        <v>7400.87</v>
      </c>
      <c r="I495" s="7"/>
      <c r="J495" s="7"/>
      <c r="K495" s="7"/>
      <c r="L495" s="10">
        <v>5.1420118343195256</v>
      </c>
      <c r="M495" s="9">
        <v>44988</v>
      </c>
      <c r="N495" s="10">
        <v>7.5</v>
      </c>
      <c r="O495" s="9">
        <v>44995</v>
      </c>
      <c r="P495">
        <v>18</v>
      </c>
      <c r="Q495" s="11" t="s">
        <v>49</v>
      </c>
      <c r="R495" s="7">
        <v>7400.87</v>
      </c>
      <c r="S495" s="7"/>
      <c r="T495" s="7"/>
      <c r="U495" s="7"/>
      <c r="V495" s="10">
        <v>7.1420118343195256</v>
      </c>
      <c r="W495" s="9">
        <v>44990</v>
      </c>
      <c r="X495" s="10">
        <v>9.5</v>
      </c>
      <c r="Y495" s="9">
        <v>44995</v>
      </c>
      <c r="Z495">
        <v>18</v>
      </c>
      <c r="AA495" s="11" t="s">
        <v>49</v>
      </c>
    </row>
    <row r="496" spans="2:27" ht="16" x14ac:dyDescent="0.2">
      <c r="B496" t="s">
        <v>35</v>
      </c>
      <c r="C496">
        <v>40361470</v>
      </c>
      <c r="D496" t="s">
        <v>386</v>
      </c>
      <c r="E496">
        <v>1012730</v>
      </c>
      <c r="F496" t="s">
        <v>426</v>
      </c>
      <c r="G496" s="9">
        <v>44983</v>
      </c>
      <c r="H496" s="7">
        <v>7023.58</v>
      </c>
      <c r="I496" s="7"/>
      <c r="J496" s="7"/>
      <c r="K496" s="7"/>
      <c r="L496" s="10">
        <v>5.1420118343195256</v>
      </c>
      <c r="M496" s="9">
        <v>44988</v>
      </c>
      <c r="N496" s="10">
        <v>7.5</v>
      </c>
      <c r="O496" s="9">
        <v>44995</v>
      </c>
      <c r="P496">
        <v>18</v>
      </c>
      <c r="Q496" s="11" t="s">
        <v>49</v>
      </c>
      <c r="R496" s="7">
        <v>7023.58</v>
      </c>
      <c r="S496" s="7"/>
      <c r="T496" s="7"/>
      <c r="U496" s="7"/>
      <c r="V496" s="10">
        <v>7.1420118343195256</v>
      </c>
      <c r="W496" s="9">
        <v>44990</v>
      </c>
      <c r="X496" s="10">
        <v>9.5</v>
      </c>
      <c r="Y496" s="9">
        <v>44995</v>
      </c>
      <c r="Z496">
        <v>18</v>
      </c>
      <c r="AA496" s="11" t="s">
        <v>49</v>
      </c>
    </row>
    <row r="497" spans="2:27" ht="16" x14ac:dyDescent="0.2">
      <c r="B497" t="s">
        <v>35</v>
      </c>
      <c r="C497">
        <v>40361470</v>
      </c>
      <c r="D497" t="s">
        <v>386</v>
      </c>
      <c r="E497">
        <v>1012724</v>
      </c>
      <c r="F497" t="s">
        <v>427</v>
      </c>
      <c r="G497" s="9">
        <v>44983</v>
      </c>
      <c r="H497" s="7">
        <v>7446.27</v>
      </c>
      <c r="I497" s="7"/>
      <c r="J497" s="7"/>
      <c r="K497" s="7"/>
      <c r="L497" s="10">
        <v>5.1420118343195256</v>
      </c>
      <c r="M497" s="9">
        <v>44988</v>
      </c>
      <c r="N497" s="10">
        <v>7.5</v>
      </c>
      <c r="O497" s="9">
        <v>44995</v>
      </c>
      <c r="P497">
        <v>18</v>
      </c>
      <c r="Q497" s="11" t="s">
        <v>49</v>
      </c>
      <c r="R497" s="7">
        <v>7446.27</v>
      </c>
      <c r="S497" s="7"/>
      <c r="T497" s="7"/>
      <c r="U497" s="7"/>
      <c r="V497" s="10">
        <v>7.1420118343195256</v>
      </c>
      <c r="W497" s="9">
        <v>44990</v>
      </c>
      <c r="X497" s="10">
        <v>9.5</v>
      </c>
      <c r="Y497" s="9">
        <v>44995</v>
      </c>
      <c r="Z497">
        <v>18</v>
      </c>
      <c r="AA497" s="11" t="s">
        <v>49</v>
      </c>
    </row>
    <row r="498" spans="2:27" x14ac:dyDescent="0.2">
      <c r="B498" t="s">
        <v>394</v>
      </c>
      <c r="C498">
        <v>40361468</v>
      </c>
      <c r="D498" t="s">
        <v>485</v>
      </c>
      <c r="E498">
        <v>1021976</v>
      </c>
      <c r="F498" t="s">
        <v>512</v>
      </c>
      <c r="G498" s="9">
        <v>44969</v>
      </c>
      <c r="H498" s="7"/>
      <c r="I498" s="7"/>
      <c r="J498" s="7"/>
      <c r="K498" s="7"/>
      <c r="L498" s="10"/>
      <c r="N498" s="10"/>
      <c r="Q498" s="11"/>
      <c r="R498" s="7"/>
      <c r="S498" s="7"/>
      <c r="T498" s="7"/>
      <c r="U498" s="7"/>
      <c r="V498" s="10"/>
      <c r="X498" s="10"/>
      <c r="AA498" s="11"/>
    </row>
    <row r="499" spans="2:27" ht="16" x14ac:dyDescent="0.2">
      <c r="B499" t="s">
        <v>35</v>
      </c>
      <c r="C499">
        <v>40361461</v>
      </c>
      <c r="D499" t="s">
        <v>386</v>
      </c>
      <c r="E499">
        <v>1022858</v>
      </c>
      <c r="F499" t="s">
        <v>428</v>
      </c>
      <c r="G499" s="9">
        <v>44976</v>
      </c>
      <c r="H499" s="7">
        <v>20005.73</v>
      </c>
      <c r="I499" s="7"/>
      <c r="J499" s="7"/>
      <c r="K499" s="7"/>
      <c r="L499" s="10">
        <v>5.1420118343195256</v>
      </c>
      <c r="M499" s="9">
        <v>44981</v>
      </c>
      <c r="N499" s="10">
        <v>7.5</v>
      </c>
      <c r="O499" s="9">
        <v>44988</v>
      </c>
      <c r="P499">
        <v>24</v>
      </c>
      <c r="Q499" s="11" t="s">
        <v>49</v>
      </c>
      <c r="R499" s="7">
        <v>20005.73</v>
      </c>
      <c r="S499" s="7"/>
      <c r="T499" s="7"/>
      <c r="U499" s="7"/>
      <c r="V499" s="10">
        <v>7.1420118343195256</v>
      </c>
      <c r="W499" s="9">
        <v>44983</v>
      </c>
      <c r="X499" s="10">
        <v>9.5</v>
      </c>
      <c r="Y499" s="9">
        <v>44988</v>
      </c>
      <c r="Z499">
        <v>24</v>
      </c>
      <c r="AA499" s="11" t="s">
        <v>49</v>
      </c>
    </row>
    <row r="500" spans="2:27" ht="16" x14ac:dyDescent="0.2">
      <c r="B500" t="s">
        <v>35</v>
      </c>
      <c r="C500">
        <v>40361439</v>
      </c>
      <c r="D500" t="s">
        <v>386</v>
      </c>
      <c r="E500">
        <v>1020853</v>
      </c>
      <c r="F500" t="s">
        <v>262</v>
      </c>
      <c r="G500" s="9">
        <v>44983</v>
      </c>
      <c r="H500" s="7">
        <v>20000</v>
      </c>
      <c r="I500" s="7"/>
      <c r="J500" s="7"/>
      <c r="K500" s="7"/>
      <c r="L500" s="10">
        <v>5.1420118343195256</v>
      </c>
      <c r="M500" s="9">
        <v>44988</v>
      </c>
      <c r="N500" s="10">
        <v>7.5</v>
      </c>
      <c r="O500" s="9">
        <v>44995</v>
      </c>
      <c r="P500">
        <v>18</v>
      </c>
      <c r="Q500" s="11" t="s">
        <v>49</v>
      </c>
      <c r="R500" s="7">
        <v>20000</v>
      </c>
      <c r="S500" s="7"/>
      <c r="T500" s="7"/>
      <c r="U500" s="7"/>
      <c r="V500" s="10">
        <v>7.1420118343195256</v>
      </c>
      <c r="W500" s="9">
        <v>44990</v>
      </c>
      <c r="X500" s="10">
        <v>9.5</v>
      </c>
      <c r="Y500" s="9">
        <v>44995</v>
      </c>
      <c r="Z500">
        <v>18</v>
      </c>
      <c r="AA500" s="11" t="s">
        <v>49</v>
      </c>
    </row>
    <row r="501" spans="2:27" ht="16" x14ac:dyDescent="0.2">
      <c r="B501" t="s">
        <v>35</v>
      </c>
      <c r="C501">
        <v>40361438</v>
      </c>
      <c r="D501" t="s">
        <v>386</v>
      </c>
      <c r="E501">
        <v>1020853</v>
      </c>
      <c r="F501" t="s">
        <v>262</v>
      </c>
      <c r="G501" s="9">
        <v>44976</v>
      </c>
      <c r="H501" s="7">
        <v>20000</v>
      </c>
      <c r="I501" s="7"/>
      <c r="J501" s="7"/>
      <c r="K501" s="7"/>
      <c r="L501" s="10">
        <v>5.1420118343195256</v>
      </c>
      <c r="M501" s="9">
        <v>44981</v>
      </c>
      <c r="N501" s="10">
        <v>7.5</v>
      </c>
      <c r="O501" s="9">
        <v>44988</v>
      </c>
      <c r="P501">
        <v>24</v>
      </c>
      <c r="Q501" s="11" t="s">
        <v>49</v>
      </c>
      <c r="R501" s="7">
        <v>20000</v>
      </c>
      <c r="S501" s="7"/>
      <c r="T501" s="7"/>
      <c r="U501" s="7"/>
      <c r="V501" s="10">
        <v>7.1420118343195256</v>
      </c>
      <c r="W501" s="9">
        <v>44983</v>
      </c>
      <c r="X501" s="10">
        <v>9.5</v>
      </c>
      <c r="Y501" s="9">
        <v>44988</v>
      </c>
      <c r="Z501">
        <v>24</v>
      </c>
      <c r="AA501" s="11" t="s">
        <v>49</v>
      </c>
    </row>
    <row r="502" spans="2:27" x14ac:dyDescent="0.2">
      <c r="B502" t="s">
        <v>394</v>
      </c>
      <c r="C502">
        <v>40361424</v>
      </c>
      <c r="D502" t="s">
        <v>485</v>
      </c>
      <c r="E502">
        <v>1020944</v>
      </c>
      <c r="F502" t="s">
        <v>498</v>
      </c>
      <c r="G502" s="9">
        <v>44969</v>
      </c>
      <c r="H502" s="7"/>
      <c r="I502" s="7"/>
      <c r="J502" s="7"/>
      <c r="K502" s="7"/>
      <c r="L502" s="10"/>
      <c r="N502" s="10"/>
      <c r="Q502" s="11"/>
      <c r="R502" s="7"/>
      <c r="S502" s="7"/>
      <c r="T502" s="7"/>
      <c r="U502" s="7"/>
      <c r="V502" s="10"/>
      <c r="X502" s="10"/>
      <c r="AA502" s="11"/>
    </row>
    <row r="503" spans="2:27" x14ac:dyDescent="0.2">
      <c r="B503" t="s">
        <v>394</v>
      </c>
      <c r="C503">
        <v>40361418</v>
      </c>
      <c r="D503" t="s">
        <v>485</v>
      </c>
      <c r="E503">
        <v>1021105</v>
      </c>
      <c r="F503" t="s">
        <v>499</v>
      </c>
      <c r="G503" s="9">
        <v>44969</v>
      </c>
      <c r="H503" s="7"/>
      <c r="I503" s="7"/>
      <c r="J503" s="7"/>
      <c r="K503" s="7"/>
      <c r="L503" s="10"/>
      <c r="N503" s="10"/>
      <c r="Q503" s="11"/>
      <c r="R503" s="7"/>
      <c r="S503" s="7"/>
      <c r="T503" s="7"/>
      <c r="U503" s="7"/>
      <c r="V503" s="10"/>
      <c r="X503" s="10"/>
      <c r="AA503" s="11"/>
    </row>
    <row r="504" spans="2:27" x14ac:dyDescent="0.2">
      <c r="B504" t="s">
        <v>394</v>
      </c>
      <c r="C504">
        <v>40361260</v>
      </c>
      <c r="D504" t="s">
        <v>485</v>
      </c>
      <c r="E504">
        <v>1020352</v>
      </c>
      <c r="F504" t="s">
        <v>600</v>
      </c>
      <c r="G504" s="9">
        <v>44963</v>
      </c>
      <c r="H504" s="7"/>
      <c r="I504" s="7"/>
      <c r="J504" s="7"/>
      <c r="K504" s="7"/>
      <c r="L504" s="10"/>
      <c r="N504" s="10"/>
      <c r="Q504" s="11"/>
      <c r="R504" s="7"/>
      <c r="S504" s="7"/>
      <c r="T504" s="7"/>
      <c r="U504" s="7"/>
      <c r="V504" s="10"/>
      <c r="X504" s="10"/>
      <c r="AA504" s="11"/>
    </row>
    <row r="505" spans="2:27" ht="16" x14ac:dyDescent="0.2">
      <c r="B505" t="s">
        <v>35</v>
      </c>
      <c r="C505">
        <v>40361253</v>
      </c>
      <c r="D505" t="s">
        <v>409</v>
      </c>
      <c r="E505">
        <v>1030379</v>
      </c>
      <c r="F505" t="s">
        <v>97</v>
      </c>
      <c r="G505" s="9">
        <v>44972</v>
      </c>
      <c r="H505" s="7">
        <v>24022.232319999999</v>
      </c>
      <c r="I505" s="7"/>
      <c r="J505" s="7"/>
      <c r="K505" s="7"/>
      <c r="L505" s="10">
        <v>7.5</v>
      </c>
      <c r="M505" s="9">
        <v>44979</v>
      </c>
      <c r="N505" s="10">
        <v>9.5</v>
      </c>
      <c r="O505" s="9">
        <v>44988</v>
      </c>
      <c r="P505">
        <v>24</v>
      </c>
      <c r="Q505" s="11" t="s">
        <v>49</v>
      </c>
      <c r="R505" s="7">
        <v>24022.232319999999</v>
      </c>
      <c r="S505" s="7"/>
      <c r="T505" s="7"/>
      <c r="U505" s="7"/>
      <c r="V505" s="10">
        <v>9.5</v>
      </c>
      <c r="W505" s="9">
        <v>44981</v>
      </c>
      <c r="X505" s="10">
        <v>11.5</v>
      </c>
      <c r="Y505" s="9">
        <v>44988</v>
      </c>
      <c r="Z505">
        <v>24</v>
      </c>
      <c r="AA505" s="11" t="s">
        <v>49</v>
      </c>
    </row>
    <row r="506" spans="2:27" ht="16" x14ac:dyDescent="0.2">
      <c r="B506" t="s">
        <v>35</v>
      </c>
      <c r="C506">
        <v>40361252</v>
      </c>
      <c r="D506" t="s">
        <v>409</v>
      </c>
      <c r="E506">
        <v>1030379</v>
      </c>
      <c r="F506" t="s">
        <v>97</v>
      </c>
      <c r="G506" s="9">
        <v>44972</v>
      </c>
      <c r="H506" s="7">
        <v>24004.088640000002</v>
      </c>
      <c r="I506" s="7"/>
      <c r="J506" s="7"/>
      <c r="K506" s="7"/>
      <c r="L506" s="10">
        <v>7.5</v>
      </c>
      <c r="M506" s="9">
        <v>44979</v>
      </c>
      <c r="N506" s="10">
        <v>9.5</v>
      </c>
      <c r="O506" s="9">
        <v>44988</v>
      </c>
      <c r="P506">
        <v>24</v>
      </c>
      <c r="Q506" s="11" t="s">
        <v>49</v>
      </c>
      <c r="R506" s="7">
        <v>24004.088640000002</v>
      </c>
      <c r="S506" s="7"/>
      <c r="T506" s="7"/>
      <c r="U506" s="7"/>
      <c r="V506" s="10">
        <v>9.5</v>
      </c>
      <c r="W506" s="9">
        <v>44981</v>
      </c>
      <c r="X506" s="10">
        <v>11.5</v>
      </c>
      <c r="Y506" s="9">
        <v>44988</v>
      </c>
      <c r="Z506">
        <v>24</v>
      </c>
      <c r="AA506" s="11" t="s">
        <v>49</v>
      </c>
    </row>
    <row r="507" spans="2:27" ht="16" x14ac:dyDescent="0.2">
      <c r="B507" t="s">
        <v>35</v>
      </c>
      <c r="C507">
        <v>40361251</v>
      </c>
      <c r="D507" t="s">
        <v>409</v>
      </c>
      <c r="E507">
        <v>1030379</v>
      </c>
      <c r="F507" t="s">
        <v>97</v>
      </c>
      <c r="G507" s="9">
        <v>44972</v>
      </c>
      <c r="H507" s="7">
        <v>24022.232319999999</v>
      </c>
      <c r="I507" s="7"/>
      <c r="J507" s="7"/>
      <c r="K507" s="7"/>
      <c r="L507" s="10">
        <v>7.5</v>
      </c>
      <c r="M507" s="9">
        <v>44979</v>
      </c>
      <c r="N507" s="10">
        <v>9.5</v>
      </c>
      <c r="O507" s="9">
        <v>44988</v>
      </c>
      <c r="P507">
        <v>24</v>
      </c>
      <c r="Q507" s="11" t="s">
        <v>49</v>
      </c>
      <c r="R507" s="7">
        <v>24022.232319999999</v>
      </c>
      <c r="S507" s="7"/>
      <c r="T507" s="7"/>
      <c r="U507" s="7"/>
      <c r="V507" s="10">
        <v>9.5</v>
      </c>
      <c r="W507" s="9">
        <v>44981</v>
      </c>
      <c r="X507" s="10">
        <v>11.5</v>
      </c>
      <c r="Y507" s="9">
        <v>44988</v>
      </c>
      <c r="Z507">
        <v>24</v>
      </c>
      <c r="AA507" s="11" t="s">
        <v>49</v>
      </c>
    </row>
    <row r="508" spans="2:27" ht="16" x14ac:dyDescent="0.2">
      <c r="B508" t="s">
        <v>35</v>
      </c>
      <c r="C508">
        <v>40361250</v>
      </c>
      <c r="D508" t="s">
        <v>409</v>
      </c>
      <c r="E508">
        <v>1030379</v>
      </c>
      <c r="F508" t="s">
        <v>97</v>
      </c>
      <c r="G508" s="9">
        <v>44972</v>
      </c>
      <c r="H508" s="7">
        <v>24004.088640000002</v>
      </c>
      <c r="I508" s="7"/>
      <c r="J508" s="7"/>
      <c r="K508" s="7"/>
      <c r="L508" s="10">
        <v>7.5</v>
      </c>
      <c r="M508" s="9">
        <v>44979</v>
      </c>
      <c r="N508" s="10">
        <v>9.5</v>
      </c>
      <c r="O508" s="9">
        <v>44988</v>
      </c>
      <c r="P508">
        <v>24</v>
      </c>
      <c r="Q508" s="11" t="s">
        <v>49</v>
      </c>
      <c r="R508" s="7">
        <v>24004.088640000002</v>
      </c>
      <c r="S508" s="7"/>
      <c r="T508" s="7"/>
      <c r="U508" s="7"/>
      <c r="V508" s="10">
        <v>9.5</v>
      </c>
      <c r="W508" s="9">
        <v>44981</v>
      </c>
      <c r="X508" s="10">
        <v>11.5</v>
      </c>
      <c r="Y508" s="9">
        <v>44988</v>
      </c>
      <c r="Z508">
        <v>24</v>
      </c>
      <c r="AA508" s="11" t="s">
        <v>49</v>
      </c>
    </row>
    <row r="509" spans="2:27" ht="16" x14ac:dyDescent="0.2">
      <c r="B509" t="s">
        <v>35</v>
      </c>
      <c r="C509">
        <v>40361249</v>
      </c>
      <c r="D509" t="s">
        <v>409</v>
      </c>
      <c r="E509">
        <v>1030379</v>
      </c>
      <c r="F509" t="s">
        <v>97</v>
      </c>
      <c r="G509" s="9">
        <v>44972</v>
      </c>
      <c r="H509" s="7">
        <v>24022.232319999999</v>
      </c>
      <c r="I509" s="7"/>
      <c r="J509" s="7"/>
      <c r="K509" s="7"/>
      <c r="L509" s="10">
        <v>7.5</v>
      </c>
      <c r="M509" s="9">
        <v>44979</v>
      </c>
      <c r="N509" s="10">
        <v>9.5</v>
      </c>
      <c r="O509" s="9">
        <v>44988</v>
      </c>
      <c r="P509">
        <v>24</v>
      </c>
      <c r="Q509" s="11" t="s">
        <v>49</v>
      </c>
      <c r="R509" s="7">
        <v>24022.232319999999</v>
      </c>
      <c r="S509" s="7"/>
      <c r="T509" s="7"/>
      <c r="U509" s="7"/>
      <c r="V509" s="10">
        <v>9.5</v>
      </c>
      <c r="W509" s="9">
        <v>44981</v>
      </c>
      <c r="X509" s="10">
        <v>11.5</v>
      </c>
      <c r="Y509" s="9">
        <v>44988</v>
      </c>
      <c r="Z509">
        <v>24</v>
      </c>
      <c r="AA509" s="11" t="s">
        <v>49</v>
      </c>
    </row>
    <row r="510" spans="2:27" ht="16" x14ac:dyDescent="0.2">
      <c r="B510" t="s">
        <v>35</v>
      </c>
      <c r="C510">
        <v>40361247</v>
      </c>
      <c r="D510" t="s">
        <v>409</v>
      </c>
      <c r="E510">
        <v>1030379</v>
      </c>
      <c r="F510" t="s">
        <v>97</v>
      </c>
      <c r="G510" s="9">
        <v>44969</v>
      </c>
      <c r="H510" s="7"/>
      <c r="I510" s="7"/>
      <c r="J510" s="7"/>
      <c r="K510" s="7"/>
      <c r="L510" s="10">
        <v>7.5</v>
      </c>
      <c r="M510" s="9">
        <v>44976</v>
      </c>
      <c r="N510" s="10">
        <v>9.5</v>
      </c>
      <c r="O510" s="9">
        <v>44985</v>
      </c>
      <c r="P510">
        <v>0</v>
      </c>
      <c r="Q510" s="11" t="s">
        <v>594</v>
      </c>
      <c r="R510" s="7"/>
      <c r="S510" s="7"/>
      <c r="T510" s="7"/>
      <c r="U510" s="7"/>
      <c r="V510" s="10">
        <v>9.5</v>
      </c>
      <c r="W510" s="9">
        <v>44978</v>
      </c>
      <c r="X510" s="10">
        <v>11.5</v>
      </c>
      <c r="Y510" s="9">
        <v>44985</v>
      </c>
      <c r="Z510">
        <v>0</v>
      </c>
      <c r="AA510" s="11" t="s">
        <v>594</v>
      </c>
    </row>
    <row r="511" spans="2:27" ht="16" x14ac:dyDescent="0.2">
      <c r="B511" t="s">
        <v>35</v>
      </c>
      <c r="C511">
        <v>40361244</v>
      </c>
      <c r="D511" t="s">
        <v>409</v>
      </c>
      <c r="E511">
        <v>1012111</v>
      </c>
      <c r="F511" t="s">
        <v>137</v>
      </c>
      <c r="G511" s="9">
        <v>44971</v>
      </c>
      <c r="H511" s="7">
        <v>19958.047999999999</v>
      </c>
      <c r="I511" s="7"/>
      <c r="J511" s="7"/>
      <c r="K511" s="7"/>
      <c r="L511" s="10">
        <v>7.5</v>
      </c>
      <c r="M511" s="9">
        <v>44978</v>
      </c>
      <c r="N511" s="10">
        <v>9.5</v>
      </c>
      <c r="O511" s="9">
        <v>44987</v>
      </c>
      <c r="P511">
        <v>25</v>
      </c>
      <c r="Q511" s="11" t="s">
        <v>49</v>
      </c>
      <c r="R511" s="7">
        <v>19958.047999999999</v>
      </c>
      <c r="S511" s="7"/>
      <c r="T511" s="7"/>
      <c r="U511" s="7"/>
      <c r="V511" s="10">
        <v>9.5</v>
      </c>
      <c r="W511" s="9">
        <v>44980</v>
      </c>
      <c r="X511" s="10">
        <v>11.5</v>
      </c>
      <c r="Y511" s="9">
        <v>44987</v>
      </c>
      <c r="Z511">
        <v>25</v>
      </c>
      <c r="AA511" s="11" t="s">
        <v>49</v>
      </c>
    </row>
    <row r="512" spans="2:27" ht="16" x14ac:dyDescent="0.2">
      <c r="B512" t="s">
        <v>35</v>
      </c>
      <c r="C512">
        <v>40361240</v>
      </c>
      <c r="D512" t="s">
        <v>409</v>
      </c>
      <c r="E512">
        <v>1012109</v>
      </c>
      <c r="F512" t="s">
        <v>68</v>
      </c>
      <c r="G512" s="9">
        <v>44986</v>
      </c>
      <c r="H512" s="7">
        <v>13988.77728</v>
      </c>
      <c r="I512" s="7"/>
      <c r="J512" s="7"/>
      <c r="K512" s="7"/>
      <c r="L512" s="10">
        <v>7.5</v>
      </c>
      <c r="M512" s="9">
        <v>44993</v>
      </c>
      <c r="N512" s="10">
        <v>9.5</v>
      </c>
      <c r="O512" s="9">
        <v>45002</v>
      </c>
      <c r="P512">
        <v>12</v>
      </c>
      <c r="Q512" s="11" t="s">
        <v>49</v>
      </c>
      <c r="R512" s="7">
        <v>13988.77728</v>
      </c>
      <c r="S512" s="7"/>
      <c r="T512" s="7"/>
      <c r="U512" s="7"/>
      <c r="V512" s="10">
        <v>9.5</v>
      </c>
      <c r="W512" s="9">
        <v>44995</v>
      </c>
      <c r="X512" s="10">
        <v>11.5</v>
      </c>
      <c r="Y512" s="9">
        <v>45002</v>
      </c>
      <c r="Z512">
        <v>12</v>
      </c>
      <c r="AA512" s="11" t="s">
        <v>49</v>
      </c>
    </row>
    <row r="513" spans="2:27" ht="16" x14ac:dyDescent="0.2">
      <c r="B513" t="s">
        <v>35</v>
      </c>
      <c r="C513">
        <v>40361240</v>
      </c>
      <c r="D513" t="s">
        <v>409</v>
      </c>
      <c r="E513">
        <v>1012521</v>
      </c>
      <c r="F513" t="s">
        <v>114</v>
      </c>
      <c r="G513" s="9">
        <v>44986</v>
      </c>
      <c r="H513" s="7">
        <v>5878.5523199999998</v>
      </c>
      <c r="I513" s="7"/>
      <c r="J513" s="7"/>
      <c r="K513" s="7"/>
      <c r="L513" s="10">
        <v>7.5</v>
      </c>
      <c r="M513" s="9">
        <v>44993</v>
      </c>
      <c r="N513" s="10">
        <v>9.5</v>
      </c>
      <c r="O513" s="9">
        <v>45002</v>
      </c>
      <c r="P513">
        <v>12</v>
      </c>
      <c r="Q513" s="11" t="s">
        <v>49</v>
      </c>
      <c r="R513" s="7">
        <v>5878.5523199999998</v>
      </c>
      <c r="S513" s="7"/>
      <c r="T513" s="7"/>
      <c r="U513" s="7"/>
      <c r="V513" s="10">
        <v>9.5</v>
      </c>
      <c r="W513" s="9">
        <v>44995</v>
      </c>
      <c r="X513" s="10">
        <v>11.5</v>
      </c>
      <c r="Y513" s="9">
        <v>45002</v>
      </c>
      <c r="Z513">
        <v>12</v>
      </c>
      <c r="AA513" s="11" t="s">
        <v>49</v>
      </c>
    </row>
    <row r="514" spans="2:27" ht="16" x14ac:dyDescent="0.2">
      <c r="B514" t="s">
        <v>35</v>
      </c>
      <c r="C514">
        <v>40361239</v>
      </c>
      <c r="D514" t="s">
        <v>409</v>
      </c>
      <c r="E514">
        <v>1012521</v>
      </c>
      <c r="F514" t="s">
        <v>114</v>
      </c>
      <c r="G514" s="9">
        <v>44977</v>
      </c>
      <c r="H514" s="7">
        <v>19958.047999999999</v>
      </c>
      <c r="I514" s="7"/>
      <c r="J514" s="7"/>
      <c r="K514" s="7"/>
      <c r="L514" s="10">
        <v>7.5</v>
      </c>
      <c r="M514" s="9">
        <v>44984</v>
      </c>
      <c r="N514" s="10">
        <v>9.5</v>
      </c>
      <c r="O514" s="9">
        <v>44993</v>
      </c>
      <c r="P514">
        <v>20</v>
      </c>
      <c r="Q514" s="11" t="s">
        <v>49</v>
      </c>
      <c r="R514" s="7">
        <v>19958.047999999999</v>
      </c>
      <c r="S514" s="7"/>
      <c r="T514" s="7"/>
      <c r="U514" s="7"/>
      <c r="V514" s="10">
        <v>9.5</v>
      </c>
      <c r="W514" s="9">
        <v>44986</v>
      </c>
      <c r="X514" s="10">
        <v>11.5</v>
      </c>
      <c r="Y514" s="9">
        <v>44993</v>
      </c>
      <c r="Z514">
        <v>20</v>
      </c>
      <c r="AA514" s="11" t="s">
        <v>49</v>
      </c>
    </row>
    <row r="515" spans="2:27" ht="16" x14ac:dyDescent="0.2">
      <c r="B515" t="s">
        <v>35</v>
      </c>
      <c r="C515">
        <v>40361238</v>
      </c>
      <c r="D515" t="s">
        <v>409</v>
      </c>
      <c r="E515">
        <v>1012521</v>
      </c>
      <c r="F515" t="s">
        <v>114</v>
      </c>
      <c r="G515" s="9">
        <v>44980</v>
      </c>
      <c r="H515" s="7">
        <v>18143.68</v>
      </c>
      <c r="I515" s="7"/>
      <c r="J515" s="7"/>
      <c r="K515" s="7"/>
      <c r="L515" s="10">
        <v>7.5</v>
      </c>
      <c r="M515" s="9">
        <v>44987</v>
      </c>
      <c r="N515" s="10">
        <v>9.5</v>
      </c>
      <c r="O515" s="9">
        <v>44996</v>
      </c>
      <c r="P515">
        <v>17</v>
      </c>
      <c r="Q515" s="11" t="s">
        <v>49</v>
      </c>
      <c r="R515" s="7">
        <v>18143.68</v>
      </c>
      <c r="S515" s="7"/>
      <c r="T515" s="7"/>
      <c r="U515" s="7"/>
      <c r="V515" s="10">
        <v>9.5</v>
      </c>
      <c r="W515" s="9">
        <v>44989</v>
      </c>
      <c r="X515" s="10">
        <v>11.5</v>
      </c>
      <c r="Y515" s="9">
        <v>44996</v>
      </c>
      <c r="Z515">
        <v>17</v>
      </c>
      <c r="AA515" s="11" t="s">
        <v>49</v>
      </c>
    </row>
    <row r="516" spans="2:27" ht="16" x14ac:dyDescent="0.2">
      <c r="B516" t="s">
        <v>35</v>
      </c>
      <c r="C516">
        <v>40361237</v>
      </c>
      <c r="D516" t="s">
        <v>409</v>
      </c>
      <c r="E516">
        <v>1012521</v>
      </c>
      <c r="F516" t="s">
        <v>114</v>
      </c>
      <c r="G516" s="9">
        <v>44963</v>
      </c>
      <c r="H516" s="7"/>
      <c r="I516" s="7"/>
      <c r="J516" s="7"/>
      <c r="K516" s="7"/>
      <c r="L516" s="10">
        <v>7.5</v>
      </c>
      <c r="M516" s="9">
        <v>44970</v>
      </c>
      <c r="N516" s="10">
        <v>9.5</v>
      </c>
      <c r="O516" s="9">
        <v>44979</v>
      </c>
      <c r="P516">
        <v>5</v>
      </c>
      <c r="Q516" s="11" t="s">
        <v>49</v>
      </c>
      <c r="R516" s="7"/>
      <c r="S516" s="7"/>
      <c r="T516" s="7"/>
      <c r="U516" s="7"/>
      <c r="V516" s="10">
        <v>9.5</v>
      </c>
      <c r="W516" s="9">
        <v>44972</v>
      </c>
      <c r="X516" s="10">
        <v>11.5</v>
      </c>
      <c r="Y516" s="9">
        <v>44979</v>
      </c>
      <c r="Z516">
        <v>5</v>
      </c>
      <c r="AA516" s="11" t="s">
        <v>49</v>
      </c>
    </row>
    <row r="517" spans="2:27" ht="16" x14ac:dyDescent="0.2">
      <c r="B517" t="s">
        <v>35</v>
      </c>
      <c r="C517">
        <v>40361236</v>
      </c>
      <c r="D517" t="s">
        <v>409</v>
      </c>
      <c r="E517">
        <v>1012109</v>
      </c>
      <c r="F517" t="s">
        <v>68</v>
      </c>
      <c r="G517" s="9">
        <v>44979</v>
      </c>
      <c r="H517" s="7">
        <v>18143.68</v>
      </c>
      <c r="I517" s="7"/>
      <c r="J517" s="7"/>
      <c r="K517" s="7"/>
      <c r="L517" s="10">
        <v>7.5</v>
      </c>
      <c r="M517" s="9">
        <v>44986</v>
      </c>
      <c r="N517" s="10">
        <v>9.5</v>
      </c>
      <c r="O517" s="9">
        <v>44995</v>
      </c>
      <c r="P517">
        <v>18</v>
      </c>
      <c r="Q517" s="11" t="s">
        <v>49</v>
      </c>
      <c r="R517" s="7">
        <v>18143.68</v>
      </c>
      <c r="S517" s="7"/>
      <c r="T517" s="7"/>
      <c r="U517" s="7"/>
      <c r="V517" s="10">
        <v>9.5</v>
      </c>
      <c r="W517" s="9">
        <v>44988</v>
      </c>
      <c r="X517" s="10">
        <v>11.5</v>
      </c>
      <c r="Y517" s="9">
        <v>44995</v>
      </c>
      <c r="Z517">
        <v>18</v>
      </c>
      <c r="AA517" s="11" t="s">
        <v>49</v>
      </c>
    </row>
    <row r="518" spans="2:27" ht="16" x14ac:dyDescent="0.2">
      <c r="B518" t="s">
        <v>35</v>
      </c>
      <c r="C518">
        <v>40361235</v>
      </c>
      <c r="D518" t="s">
        <v>409</v>
      </c>
      <c r="E518">
        <v>1012109</v>
      </c>
      <c r="F518" t="s">
        <v>68</v>
      </c>
      <c r="G518" s="9">
        <v>44964</v>
      </c>
      <c r="H518" s="7"/>
      <c r="I518" s="7"/>
      <c r="J518" s="7"/>
      <c r="K518" s="7"/>
      <c r="L518" s="10">
        <v>7.5</v>
      </c>
      <c r="M518" s="9">
        <v>44971</v>
      </c>
      <c r="N518" s="10">
        <v>9.5</v>
      </c>
      <c r="O518" s="9">
        <v>44980</v>
      </c>
      <c r="P518">
        <v>4</v>
      </c>
      <c r="Q518" s="11" t="s">
        <v>49</v>
      </c>
      <c r="R518" s="7"/>
      <c r="S518" s="7"/>
      <c r="T518" s="7"/>
      <c r="U518" s="7"/>
      <c r="V518" s="10">
        <v>9.5</v>
      </c>
      <c r="W518" s="9">
        <v>44973</v>
      </c>
      <c r="X518" s="10">
        <v>11.5</v>
      </c>
      <c r="Y518" s="9">
        <v>44980</v>
      </c>
      <c r="Z518">
        <v>4</v>
      </c>
      <c r="AA518" s="11" t="s">
        <v>49</v>
      </c>
    </row>
    <row r="519" spans="2:27" ht="16" x14ac:dyDescent="0.2">
      <c r="B519" t="s">
        <v>35</v>
      </c>
      <c r="C519">
        <v>40361234</v>
      </c>
      <c r="D519" t="s">
        <v>409</v>
      </c>
      <c r="E519">
        <v>1012109</v>
      </c>
      <c r="F519" t="s">
        <v>68</v>
      </c>
      <c r="G519" s="9">
        <v>44963</v>
      </c>
      <c r="H519" s="7"/>
      <c r="I519" s="7"/>
      <c r="J519" s="7"/>
      <c r="K519" s="7"/>
      <c r="L519" s="10">
        <v>7.5</v>
      </c>
      <c r="M519" s="9">
        <v>44970</v>
      </c>
      <c r="N519" s="10">
        <v>9.5</v>
      </c>
      <c r="O519" s="9">
        <v>44979</v>
      </c>
      <c r="P519">
        <v>5</v>
      </c>
      <c r="Q519" s="11" t="s">
        <v>49</v>
      </c>
      <c r="R519" s="7"/>
      <c r="S519" s="7"/>
      <c r="T519" s="7"/>
      <c r="U519" s="7"/>
      <c r="V519" s="10">
        <v>9.5</v>
      </c>
      <c r="W519" s="9">
        <v>44972</v>
      </c>
      <c r="X519" s="10">
        <v>11.5</v>
      </c>
      <c r="Y519" s="9">
        <v>44979</v>
      </c>
      <c r="Z519">
        <v>5</v>
      </c>
      <c r="AA519" s="11" t="s">
        <v>49</v>
      </c>
    </row>
    <row r="520" spans="2:27" ht="16" x14ac:dyDescent="0.2">
      <c r="B520" t="s">
        <v>35</v>
      </c>
      <c r="C520">
        <v>40361233</v>
      </c>
      <c r="D520" t="s">
        <v>409</v>
      </c>
      <c r="E520">
        <v>1012109</v>
      </c>
      <c r="F520" t="s">
        <v>68</v>
      </c>
      <c r="G520" s="9">
        <v>44963</v>
      </c>
      <c r="H520" s="7"/>
      <c r="I520" s="7"/>
      <c r="J520" s="7"/>
      <c r="K520" s="7"/>
      <c r="L520" s="10">
        <v>7.5</v>
      </c>
      <c r="M520" s="9">
        <v>44970</v>
      </c>
      <c r="N520" s="10">
        <v>9.5</v>
      </c>
      <c r="O520" s="9">
        <v>44979</v>
      </c>
      <c r="P520">
        <v>5</v>
      </c>
      <c r="Q520" s="11" t="s">
        <v>49</v>
      </c>
      <c r="R520" s="7"/>
      <c r="S520" s="7"/>
      <c r="T520" s="7"/>
      <c r="U520" s="7"/>
      <c r="V520" s="10">
        <v>9.5</v>
      </c>
      <c r="W520" s="9">
        <v>44972</v>
      </c>
      <c r="X520" s="10">
        <v>11.5</v>
      </c>
      <c r="Y520" s="9">
        <v>44979</v>
      </c>
      <c r="Z520">
        <v>5</v>
      </c>
      <c r="AA520" s="11" t="s">
        <v>49</v>
      </c>
    </row>
    <row r="521" spans="2:27" ht="16" x14ac:dyDescent="0.2">
      <c r="B521" t="s">
        <v>35</v>
      </c>
      <c r="C521">
        <v>40361229</v>
      </c>
      <c r="D521" t="s">
        <v>409</v>
      </c>
      <c r="E521">
        <v>1012107</v>
      </c>
      <c r="F521" t="s">
        <v>215</v>
      </c>
      <c r="G521" s="9">
        <v>44977</v>
      </c>
      <c r="H521" s="7">
        <v>19958.047999999999</v>
      </c>
      <c r="I521" s="7"/>
      <c r="J521" s="7"/>
      <c r="K521" s="7"/>
      <c r="L521" s="10">
        <v>7.5</v>
      </c>
      <c r="M521" s="9">
        <v>44984</v>
      </c>
      <c r="N521" s="10">
        <v>9.5</v>
      </c>
      <c r="O521" s="9">
        <v>44993</v>
      </c>
      <c r="P521">
        <v>20</v>
      </c>
      <c r="Q521" s="11" t="s">
        <v>49</v>
      </c>
      <c r="R521" s="7">
        <v>19958.047999999999</v>
      </c>
      <c r="S521" s="7"/>
      <c r="T521" s="7"/>
      <c r="U521" s="7"/>
      <c r="V521" s="10">
        <v>9.5</v>
      </c>
      <c r="W521" s="9">
        <v>44986</v>
      </c>
      <c r="X521" s="10">
        <v>11.5</v>
      </c>
      <c r="Y521" s="9">
        <v>44993</v>
      </c>
      <c r="Z521">
        <v>20</v>
      </c>
      <c r="AA521" s="11" t="s">
        <v>49</v>
      </c>
    </row>
    <row r="522" spans="2:27" ht="16" x14ac:dyDescent="0.2">
      <c r="B522" t="s">
        <v>35</v>
      </c>
      <c r="C522">
        <v>40361228</v>
      </c>
      <c r="D522" t="s">
        <v>409</v>
      </c>
      <c r="E522">
        <v>1012160</v>
      </c>
      <c r="F522" t="s">
        <v>72</v>
      </c>
      <c r="G522" s="9">
        <v>44985</v>
      </c>
      <c r="H522" s="7">
        <v>19958.047999999999</v>
      </c>
      <c r="I522" s="7"/>
      <c r="J522" s="7"/>
      <c r="K522" s="7"/>
      <c r="L522" s="10">
        <v>7.5</v>
      </c>
      <c r="M522" s="9">
        <v>44992</v>
      </c>
      <c r="N522" s="10">
        <v>9.5</v>
      </c>
      <c r="O522" s="9">
        <v>45001</v>
      </c>
      <c r="P522">
        <v>13</v>
      </c>
      <c r="Q522" s="11" t="s">
        <v>49</v>
      </c>
      <c r="R522" s="7">
        <v>19958.047999999999</v>
      </c>
      <c r="S522" s="7"/>
      <c r="T522" s="7"/>
      <c r="U522" s="7"/>
      <c r="V522" s="10">
        <v>9.5</v>
      </c>
      <c r="W522" s="9">
        <v>44994</v>
      </c>
      <c r="X522" s="10">
        <v>11.5</v>
      </c>
      <c r="Y522" s="9">
        <v>45001</v>
      </c>
      <c r="Z522">
        <v>13</v>
      </c>
      <c r="AA522" s="11" t="s">
        <v>49</v>
      </c>
    </row>
    <row r="523" spans="2:27" ht="16" x14ac:dyDescent="0.2">
      <c r="B523" t="s">
        <v>35</v>
      </c>
      <c r="C523">
        <v>40361227</v>
      </c>
      <c r="D523" t="s">
        <v>409</v>
      </c>
      <c r="E523">
        <v>1012160</v>
      </c>
      <c r="F523" t="s">
        <v>72</v>
      </c>
      <c r="G523" s="9">
        <v>44969</v>
      </c>
      <c r="H523" s="7"/>
      <c r="I523" s="7"/>
      <c r="J523" s="7"/>
      <c r="K523" s="7"/>
      <c r="L523" s="10">
        <v>7.5</v>
      </c>
      <c r="M523" s="9">
        <v>44976</v>
      </c>
      <c r="N523" s="10">
        <v>9.5</v>
      </c>
      <c r="O523" s="9">
        <v>44985</v>
      </c>
      <c r="P523">
        <v>0</v>
      </c>
      <c r="Q523" s="11" t="s">
        <v>594</v>
      </c>
      <c r="R523" s="7"/>
      <c r="S523" s="7"/>
      <c r="T523" s="7"/>
      <c r="U523" s="7"/>
      <c r="V523" s="10">
        <v>9.5</v>
      </c>
      <c r="W523" s="9">
        <v>44978</v>
      </c>
      <c r="X523" s="10">
        <v>11.5</v>
      </c>
      <c r="Y523" s="9">
        <v>44985</v>
      </c>
      <c r="Z523">
        <v>0</v>
      </c>
      <c r="AA523" s="11" t="s">
        <v>594</v>
      </c>
    </row>
    <row r="524" spans="2:27" ht="16" x14ac:dyDescent="0.2">
      <c r="B524" t="s">
        <v>35</v>
      </c>
      <c r="C524">
        <v>40361227</v>
      </c>
      <c r="D524" t="s">
        <v>409</v>
      </c>
      <c r="E524">
        <v>1012160</v>
      </c>
      <c r="F524" t="s">
        <v>72</v>
      </c>
      <c r="G524" s="9">
        <v>44969</v>
      </c>
      <c r="H524" s="7"/>
      <c r="I524" s="7"/>
      <c r="J524" s="7"/>
      <c r="K524" s="7"/>
      <c r="L524" s="10">
        <v>7.5</v>
      </c>
      <c r="M524" s="9">
        <v>44976</v>
      </c>
      <c r="N524" s="10">
        <v>9.5</v>
      </c>
      <c r="O524" s="9">
        <v>44985</v>
      </c>
      <c r="P524">
        <v>0</v>
      </c>
      <c r="Q524" s="11" t="s">
        <v>594</v>
      </c>
      <c r="R524" s="7"/>
      <c r="S524" s="7"/>
      <c r="T524" s="7"/>
      <c r="U524" s="7"/>
      <c r="V524" s="10">
        <v>9.5</v>
      </c>
      <c r="W524" s="9">
        <v>44978</v>
      </c>
      <c r="X524" s="10">
        <v>11.5</v>
      </c>
      <c r="Y524" s="9">
        <v>44985</v>
      </c>
      <c r="Z524">
        <v>0</v>
      </c>
      <c r="AA524" s="11" t="s">
        <v>594</v>
      </c>
    </row>
    <row r="525" spans="2:27" x14ac:dyDescent="0.2">
      <c r="B525" t="s">
        <v>394</v>
      </c>
      <c r="C525">
        <v>40361224</v>
      </c>
      <c r="D525" t="s">
        <v>485</v>
      </c>
      <c r="E525">
        <v>1020944</v>
      </c>
      <c r="F525" t="s">
        <v>498</v>
      </c>
      <c r="G525" s="9">
        <v>44958</v>
      </c>
      <c r="H525" s="7"/>
      <c r="I525" s="7"/>
      <c r="J525" s="7"/>
      <c r="K525" s="7"/>
      <c r="L525" s="10"/>
      <c r="N525" s="10"/>
      <c r="Q525" s="11"/>
      <c r="R525" s="7"/>
      <c r="S525" s="7"/>
      <c r="T525" s="7"/>
      <c r="U525" s="7"/>
      <c r="V525" s="10"/>
      <c r="X525" s="10"/>
      <c r="AA525" s="11"/>
    </row>
    <row r="526" spans="2:27" x14ac:dyDescent="0.2">
      <c r="B526" t="s">
        <v>394</v>
      </c>
      <c r="C526">
        <v>40361223</v>
      </c>
      <c r="D526" t="s">
        <v>485</v>
      </c>
      <c r="E526">
        <v>1023433</v>
      </c>
      <c r="F526" t="s">
        <v>490</v>
      </c>
      <c r="G526" s="9">
        <v>44962</v>
      </c>
      <c r="H526" s="7"/>
      <c r="I526" s="7"/>
      <c r="J526" s="7"/>
      <c r="K526" s="7"/>
      <c r="L526" s="10"/>
      <c r="N526" s="10"/>
      <c r="Q526" s="11"/>
      <c r="R526" s="7"/>
      <c r="S526" s="7"/>
      <c r="T526" s="7"/>
      <c r="U526" s="7"/>
      <c r="V526" s="10"/>
      <c r="X526" s="10"/>
      <c r="AA526" s="11"/>
    </row>
    <row r="527" spans="2:27" x14ac:dyDescent="0.2">
      <c r="B527" t="s">
        <v>394</v>
      </c>
      <c r="C527">
        <v>40361223</v>
      </c>
      <c r="D527" t="s">
        <v>485</v>
      </c>
      <c r="E527">
        <v>1023433</v>
      </c>
      <c r="F527" t="s">
        <v>490</v>
      </c>
      <c r="G527" s="9">
        <v>44962</v>
      </c>
      <c r="H527" s="7"/>
      <c r="I527" s="7"/>
      <c r="J527" s="7"/>
      <c r="K527" s="7"/>
      <c r="L527" s="10"/>
      <c r="N527" s="10"/>
      <c r="Q527" s="11"/>
      <c r="R527" s="7"/>
      <c r="S527" s="7"/>
      <c r="T527" s="7"/>
      <c r="U527" s="7"/>
      <c r="V527" s="10"/>
      <c r="X527" s="10"/>
      <c r="AA527" s="11"/>
    </row>
    <row r="528" spans="2:27" x14ac:dyDescent="0.2">
      <c r="B528" t="s">
        <v>394</v>
      </c>
      <c r="C528">
        <v>40361221</v>
      </c>
      <c r="D528" t="s">
        <v>485</v>
      </c>
      <c r="E528">
        <v>1022150</v>
      </c>
      <c r="F528" t="s">
        <v>500</v>
      </c>
      <c r="G528" s="9">
        <v>44960</v>
      </c>
      <c r="H528" s="7"/>
      <c r="I528" s="7"/>
      <c r="J528" s="7"/>
      <c r="K528" s="7"/>
      <c r="L528" s="10"/>
      <c r="N528" s="10"/>
      <c r="Q528" s="11"/>
      <c r="R528" s="7"/>
      <c r="S528" s="7"/>
      <c r="T528" s="7"/>
      <c r="U528" s="7"/>
      <c r="V528" s="10"/>
      <c r="X528" s="10"/>
      <c r="AA528" s="11"/>
    </row>
    <row r="529" spans="2:27" x14ac:dyDescent="0.2">
      <c r="B529" t="s">
        <v>394</v>
      </c>
      <c r="C529">
        <v>40361220</v>
      </c>
      <c r="D529" t="s">
        <v>485</v>
      </c>
      <c r="E529">
        <v>1022150</v>
      </c>
      <c r="F529" t="s">
        <v>500</v>
      </c>
      <c r="G529" s="9">
        <v>44958</v>
      </c>
      <c r="H529" s="7"/>
      <c r="I529" s="7"/>
      <c r="J529" s="7"/>
      <c r="K529" s="7"/>
      <c r="L529" s="10"/>
      <c r="N529" s="10"/>
      <c r="Q529" s="11"/>
      <c r="R529" s="7"/>
      <c r="S529" s="7"/>
      <c r="T529" s="7"/>
      <c r="U529" s="7"/>
      <c r="V529" s="10"/>
      <c r="X529" s="10"/>
      <c r="AA529" s="11"/>
    </row>
    <row r="530" spans="2:27" x14ac:dyDescent="0.2">
      <c r="B530" t="s">
        <v>394</v>
      </c>
      <c r="C530">
        <v>40361219</v>
      </c>
      <c r="D530" t="s">
        <v>485</v>
      </c>
      <c r="E530">
        <v>1023433</v>
      </c>
      <c r="F530" t="s">
        <v>490</v>
      </c>
      <c r="G530" s="9">
        <v>44968</v>
      </c>
      <c r="H530" s="7"/>
      <c r="I530" s="7"/>
      <c r="J530" s="7"/>
      <c r="K530" s="7"/>
      <c r="L530" s="10"/>
      <c r="N530" s="10"/>
      <c r="Q530" s="11"/>
      <c r="R530" s="7"/>
      <c r="S530" s="7"/>
      <c r="T530" s="7"/>
      <c r="U530" s="7"/>
      <c r="V530" s="10"/>
      <c r="X530" s="10"/>
      <c r="AA530" s="11"/>
    </row>
    <row r="531" spans="2:27" x14ac:dyDescent="0.2">
      <c r="B531" t="s">
        <v>394</v>
      </c>
      <c r="C531">
        <v>40361219</v>
      </c>
      <c r="D531" t="s">
        <v>485</v>
      </c>
      <c r="E531">
        <v>1023433</v>
      </c>
      <c r="F531" t="s">
        <v>490</v>
      </c>
      <c r="G531" s="9">
        <v>44968</v>
      </c>
      <c r="H531" s="7"/>
      <c r="I531" s="7"/>
      <c r="J531" s="7"/>
      <c r="K531" s="7"/>
      <c r="L531" s="10"/>
      <c r="N531" s="10"/>
      <c r="Q531" s="11"/>
      <c r="R531" s="7"/>
      <c r="S531" s="7"/>
      <c r="T531" s="7"/>
      <c r="U531" s="7"/>
      <c r="V531" s="10"/>
      <c r="X531" s="10"/>
      <c r="AA531" s="11"/>
    </row>
    <row r="532" spans="2:27" x14ac:dyDescent="0.2">
      <c r="B532" t="s">
        <v>394</v>
      </c>
      <c r="C532">
        <v>40361218</v>
      </c>
      <c r="D532" t="s">
        <v>485</v>
      </c>
      <c r="E532">
        <v>1021385</v>
      </c>
      <c r="F532" t="s">
        <v>495</v>
      </c>
      <c r="G532" s="9">
        <v>44969</v>
      </c>
      <c r="H532" s="7"/>
      <c r="I532" s="7"/>
      <c r="J532" s="7"/>
      <c r="K532" s="7"/>
      <c r="L532" s="10"/>
      <c r="N532" s="10"/>
      <c r="Q532" s="11"/>
      <c r="R532" s="7"/>
      <c r="S532" s="7"/>
      <c r="T532" s="7"/>
      <c r="U532" s="7"/>
      <c r="V532" s="10"/>
      <c r="X532" s="10"/>
      <c r="AA532" s="11"/>
    </row>
    <row r="533" spans="2:27" ht="16" x14ac:dyDescent="0.2">
      <c r="B533" t="s">
        <v>35</v>
      </c>
      <c r="C533">
        <v>40361205</v>
      </c>
      <c r="D533" t="s">
        <v>409</v>
      </c>
      <c r="E533">
        <v>1012161</v>
      </c>
      <c r="F533" t="s">
        <v>101</v>
      </c>
      <c r="G533" s="9">
        <v>44977</v>
      </c>
      <c r="H533" s="7">
        <v>19958.047999999999</v>
      </c>
      <c r="I533" s="7"/>
      <c r="J533" s="7"/>
      <c r="K533" s="7"/>
      <c r="L533" s="10">
        <v>7.5</v>
      </c>
      <c r="M533" s="9">
        <v>44984</v>
      </c>
      <c r="N533" s="10">
        <v>9.5</v>
      </c>
      <c r="O533" s="9">
        <v>44993</v>
      </c>
      <c r="P533">
        <v>20</v>
      </c>
      <c r="Q533" s="11" t="s">
        <v>49</v>
      </c>
      <c r="R533" s="7">
        <v>19958.047999999999</v>
      </c>
      <c r="S533" s="7"/>
      <c r="T533" s="7"/>
      <c r="U533" s="7"/>
      <c r="V533" s="10">
        <v>9.5</v>
      </c>
      <c r="W533" s="9">
        <v>44986</v>
      </c>
      <c r="X533" s="10">
        <v>11.5</v>
      </c>
      <c r="Y533" s="9">
        <v>44993</v>
      </c>
      <c r="Z533">
        <v>20</v>
      </c>
      <c r="AA533" s="11" t="s">
        <v>49</v>
      </c>
    </row>
    <row r="534" spans="2:27" ht="16" x14ac:dyDescent="0.2">
      <c r="B534" t="s">
        <v>35</v>
      </c>
      <c r="C534">
        <v>40361203</v>
      </c>
      <c r="D534" t="s">
        <v>409</v>
      </c>
      <c r="E534">
        <v>1012160</v>
      </c>
      <c r="F534" t="s">
        <v>72</v>
      </c>
      <c r="G534" s="9">
        <v>44972</v>
      </c>
      <c r="H534" s="7">
        <v>19958.047999999999</v>
      </c>
      <c r="I534" s="7"/>
      <c r="J534" s="7"/>
      <c r="K534" s="7"/>
      <c r="L534" s="10">
        <v>7.5</v>
      </c>
      <c r="M534" s="9">
        <v>44979</v>
      </c>
      <c r="N534" s="10">
        <v>9.5</v>
      </c>
      <c r="O534" s="9">
        <v>44988</v>
      </c>
      <c r="P534">
        <v>24</v>
      </c>
      <c r="Q534" s="11" t="s">
        <v>49</v>
      </c>
      <c r="R534" s="7">
        <v>19958.047999999999</v>
      </c>
      <c r="S534" s="7"/>
      <c r="T534" s="7"/>
      <c r="U534" s="7"/>
      <c r="V534" s="10">
        <v>9.5</v>
      </c>
      <c r="W534" s="9">
        <v>44981</v>
      </c>
      <c r="X534" s="10">
        <v>11.5</v>
      </c>
      <c r="Y534" s="9">
        <v>44988</v>
      </c>
      <c r="Z534">
        <v>24</v>
      </c>
      <c r="AA534" s="11" t="s">
        <v>49</v>
      </c>
    </row>
    <row r="535" spans="2:27" ht="16" x14ac:dyDescent="0.2">
      <c r="B535" t="s">
        <v>35</v>
      </c>
      <c r="C535">
        <v>40361202</v>
      </c>
      <c r="D535" t="s">
        <v>409</v>
      </c>
      <c r="E535">
        <v>1012160</v>
      </c>
      <c r="F535" t="s">
        <v>72</v>
      </c>
      <c r="G535" s="9">
        <v>44969</v>
      </c>
      <c r="H535" s="7"/>
      <c r="I535" s="7"/>
      <c r="J535" s="7"/>
      <c r="K535" s="7"/>
      <c r="L535" s="10">
        <v>7.5</v>
      </c>
      <c r="M535" s="9">
        <v>44976</v>
      </c>
      <c r="N535" s="10">
        <v>9.5</v>
      </c>
      <c r="O535" s="9">
        <v>44985</v>
      </c>
      <c r="P535">
        <v>0</v>
      </c>
      <c r="Q535" s="11" t="s">
        <v>594</v>
      </c>
      <c r="R535" s="7"/>
      <c r="S535" s="7"/>
      <c r="T535" s="7"/>
      <c r="U535" s="7"/>
      <c r="V535" s="10">
        <v>9.5</v>
      </c>
      <c r="W535" s="9">
        <v>44978</v>
      </c>
      <c r="X535" s="10">
        <v>11.5</v>
      </c>
      <c r="Y535" s="9">
        <v>44985</v>
      </c>
      <c r="Z535">
        <v>0</v>
      </c>
      <c r="AA535" s="11" t="s">
        <v>594</v>
      </c>
    </row>
    <row r="536" spans="2:27" x14ac:dyDescent="0.2">
      <c r="B536" t="s">
        <v>394</v>
      </c>
      <c r="C536">
        <v>40361148</v>
      </c>
      <c r="D536" t="s">
        <v>485</v>
      </c>
      <c r="E536">
        <v>1023433</v>
      </c>
      <c r="F536" t="s">
        <v>490</v>
      </c>
      <c r="G536" s="9">
        <v>44960</v>
      </c>
      <c r="H536" s="7"/>
      <c r="I536" s="7"/>
      <c r="J536" s="7"/>
      <c r="K536" s="7"/>
      <c r="L536" s="10"/>
      <c r="N536" s="10"/>
      <c r="Q536" s="11"/>
      <c r="R536" s="7"/>
      <c r="S536" s="7"/>
      <c r="T536" s="7"/>
      <c r="U536" s="7"/>
      <c r="V536" s="10"/>
      <c r="X536" s="10"/>
      <c r="AA536" s="11"/>
    </row>
    <row r="537" spans="2:27" x14ac:dyDescent="0.2">
      <c r="B537" t="s">
        <v>394</v>
      </c>
      <c r="C537">
        <v>40361129</v>
      </c>
      <c r="D537" t="s">
        <v>485</v>
      </c>
      <c r="E537">
        <v>1010877</v>
      </c>
      <c r="F537" t="s">
        <v>502</v>
      </c>
      <c r="G537" s="9">
        <v>44961</v>
      </c>
      <c r="H537" s="7"/>
      <c r="I537" s="7"/>
      <c r="J537" s="7"/>
      <c r="K537" s="7"/>
      <c r="L537" s="10"/>
      <c r="N537" s="10"/>
      <c r="Q537" s="11"/>
      <c r="R537" s="7"/>
      <c r="S537" s="7"/>
      <c r="T537" s="7"/>
      <c r="U537" s="7"/>
      <c r="V537" s="10"/>
      <c r="X537" s="10"/>
      <c r="AA537" s="11"/>
    </row>
    <row r="538" spans="2:27" x14ac:dyDescent="0.2">
      <c r="B538" t="s">
        <v>394</v>
      </c>
      <c r="C538">
        <v>40361128</v>
      </c>
      <c r="D538" t="s">
        <v>485</v>
      </c>
      <c r="E538">
        <v>1010877</v>
      </c>
      <c r="F538" t="s">
        <v>502</v>
      </c>
      <c r="G538" s="9">
        <v>44961</v>
      </c>
      <c r="H538" s="7"/>
      <c r="I538" s="7"/>
      <c r="J538" s="7"/>
      <c r="K538" s="7"/>
      <c r="L538" s="10"/>
      <c r="N538" s="10"/>
      <c r="Q538" s="11"/>
      <c r="R538" s="7"/>
      <c r="S538" s="7"/>
      <c r="T538" s="7"/>
      <c r="U538" s="7"/>
      <c r="V538" s="10"/>
      <c r="X538" s="10"/>
      <c r="AA538" s="11"/>
    </row>
    <row r="539" spans="2:27" x14ac:dyDescent="0.2">
      <c r="B539" t="s">
        <v>394</v>
      </c>
      <c r="C539">
        <v>40361118</v>
      </c>
      <c r="D539" t="s">
        <v>485</v>
      </c>
      <c r="E539">
        <v>1022150</v>
      </c>
      <c r="F539" t="s">
        <v>500</v>
      </c>
      <c r="G539" s="9">
        <v>44969</v>
      </c>
      <c r="H539" s="7"/>
      <c r="I539" s="7"/>
      <c r="J539" s="7"/>
      <c r="K539" s="7"/>
      <c r="L539" s="10"/>
      <c r="N539" s="10"/>
      <c r="Q539" s="11"/>
      <c r="R539" s="7"/>
      <c r="S539" s="7"/>
      <c r="T539" s="7"/>
      <c r="U539" s="7"/>
      <c r="V539" s="10"/>
      <c r="X539" s="10"/>
      <c r="AA539" s="11"/>
    </row>
    <row r="540" spans="2:27" x14ac:dyDescent="0.2">
      <c r="B540" t="s">
        <v>394</v>
      </c>
      <c r="C540">
        <v>40361118</v>
      </c>
      <c r="D540" t="s">
        <v>485</v>
      </c>
      <c r="E540">
        <v>1022150</v>
      </c>
      <c r="F540" t="s">
        <v>500</v>
      </c>
      <c r="G540" s="9">
        <v>44969</v>
      </c>
      <c r="H540" s="7"/>
      <c r="I540" s="7"/>
      <c r="J540" s="7"/>
      <c r="K540" s="7"/>
      <c r="L540" s="10"/>
      <c r="N540" s="10"/>
      <c r="Q540" s="11"/>
      <c r="R540" s="7"/>
      <c r="S540" s="7"/>
      <c r="T540" s="7"/>
      <c r="U540" s="7"/>
      <c r="V540" s="10"/>
      <c r="X540" s="10"/>
      <c r="AA540" s="11"/>
    </row>
    <row r="541" spans="2:27" ht="16" x14ac:dyDescent="0.2">
      <c r="B541" t="s">
        <v>35</v>
      </c>
      <c r="C541">
        <v>40361117</v>
      </c>
      <c r="D541" t="s">
        <v>423</v>
      </c>
      <c r="E541">
        <v>1012534</v>
      </c>
      <c r="F541" t="s">
        <v>232</v>
      </c>
      <c r="G541" s="9">
        <v>44961</v>
      </c>
      <c r="H541" s="7"/>
      <c r="I541" s="7"/>
      <c r="J541" s="7"/>
      <c r="K541" s="7"/>
      <c r="L541" s="10">
        <v>5.4496124031007751</v>
      </c>
      <c r="M541" s="9">
        <v>44966</v>
      </c>
      <c r="N541" s="10">
        <v>10</v>
      </c>
      <c r="O541" s="9">
        <v>44976</v>
      </c>
      <c r="P541">
        <v>8</v>
      </c>
      <c r="Q541" s="11" t="s">
        <v>49</v>
      </c>
      <c r="R541" s="7"/>
      <c r="S541" s="7"/>
      <c r="T541" s="7"/>
      <c r="U541" s="7"/>
      <c r="V541" s="10">
        <v>7.4496124031007751</v>
      </c>
      <c r="W541" s="9">
        <v>44968</v>
      </c>
      <c r="X541" s="10">
        <v>12</v>
      </c>
      <c r="Y541" s="9">
        <v>44976</v>
      </c>
      <c r="Z541">
        <v>8</v>
      </c>
      <c r="AA541" s="11" t="s">
        <v>49</v>
      </c>
    </row>
    <row r="542" spans="2:27" ht="16" x14ac:dyDescent="0.2">
      <c r="B542" t="s">
        <v>35</v>
      </c>
      <c r="C542">
        <v>40361116</v>
      </c>
      <c r="D542" t="s">
        <v>423</v>
      </c>
      <c r="E542">
        <v>1012534</v>
      </c>
      <c r="F542" t="s">
        <v>232</v>
      </c>
      <c r="G542" s="9">
        <v>44961</v>
      </c>
      <c r="H542" s="7"/>
      <c r="I542" s="7"/>
      <c r="J542" s="7"/>
      <c r="K542" s="7"/>
      <c r="L542" s="10">
        <v>5.4496124031007751</v>
      </c>
      <c r="M542" s="9">
        <v>44966</v>
      </c>
      <c r="N542" s="10">
        <v>10</v>
      </c>
      <c r="O542" s="9">
        <v>44976</v>
      </c>
      <c r="P542">
        <v>8</v>
      </c>
      <c r="Q542" s="11" t="s">
        <v>49</v>
      </c>
      <c r="R542" s="7"/>
      <c r="S542" s="7"/>
      <c r="T542" s="7"/>
      <c r="U542" s="7"/>
      <c r="V542" s="10">
        <v>7.4496124031007751</v>
      </c>
      <c r="W542" s="9">
        <v>44968</v>
      </c>
      <c r="X542" s="10">
        <v>12</v>
      </c>
      <c r="Y542" s="9">
        <v>44976</v>
      </c>
      <c r="Z542">
        <v>8</v>
      </c>
      <c r="AA542" s="11" t="s">
        <v>49</v>
      </c>
    </row>
    <row r="543" spans="2:27" ht="16" x14ac:dyDescent="0.2">
      <c r="B543" t="s">
        <v>35</v>
      </c>
      <c r="C543">
        <v>40361115</v>
      </c>
      <c r="D543" t="s">
        <v>423</v>
      </c>
      <c r="E543">
        <v>1012534</v>
      </c>
      <c r="F543" t="s">
        <v>232</v>
      </c>
      <c r="G543" s="9">
        <v>44956</v>
      </c>
      <c r="H543" s="7"/>
      <c r="I543" s="7"/>
      <c r="J543" s="7"/>
      <c r="K543" s="7"/>
      <c r="L543" s="10">
        <v>5.4496124031007751</v>
      </c>
      <c r="M543" s="9">
        <v>44961</v>
      </c>
      <c r="N543" s="10">
        <v>10</v>
      </c>
      <c r="O543" s="9">
        <v>44971</v>
      </c>
      <c r="P543">
        <v>12</v>
      </c>
      <c r="Q543" s="11" t="s">
        <v>49</v>
      </c>
      <c r="R543" s="7"/>
      <c r="S543" s="7"/>
      <c r="T543" s="7"/>
      <c r="U543" s="7"/>
      <c r="V543" s="10">
        <v>7.4496124031007751</v>
      </c>
      <c r="W543" s="9">
        <v>44963</v>
      </c>
      <c r="X543" s="10">
        <v>12</v>
      </c>
      <c r="Y543" s="9">
        <v>44971</v>
      </c>
      <c r="Z543">
        <v>12</v>
      </c>
      <c r="AA543" s="11" t="s">
        <v>49</v>
      </c>
    </row>
    <row r="544" spans="2:27" ht="16" x14ac:dyDescent="0.2">
      <c r="B544" t="s">
        <v>35</v>
      </c>
      <c r="C544">
        <v>40361114</v>
      </c>
      <c r="D544" t="s">
        <v>423</v>
      </c>
      <c r="E544">
        <v>1012534</v>
      </c>
      <c r="F544" t="s">
        <v>232</v>
      </c>
      <c r="G544" s="9">
        <v>44956</v>
      </c>
      <c r="H544" s="7"/>
      <c r="I544" s="7"/>
      <c r="J544" s="7"/>
      <c r="K544" s="7"/>
      <c r="L544" s="10">
        <v>5.4496124031007751</v>
      </c>
      <c r="M544" s="9">
        <v>44961</v>
      </c>
      <c r="N544" s="10">
        <v>10</v>
      </c>
      <c r="O544" s="9">
        <v>44971</v>
      </c>
      <c r="P544">
        <v>12</v>
      </c>
      <c r="Q544" s="11" t="s">
        <v>49</v>
      </c>
      <c r="R544" s="7"/>
      <c r="S544" s="7"/>
      <c r="T544" s="7"/>
      <c r="U544" s="7"/>
      <c r="V544" s="10">
        <v>7.4496124031007751</v>
      </c>
      <c r="W544" s="9">
        <v>44963</v>
      </c>
      <c r="X544" s="10">
        <v>12</v>
      </c>
      <c r="Y544" s="9">
        <v>44971</v>
      </c>
      <c r="Z544">
        <v>12</v>
      </c>
      <c r="AA544" s="11" t="s">
        <v>49</v>
      </c>
    </row>
    <row r="545" spans="2:27" ht="16" x14ac:dyDescent="0.2">
      <c r="B545" t="s">
        <v>35</v>
      </c>
      <c r="C545">
        <v>40361113</v>
      </c>
      <c r="D545" t="s">
        <v>423</v>
      </c>
      <c r="E545">
        <v>1012534</v>
      </c>
      <c r="F545" t="s">
        <v>232</v>
      </c>
      <c r="G545" s="9">
        <v>44956</v>
      </c>
      <c r="H545" s="7"/>
      <c r="I545" s="7"/>
      <c r="J545" s="7"/>
      <c r="K545" s="7"/>
      <c r="L545" s="10">
        <v>5.4496124031007751</v>
      </c>
      <c r="M545" s="9">
        <v>44961</v>
      </c>
      <c r="N545" s="10">
        <v>10</v>
      </c>
      <c r="O545" s="9">
        <v>44971</v>
      </c>
      <c r="P545">
        <v>12</v>
      </c>
      <c r="Q545" s="11" t="s">
        <v>49</v>
      </c>
      <c r="R545" s="7"/>
      <c r="S545" s="7"/>
      <c r="T545" s="7"/>
      <c r="U545" s="7"/>
      <c r="V545" s="10">
        <v>7.4496124031007751</v>
      </c>
      <c r="W545" s="9">
        <v>44963</v>
      </c>
      <c r="X545" s="10">
        <v>12</v>
      </c>
      <c r="Y545" s="9">
        <v>44971</v>
      </c>
      <c r="Z545">
        <v>12</v>
      </c>
      <c r="AA545" s="11" t="s">
        <v>49</v>
      </c>
    </row>
    <row r="546" spans="2:27" ht="16" x14ac:dyDescent="0.2">
      <c r="B546" t="s">
        <v>35</v>
      </c>
      <c r="C546">
        <v>40361112</v>
      </c>
      <c r="D546" t="s">
        <v>423</v>
      </c>
      <c r="E546">
        <v>1012534</v>
      </c>
      <c r="F546" t="s">
        <v>232</v>
      </c>
      <c r="G546" s="9">
        <v>44956</v>
      </c>
      <c r="H546" s="7"/>
      <c r="I546" s="7"/>
      <c r="J546" s="7"/>
      <c r="K546" s="7"/>
      <c r="L546" s="10">
        <v>5.4496124031007751</v>
      </c>
      <c r="M546" s="9">
        <v>44961</v>
      </c>
      <c r="N546" s="10">
        <v>10</v>
      </c>
      <c r="O546" s="9">
        <v>44971</v>
      </c>
      <c r="P546">
        <v>12</v>
      </c>
      <c r="Q546" s="11" t="s">
        <v>49</v>
      </c>
      <c r="R546" s="7"/>
      <c r="S546" s="7"/>
      <c r="T546" s="7"/>
      <c r="U546" s="7"/>
      <c r="V546" s="10">
        <v>7.4496124031007751</v>
      </c>
      <c r="W546" s="9">
        <v>44963</v>
      </c>
      <c r="X546" s="10">
        <v>12</v>
      </c>
      <c r="Y546" s="9">
        <v>44971</v>
      </c>
      <c r="Z546">
        <v>12</v>
      </c>
      <c r="AA546" s="11" t="s">
        <v>49</v>
      </c>
    </row>
    <row r="547" spans="2:27" x14ac:dyDescent="0.2">
      <c r="B547" t="s">
        <v>394</v>
      </c>
      <c r="C547">
        <v>40361092</v>
      </c>
      <c r="D547" t="s">
        <v>485</v>
      </c>
      <c r="E547">
        <v>1020944</v>
      </c>
      <c r="F547" t="s">
        <v>498</v>
      </c>
      <c r="G547" s="9">
        <v>44969</v>
      </c>
      <c r="H547" s="7"/>
      <c r="I547" s="7"/>
      <c r="J547" s="7"/>
      <c r="K547" s="7"/>
      <c r="L547" s="10"/>
      <c r="N547" s="10"/>
      <c r="Q547" s="11"/>
      <c r="R547" s="7"/>
      <c r="S547" s="7"/>
      <c r="T547" s="7"/>
      <c r="U547" s="7"/>
      <c r="V547" s="10"/>
      <c r="X547" s="10"/>
      <c r="AA547" s="11"/>
    </row>
    <row r="548" spans="2:27" x14ac:dyDescent="0.2">
      <c r="B548" t="s">
        <v>394</v>
      </c>
      <c r="C548">
        <v>40361091</v>
      </c>
      <c r="D548" t="s">
        <v>485</v>
      </c>
      <c r="E548">
        <v>1020944</v>
      </c>
      <c r="F548" t="s">
        <v>498</v>
      </c>
      <c r="G548" s="9">
        <v>44968</v>
      </c>
      <c r="H548" s="7"/>
      <c r="I548" s="7"/>
      <c r="J548" s="7"/>
      <c r="K548" s="7"/>
      <c r="L548" s="10"/>
      <c r="N548" s="10"/>
      <c r="Q548" s="11"/>
      <c r="R548" s="7"/>
      <c r="S548" s="7"/>
      <c r="T548" s="7"/>
      <c r="U548" s="7"/>
      <c r="V548" s="10"/>
      <c r="X548" s="10"/>
      <c r="AA548" s="11"/>
    </row>
    <row r="549" spans="2:27" x14ac:dyDescent="0.2">
      <c r="B549" t="s">
        <v>394</v>
      </c>
      <c r="C549">
        <v>40361090</v>
      </c>
      <c r="D549" t="s">
        <v>485</v>
      </c>
      <c r="E549">
        <v>1011421</v>
      </c>
      <c r="F549" t="s">
        <v>484</v>
      </c>
      <c r="G549" s="9">
        <v>44969</v>
      </c>
      <c r="H549" s="7"/>
      <c r="I549" s="7"/>
      <c r="J549" s="7"/>
      <c r="K549" s="7"/>
      <c r="L549" s="10"/>
      <c r="N549" s="10"/>
      <c r="Q549" s="11"/>
      <c r="R549" s="7"/>
      <c r="S549" s="7"/>
      <c r="T549" s="7"/>
      <c r="U549" s="7"/>
      <c r="V549" s="10"/>
      <c r="X549" s="10"/>
      <c r="AA549" s="11"/>
    </row>
    <row r="550" spans="2:27" x14ac:dyDescent="0.2">
      <c r="B550" t="s">
        <v>394</v>
      </c>
      <c r="C550">
        <v>40361089</v>
      </c>
      <c r="D550" t="s">
        <v>485</v>
      </c>
      <c r="E550">
        <v>1011421</v>
      </c>
      <c r="F550" t="s">
        <v>484</v>
      </c>
      <c r="G550" s="9">
        <v>44954</v>
      </c>
      <c r="H550" s="7"/>
      <c r="I550" s="7"/>
      <c r="J550" s="7"/>
      <c r="K550" s="7"/>
      <c r="L550" s="10"/>
      <c r="N550" s="10"/>
      <c r="Q550" s="11"/>
      <c r="R550" s="7"/>
      <c r="S550" s="7"/>
      <c r="T550" s="7"/>
      <c r="U550" s="7"/>
      <c r="V550" s="10"/>
      <c r="X550" s="10"/>
      <c r="AA550" s="11"/>
    </row>
    <row r="551" spans="2:27" x14ac:dyDescent="0.2">
      <c r="B551" t="s">
        <v>394</v>
      </c>
      <c r="C551">
        <v>40361058</v>
      </c>
      <c r="D551" t="s">
        <v>485</v>
      </c>
      <c r="E551">
        <v>1022709</v>
      </c>
      <c r="F551" t="s">
        <v>493</v>
      </c>
      <c r="G551" s="9">
        <v>44964</v>
      </c>
      <c r="H551" s="7"/>
      <c r="I551" s="7"/>
      <c r="J551" s="7"/>
      <c r="K551" s="7"/>
      <c r="L551" s="10"/>
      <c r="N551" s="10"/>
      <c r="Q551" s="11"/>
      <c r="R551" s="7"/>
      <c r="S551" s="7"/>
      <c r="T551" s="7"/>
      <c r="U551" s="7"/>
      <c r="V551" s="10"/>
      <c r="X551" s="10"/>
      <c r="AA551" s="11"/>
    </row>
    <row r="552" spans="2:27" x14ac:dyDescent="0.2">
      <c r="B552" t="s">
        <v>394</v>
      </c>
      <c r="C552">
        <v>40361057</v>
      </c>
      <c r="D552" t="s">
        <v>485</v>
      </c>
      <c r="E552">
        <v>1022709</v>
      </c>
      <c r="F552" t="s">
        <v>493</v>
      </c>
      <c r="G552" s="9">
        <v>44958</v>
      </c>
      <c r="H552" s="7"/>
      <c r="I552" s="7"/>
      <c r="J552" s="7"/>
      <c r="K552" s="7"/>
      <c r="L552" s="10"/>
      <c r="N552" s="10"/>
      <c r="Q552" s="11"/>
      <c r="R552" s="7"/>
      <c r="S552" s="7"/>
      <c r="T552" s="7"/>
      <c r="U552" s="7"/>
      <c r="V552" s="10"/>
      <c r="X552" s="10"/>
      <c r="AA552" s="11"/>
    </row>
    <row r="553" spans="2:27" x14ac:dyDescent="0.2">
      <c r="B553" t="s">
        <v>394</v>
      </c>
      <c r="C553">
        <v>40360785</v>
      </c>
      <c r="D553" t="s">
        <v>485</v>
      </c>
      <c r="E553">
        <v>1030821</v>
      </c>
      <c r="F553" t="s">
        <v>601</v>
      </c>
      <c r="G553" s="9">
        <v>44960</v>
      </c>
      <c r="H553" s="7"/>
      <c r="I553" s="7"/>
      <c r="J553" s="7"/>
      <c r="K553" s="7"/>
      <c r="L553" s="10"/>
      <c r="N553" s="10"/>
      <c r="Q553" s="11"/>
      <c r="R553" s="7"/>
      <c r="S553" s="7"/>
      <c r="T553" s="7"/>
      <c r="U553" s="7"/>
      <c r="V553" s="10"/>
      <c r="X553" s="10"/>
      <c r="AA553" s="11"/>
    </row>
    <row r="554" spans="2:27" ht="16" x14ac:dyDescent="0.2">
      <c r="B554" t="s">
        <v>35</v>
      </c>
      <c r="C554">
        <v>40360767</v>
      </c>
      <c r="D554" t="s">
        <v>389</v>
      </c>
      <c r="E554">
        <v>1022639</v>
      </c>
      <c r="F554" t="s">
        <v>316</v>
      </c>
      <c r="G554" s="9">
        <v>44990</v>
      </c>
      <c r="H554" s="7">
        <v>21764.76</v>
      </c>
      <c r="I554" s="7"/>
      <c r="J554" s="7"/>
      <c r="K554" s="7"/>
      <c r="L554" s="10">
        <v>5.5741092456127026</v>
      </c>
      <c r="M554" s="9">
        <v>44995</v>
      </c>
      <c r="N554" s="10">
        <v>5.5</v>
      </c>
      <c r="O554" s="9">
        <v>45000</v>
      </c>
      <c r="P554">
        <v>14</v>
      </c>
      <c r="Q554" s="11" t="s">
        <v>49</v>
      </c>
      <c r="R554" s="7">
        <v>21764.76</v>
      </c>
      <c r="S554" s="7"/>
      <c r="T554" s="7"/>
      <c r="U554" s="7"/>
      <c r="V554" s="10">
        <v>7.5741092456127026</v>
      </c>
      <c r="W554" s="9">
        <v>44997</v>
      </c>
      <c r="X554" s="10">
        <v>7.5</v>
      </c>
      <c r="Y554" s="9">
        <v>45000</v>
      </c>
      <c r="Z554">
        <v>14</v>
      </c>
      <c r="AA554" s="11" t="s">
        <v>49</v>
      </c>
    </row>
    <row r="555" spans="2:27" ht="16" x14ac:dyDescent="0.2">
      <c r="B555" t="s">
        <v>35</v>
      </c>
      <c r="C555">
        <v>40360766</v>
      </c>
      <c r="D555" t="s">
        <v>389</v>
      </c>
      <c r="E555">
        <v>1022639</v>
      </c>
      <c r="F555" t="s">
        <v>316</v>
      </c>
      <c r="G555" s="9">
        <v>44993</v>
      </c>
      <c r="H555" s="7">
        <v>22163.91</v>
      </c>
      <c r="I555" s="7"/>
      <c r="J555" s="7"/>
      <c r="K555" s="7"/>
      <c r="L555" s="10">
        <v>5.5741092456127026</v>
      </c>
      <c r="M555" s="9">
        <v>44998</v>
      </c>
      <c r="N555" s="10">
        <v>5.5</v>
      </c>
      <c r="O555" s="9">
        <v>45003</v>
      </c>
      <c r="P555">
        <v>11</v>
      </c>
      <c r="Q555" s="11" t="s">
        <v>49</v>
      </c>
      <c r="R555" s="7">
        <v>22163.91</v>
      </c>
      <c r="S555" s="7"/>
      <c r="T555" s="7"/>
      <c r="U555" s="7"/>
      <c r="V555" s="10">
        <v>7.5741092456127026</v>
      </c>
      <c r="W555" s="9">
        <v>45000</v>
      </c>
      <c r="X555" s="10">
        <v>7.5</v>
      </c>
      <c r="Y555" s="9">
        <v>45003</v>
      </c>
      <c r="Z555">
        <v>11</v>
      </c>
      <c r="AA555" s="11" t="s">
        <v>49</v>
      </c>
    </row>
    <row r="556" spans="2:27" ht="16" x14ac:dyDescent="0.2">
      <c r="B556" t="s">
        <v>35</v>
      </c>
      <c r="C556">
        <v>40360765</v>
      </c>
      <c r="D556" t="s">
        <v>389</v>
      </c>
      <c r="E556">
        <v>1022639</v>
      </c>
      <c r="F556" t="s">
        <v>316</v>
      </c>
      <c r="G556" s="9">
        <v>44975</v>
      </c>
      <c r="H556" s="7"/>
      <c r="I556" s="7"/>
      <c r="J556" s="7"/>
      <c r="K556" s="7"/>
      <c r="L556" s="10">
        <v>5.5741092456127026</v>
      </c>
      <c r="M556" s="9">
        <v>44980</v>
      </c>
      <c r="N556" s="10">
        <v>5.5</v>
      </c>
      <c r="O556" s="9">
        <v>44985</v>
      </c>
      <c r="P556">
        <v>0</v>
      </c>
      <c r="Q556" s="11" t="s">
        <v>594</v>
      </c>
      <c r="R556" s="7"/>
      <c r="S556" s="7"/>
      <c r="T556" s="7"/>
      <c r="U556" s="7"/>
      <c r="V556" s="10">
        <v>7.5741092456127026</v>
      </c>
      <c r="W556" s="9">
        <v>44982</v>
      </c>
      <c r="X556" s="10">
        <v>7.5</v>
      </c>
      <c r="Y556" s="9">
        <v>44985</v>
      </c>
      <c r="Z556">
        <v>0</v>
      </c>
      <c r="AA556" s="11" t="s">
        <v>594</v>
      </c>
    </row>
    <row r="557" spans="2:27" ht="16" x14ac:dyDescent="0.2">
      <c r="B557" t="s">
        <v>35</v>
      </c>
      <c r="C557">
        <v>40360764</v>
      </c>
      <c r="D557" t="s">
        <v>389</v>
      </c>
      <c r="E557">
        <v>1022639</v>
      </c>
      <c r="F557" t="s">
        <v>316</v>
      </c>
      <c r="G557" s="9">
        <v>44975</v>
      </c>
      <c r="H557" s="7"/>
      <c r="I557" s="7"/>
      <c r="J557" s="7"/>
      <c r="K557" s="7"/>
      <c r="L557" s="10">
        <v>5.5741092456127026</v>
      </c>
      <c r="M557" s="9">
        <v>44980</v>
      </c>
      <c r="N557" s="10">
        <v>5.5</v>
      </c>
      <c r="O557" s="9">
        <v>44985</v>
      </c>
      <c r="P557">
        <v>0</v>
      </c>
      <c r="Q557" s="11" t="s">
        <v>594</v>
      </c>
      <c r="R557" s="7"/>
      <c r="S557" s="7"/>
      <c r="T557" s="7"/>
      <c r="U557" s="7"/>
      <c r="V557" s="10">
        <v>7.5741092456127026</v>
      </c>
      <c r="W557" s="9">
        <v>44982</v>
      </c>
      <c r="X557" s="10">
        <v>7.5</v>
      </c>
      <c r="Y557" s="9">
        <v>44985</v>
      </c>
      <c r="Z557">
        <v>0</v>
      </c>
      <c r="AA557" s="11" t="s">
        <v>594</v>
      </c>
    </row>
    <row r="558" spans="2:27" ht="16" x14ac:dyDescent="0.2">
      <c r="B558" t="s">
        <v>35</v>
      </c>
      <c r="C558">
        <v>40360763</v>
      </c>
      <c r="D558" t="s">
        <v>389</v>
      </c>
      <c r="E558">
        <v>1021766</v>
      </c>
      <c r="F558" t="s">
        <v>286</v>
      </c>
      <c r="G558" s="9">
        <v>44995</v>
      </c>
      <c r="H558" s="7">
        <v>24102</v>
      </c>
      <c r="I558" s="7"/>
      <c r="J558" s="7"/>
      <c r="K558" s="7"/>
      <c r="L558" s="10">
        <v>5.5741092456127026</v>
      </c>
      <c r="M558" s="9">
        <v>45000</v>
      </c>
      <c r="N558" s="10">
        <v>5.5</v>
      </c>
      <c r="O558" s="9">
        <v>45005</v>
      </c>
      <c r="P558">
        <v>10</v>
      </c>
      <c r="Q558" s="11" t="s">
        <v>49</v>
      </c>
      <c r="R558" s="7">
        <v>24102</v>
      </c>
      <c r="S558" s="7"/>
      <c r="T558" s="7"/>
      <c r="U558" s="7"/>
      <c r="V558" s="10">
        <v>7.5741092456127026</v>
      </c>
      <c r="W558" s="9">
        <v>45002</v>
      </c>
      <c r="X558" s="10">
        <v>7.5</v>
      </c>
      <c r="Y558" s="9">
        <v>45005</v>
      </c>
      <c r="Z558">
        <v>10</v>
      </c>
      <c r="AA558" s="11" t="s">
        <v>49</v>
      </c>
    </row>
    <row r="559" spans="2:27" ht="16" x14ac:dyDescent="0.2">
      <c r="B559" t="s">
        <v>35</v>
      </c>
      <c r="C559">
        <v>40360762</v>
      </c>
      <c r="D559" t="s">
        <v>389</v>
      </c>
      <c r="E559">
        <v>1021733</v>
      </c>
      <c r="F559" t="s">
        <v>277</v>
      </c>
      <c r="G559" s="9">
        <v>44995</v>
      </c>
      <c r="H559" s="7">
        <v>24129.72</v>
      </c>
      <c r="I559" s="7"/>
      <c r="J559" s="7"/>
      <c r="K559" s="7"/>
      <c r="L559" s="10">
        <v>5.5741092456127026</v>
      </c>
      <c r="M559" s="9">
        <v>45000</v>
      </c>
      <c r="N559" s="10">
        <v>5.5</v>
      </c>
      <c r="O559" s="9">
        <v>45005</v>
      </c>
      <c r="P559">
        <v>10</v>
      </c>
      <c r="Q559" s="11" t="s">
        <v>49</v>
      </c>
      <c r="R559" s="7">
        <v>24129.72</v>
      </c>
      <c r="S559" s="7"/>
      <c r="T559" s="7"/>
      <c r="U559" s="7"/>
      <c r="V559" s="10">
        <v>7.5741092456127026</v>
      </c>
      <c r="W559" s="9">
        <v>45002</v>
      </c>
      <c r="X559" s="10">
        <v>7.5</v>
      </c>
      <c r="Y559" s="9">
        <v>45005</v>
      </c>
      <c r="Z559">
        <v>10</v>
      </c>
      <c r="AA559" s="11" t="s">
        <v>49</v>
      </c>
    </row>
    <row r="560" spans="2:27" ht="16" x14ac:dyDescent="0.2">
      <c r="B560" t="s">
        <v>35</v>
      </c>
      <c r="C560">
        <v>40360761</v>
      </c>
      <c r="D560" t="s">
        <v>389</v>
      </c>
      <c r="E560">
        <v>1022636</v>
      </c>
      <c r="F560" t="s">
        <v>312</v>
      </c>
      <c r="G560" s="9">
        <v>45001</v>
      </c>
      <c r="H560" s="7">
        <v>21600</v>
      </c>
      <c r="I560" s="7"/>
      <c r="J560" s="7"/>
      <c r="K560" s="7"/>
      <c r="L560" s="10">
        <v>5.5741092456127026</v>
      </c>
      <c r="M560" s="9">
        <v>45006</v>
      </c>
      <c r="N560" s="10">
        <v>5.5</v>
      </c>
      <c r="O560" s="9">
        <v>45011</v>
      </c>
      <c r="P560">
        <v>5</v>
      </c>
      <c r="Q560" s="11" t="s">
        <v>49</v>
      </c>
      <c r="R560" s="7">
        <v>21600</v>
      </c>
      <c r="S560" s="7"/>
      <c r="T560" s="7"/>
      <c r="U560" s="7"/>
      <c r="V560" s="10">
        <v>7.5741092456127026</v>
      </c>
      <c r="W560" s="9">
        <v>45008</v>
      </c>
      <c r="X560" s="10">
        <v>7.5</v>
      </c>
      <c r="Y560" s="9">
        <v>45011</v>
      </c>
      <c r="Z560">
        <v>5</v>
      </c>
      <c r="AA560" s="11" t="s">
        <v>49</v>
      </c>
    </row>
    <row r="561" spans="2:27" ht="16" x14ac:dyDescent="0.2">
      <c r="B561" t="s">
        <v>35</v>
      </c>
      <c r="C561">
        <v>40360760</v>
      </c>
      <c r="D561" t="s">
        <v>389</v>
      </c>
      <c r="E561">
        <v>1022183</v>
      </c>
      <c r="F561" t="s">
        <v>165</v>
      </c>
      <c r="G561" s="9">
        <v>44973</v>
      </c>
      <c r="H561" s="7"/>
      <c r="I561" s="7"/>
      <c r="J561" s="7"/>
      <c r="K561" s="7"/>
      <c r="L561" s="10">
        <v>5.5741092456127026</v>
      </c>
      <c r="M561" s="9">
        <v>44978</v>
      </c>
      <c r="N561" s="10">
        <v>5.5</v>
      </c>
      <c r="O561" s="9">
        <v>44983</v>
      </c>
      <c r="P561">
        <v>2</v>
      </c>
      <c r="Q561" s="11" t="s">
        <v>594</v>
      </c>
      <c r="R561" s="7"/>
      <c r="S561" s="7"/>
      <c r="T561" s="7"/>
      <c r="U561" s="7"/>
      <c r="V561" s="10">
        <v>7.5741092456127026</v>
      </c>
      <c r="W561" s="9">
        <v>44980</v>
      </c>
      <c r="X561" s="10">
        <v>7.5</v>
      </c>
      <c r="Y561" s="9">
        <v>44983</v>
      </c>
      <c r="Z561">
        <v>2</v>
      </c>
      <c r="AA561" s="11" t="s">
        <v>594</v>
      </c>
    </row>
    <row r="562" spans="2:27" ht="16" x14ac:dyDescent="0.2">
      <c r="B562" t="s">
        <v>35</v>
      </c>
      <c r="C562">
        <v>40360759</v>
      </c>
      <c r="D562" t="s">
        <v>389</v>
      </c>
      <c r="E562">
        <v>1021739</v>
      </c>
      <c r="F562" t="s">
        <v>416</v>
      </c>
      <c r="G562" s="9">
        <v>44990</v>
      </c>
      <c r="H562" s="7">
        <v>24014.79</v>
      </c>
      <c r="I562" s="7"/>
      <c r="J562" s="7"/>
      <c r="K562" s="7"/>
      <c r="L562" s="10">
        <v>5.5741092456127026</v>
      </c>
      <c r="M562" s="9">
        <v>44995</v>
      </c>
      <c r="N562" s="10">
        <v>5.5</v>
      </c>
      <c r="O562" s="9">
        <v>45000</v>
      </c>
      <c r="P562">
        <v>14</v>
      </c>
      <c r="Q562" s="11" t="s">
        <v>49</v>
      </c>
      <c r="R562" s="7">
        <v>24014.79</v>
      </c>
      <c r="S562" s="7"/>
      <c r="T562" s="7"/>
      <c r="U562" s="7"/>
      <c r="V562" s="10">
        <v>7.5741092456127026</v>
      </c>
      <c r="W562" s="9">
        <v>44997</v>
      </c>
      <c r="X562" s="10">
        <v>7.5</v>
      </c>
      <c r="Y562" s="9">
        <v>45000</v>
      </c>
      <c r="Z562">
        <v>14</v>
      </c>
      <c r="AA562" s="11" t="s">
        <v>49</v>
      </c>
    </row>
    <row r="563" spans="2:27" ht="16" x14ac:dyDescent="0.2">
      <c r="B563" t="s">
        <v>35</v>
      </c>
      <c r="C563">
        <v>40360755</v>
      </c>
      <c r="D563" t="s">
        <v>389</v>
      </c>
      <c r="E563">
        <v>1022753</v>
      </c>
      <c r="F563" t="s">
        <v>320</v>
      </c>
      <c r="G563" s="9">
        <v>45003</v>
      </c>
      <c r="H563" s="7">
        <v>25000</v>
      </c>
      <c r="I563" s="7"/>
      <c r="J563" s="7"/>
      <c r="K563" s="7"/>
      <c r="L563" s="10">
        <v>5.5741092456127026</v>
      </c>
      <c r="M563" s="9">
        <v>45008</v>
      </c>
      <c r="N563" s="10">
        <v>5.5</v>
      </c>
      <c r="O563" s="9">
        <v>45013</v>
      </c>
      <c r="P563">
        <v>3</v>
      </c>
      <c r="Q563" s="11" t="s">
        <v>49</v>
      </c>
      <c r="R563" s="7">
        <v>25000</v>
      </c>
      <c r="S563" s="7"/>
      <c r="T563" s="7"/>
      <c r="U563" s="7"/>
      <c r="V563" s="10">
        <v>7.5741092456127026</v>
      </c>
      <c r="W563" s="9">
        <v>45010</v>
      </c>
      <c r="X563" s="10">
        <v>7.5</v>
      </c>
      <c r="Y563" s="9">
        <v>45013</v>
      </c>
      <c r="Z563">
        <v>3</v>
      </c>
      <c r="AA563" s="11" t="s">
        <v>49</v>
      </c>
    </row>
    <row r="564" spans="2:27" ht="16" x14ac:dyDescent="0.2">
      <c r="B564" t="s">
        <v>35</v>
      </c>
      <c r="C564">
        <v>40360753</v>
      </c>
      <c r="D564" t="s">
        <v>389</v>
      </c>
      <c r="E564">
        <v>1021731</v>
      </c>
      <c r="F564" t="s">
        <v>273</v>
      </c>
      <c r="G564" s="9">
        <v>45004</v>
      </c>
      <c r="H564" s="7">
        <v>24300</v>
      </c>
      <c r="I564" s="7"/>
      <c r="J564" s="7"/>
      <c r="K564" s="7"/>
      <c r="L564" s="10">
        <v>5.5741092456127026</v>
      </c>
      <c r="M564" s="9">
        <v>45009</v>
      </c>
      <c r="N564" s="10">
        <v>5.5</v>
      </c>
      <c r="O564" s="9">
        <v>45014</v>
      </c>
      <c r="P564">
        <v>2</v>
      </c>
      <c r="Q564" s="11" t="s">
        <v>598</v>
      </c>
      <c r="R564" s="7">
        <v>24300</v>
      </c>
      <c r="S564" s="7"/>
      <c r="T564" s="7"/>
      <c r="U564" s="7"/>
      <c r="V564" s="10">
        <v>7.5741092456127026</v>
      </c>
      <c r="W564" s="9">
        <v>45011</v>
      </c>
      <c r="X564" s="10">
        <v>7.5</v>
      </c>
      <c r="Y564" s="9">
        <v>45014</v>
      </c>
      <c r="Z564">
        <v>2</v>
      </c>
      <c r="AA564" s="11" t="s">
        <v>598</v>
      </c>
    </row>
    <row r="565" spans="2:27" ht="16" x14ac:dyDescent="0.2">
      <c r="B565" t="s">
        <v>35</v>
      </c>
      <c r="C565">
        <v>40360752</v>
      </c>
      <c r="D565" t="s">
        <v>389</v>
      </c>
      <c r="E565">
        <v>1022099</v>
      </c>
      <c r="F565" t="s">
        <v>294</v>
      </c>
      <c r="G565" s="9">
        <v>44989</v>
      </c>
      <c r="H565" s="7">
        <v>7110</v>
      </c>
      <c r="I565" s="7"/>
      <c r="J565" s="7"/>
      <c r="K565" s="7"/>
      <c r="L565" s="10">
        <v>5.5741092456127026</v>
      </c>
      <c r="M565" s="9">
        <v>44994</v>
      </c>
      <c r="N565" s="10">
        <v>5.5</v>
      </c>
      <c r="O565" s="9">
        <v>44999</v>
      </c>
      <c r="P565">
        <v>15</v>
      </c>
      <c r="Q565" s="11" t="s">
        <v>49</v>
      </c>
      <c r="R565" s="7">
        <v>7110</v>
      </c>
      <c r="S565" s="7"/>
      <c r="T565" s="7"/>
      <c r="U565" s="7"/>
      <c r="V565" s="10">
        <v>7.5741092456127026</v>
      </c>
      <c r="W565" s="9">
        <v>44996</v>
      </c>
      <c r="X565" s="10">
        <v>7.5</v>
      </c>
      <c r="Y565" s="9">
        <v>44999</v>
      </c>
      <c r="Z565">
        <v>15</v>
      </c>
      <c r="AA565" s="11" t="s">
        <v>49</v>
      </c>
    </row>
    <row r="566" spans="2:27" ht="16" x14ac:dyDescent="0.2">
      <c r="B566" t="s">
        <v>35</v>
      </c>
      <c r="C566">
        <v>40360752</v>
      </c>
      <c r="D566" t="s">
        <v>389</v>
      </c>
      <c r="E566">
        <v>1022099</v>
      </c>
      <c r="F566" t="s">
        <v>294</v>
      </c>
      <c r="G566" s="9">
        <v>44989</v>
      </c>
      <c r="H566" s="7">
        <v>25002</v>
      </c>
      <c r="I566" s="7"/>
      <c r="J566" s="7"/>
      <c r="K566" s="7"/>
      <c r="L566" s="10">
        <v>5.5741092456127026</v>
      </c>
      <c r="M566" s="9">
        <v>44994</v>
      </c>
      <c r="N566" s="10">
        <v>5.5</v>
      </c>
      <c r="O566" s="9">
        <v>44999</v>
      </c>
      <c r="P566">
        <v>15</v>
      </c>
      <c r="Q566" s="11" t="s">
        <v>49</v>
      </c>
      <c r="R566" s="7">
        <v>25002</v>
      </c>
      <c r="S566" s="7"/>
      <c r="T566" s="7"/>
      <c r="U566" s="7"/>
      <c r="V566" s="10">
        <v>7.5741092456127026</v>
      </c>
      <c r="W566" s="9">
        <v>44996</v>
      </c>
      <c r="X566" s="10">
        <v>7.5</v>
      </c>
      <c r="Y566" s="9">
        <v>44999</v>
      </c>
      <c r="Z566">
        <v>15</v>
      </c>
      <c r="AA566" s="11" t="s">
        <v>49</v>
      </c>
    </row>
    <row r="567" spans="2:27" ht="16" x14ac:dyDescent="0.2">
      <c r="B567" t="s">
        <v>35</v>
      </c>
      <c r="C567">
        <v>40360751</v>
      </c>
      <c r="D567" t="s">
        <v>389</v>
      </c>
      <c r="E567">
        <v>1022099</v>
      </c>
      <c r="F567" t="s">
        <v>294</v>
      </c>
      <c r="G567" s="9">
        <v>44983</v>
      </c>
      <c r="H567" s="7">
        <v>24408</v>
      </c>
      <c r="I567" s="7"/>
      <c r="J567" s="7"/>
      <c r="K567" s="7"/>
      <c r="L567" s="10">
        <v>5.5741092456127026</v>
      </c>
      <c r="M567" s="9">
        <v>44988</v>
      </c>
      <c r="N567" s="10">
        <v>5.5</v>
      </c>
      <c r="O567" s="9">
        <v>44993</v>
      </c>
      <c r="P567">
        <v>20</v>
      </c>
      <c r="Q567" s="11" t="s">
        <v>49</v>
      </c>
      <c r="R567" s="7">
        <v>24408</v>
      </c>
      <c r="S567" s="7"/>
      <c r="T567" s="7"/>
      <c r="U567" s="7"/>
      <c r="V567" s="10">
        <v>7.5741092456127026</v>
      </c>
      <c r="W567" s="9">
        <v>44990</v>
      </c>
      <c r="X567" s="10">
        <v>7.5</v>
      </c>
      <c r="Y567" s="9">
        <v>44993</v>
      </c>
      <c r="Z567">
        <v>20</v>
      </c>
      <c r="AA567" s="11" t="s">
        <v>49</v>
      </c>
    </row>
    <row r="568" spans="2:27" ht="16" x14ac:dyDescent="0.2">
      <c r="B568" t="s">
        <v>35</v>
      </c>
      <c r="C568">
        <v>40360750</v>
      </c>
      <c r="D568" t="s">
        <v>389</v>
      </c>
      <c r="E568">
        <v>1021732</v>
      </c>
      <c r="F568" t="s">
        <v>275</v>
      </c>
      <c r="G568" s="9">
        <v>44995</v>
      </c>
      <c r="H568" s="7">
        <v>17500</v>
      </c>
      <c r="I568" s="7"/>
      <c r="J568" s="7"/>
      <c r="K568" s="7"/>
      <c r="L568" s="10">
        <v>5.5741092456127026</v>
      </c>
      <c r="M568" s="9">
        <v>45000</v>
      </c>
      <c r="N568" s="10">
        <v>5.5</v>
      </c>
      <c r="O568" s="9">
        <v>45005</v>
      </c>
      <c r="P568">
        <v>10</v>
      </c>
      <c r="Q568" s="11" t="s">
        <v>49</v>
      </c>
      <c r="R568" s="7">
        <v>17500</v>
      </c>
      <c r="S568" s="7"/>
      <c r="T568" s="7"/>
      <c r="U568" s="7"/>
      <c r="V568" s="10">
        <v>7.5741092456127026</v>
      </c>
      <c r="W568" s="9">
        <v>45002</v>
      </c>
      <c r="X568" s="10">
        <v>7.5</v>
      </c>
      <c r="Y568" s="9">
        <v>45005</v>
      </c>
      <c r="Z568">
        <v>10</v>
      </c>
      <c r="AA568" s="11" t="s">
        <v>49</v>
      </c>
    </row>
    <row r="569" spans="2:27" ht="16" x14ac:dyDescent="0.2">
      <c r="B569" t="s">
        <v>35</v>
      </c>
      <c r="C569">
        <v>40360750</v>
      </c>
      <c r="D569" t="s">
        <v>389</v>
      </c>
      <c r="E569">
        <v>1021732</v>
      </c>
      <c r="F569" t="s">
        <v>275</v>
      </c>
      <c r="G569" s="9">
        <v>44995</v>
      </c>
      <c r="H569" s="7">
        <v>25000</v>
      </c>
      <c r="I569" s="7"/>
      <c r="J569" s="7"/>
      <c r="K569" s="7"/>
      <c r="L569" s="10">
        <v>5.5741092456127026</v>
      </c>
      <c r="M569" s="9">
        <v>45000</v>
      </c>
      <c r="N569" s="10">
        <v>5.5</v>
      </c>
      <c r="O569" s="9">
        <v>45005</v>
      </c>
      <c r="P569">
        <v>10</v>
      </c>
      <c r="Q569" s="11" t="s">
        <v>49</v>
      </c>
      <c r="R569" s="7">
        <v>25000</v>
      </c>
      <c r="S569" s="7"/>
      <c r="T569" s="7"/>
      <c r="U569" s="7"/>
      <c r="V569" s="10">
        <v>7.5741092456127026</v>
      </c>
      <c r="W569" s="9">
        <v>45002</v>
      </c>
      <c r="X569" s="10">
        <v>7.5</v>
      </c>
      <c r="Y569" s="9">
        <v>45005</v>
      </c>
      <c r="Z569">
        <v>10</v>
      </c>
      <c r="AA569" s="11" t="s">
        <v>49</v>
      </c>
    </row>
    <row r="570" spans="2:27" ht="16" x14ac:dyDescent="0.2">
      <c r="B570" t="s">
        <v>35</v>
      </c>
      <c r="C570">
        <v>40360749</v>
      </c>
      <c r="D570" t="s">
        <v>389</v>
      </c>
      <c r="E570">
        <v>1021732</v>
      </c>
      <c r="F570" t="s">
        <v>275</v>
      </c>
      <c r="G570" s="9">
        <v>44995</v>
      </c>
      <c r="H570" s="7">
        <v>24000</v>
      </c>
      <c r="I570" s="7"/>
      <c r="J570" s="7"/>
      <c r="K570" s="7"/>
      <c r="L570" s="10">
        <v>5.5741092456127026</v>
      </c>
      <c r="M570" s="9">
        <v>45000</v>
      </c>
      <c r="N570" s="10">
        <v>5.5</v>
      </c>
      <c r="O570" s="9">
        <v>45005</v>
      </c>
      <c r="P570">
        <v>10</v>
      </c>
      <c r="Q570" s="11" t="s">
        <v>49</v>
      </c>
      <c r="R570" s="7">
        <v>24000</v>
      </c>
      <c r="S570" s="7"/>
      <c r="T570" s="7"/>
      <c r="U570" s="7"/>
      <c r="V570" s="10">
        <v>7.5741092456127026</v>
      </c>
      <c r="W570" s="9">
        <v>45002</v>
      </c>
      <c r="X570" s="10">
        <v>7.5</v>
      </c>
      <c r="Y570" s="9">
        <v>45005</v>
      </c>
      <c r="Z570">
        <v>10</v>
      </c>
      <c r="AA570" s="11" t="s">
        <v>49</v>
      </c>
    </row>
    <row r="571" spans="2:27" ht="16" x14ac:dyDescent="0.2">
      <c r="B571" t="s">
        <v>35</v>
      </c>
      <c r="C571">
        <v>40360748</v>
      </c>
      <c r="D571" t="s">
        <v>389</v>
      </c>
      <c r="E571">
        <v>1021767</v>
      </c>
      <c r="F571" t="s">
        <v>288</v>
      </c>
      <c r="G571" s="9">
        <v>44995</v>
      </c>
      <c r="H571" s="7">
        <v>24192</v>
      </c>
      <c r="I571" s="7"/>
      <c r="J571" s="7"/>
      <c r="K571" s="7"/>
      <c r="L571" s="10">
        <v>5.5741092456127026</v>
      </c>
      <c r="M571" s="9">
        <v>45000</v>
      </c>
      <c r="N571" s="10">
        <v>5.5</v>
      </c>
      <c r="O571" s="9">
        <v>45005</v>
      </c>
      <c r="P571">
        <v>10</v>
      </c>
      <c r="Q571" s="11" t="s">
        <v>49</v>
      </c>
      <c r="R571" s="7">
        <v>24192</v>
      </c>
      <c r="S571" s="7"/>
      <c r="T571" s="7"/>
      <c r="U571" s="7"/>
      <c r="V571" s="10">
        <v>7.5741092456127026</v>
      </c>
      <c r="W571" s="9">
        <v>45002</v>
      </c>
      <c r="X571" s="10">
        <v>7.5</v>
      </c>
      <c r="Y571" s="9">
        <v>45005</v>
      </c>
      <c r="Z571">
        <v>10</v>
      </c>
      <c r="AA571" s="11" t="s">
        <v>49</v>
      </c>
    </row>
    <row r="572" spans="2:27" ht="16" x14ac:dyDescent="0.2">
      <c r="B572" t="s">
        <v>35</v>
      </c>
      <c r="C572">
        <v>40360747</v>
      </c>
      <c r="D572" t="s">
        <v>389</v>
      </c>
      <c r="E572">
        <v>1021767</v>
      </c>
      <c r="F572" t="s">
        <v>288</v>
      </c>
      <c r="G572" s="9">
        <v>44993</v>
      </c>
      <c r="H572" s="7">
        <v>23976</v>
      </c>
      <c r="I572" s="7"/>
      <c r="J572" s="7"/>
      <c r="K572" s="7"/>
      <c r="L572" s="10">
        <v>5.5741092456127026</v>
      </c>
      <c r="M572" s="9">
        <v>44998</v>
      </c>
      <c r="N572" s="10">
        <v>5.5</v>
      </c>
      <c r="O572" s="9">
        <v>45003</v>
      </c>
      <c r="P572">
        <v>11</v>
      </c>
      <c r="Q572" s="11" t="s">
        <v>49</v>
      </c>
      <c r="R572" s="7">
        <v>23976</v>
      </c>
      <c r="S572" s="7"/>
      <c r="T572" s="7"/>
      <c r="U572" s="7"/>
      <c r="V572" s="10">
        <v>7.5741092456127026</v>
      </c>
      <c r="W572" s="9">
        <v>45000</v>
      </c>
      <c r="X572" s="10">
        <v>7.5</v>
      </c>
      <c r="Y572" s="9">
        <v>45003</v>
      </c>
      <c r="Z572">
        <v>11</v>
      </c>
      <c r="AA572" s="11" t="s">
        <v>49</v>
      </c>
    </row>
    <row r="573" spans="2:27" ht="16" x14ac:dyDescent="0.2">
      <c r="B573" t="s">
        <v>35</v>
      </c>
      <c r="C573">
        <v>40360746</v>
      </c>
      <c r="D573" t="s">
        <v>389</v>
      </c>
      <c r="E573">
        <v>1021767</v>
      </c>
      <c r="F573" t="s">
        <v>288</v>
      </c>
      <c r="G573" s="9">
        <v>44976</v>
      </c>
      <c r="H573" s="7">
        <v>25002</v>
      </c>
      <c r="I573" s="7"/>
      <c r="J573" s="7"/>
      <c r="K573" s="7"/>
      <c r="L573" s="10">
        <v>5.5741092456127026</v>
      </c>
      <c r="M573" s="9">
        <v>44981</v>
      </c>
      <c r="N573" s="10">
        <v>5.5</v>
      </c>
      <c r="O573" s="9">
        <v>44986</v>
      </c>
      <c r="P573">
        <v>26</v>
      </c>
      <c r="Q573" s="11" t="s">
        <v>49</v>
      </c>
      <c r="R573" s="7">
        <v>25002</v>
      </c>
      <c r="S573" s="7"/>
      <c r="T573" s="7"/>
      <c r="U573" s="7"/>
      <c r="V573" s="10">
        <v>7.5741092456127026</v>
      </c>
      <c r="W573" s="9">
        <v>44983</v>
      </c>
      <c r="X573" s="10">
        <v>7.5</v>
      </c>
      <c r="Y573" s="9">
        <v>44986</v>
      </c>
      <c r="Z573">
        <v>26</v>
      </c>
      <c r="AA573" s="11" t="s">
        <v>49</v>
      </c>
    </row>
    <row r="574" spans="2:27" x14ac:dyDescent="0.2">
      <c r="B574" t="s">
        <v>394</v>
      </c>
      <c r="C574">
        <v>40360737</v>
      </c>
      <c r="D574" t="s">
        <v>485</v>
      </c>
      <c r="E574">
        <v>1030821</v>
      </c>
      <c r="F574" t="s">
        <v>601</v>
      </c>
      <c r="G574" s="9">
        <v>44955</v>
      </c>
      <c r="H574" s="7"/>
      <c r="I574" s="7"/>
      <c r="J574" s="7"/>
      <c r="K574" s="7"/>
      <c r="L574" s="10"/>
      <c r="N574" s="10"/>
      <c r="Q574" s="11"/>
      <c r="R574" s="7"/>
      <c r="S574" s="7"/>
      <c r="T574" s="7"/>
      <c r="U574" s="7"/>
      <c r="V574" s="10"/>
      <c r="X574" s="10"/>
      <c r="AA574" s="11"/>
    </row>
    <row r="575" spans="2:27" x14ac:dyDescent="0.2">
      <c r="B575" t="s">
        <v>394</v>
      </c>
      <c r="C575">
        <v>40360733</v>
      </c>
      <c r="D575" t="s">
        <v>485</v>
      </c>
      <c r="E575">
        <v>1021385</v>
      </c>
      <c r="F575" t="s">
        <v>495</v>
      </c>
      <c r="G575" s="9">
        <v>44967</v>
      </c>
      <c r="H575" s="7"/>
      <c r="I575" s="7"/>
      <c r="J575" s="7"/>
      <c r="K575" s="7"/>
      <c r="L575" s="10"/>
      <c r="N575" s="10"/>
      <c r="Q575" s="11"/>
      <c r="R575" s="7"/>
      <c r="S575" s="7"/>
      <c r="T575" s="7"/>
      <c r="U575" s="7"/>
      <c r="V575" s="10"/>
      <c r="X575" s="10"/>
      <c r="AA575" s="11"/>
    </row>
    <row r="576" spans="2:27" ht="16" x14ac:dyDescent="0.2">
      <c r="B576" t="s">
        <v>35</v>
      </c>
      <c r="C576">
        <v>40360730</v>
      </c>
      <c r="D576" t="s">
        <v>423</v>
      </c>
      <c r="E576">
        <v>1030337</v>
      </c>
      <c r="F576" t="s">
        <v>369</v>
      </c>
      <c r="G576" s="9">
        <v>44956</v>
      </c>
      <c r="H576" s="7"/>
      <c r="I576" s="7"/>
      <c r="J576" s="7"/>
      <c r="K576" s="7"/>
      <c r="L576" s="10">
        <v>5.4496124031007751</v>
      </c>
      <c r="M576" s="9">
        <v>44961</v>
      </c>
      <c r="N576" s="10">
        <v>10</v>
      </c>
      <c r="O576" s="9">
        <v>44971</v>
      </c>
      <c r="P576">
        <v>12</v>
      </c>
      <c r="Q576" s="11" t="s">
        <v>49</v>
      </c>
      <c r="R576" s="7"/>
      <c r="S576" s="7"/>
      <c r="T576" s="7"/>
      <c r="U576" s="7"/>
      <c r="V576" s="10">
        <v>7.4496124031007751</v>
      </c>
      <c r="W576" s="9">
        <v>44963</v>
      </c>
      <c r="X576" s="10">
        <v>12</v>
      </c>
      <c r="Y576" s="9">
        <v>44971</v>
      </c>
      <c r="Z576">
        <v>12</v>
      </c>
      <c r="AA576" s="11" t="s">
        <v>49</v>
      </c>
    </row>
    <row r="577" spans="2:27" ht="16" x14ac:dyDescent="0.2">
      <c r="B577" t="s">
        <v>35</v>
      </c>
      <c r="C577">
        <v>40360729</v>
      </c>
      <c r="D577" t="s">
        <v>423</v>
      </c>
      <c r="E577">
        <v>1030337</v>
      </c>
      <c r="F577" t="s">
        <v>369</v>
      </c>
      <c r="G577" s="9">
        <v>44956</v>
      </c>
      <c r="H577" s="7"/>
      <c r="I577" s="7"/>
      <c r="J577" s="7"/>
      <c r="K577" s="7"/>
      <c r="L577" s="10">
        <v>5.4496124031007751</v>
      </c>
      <c r="M577" s="9">
        <v>44961</v>
      </c>
      <c r="N577" s="10">
        <v>10</v>
      </c>
      <c r="O577" s="9">
        <v>44971</v>
      </c>
      <c r="P577">
        <v>12</v>
      </c>
      <c r="Q577" s="11" t="s">
        <v>49</v>
      </c>
      <c r="R577" s="7"/>
      <c r="S577" s="7"/>
      <c r="T577" s="7"/>
      <c r="U577" s="7"/>
      <c r="V577" s="10">
        <v>7.4496124031007751</v>
      </c>
      <c r="W577" s="9">
        <v>44963</v>
      </c>
      <c r="X577" s="10">
        <v>12</v>
      </c>
      <c r="Y577" s="9">
        <v>44971</v>
      </c>
      <c r="Z577">
        <v>12</v>
      </c>
      <c r="AA577" s="11" t="s">
        <v>49</v>
      </c>
    </row>
    <row r="578" spans="2:27" ht="16" x14ac:dyDescent="0.2">
      <c r="B578" t="s">
        <v>35</v>
      </c>
      <c r="C578">
        <v>40360728</v>
      </c>
      <c r="D578" t="s">
        <v>423</v>
      </c>
      <c r="E578">
        <v>1030337</v>
      </c>
      <c r="F578" t="s">
        <v>369</v>
      </c>
      <c r="G578" s="9">
        <v>44956</v>
      </c>
      <c r="H578" s="7"/>
      <c r="I578" s="7"/>
      <c r="J578" s="7"/>
      <c r="K578" s="7"/>
      <c r="L578" s="10">
        <v>5.4496124031007751</v>
      </c>
      <c r="M578" s="9">
        <v>44961</v>
      </c>
      <c r="N578" s="10">
        <v>10</v>
      </c>
      <c r="O578" s="9">
        <v>44971</v>
      </c>
      <c r="P578">
        <v>12</v>
      </c>
      <c r="Q578" s="11" t="s">
        <v>49</v>
      </c>
      <c r="R578" s="7"/>
      <c r="S578" s="7"/>
      <c r="T578" s="7"/>
      <c r="U578" s="7"/>
      <c r="V578" s="10">
        <v>7.4496124031007751</v>
      </c>
      <c r="W578" s="9">
        <v>44963</v>
      </c>
      <c r="X578" s="10">
        <v>12</v>
      </c>
      <c r="Y578" s="9">
        <v>44971</v>
      </c>
      <c r="Z578">
        <v>12</v>
      </c>
      <c r="AA578" s="11" t="s">
        <v>49</v>
      </c>
    </row>
    <row r="579" spans="2:27" x14ac:dyDescent="0.2">
      <c r="B579" t="s">
        <v>394</v>
      </c>
      <c r="C579">
        <v>40360713</v>
      </c>
      <c r="D579" t="s">
        <v>485</v>
      </c>
      <c r="E579">
        <v>1020944</v>
      </c>
      <c r="F579" t="s">
        <v>498</v>
      </c>
      <c r="G579" s="9">
        <v>44961</v>
      </c>
      <c r="H579" s="7"/>
      <c r="I579" s="7"/>
      <c r="J579" s="7"/>
      <c r="K579" s="7"/>
      <c r="L579" s="10"/>
      <c r="N579" s="10"/>
      <c r="Q579" s="11"/>
      <c r="R579" s="7"/>
      <c r="S579" s="7"/>
      <c r="T579" s="7"/>
      <c r="U579" s="7"/>
      <c r="V579" s="10"/>
      <c r="X579" s="10"/>
      <c r="AA579" s="11"/>
    </row>
    <row r="580" spans="2:27" x14ac:dyDescent="0.2">
      <c r="B580" t="s">
        <v>394</v>
      </c>
      <c r="C580">
        <v>40360712</v>
      </c>
      <c r="D580" t="s">
        <v>485</v>
      </c>
      <c r="E580">
        <v>1020944</v>
      </c>
      <c r="F580" t="s">
        <v>498</v>
      </c>
      <c r="G580" s="9">
        <v>44961</v>
      </c>
      <c r="H580" s="7"/>
      <c r="I580" s="7"/>
      <c r="J580" s="7"/>
      <c r="K580" s="7"/>
      <c r="L580" s="10"/>
      <c r="N580" s="10"/>
      <c r="Q580" s="11"/>
      <c r="R580" s="7"/>
      <c r="S580" s="7"/>
      <c r="T580" s="7"/>
      <c r="U580" s="7"/>
      <c r="V580" s="10"/>
      <c r="X580" s="10"/>
      <c r="AA580" s="11"/>
    </row>
    <row r="581" spans="2:27" x14ac:dyDescent="0.2">
      <c r="B581" t="s">
        <v>394</v>
      </c>
      <c r="C581">
        <v>40360711</v>
      </c>
      <c r="D581" t="s">
        <v>485</v>
      </c>
      <c r="E581">
        <v>1020944</v>
      </c>
      <c r="F581" t="s">
        <v>498</v>
      </c>
      <c r="G581" s="9">
        <v>44960</v>
      </c>
      <c r="H581" s="7"/>
      <c r="I581" s="7"/>
      <c r="J581" s="7"/>
      <c r="K581" s="7"/>
      <c r="L581" s="10"/>
      <c r="N581" s="10"/>
      <c r="Q581" s="11"/>
      <c r="R581" s="7"/>
      <c r="S581" s="7"/>
      <c r="T581" s="7"/>
      <c r="U581" s="7"/>
      <c r="V581" s="10"/>
      <c r="X581" s="10"/>
      <c r="AA581" s="11"/>
    </row>
    <row r="582" spans="2:27" ht="16" x14ac:dyDescent="0.2">
      <c r="B582" t="s">
        <v>35</v>
      </c>
      <c r="C582">
        <v>40360651</v>
      </c>
      <c r="D582" t="s">
        <v>423</v>
      </c>
      <c r="E582">
        <v>1012811</v>
      </c>
      <c r="F582" t="s">
        <v>602</v>
      </c>
      <c r="G582" s="9">
        <v>44956</v>
      </c>
      <c r="H582" s="7"/>
      <c r="I582" s="7"/>
      <c r="J582" s="7"/>
      <c r="K582" s="7"/>
      <c r="L582" s="10">
        <v>5.4496124031007751</v>
      </c>
      <c r="M582" s="9">
        <v>44961</v>
      </c>
      <c r="N582" s="10">
        <v>10</v>
      </c>
      <c r="O582" s="9">
        <v>44971</v>
      </c>
      <c r="P582">
        <v>12</v>
      </c>
      <c r="Q582" s="11" t="s">
        <v>49</v>
      </c>
      <c r="R582" s="7"/>
      <c r="S582" s="7"/>
      <c r="T582" s="7"/>
      <c r="U582" s="7"/>
      <c r="V582" s="10">
        <v>7.4496124031007751</v>
      </c>
      <c r="W582" s="9">
        <v>44963</v>
      </c>
      <c r="X582" s="10">
        <v>12</v>
      </c>
      <c r="Y582" s="9">
        <v>44971</v>
      </c>
      <c r="Z582">
        <v>12</v>
      </c>
      <c r="AA582" s="11" t="s">
        <v>49</v>
      </c>
    </row>
    <row r="583" spans="2:27" ht="16" x14ac:dyDescent="0.2">
      <c r="B583" t="s">
        <v>35</v>
      </c>
      <c r="C583">
        <v>40360649</v>
      </c>
      <c r="D583" t="s">
        <v>423</v>
      </c>
      <c r="E583">
        <v>1012811</v>
      </c>
      <c r="F583" t="s">
        <v>602</v>
      </c>
      <c r="G583" s="9">
        <v>44956</v>
      </c>
      <c r="H583" s="7"/>
      <c r="I583" s="7"/>
      <c r="J583" s="7"/>
      <c r="K583" s="7"/>
      <c r="L583" s="10">
        <v>5.4496124031007751</v>
      </c>
      <c r="M583" s="9">
        <v>44961</v>
      </c>
      <c r="N583" s="10">
        <v>10</v>
      </c>
      <c r="O583" s="9">
        <v>44971</v>
      </c>
      <c r="P583">
        <v>12</v>
      </c>
      <c r="Q583" s="11" t="s">
        <v>49</v>
      </c>
      <c r="R583" s="7"/>
      <c r="S583" s="7"/>
      <c r="T583" s="7"/>
      <c r="U583" s="7"/>
      <c r="V583" s="10">
        <v>7.4496124031007751</v>
      </c>
      <c r="W583" s="9">
        <v>44963</v>
      </c>
      <c r="X583" s="10">
        <v>12</v>
      </c>
      <c r="Y583" s="9">
        <v>44971</v>
      </c>
      <c r="Z583">
        <v>12</v>
      </c>
      <c r="AA583" s="11" t="s">
        <v>49</v>
      </c>
    </row>
    <row r="584" spans="2:27" ht="16" x14ac:dyDescent="0.2">
      <c r="B584" t="s">
        <v>35</v>
      </c>
      <c r="C584">
        <v>40360648</v>
      </c>
      <c r="D584" t="s">
        <v>423</v>
      </c>
      <c r="E584">
        <v>1012811</v>
      </c>
      <c r="F584" t="s">
        <v>602</v>
      </c>
      <c r="G584" s="9">
        <v>44956</v>
      </c>
      <c r="H584" s="7"/>
      <c r="I584" s="7"/>
      <c r="J584" s="7"/>
      <c r="K584" s="7"/>
      <c r="L584" s="10">
        <v>5.4496124031007751</v>
      </c>
      <c r="M584" s="9">
        <v>44961</v>
      </c>
      <c r="N584" s="10">
        <v>10</v>
      </c>
      <c r="O584" s="9">
        <v>44971</v>
      </c>
      <c r="P584">
        <v>12</v>
      </c>
      <c r="Q584" s="11" t="s">
        <v>49</v>
      </c>
      <c r="R584" s="7"/>
      <c r="S584" s="7"/>
      <c r="T584" s="7"/>
      <c r="U584" s="7"/>
      <c r="V584" s="10">
        <v>7.4496124031007751</v>
      </c>
      <c r="W584" s="9">
        <v>44963</v>
      </c>
      <c r="X584" s="10">
        <v>12</v>
      </c>
      <c r="Y584" s="9">
        <v>44971</v>
      </c>
      <c r="Z584">
        <v>12</v>
      </c>
      <c r="AA584" s="11" t="s">
        <v>49</v>
      </c>
    </row>
    <row r="585" spans="2:27" ht="16" x14ac:dyDescent="0.2">
      <c r="B585" t="s">
        <v>35</v>
      </c>
      <c r="C585">
        <v>40360646</v>
      </c>
      <c r="D585" t="s">
        <v>423</v>
      </c>
      <c r="E585">
        <v>1012811</v>
      </c>
      <c r="F585" t="s">
        <v>602</v>
      </c>
      <c r="G585" s="9">
        <v>44956</v>
      </c>
      <c r="H585" s="7"/>
      <c r="I585" s="7"/>
      <c r="J585" s="7"/>
      <c r="K585" s="7"/>
      <c r="L585" s="10">
        <v>5.4496124031007751</v>
      </c>
      <c r="M585" s="9">
        <v>44961</v>
      </c>
      <c r="N585" s="10">
        <v>10</v>
      </c>
      <c r="O585" s="9">
        <v>44971</v>
      </c>
      <c r="P585">
        <v>12</v>
      </c>
      <c r="Q585" s="11" t="s">
        <v>49</v>
      </c>
      <c r="R585" s="7"/>
      <c r="S585" s="7"/>
      <c r="T585" s="7"/>
      <c r="U585" s="7"/>
      <c r="V585" s="10">
        <v>7.4496124031007751</v>
      </c>
      <c r="W585" s="9">
        <v>44963</v>
      </c>
      <c r="X585" s="10">
        <v>12</v>
      </c>
      <c r="Y585" s="9">
        <v>44971</v>
      </c>
      <c r="Z585">
        <v>12</v>
      </c>
      <c r="AA585" s="11" t="s">
        <v>49</v>
      </c>
    </row>
    <row r="586" spans="2:27" ht="16" x14ac:dyDescent="0.2">
      <c r="B586" t="s">
        <v>35</v>
      </c>
      <c r="C586">
        <v>40360645</v>
      </c>
      <c r="D586" t="s">
        <v>423</v>
      </c>
      <c r="E586">
        <v>1012764</v>
      </c>
      <c r="F586" t="s">
        <v>491</v>
      </c>
      <c r="G586" s="9">
        <v>44969</v>
      </c>
      <c r="H586" s="7"/>
      <c r="I586" s="7"/>
      <c r="J586" s="7"/>
      <c r="K586" s="7"/>
      <c r="L586" s="10">
        <v>5.4496124031007751</v>
      </c>
      <c r="M586" s="9">
        <v>44974</v>
      </c>
      <c r="N586" s="10">
        <v>10</v>
      </c>
      <c r="O586" s="9">
        <v>44984</v>
      </c>
      <c r="P586">
        <v>1</v>
      </c>
      <c r="Q586" s="11" t="s">
        <v>594</v>
      </c>
      <c r="R586" s="7"/>
      <c r="S586" s="7"/>
      <c r="T586" s="7"/>
      <c r="U586" s="7"/>
      <c r="V586" s="10">
        <v>7.4496124031007751</v>
      </c>
      <c r="W586" s="9">
        <v>44976</v>
      </c>
      <c r="X586" s="10">
        <v>12</v>
      </c>
      <c r="Y586" s="9">
        <v>44984</v>
      </c>
      <c r="Z586">
        <v>1</v>
      </c>
      <c r="AA586" s="11" t="s">
        <v>594</v>
      </c>
    </row>
    <row r="587" spans="2:27" ht="16" x14ac:dyDescent="0.2">
      <c r="B587" t="s">
        <v>35</v>
      </c>
      <c r="C587">
        <v>40360644</v>
      </c>
      <c r="D587" t="s">
        <v>423</v>
      </c>
      <c r="E587">
        <v>1012764</v>
      </c>
      <c r="F587" t="s">
        <v>491</v>
      </c>
      <c r="G587" s="9">
        <v>44956</v>
      </c>
      <c r="H587" s="7"/>
      <c r="I587" s="7"/>
      <c r="J587" s="7"/>
      <c r="K587" s="7"/>
      <c r="L587" s="10">
        <v>5.4496124031007751</v>
      </c>
      <c r="M587" s="9">
        <v>44961</v>
      </c>
      <c r="N587" s="10">
        <v>10</v>
      </c>
      <c r="O587" s="9">
        <v>44971</v>
      </c>
      <c r="P587">
        <v>12</v>
      </c>
      <c r="Q587" s="11" t="s">
        <v>49</v>
      </c>
      <c r="R587" s="7"/>
      <c r="S587" s="7"/>
      <c r="T587" s="7"/>
      <c r="U587" s="7"/>
      <c r="V587" s="10">
        <v>7.4496124031007751</v>
      </c>
      <c r="W587" s="9">
        <v>44963</v>
      </c>
      <c r="X587" s="10">
        <v>12</v>
      </c>
      <c r="Y587" s="9">
        <v>44971</v>
      </c>
      <c r="Z587">
        <v>12</v>
      </c>
      <c r="AA587" s="11" t="s">
        <v>49</v>
      </c>
    </row>
    <row r="588" spans="2:27" ht="16" x14ac:dyDescent="0.2">
      <c r="B588" t="s">
        <v>35</v>
      </c>
      <c r="C588">
        <v>40360643</v>
      </c>
      <c r="D588" t="s">
        <v>423</v>
      </c>
      <c r="E588">
        <v>1012764</v>
      </c>
      <c r="F588" t="s">
        <v>491</v>
      </c>
      <c r="G588" s="9">
        <v>44956</v>
      </c>
      <c r="H588" s="7"/>
      <c r="I588" s="7"/>
      <c r="J588" s="7"/>
      <c r="K588" s="7"/>
      <c r="L588" s="10">
        <v>5.4496124031007751</v>
      </c>
      <c r="M588" s="9">
        <v>44961</v>
      </c>
      <c r="N588" s="10">
        <v>10</v>
      </c>
      <c r="O588" s="9">
        <v>44971</v>
      </c>
      <c r="P588">
        <v>12</v>
      </c>
      <c r="Q588" s="11" t="s">
        <v>49</v>
      </c>
      <c r="R588" s="7"/>
      <c r="S588" s="7"/>
      <c r="T588" s="7"/>
      <c r="U588" s="7"/>
      <c r="V588" s="10">
        <v>7.4496124031007751</v>
      </c>
      <c r="W588" s="9">
        <v>44963</v>
      </c>
      <c r="X588" s="10">
        <v>12</v>
      </c>
      <c r="Y588" s="9">
        <v>44971</v>
      </c>
      <c r="Z588">
        <v>12</v>
      </c>
      <c r="AA588" s="11" t="s">
        <v>49</v>
      </c>
    </row>
    <row r="589" spans="2:27" ht="16" x14ac:dyDescent="0.2">
      <c r="B589" t="s">
        <v>35</v>
      </c>
      <c r="C589">
        <v>40360642</v>
      </c>
      <c r="D589" t="s">
        <v>423</v>
      </c>
      <c r="E589">
        <v>1012764</v>
      </c>
      <c r="F589" t="s">
        <v>491</v>
      </c>
      <c r="G589" s="9">
        <v>44956</v>
      </c>
      <c r="H589" s="7"/>
      <c r="I589" s="7"/>
      <c r="J589" s="7"/>
      <c r="K589" s="7"/>
      <c r="L589" s="10">
        <v>5.4496124031007751</v>
      </c>
      <c r="M589" s="9">
        <v>44961</v>
      </c>
      <c r="N589" s="10">
        <v>10</v>
      </c>
      <c r="O589" s="9">
        <v>44971</v>
      </c>
      <c r="P589">
        <v>12</v>
      </c>
      <c r="Q589" s="11" t="s">
        <v>49</v>
      </c>
      <c r="R589" s="7"/>
      <c r="S589" s="7"/>
      <c r="T589" s="7"/>
      <c r="U589" s="7"/>
      <c r="V589" s="10">
        <v>7.4496124031007751</v>
      </c>
      <c r="W589" s="9">
        <v>44963</v>
      </c>
      <c r="X589" s="10">
        <v>12</v>
      </c>
      <c r="Y589" s="9">
        <v>44971</v>
      </c>
      <c r="Z589">
        <v>12</v>
      </c>
      <c r="AA589" s="11" t="s">
        <v>49</v>
      </c>
    </row>
    <row r="590" spans="2:27" ht="16" x14ac:dyDescent="0.2">
      <c r="B590" t="s">
        <v>35</v>
      </c>
      <c r="C590">
        <v>40360633</v>
      </c>
      <c r="D590" t="s">
        <v>423</v>
      </c>
      <c r="E590">
        <v>1011127</v>
      </c>
      <c r="F590" t="s">
        <v>228</v>
      </c>
      <c r="G590" s="9">
        <v>44956</v>
      </c>
      <c r="H590" s="7"/>
      <c r="I590" s="7"/>
      <c r="J590" s="7"/>
      <c r="K590" s="7"/>
      <c r="L590" s="10">
        <v>5.4496124031007751</v>
      </c>
      <c r="M590" s="9">
        <v>44961</v>
      </c>
      <c r="N590" s="10">
        <v>10</v>
      </c>
      <c r="O590" s="9">
        <v>44971</v>
      </c>
      <c r="P590">
        <v>12</v>
      </c>
      <c r="Q590" s="11" t="s">
        <v>49</v>
      </c>
      <c r="R590" s="7"/>
      <c r="S590" s="7"/>
      <c r="T590" s="7"/>
      <c r="U590" s="7"/>
      <c r="V590" s="10">
        <v>7.4496124031007751</v>
      </c>
      <c r="W590" s="9">
        <v>44963</v>
      </c>
      <c r="X590" s="10">
        <v>12</v>
      </c>
      <c r="Y590" s="9">
        <v>44971</v>
      </c>
      <c r="Z590">
        <v>12</v>
      </c>
      <c r="AA590" s="11" t="s">
        <v>49</v>
      </c>
    </row>
    <row r="591" spans="2:27" ht="16" x14ac:dyDescent="0.2">
      <c r="B591" t="s">
        <v>35</v>
      </c>
      <c r="C591">
        <v>40360632</v>
      </c>
      <c r="D591" t="s">
        <v>423</v>
      </c>
      <c r="E591">
        <v>1011127</v>
      </c>
      <c r="F591" t="s">
        <v>228</v>
      </c>
      <c r="G591" s="9">
        <v>44956</v>
      </c>
      <c r="H591" s="7"/>
      <c r="I591" s="7"/>
      <c r="J591" s="7"/>
      <c r="K591" s="7"/>
      <c r="L591" s="10">
        <v>5.4496124031007751</v>
      </c>
      <c r="M591" s="9">
        <v>44961</v>
      </c>
      <c r="N591" s="10">
        <v>10</v>
      </c>
      <c r="O591" s="9">
        <v>44971</v>
      </c>
      <c r="P591">
        <v>12</v>
      </c>
      <c r="Q591" s="11" t="s">
        <v>49</v>
      </c>
      <c r="R591" s="7"/>
      <c r="S591" s="7"/>
      <c r="T591" s="7"/>
      <c r="U591" s="7"/>
      <c r="V591" s="10">
        <v>7.4496124031007751</v>
      </c>
      <c r="W591" s="9">
        <v>44963</v>
      </c>
      <c r="X591" s="10">
        <v>12</v>
      </c>
      <c r="Y591" s="9">
        <v>44971</v>
      </c>
      <c r="Z591">
        <v>12</v>
      </c>
      <c r="AA591" s="11" t="s">
        <v>49</v>
      </c>
    </row>
    <row r="592" spans="2:27" ht="16" x14ac:dyDescent="0.2">
      <c r="B592" t="s">
        <v>35</v>
      </c>
      <c r="C592">
        <v>40360631</v>
      </c>
      <c r="D592" t="s">
        <v>423</v>
      </c>
      <c r="E592">
        <v>1011127</v>
      </c>
      <c r="F592" t="s">
        <v>228</v>
      </c>
      <c r="G592" s="9">
        <v>44956</v>
      </c>
      <c r="H592" s="7"/>
      <c r="I592" s="7"/>
      <c r="J592" s="7"/>
      <c r="K592" s="7"/>
      <c r="L592" s="10">
        <v>5.4496124031007751</v>
      </c>
      <c r="M592" s="9">
        <v>44961</v>
      </c>
      <c r="N592" s="10">
        <v>10</v>
      </c>
      <c r="O592" s="9">
        <v>44971</v>
      </c>
      <c r="P592">
        <v>12</v>
      </c>
      <c r="Q592" s="11" t="s">
        <v>49</v>
      </c>
      <c r="R592" s="7"/>
      <c r="S592" s="7"/>
      <c r="T592" s="7"/>
      <c r="U592" s="7"/>
      <c r="V592" s="10">
        <v>7.4496124031007751</v>
      </c>
      <c r="W592" s="9">
        <v>44963</v>
      </c>
      <c r="X592" s="10">
        <v>12</v>
      </c>
      <c r="Y592" s="9">
        <v>44971</v>
      </c>
      <c r="Z592">
        <v>12</v>
      </c>
      <c r="AA592" s="11" t="s">
        <v>49</v>
      </c>
    </row>
    <row r="593" spans="2:27" ht="16" x14ac:dyDescent="0.2">
      <c r="B593" t="s">
        <v>35</v>
      </c>
      <c r="C593">
        <v>40360630</v>
      </c>
      <c r="D593" t="s">
        <v>423</v>
      </c>
      <c r="E593">
        <v>1011127</v>
      </c>
      <c r="F593" t="s">
        <v>228</v>
      </c>
      <c r="G593" s="9">
        <v>44956</v>
      </c>
      <c r="H593" s="7"/>
      <c r="I593" s="7"/>
      <c r="J593" s="7"/>
      <c r="K593" s="7"/>
      <c r="L593" s="10">
        <v>5.4496124031007751</v>
      </c>
      <c r="M593" s="9">
        <v>44961</v>
      </c>
      <c r="N593" s="10">
        <v>10</v>
      </c>
      <c r="O593" s="9">
        <v>44971</v>
      </c>
      <c r="P593">
        <v>12</v>
      </c>
      <c r="Q593" s="11" t="s">
        <v>49</v>
      </c>
      <c r="R593" s="7"/>
      <c r="S593" s="7"/>
      <c r="T593" s="7"/>
      <c r="U593" s="7"/>
      <c r="V593" s="10">
        <v>7.4496124031007751</v>
      </c>
      <c r="W593" s="9">
        <v>44963</v>
      </c>
      <c r="X593" s="10">
        <v>12</v>
      </c>
      <c r="Y593" s="9">
        <v>44971</v>
      </c>
      <c r="Z593">
        <v>12</v>
      </c>
      <c r="AA593" s="11" t="s">
        <v>49</v>
      </c>
    </row>
    <row r="594" spans="2:27" ht="16" x14ac:dyDescent="0.2">
      <c r="B594" t="s">
        <v>35</v>
      </c>
      <c r="C594">
        <v>40360629</v>
      </c>
      <c r="D594" t="s">
        <v>423</v>
      </c>
      <c r="E594">
        <v>1011127</v>
      </c>
      <c r="F594" t="s">
        <v>228</v>
      </c>
      <c r="G594" s="9">
        <v>44956</v>
      </c>
      <c r="H594" s="7"/>
      <c r="I594" s="7"/>
      <c r="J594" s="7"/>
      <c r="K594" s="7"/>
      <c r="L594" s="10">
        <v>5.4496124031007751</v>
      </c>
      <c r="M594" s="9">
        <v>44961</v>
      </c>
      <c r="N594" s="10">
        <v>10</v>
      </c>
      <c r="O594" s="9">
        <v>44971</v>
      </c>
      <c r="P594">
        <v>12</v>
      </c>
      <c r="Q594" s="11" t="s">
        <v>49</v>
      </c>
      <c r="R594" s="7"/>
      <c r="S594" s="7"/>
      <c r="T594" s="7"/>
      <c r="U594" s="7"/>
      <c r="V594" s="10">
        <v>7.4496124031007751</v>
      </c>
      <c r="W594" s="9">
        <v>44963</v>
      </c>
      <c r="X594" s="10">
        <v>12</v>
      </c>
      <c r="Y594" s="9">
        <v>44971</v>
      </c>
      <c r="Z594">
        <v>12</v>
      </c>
      <c r="AA594" s="11" t="s">
        <v>49</v>
      </c>
    </row>
    <row r="595" spans="2:27" ht="16" x14ac:dyDescent="0.2">
      <c r="B595" t="s">
        <v>35</v>
      </c>
      <c r="C595">
        <v>40360628</v>
      </c>
      <c r="D595" t="s">
        <v>423</v>
      </c>
      <c r="E595">
        <v>1011127</v>
      </c>
      <c r="F595" t="s">
        <v>228</v>
      </c>
      <c r="G595" s="9">
        <v>44956</v>
      </c>
      <c r="H595" s="7"/>
      <c r="I595" s="7"/>
      <c r="J595" s="7"/>
      <c r="K595" s="7"/>
      <c r="L595" s="10">
        <v>5.4496124031007751</v>
      </c>
      <c r="M595" s="9">
        <v>44961</v>
      </c>
      <c r="N595" s="10">
        <v>10</v>
      </c>
      <c r="O595" s="9">
        <v>44971</v>
      </c>
      <c r="P595">
        <v>12</v>
      </c>
      <c r="Q595" s="11" t="s">
        <v>49</v>
      </c>
      <c r="R595" s="7"/>
      <c r="S595" s="7"/>
      <c r="T595" s="7"/>
      <c r="U595" s="7"/>
      <c r="V595" s="10">
        <v>7.4496124031007751</v>
      </c>
      <c r="W595" s="9">
        <v>44963</v>
      </c>
      <c r="X595" s="10">
        <v>12</v>
      </c>
      <c r="Y595" s="9">
        <v>44971</v>
      </c>
      <c r="Z595">
        <v>12</v>
      </c>
      <c r="AA595" s="11" t="s">
        <v>49</v>
      </c>
    </row>
    <row r="596" spans="2:27" ht="16" x14ac:dyDescent="0.2">
      <c r="B596" t="s">
        <v>35</v>
      </c>
      <c r="C596">
        <v>40360627</v>
      </c>
      <c r="D596" t="s">
        <v>423</v>
      </c>
      <c r="E596">
        <v>1011127</v>
      </c>
      <c r="F596" t="s">
        <v>228</v>
      </c>
      <c r="G596" s="9">
        <v>44956</v>
      </c>
      <c r="H596" s="7"/>
      <c r="I596" s="7"/>
      <c r="J596" s="7"/>
      <c r="K596" s="7"/>
      <c r="L596" s="10">
        <v>5.4496124031007751</v>
      </c>
      <c r="M596" s="9">
        <v>44961</v>
      </c>
      <c r="N596" s="10">
        <v>10</v>
      </c>
      <c r="O596" s="9">
        <v>44971</v>
      </c>
      <c r="P596">
        <v>12</v>
      </c>
      <c r="Q596" s="11" t="s">
        <v>49</v>
      </c>
      <c r="R596" s="7"/>
      <c r="S596" s="7"/>
      <c r="T596" s="7"/>
      <c r="U596" s="7"/>
      <c r="V596" s="10">
        <v>7.4496124031007751</v>
      </c>
      <c r="W596" s="9">
        <v>44963</v>
      </c>
      <c r="X596" s="10">
        <v>12</v>
      </c>
      <c r="Y596" s="9">
        <v>44971</v>
      </c>
      <c r="Z596">
        <v>12</v>
      </c>
      <c r="AA596" s="11" t="s">
        <v>49</v>
      </c>
    </row>
    <row r="597" spans="2:27" x14ac:dyDescent="0.2">
      <c r="B597" t="s">
        <v>394</v>
      </c>
      <c r="C597">
        <v>40360609</v>
      </c>
      <c r="D597" t="s">
        <v>485</v>
      </c>
      <c r="E597">
        <v>1012719</v>
      </c>
      <c r="F597" t="s">
        <v>545</v>
      </c>
      <c r="G597" s="9">
        <v>44961</v>
      </c>
      <c r="H597" s="7"/>
      <c r="I597" s="7"/>
      <c r="J597" s="7"/>
      <c r="K597" s="7"/>
      <c r="L597" s="10"/>
      <c r="N597" s="10"/>
      <c r="Q597" s="11"/>
      <c r="R597" s="7"/>
      <c r="S597" s="7"/>
      <c r="T597" s="7"/>
      <c r="U597" s="7"/>
      <c r="V597" s="10"/>
      <c r="X597" s="10"/>
      <c r="AA597" s="11"/>
    </row>
    <row r="598" spans="2:27" ht="16" x14ac:dyDescent="0.2">
      <c r="B598" t="s">
        <v>35</v>
      </c>
      <c r="C598">
        <v>40360607</v>
      </c>
      <c r="D598" t="s">
        <v>386</v>
      </c>
      <c r="E598">
        <v>1022858</v>
      </c>
      <c r="F598" t="s">
        <v>428</v>
      </c>
      <c r="G598" s="9">
        <v>44970</v>
      </c>
      <c r="H598" s="7"/>
      <c r="I598" s="7"/>
      <c r="J598" s="7"/>
      <c r="K598" s="7"/>
      <c r="L598" s="10">
        <v>5.1420118343195256</v>
      </c>
      <c r="M598" s="9">
        <v>44975</v>
      </c>
      <c r="N598" s="10">
        <v>7.5</v>
      </c>
      <c r="O598" s="9">
        <v>44982</v>
      </c>
      <c r="P598">
        <v>2</v>
      </c>
      <c r="Q598" s="11" t="s">
        <v>594</v>
      </c>
      <c r="R598" s="7"/>
      <c r="S598" s="7"/>
      <c r="T598" s="7"/>
      <c r="U598" s="7"/>
      <c r="V598" s="10">
        <v>7.1420118343195256</v>
      </c>
      <c r="W598" s="9">
        <v>44977</v>
      </c>
      <c r="X598" s="10">
        <v>9.5</v>
      </c>
      <c r="Y598" s="9">
        <v>44982</v>
      </c>
      <c r="Z598">
        <v>2</v>
      </c>
      <c r="AA598" s="11" t="s">
        <v>594</v>
      </c>
    </row>
    <row r="599" spans="2:27" x14ac:dyDescent="0.2">
      <c r="B599" t="s">
        <v>394</v>
      </c>
      <c r="C599">
        <v>40360593</v>
      </c>
      <c r="D599" t="s">
        <v>485</v>
      </c>
      <c r="E599">
        <v>1011558</v>
      </c>
      <c r="F599" t="s">
        <v>603</v>
      </c>
      <c r="G599" s="9">
        <v>44973</v>
      </c>
      <c r="H599" s="7"/>
      <c r="I599" s="7"/>
      <c r="J599" s="7"/>
      <c r="K599" s="7"/>
      <c r="L599" s="10"/>
      <c r="N599" s="10"/>
      <c r="Q599" s="11"/>
      <c r="R599" s="7"/>
      <c r="S599" s="7"/>
      <c r="T599" s="7"/>
      <c r="U599" s="7"/>
      <c r="V599" s="10"/>
      <c r="X599" s="10"/>
      <c r="AA599" s="11"/>
    </row>
    <row r="600" spans="2:27" x14ac:dyDescent="0.2">
      <c r="B600" t="s">
        <v>394</v>
      </c>
      <c r="C600">
        <v>40360592</v>
      </c>
      <c r="D600" t="s">
        <v>485</v>
      </c>
      <c r="E600">
        <v>1011558</v>
      </c>
      <c r="F600" t="s">
        <v>603</v>
      </c>
      <c r="G600" s="9">
        <v>44973</v>
      </c>
      <c r="H600" s="7"/>
      <c r="I600" s="7"/>
      <c r="J600" s="7"/>
      <c r="K600" s="7"/>
      <c r="L600" s="10"/>
      <c r="N600" s="10"/>
      <c r="Q600" s="11"/>
      <c r="R600" s="7"/>
      <c r="S600" s="7"/>
      <c r="T600" s="7"/>
      <c r="U600" s="7"/>
      <c r="V600" s="10"/>
      <c r="X600" s="10"/>
      <c r="AA600" s="11"/>
    </row>
    <row r="601" spans="2:27" x14ac:dyDescent="0.2">
      <c r="B601" t="s">
        <v>394</v>
      </c>
      <c r="C601">
        <v>40360591</v>
      </c>
      <c r="D601" t="s">
        <v>485</v>
      </c>
      <c r="E601">
        <v>1011558</v>
      </c>
      <c r="F601" t="s">
        <v>603</v>
      </c>
      <c r="G601" s="9">
        <v>44973</v>
      </c>
      <c r="H601" s="7"/>
      <c r="I601" s="7"/>
      <c r="J601" s="7"/>
      <c r="K601" s="7"/>
      <c r="L601" s="10"/>
      <c r="N601" s="10"/>
      <c r="Q601" s="11"/>
      <c r="R601" s="7"/>
      <c r="S601" s="7"/>
      <c r="T601" s="7"/>
      <c r="U601" s="7"/>
      <c r="V601" s="10"/>
      <c r="X601" s="10"/>
      <c r="AA601" s="11"/>
    </row>
    <row r="602" spans="2:27" x14ac:dyDescent="0.2">
      <c r="B602" t="s">
        <v>394</v>
      </c>
      <c r="C602">
        <v>40360577</v>
      </c>
      <c r="D602" t="s">
        <v>485</v>
      </c>
      <c r="E602">
        <v>1021385</v>
      </c>
      <c r="F602" t="s">
        <v>495</v>
      </c>
      <c r="G602" s="9">
        <v>44967</v>
      </c>
      <c r="H602" s="7"/>
      <c r="I602" s="7"/>
      <c r="J602" s="7"/>
      <c r="K602" s="7"/>
      <c r="L602" s="10"/>
      <c r="N602" s="10"/>
      <c r="Q602" s="11"/>
      <c r="R602" s="7"/>
      <c r="S602" s="7"/>
      <c r="T602" s="7"/>
      <c r="U602" s="7"/>
      <c r="V602" s="10"/>
      <c r="X602" s="10"/>
      <c r="AA602" s="11"/>
    </row>
    <row r="603" spans="2:27" x14ac:dyDescent="0.2">
      <c r="B603" t="s">
        <v>394</v>
      </c>
      <c r="C603">
        <v>40360572</v>
      </c>
      <c r="D603" t="s">
        <v>485</v>
      </c>
      <c r="E603">
        <v>1020848</v>
      </c>
      <c r="F603" t="s">
        <v>503</v>
      </c>
      <c r="G603" s="9">
        <v>44950</v>
      </c>
      <c r="H603" s="7"/>
      <c r="I603" s="7"/>
      <c r="J603" s="7"/>
      <c r="K603" s="7"/>
      <c r="L603" s="10"/>
      <c r="N603" s="10"/>
      <c r="Q603" s="11"/>
      <c r="R603" s="7"/>
      <c r="S603" s="7"/>
      <c r="T603" s="7"/>
      <c r="U603" s="7"/>
      <c r="V603" s="10"/>
      <c r="X603" s="10"/>
      <c r="AA603" s="11"/>
    </row>
    <row r="604" spans="2:27" ht="16" x14ac:dyDescent="0.2">
      <c r="B604" t="s">
        <v>35</v>
      </c>
      <c r="C604">
        <v>40360547</v>
      </c>
      <c r="D604" t="s">
        <v>409</v>
      </c>
      <c r="E604">
        <v>1012145</v>
      </c>
      <c r="F604" t="s">
        <v>84</v>
      </c>
      <c r="G604" s="9">
        <v>44986</v>
      </c>
      <c r="H604" s="7">
        <v>19758.467519999998</v>
      </c>
      <c r="I604" s="7"/>
      <c r="J604" s="7"/>
      <c r="K604" s="7"/>
      <c r="L604" s="10">
        <v>7.5</v>
      </c>
      <c r="M604" s="9">
        <v>44993</v>
      </c>
      <c r="N604" s="10">
        <v>9.5</v>
      </c>
      <c r="O604" s="9">
        <v>45002</v>
      </c>
      <c r="P604">
        <v>12</v>
      </c>
      <c r="Q604" s="11" t="s">
        <v>49</v>
      </c>
      <c r="R604" s="7">
        <v>19758.467519999998</v>
      </c>
      <c r="S604" s="7"/>
      <c r="T604" s="7"/>
      <c r="U604" s="7"/>
      <c r="V604" s="10">
        <v>9.5</v>
      </c>
      <c r="W604" s="9">
        <v>44995</v>
      </c>
      <c r="X604" s="10">
        <v>11.5</v>
      </c>
      <c r="Y604" s="9">
        <v>45002</v>
      </c>
      <c r="Z604">
        <v>12</v>
      </c>
      <c r="AA604" s="11" t="s">
        <v>49</v>
      </c>
    </row>
    <row r="605" spans="2:27" ht="16" x14ac:dyDescent="0.2">
      <c r="B605" t="s">
        <v>35</v>
      </c>
      <c r="C605">
        <v>40360546</v>
      </c>
      <c r="D605" t="s">
        <v>409</v>
      </c>
      <c r="E605">
        <v>1012145</v>
      </c>
      <c r="F605" t="s">
        <v>84</v>
      </c>
      <c r="G605" s="9">
        <v>44980</v>
      </c>
      <c r="H605" s="7">
        <v>19758.467519999998</v>
      </c>
      <c r="I605" s="7"/>
      <c r="J605" s="7"/>
      <c r="K605" s="7"/>
      <c r="L605" s="10">
        <v>7.5</v>
      </c>
      <c r="M605" s="9">
        <v>44987</v>
      </c>
      <c r="N605" s="10">
        <v>9.5</v>
      </c>
      <c r="O605" s="9">
        <v>44996</v>
      </c>
      <c r="P605">
        <v>17</v>
      </c>
      <c r="Q605" s="11" t="s">
        <v>49</v>
      </c>
      <c r="R605" s="7">
        <v>19758.467519999998</v>
      </c>
      <c r="S605" s="7"/>
      <c r="T605" s="7"/>
      <c r="U605" s="7"/>
      <c r="V605" s="10">
        <v>9.5</v>
      </c>
      <c r="W605" s="9">
        <v>44989</v>
      </c>
      <c r="X605" s="10">
        <v>11.5</v>
      </c>
      <c r="Y605" s="9">
        <v>44996</v>
      </c>
      <c r="Z605">
        <v>17</v>
      </c>
      <c r="AA605" s="11" t="s">
        <v>49</v>
      </c>
    </row>
    <row r="606" spans="2:27" x14ac:dyDescent="0.2">
      <c r="B606" t="s">
        <v>394</v>
      </c>
      <c r="C606">
        <v>40360533</v>
      </c>
      <c r="D606" t="s">
        <v>485</v>
      </c>
      <c r="E606">
        <v>1030817</v>
      </c>
      <c r="F606" t="s">
        <v>504</v>
      </c>
      <c r="G606" s="9">
        <v>44962</v>
      </c>
      <c r="H606" s="7"/>
      <c r="I606" s="7"/>
      <c r="J606" s="7"/>
      <c r="K606" s="7"/>
      <c r="L606" s="10"/>
      <c r="N606" s="10"/>
      <c r="Q606" s="11"/>
      <c r="R606" s="7"/>
      <c r="S606" s="7"/>
      <c r="T606" s="7"/>
      <c r="U606" s="7"/>
      <c r="V606" s="10"/>
      <c r="X606" s="10"/>
      <c r="AA606" s="11"/>
    </row>
    <row r="607" spans="2:27" x14ac:dyDescent="0.2">
      <c r="B607" t="s">
        <v>394</v>
      </c>
      <c r="C607">
        <v>40360532</v>
      </c>
      <c r="D607" t="s">
        <v>485</v>
      </c>
      <c r="E607">
        <v>1030817</v>
      </c>
      <c r="F607" t="s">
        <v>504</v>
      </c>
      <c r="G607" s="9">
        <v>44961</v>
      </c>
      <c r="H607" s="7"/>
      <c r="I607" s="7"/>
      <c r="J607" s="7"/>
      <c r="K607" s="7"/>
      <c r="L607" s="10"/>
      <c r="N607" s="10"/>
      <c r="Q607" s="11"/>
      <c r="R607" s="7"/>
      <c r="S607" s="7"/>
      <c r="T607" s="7"/>
      <c r="U607" s="7"/>
      <c r="V607" s="10"/>
      <c r="X607" s="10"/>
      <c r="AA607" s="11"/>
    </row>
    <row r="608" spans="2:27" x14ac:dyDescent="0.2">
      <c r="B608" t="s">
        <v>394</v>
      </c>
      <c r="C608">
        <v>40360531</v>
      </c>
      <c r="D608" t="s">
        <v>485</v>
      </c>
      <c r="E608">
        <v>1030817</v>
      </c>
      <c r="F608" t="s">
        <v>504</v>
      </c>
      <c r="G608" s="9">
        <v>44960</v>
      </c>
      <c r="H608" s="7"/>
      <c r="I608" s="7"/>
      <c r="J608" s="7"/>
      <c r="K608" s="7"/>
      <c r="L608" s="10"/>
      <c r="N608" s="10"/>
      <c r="Q608" s="11"/>
      <c r="R608" s="7"/>
      <c r="S608" s="7"/>
      <c r="T608" s="7"/>
      <c r="U608" s="7"/>
      <c r="V608" s="10"/>
      <c r="X608" s="10"/>
      <c r="AA608" s="11"/>
    </row>
    <row r="609" spans="2:27" x14ac:dyDescent="0.2">
      <c r="B609" t="s">
        <v>394</v>
      </c>
      <c r="C609">
        <v>40360530</v>
      </c>
      <c r="D609" t="s">
        <v>485</v>
      </c>
      <c r="E609">
        <v>1030817</v>
      </c>
      <c r="F609" t="s">
        <v>504</v>
      </c>
      <c r="G609" s="9">
        <v>44960</v>
      </c>
      <c r="H609" s="7"/>
      <c r="I609" s="7"/>
      <c r="J609" s="7"/>
      <c r="K609" s="7"/>
      <c r="L609" s="10"/>
      <c r="N609" s="10"/>
      <c r="Q609" s="11"/>
      <c r="R609" s="7"/>
      <c r="S609" s="7"/>
      <c r="T609" s="7"/>
      <c r="U609" s="7"/>
      <c r="V609" s="10"/>
      <c r="X609" s="10"/>
      <c r="AA609" s="11"/>
    </row>
    <row r="610" spans="2:27" x14ac:dyDescent="0.2">
      <c r="B610" t="s">
        <v>394</v>
      </c>
      <c r="C610">
        <v>40360522</v>
      </c>
      <c r="D610" t="s">
        <v>485</v>
      </c>
      <c r="E610">
        <v>1020367</v>
      </c>
      <c r="F610" t="s">
        <v>596</v>
      </c>
      <c r="G610" s="9">
        <v>44969</v>
      </c>
      <c r="H610" s="7"/>
      <c r="I610" s="7"/>
      <c r="J610" s="7"/>
      <c r="K610" s="7"/>
      <c r="L610" s="10"/>
      <c r="N610" s="10"/>
      <c r="Q610" s="11"/>
      <c r="R610" s="7"/>
      <c r="S610" s="7"/>
      <c r="T610" s="7"/>
      <c r="U610" s="7"/>
      <c r="V610" s="10"/>
      <c r="X610" s="10"/>
      <c r="AA610" s="11"/>
    </row>
    <row r="611" spans="2:27" x14ac:dyDescent="0.2">
      <c r="B611" t="s">
        <v>394</v>
      </c>
      <c r="C611">
        <v>40360520</v>
      </c>
      <c r="D611" t="s">
        <v>485</v>
      </c>
      <c r="E611">
        <v>1020086</v>
      </c>
      <c r="F611" t="s">
        <v>526</v>
      </c>
      <c r="G611" s="9">
        <v>44954</v>
      </c>
      <c r="H611" s="7"/>
      <c r="I611" s="7"/>
      <c r="J611" s="7"/>
      <c r="K611" s="7"/>
      <c r="L611" s="10"/>
      <c r="N611" s="10"/>
      <c r="Q611" s="11"/>
      <c r="R611" s="7"/>
      <c r="S611" s="7"/>
      <c r="T611" s="7"/>
      <c r="U611" s="7"/>
      <c r="V611" s="10"/>
      <c r="X611" s="10"/>
      <c r="AA611" s="11"/>
    </row>
    <row r="612" spans="2:27" x14ac:dyDescent="0.2">
      <c r="B612" t="s">
        <v>394</v>
      </c>
      <c r="C612">
        <v>40360519</v>
      </c>
      <c r="D612" t="s">
        <v>485</v>
      </c>
      <c r="E612">
        <v>1021868</v>
      </c>
      <c r="F612" t="s">
        <v>509</v>
      </c>
      <c r="G612" s="9">
        <v>44971</v>
      </c>
      <c r="H612" s="7"/>
      <c r="I612" s="7"/>
      <c r="J612" s="7"/>
      <c r="K612" s="7"/>
      <c r="L612" s="10"/>
      <c r="N612" s="10"/>
      <c r="Q612" s="11"/>
      <c r="R612" s="7"/>
      <c r="S612" s="7"/>
      <c r="T612" s="7"/>
      <c r="U612" s="7"/>
      <c r="V612" s="10"/>
      <c r="X612" s="10"/>
      <c r="AA612" s="11"/>
    </row>
    <row r="613" spans="2:27" x14ac:dyDescent="0.2">
      <c r="B613" t="s">
        <v>394</v>
      </c>
      <c r="C613">
        <v>40360518</v>
      </c>
      <c r="D613" t="s">
        <v>485</v>
      </c>
      <c r="E613">
        <v>1021868</v>
      </c>
      <c r="F613" t="s">
        <v>509</v>
      </c>
      <c r="G613" s="9">
        <v>44955</v>
      </c>
      <c r="H613" s="7"/>
      <c r="I613" s="7"/>
      <c r="J613" s="7"/>
      <c r="K613" s="7"/>
      <c r="L613" s="10"/>
      <c r="N613" s="10"/>
      <c r="Q613" s="11"/>
      <c r="R613" s="7"/>
      <c r="S613" s="7"/>
      <c r="T613" s="7"/>
      <c r="U613" s="7"/>
      <c r="V613" s="10"/>
      <c r="X613" s="10"/>
      <c r="AA613" s="11"/>
    </row>
    <row r="614" spans="2:27" x14ac:dyDescent="0.2">
      <c r="B614" t="s">
        <v>394</v>
      </c>
      <c r="C614">
        <v>40360517</v>
      </c>
      <c r="D614" t="s">
        <v>485</v>
      </c>
      <c r="E614">
        <v>1023433</v>
      </c>
      <c r="F614" t="s">
        <v>490</v>
      </c>
      <c r="G614" s="9">
        <v>44962</v>
      </c>
      <c r="H614" s="7"/>
      <c r="I614" s="7"/>
      <c r="J614" s="7"/>
      <c r="K614" s="7"/>
      <c r="L614" s="10"/>
      <c r="N614" s="10"/>
      <c r="Q614" s="11"/>
      <c r="R614" s="7"/>
      <c r="S614" s="7"/>
      <c r="T614" s="7"/>
      <c r="U614" s="7"/>
      <c r="V614" s="10"/>
      <c r="X614" s="10"/>
      <c r="AA614" s="11"/>
    </row>
    <row r="615" spans="2:27" x14ac:dyDescent="0.2">
      <c r="B615" t="s">
        <v>394</v>
      </c>
      <c r="C615">
        <v>40360517</v>
      </c>
      <c r="D615" t="s">
        <v>485</v>
      </c>
      <c r="E615">
        <v>1020086</v>
      </c>
      <c r="F615" t="s">
        <v>526</v>
      </c>
      <c r="G615" s="9">
        <v>44962</v>
      </c>
      <c r="H615" s="7"/>
      <c r="I615" s="7"/>
      <c r="J615" s="7"/>
      <c r="K615" s="7"/>
      <c r="L615" s="10"/>
      <c r="N615" s="10"/>
      <c r="Q615" s="11"/>
      <c r="R615" s="7"/>
      <c r="S615" s="7"/>
      <c r="T615" s="7"/>
      <c r="U615" s="7"/>
      <c r="V615" s="10"/>
      <c r="X615" s="10"/>
      <c r="AA615" s="11"/>
    </row>
    <row r="616" spans="2:27" x14ac:dyDescent="0.2">
      <c r="B616" t="s">
        <v>394</v>
      </c>
      <c r="C616">
        <v>40360517</v>
      </c>
      <c r="D616" t="s">
        <v>485</v>
      </c>
      <c r="E616">
        <v>1021976</v>
      </c>
      <c r="F616" t="s">
        <v>512</v>
      </c>
      <c r="G616" s="9">
        <v>44962</v>
      </c>
      <c r="H616" s="7"/>
      <c r="I616" s="7"/>
      <c r="J616" s="7"/>
      <c r="K616" s="7"/>
      <c r="L616" s="10"/>
      <c r="N616" s="10"/>
      <c r="Q616" s="11"/>
      <c r="R616" s="7"/>
      <c r="S616" s="7"/>
      <c r="T616" s="7"/>
      <c r="U616" s="7"/>
      <c r="V616" s="10"/>
      <c r="X616" s="10"/>
      <c r="AA616" s="11"/>
    </row>
    <row r="617" spans="2:27" x14ac:dyDescent="0.2">
      <c r="B617" t="s">
        <v>394</v>
      </c>
      <c r="C617">
        <v>40360517</v>
      </c>
      <c r="D617" t="s">
        <v>485</v>
      </c>
      <c r="E617">
        <v>1020944</v>
      </c>
      <c r="F617" t="s">
        <v>498</v>
      </c>
      <c r="G617" s="9">
        <v>44962</v>
      </c>
      <c r="H617" s="7"/>
      <c r="I617" s="7"/>
      <c r="J617" s="7"/>
      <c r="K617" s="7"/>
      <c r="L617" s="10"/>
      <c r="N617" s="10"/>
      <c r="Q617" s="11"/>
      <c r="R617" s="7"/>
      <c r="S617" s="7"/>
      <c r="T617" s="7"/>
      <c r="U617" s="7"/>
      <c r="V617" s="10"/>
      <c r="X617" s="10"/>
      <c r="AA617" s="11"/>
    </row>
    <row r="618" spans="2:27" x14ac:dyDescent="0.2">
      <c r="B618" t="s">
        <v>394</v>
      </c>
      <c r="C618">
        <v>40360516</v>
      </c>
      <c r="D618" t="s">
        <v>485</v>
      </c>
      <c r="E618">
        <v>1022196</v>
      </c>
      <c r="F618" t="s">
        <v>604</v>
      </c>
      <c r="G618" s="9">
        <v>44958</v>
      </c>
      <c r="H618" s="7"/>
      <c r="I618" s="7"/>
      <c r="J618" s="7"/>
      <c r="K618" s="7"/>
      <c r="L618" s="10"/>
      <c r="N618" s="10"/>
      <c r="Q618" s="11"/>
      <c r="R618" s="7"/>
      <c r="S618" s="7"/>
      <c r="T618" s="7"/>
      <c r="U618" s="7"/>
      <c r="V618" s="10"/>
      <c r="X618" s="10"/>
      <c r="AA618" s="11"/>
    </row>
    <row r="619" spans="2:27" x14ac:dyDescent="0.2">
      <c r="B619" t="s">
        <v>394</v>
      </c>
      <c r="C619">
        <v>40360510</v>
      </c>
      <c r="D619" t="s">
        <v>485</v>
      </c>
      <c r="E619">
        <v>1021976</v>
      </c>
      <c r="F619" t="s">
        <v>512</v>
      </c>
      <c r="G619" s="9">
        <v>44954</v>
      </c>
      <c r="H619" s="7"/>
      <c r="I619" s="7"/>
      <c r="J619" s="7"/>
      <c r="K619" s="7"/>
      <c r="L619" s="10"/>
      <c r="N619" s="10"/>
      <c r="Q619" s="11"/>
      <c r="R619" s="7"/>
      <c r="S619" s="7"/>
      <c r="T619" s="7"/>
      <c r="U619" s="7"/>
      <c r="V619" s="10"/>
      <c r="X619" s="10"/>
      <c r="AA619" s="11"/>
    </row>
    <row r="620" spans="2:27" x14ac:dyDescent="0.2">
      <c r="B620" t="s">
        <v>394</v>
      </c>
      <c r="C620">
        <v>40360510</v>
      </c>
      <c r="D620" t="s">
        <v>485</v>
      </c>
      <c r="E620">
        <v>1020944</v>
      </c>
      <c r="F620" t="s">
        <v>498</v>
      </c>
      <c r="G620" s="9">
        <v>44954</v>
      </c>
      <c r="H620" s="7"/>
      <c r="I620" s="7"/>
      <c r="J620" s="7"/>
      <c r="K620" s="7"/>
      <c r="L620" s="10"/>
      <c r="N620" s="10"/>
      <c r="Q620" s="11"/>
      <c r="R620" s="7"/>
      <c r="S620" s="7"/>
      <c r="T620" s="7"/>
      <c r="U620" s="7"/>
      <c r="V620" s="10"/>
      <c r="X620" s="10"/>
      <c r="AA620" s="11"/>
    </row>
    <row r="621" spans="2:27" x14ac:dyDescent="0.2">
      <c r="B621" t="s">
        <v>394</v>
      </c>
      <c r="C621">
        <v>40360508</v>
      </c>
      <c r="D621" t="s">
        <v>485</v>
      </c>
      <c r="E621">
        <v>1012432</v>
      </c>
      <c r="F621" t="s">
        <v>605</v>
      </c>
      <c r="G621" s="9">
        <v>44960</v>
      </c>
      <c r="H621" s="7"/>
      <c r="I621" s="7"/>
      <c r="J621" s="7"/>
      <c r="K621" s="7"/>
      <c r="L621" s="10"/>
      <c r="N621" s="10"/>
      <c r="Q621" s="11"/>
      <c r="R621" s="7"/>
      <c r="S621" s="7"/>
      <c r="T621" s="7"/>
      <c r="U621" s="7"/>
      <c r="V621" s="10"/>
      <c r="X621" s="10"/>
      <c r="AA621" s="11"/>
    </row>
    <row r="622" spans="2:27" x14ac:dyDescent="0.2">
      <c r="B622" t="s">
        <v>394</v>
      </c>
      <c r="C622">
        <v>40360506</v>
      </c>
      <c r="D622" t="s">
        <v>485</v>
      </c>
      <c r="E622">
        <v>1020944</v>
      </c>
      <c r="F622" t="s">
        <v>498</v>
      </c>
      <c r="G622" s="9">
        <v>44973</v>
      </c>
      <c r="H622" s="7"/>
      <c r="I622" s="7"/>
      <c r="J622" s="7"/>
      <c r="K622" s="7"/>
      <c r="L622" s="10"/>
      <c r="N622" s="10"/>
      <c r="Q622" s="11"/>
      <c r="R622" s="7"/>
      <c r="S622" s="7"/>
      <c r="T622" s="7"/>
      <c r="U622" s="7"/>
      <c r="V622" s="10"/>
      <c r="X622" s="10"/>
      <c r="AA622" s="11"/>
    </row>
    <row r="623" spans="2:27" x14ac:dyDescent="0.2">
      <c r="B623" t="s">
        <v>394</v>
      </c>
      <c r="C623">
        <v>40360505</v>
      </c>
      <c r="D623" t="s">
        <v>485</v>
      </c>
      <c r="E623">
        <v>1020944</v>
      </c>
      <c r="F623" t="s">
        <v>498</v>
      </c>
      <c r="G623" s="9">
        <v>44966</v>
      </c>
      <c r="H623" s="7"/>
      <c r="I623" s="7"/>
      <c r="J623" s="7"/>
      <c r="K623" s="7"/>
      <c r="L623" s="10"/>
      <c r="N623" s="10"/>
      <c r="Q623" s="11"/>
      <c r="R623" s="7"/>
      <c r="S623" s="7"/>
      <c r="T623" s="7"/>
      <c r="U623" s="7"/>
      <c r="V623" s="10"/>
      <c r="X623" s="10"/>
      <c r="AA623" s="11"/>
    </row>
    <row r="624" spans="2:27" x14ac:dyDescent="0.2">
      <c r="B624" t="s">
        <v>394</v>
      </c>
      <c r="C624">
        <v>40360504</v>
      </c>
      <c r="D624" t="s">
        <v>485</v>
      </c>
      <c r="E624">
        <v>1020944</v>
      </c>
      <c r="F624" t="s">
        <v>498</v>
      </c>
      <c r="G624" s="9">
        <v>44967</v>
      </c>
      <c r="H624" s="7"/>
      <c r="I624" s="7"/>
      <c r="J624" s="7"/>
      <c r="K624" s="7"/>
      <c r="L624" s="10"/>
      <c r="N624" s="10"/>
      <c r="Q624" s="11"/>
      <c r="R624" s="7"/>
      <c r="S624" s="7"/>
      <c r="T624" s="7"/>
      <c r="U624" s="7"/>
      <c r="V624" s="10"/>
      <c r="X624" s="10"/>
      <c r="AA624" s="11"/>
    </row>
    <row r="625" spans="2:27" x14ac:dyDescent="0.2">
      <c r="B625" t="s">
        <v>394</v>
      </c>
      <c r="C625">
        <v>40360503</v>
      </c>
      <c r="D625" t="s">
        <v>485</v>
      </c>
      <c r="E625">
        <v>1020944</v>
      </c>
      <c r="F625" t="s">
        <v>498</v>
      </c>
      <c r="G625" s="9">
        <v>44967</v>
      </c>
      <c r="H625" s="7"/>
      <c r="I625" s="7"/>
      <c r="J625" s="7"/>
      <c r="K625" s="7"/>
      <c r="L625" s="10"/>
      <c r="N625" s="10"/>
      <c r="Q625" s="11"/>
      <c r="R625" s="7"/>
      <c r="S625" s="7"/>
      <c r="T625" s="7"/>
      <c r="U625" s="7"/>
      <c r="V625" s="10"/>
      <c r="X625" s="10"/>
      <c r="AA625" s="11"/>
    </row>
    <row r="626" spans="2:27" x14ac:dyDescent="0.2">
      <c r="B626" t="s">
        <v>394</v>
      </c>
      <c r="C626">
        <v>40360501</v>
      </c>
      <c r="D626" t="s">
        <v>485</v>
      </c>
      <c r="E626">
        <v>1020367</v>
      </c>
      <c r="F626" t="s">
        <v>596</v>
      </c>
      <c r="G626" s="9">
        <v>44967</v>
      </c>
      <c r="H626" s="7"/>
      <c r="I626" s="7"/>
      <c r="J626" s="7"/>
      <c r="K626" s="7"/>
      <c r="L626" s="10"/>
      <c r="N626" s="10"/>
      <c r="Q626" s="11"/>
      <c r="R626" s="7"/>
      <c r="S626" s="7"/>
      <c r="T626" s="7"/>
      <c r="U626" s="7"/>
      <c r="V626" s="10"/>
      <c r="X626" s="10"/>
      <c r="AA626" s="11"/>
    </row>
    <row r="627" spans="2:27" x14ac:dyDescent="0.2">
      <c r="B627" t="s">
        <v>394</v>
      </c>
      <c r="C627">
        <v>40360499</v>
      </c>
      <c r="D627" t="s">
        <v>485</v>
      </c>
      <c r="E627">
        <v>1020925</v>
      </c>
      <c r="F627" t="s">
        <v>494</v>
      </c>
      <c r="G627" s="9">
        <v>44961</v>
      </c>
      <c r="H627" s="7"/>
      <c r="I627" s="7"/>
      <c r="J627" s="7"/>
      <c r="K627" s="7"/>
      <c r="L627" s="10"/>
      <c r="N627" s="10"/>
      <c r="Q627" s="11"/>
      <c r="R627" s="7"/>
      <c r="S627" s="7"/>
      <c r="T627" s="7"/>
      <c r="U627" s="7"/>
      <c r="V627" s="10"/>
      <c r="X627" s="10"/>
      <c r="AA627" s="11"/>
    </row>
    <row r="628" spans="2:27" x14ac:dyDescent="0.2">
      <c r="B628" t="s">
        <v>394</v>
      </c>
      <c r="C628">
        <v>40360499</v>
      </c>
      <c r="D628" t="s">
        <v>485</v>
      </c>
      <c r="E628">
        <v>1022273</v>
      </c>
      <c r="F628" t="s">
        <v>606</v>
      </c>
      <c r="G628" s="9">
        <v>44961</v>
      </c>
      <c r="H628" s="7"/>
      <c r="I628" s="7"/>
      <c r="J628" s="7"/>
      <c r="K628" s="7"/>
      <c r="L628" s="10"/>
      <c r="N628" s="10"/>
      <c r="Q628" s="11"/>
      <c r="R628" s="7"/>
      <c r="S628" s="7"/>
      <c r="T628" s="7"/>
      <c r="U628" s="7"/>
      <c r="V628" s="10"/>
      <c r="X628" s="10"/>
      <c r="AA628" s="11"/>
    </row>
    <row r="629" spans="2:27" x14ac:dyDescent="0.2">
      <c r="B629" t="s">
        <v>394</v>
      </c>
      <c r="C629">
        <v>40360497</v>
      </c>
      <c r="D629" t="s">
        <v>485</v>
      </c>
      <c r="E629">
        <v>1020848</v>
      </c>
      <c r="F629" t="s">
        <v>503</v>
      </c>
      <c r="G629" s="9">
        <v>44961</v>
      </c>
      <c r="H629" s="7"/>
      <c r="I629" s="7"/>
      <c r="J629" s="7"/>
      <c r="K629" s="7"/>
      <c r="L629" s="10"/>
      <c r="N629" s="10"/>
      <c r="Q629" s="11"/>
      <c r="R629" s="7"/>
      <c r="S629" s="7"/>
      <c r="T629" s="7"/>
      <c r="U629" s="7"/>
      <c r="V629" s="10"/>
      <c r="X629" s="10"/>
      <c r="AA629" s="11"/>
    </row>
    <row r="630" spans="2:27" x14ac:dyDescent="0.2">
      <c r="B630" t="s">
        <v>394</v>
      </c>
      <c r="C630">
        <v>40360064</v>
      </c>
      <c r="D630" t="s">
        <v>485</v>
      </c>
      <c r="E630">
        <v>1021976</v>
      </c>
      <c r="F630" t="s">
        <v>512</v>
      </c>
      <c r="G630" s="9">
        <v>44962</v>
      </c>
      <c r="H630" s="7"/>
      <c r="I630" s="7"/>
      <c r="J630" s="7"/>
      <c r="K630" s="7"/>
      <c r="L630" s="10"/>
      <c r="N630" s="10"/>
      <c r="Q630" s="11"/>
      <c r="R630" s="7"/>
      <c r="S630" s="7"/>
      <c r="T630" s="7"/>
      <c r="U630" s="7"/>
      <c r="V630" s="10"/>
      <c r="X630" s="10"/>
      <c r="AA630" s="11"/>
    </row>
    <row r="631" spans="2:27" x14ac:dyDescent="0.2">
      <c r="B631" t="s">
        <v>394</v>
      </c>
      <c r="C631">
        <v>40360063</v>
      </c>
      <c r="D631" t="s">
        <v>485</v>
      </c>
      <c r="E631">
        <v>1021976</v>
      </c>
      <c r="F631" t="s">
        <v>512</v>
      </c>
      <c r="G631" s="9">
        <v>44960</v>
      </c>
      <c r="H631" s="7"/>
      <c r="I631" s="7"/>
      <c r="J631" s="7"/>
      <c r="K631" s="7"/>
      <c r="L631" s="10"/>
      <c r="N631" s="10"/>
      <c r="Q631" s="11"/>
      <c r="R631" s="7"/>
      <c r="S631" s="7"/>
      <c r="T631" s="7"/>
      <c r="U631" s="7"/>
      <c r="V631" s="10"/>
      <c r="X631" s="10"/>
      <c r="AA631" s="11"/>
    </row>
    <row r="632" spans="2:27" x14ac:dyDescent="0.2">
      <c r="B632" t="s">
        <v>394</v>
      </c>
      <c r="C632">
        <v>40359969</v>
      </c>
      <c r="D632" t="s">
        <v>485</v>
      </c>
      <c r="E632">
        <v>1011421</v>
      </c>
      <c r="F632" t="s">
        <v>484</v>
      </c>
      <c r="G632" s="9">
        <v>44969</v>
      </c>
      <c r="H632" s="7"/>
      <c r="I632" s="7"/>
      <c r="J632" s="7"/>
      <c r="K632" s="7"/>
      <c r="L632" s="10"/>
      <c r="N632" s="10"/>
      <c r="Q632" s="11"/>
      <c r="R632" s="7"/>
      <c r="S632" s="7"/>
      <c r="T632" s="7"/>
      <c r="U632" s="7"/>
      <c r="V632" s="10"/>
      <c r="X632" s="10"/>
      <c r="AA632" s="11"/>
    </row>
    <row r="633" spans="2:27" x14ac:dyDescent="0.2">
      <c r="B633" t="s">
        <v>394</v>
      </c>
      <c r="C633">
        <v>40359968</v>
      </c>
      <c r="D633" t="s">
        <v>485</v>
      </c>
      <c r="E633">
        <v>1011421</v>
      </c>
      <c r="F633" t="s">
        <v>484</v>
      </c>
      <c r="G633" s="9">
        <v>44969</v>
      </c>
      <c r="H633" s="7"/>
      <c r="I633" s="7"/>
      <c r="J633" s="7"/>
      <c r="K633" s="7"/>
      <c r="L633" s="10"/>
      <c r="N633" s="10"/>
      <c r="Q633" s="11"/>
      <c r="R633" s="7"/>
      <c r="S633" s="7"/>
      <c r="T633" s="7"/>
      <c r="U633" s="7"/>
      <c r="V633" s="10"/>
      <c r="X633" s="10"/>
      <c r="AA633" s="11"/>
    </row>
    <row r="634" spans="2:27" x14ac:dyDescent="0.2">
      <c r="B634" t="s">
        <v>394</v>
      </c>
      <c r="C634">
        <v>40359967</v>
      </c>
      <c r="D634" t="s">
        <v>485</v>
      </c>
      <c r="E634">
        <v>1011421</v>
      </c>
      <c r="F634" t="s">
        <v>484</v>
      </c>
      <c r="G634" s="9">
        <v>44969</v>
      </c>
      <c r="H634" s="7"/>
      <c r="I634" s="7"/>
      <c r="J634" s="7"/>
      <c r="K634" s="7"/>
      <c r="L634" s="10"/>
      <c r="N634" s="10"/>
      <c r="Q634" s="11"/>
      <c r="R634" s="7"/>
      <c r="S634" s="7"/>
      <c r="T634" s="7"/>
      <c r="U634" s="7"/>
      <c r="V634" s="10"/>
      <c r="X634" s="10"/>
      <c r="AA634" s="11"/>
    </row>
    <row r="635" spans="2:27" x14ac:dyDescent="0.2">
      <c r="B635" t="s">
        <v>394</v>
      </c>
      <c r="C635">
        <v>40359966</v>
      </c>
      <c r="D635" t="s">
        <v>485</v>
      </c>
      <c r="E635">
        <v>1011421</v>
      </c>
      <c r="F635" t="s">
        <v>484</v>
      </c>
      <c r="G635" s="9">
        <v>44961</v>
      </c>
      <c r="H635" s="7"/>
      <c r="I635" s="7"/>
      <c r="J635" s="7"/>
      <c r="K635" s="7"/>
      <c r="L635" s="10"/>
      <c r="N635" s="10"/>
      <c r="Q635" s="11"/>
      <c r="R635" s="7"/>
      <c r="S635" s="7"/>
      <c r="T635" s="7"/>
      <c r="U635" s="7"/>
      <c r="V635" s="10"/>
      <c r="X635" s="10"/>
      <c r="AA635" s="11"/>
    </row>
    <row r="636" spans="2:27" x14ac:dyDescent="0.2">
      <c r="B636" t="s">
        <v>394</v>
      </c>
      <c r="C636">
        <v>40359965</v>
      </c>
      <c r="D636" t="s">
        <v>485</v>
      </c>
      <c r="E636">
        <v>1011421</v>
      </c>
      <c r="F636" t="s">
        <v>484</v>
      </c>
      <c r="G636" s="9">
        <v>44961</v>
      </c>
      <c r="H636" s="7"/>
      <c r="I636" s="7"/>
      <c r="J636" s="7"/>
      <c r="K636" s="7"/>
      <c r="L636" s="10"/>
      <c r="N636" s="10"/>
      <c r="Q636" s="11"/>
      <c r="R636" s="7"/>
      <c r="S636" s="7"/>
      <c r="T636" s="7"/>
      <c r="U636" s="7"/>
      <c r="V636" s="10"/>
      <c r="X636" s="10"/>
      <c r="AA636" s="11"/>
    </row>
    <row r="637" spans="2:27" x14ac:dyDescent="0.2">
      <c r="B637" t="s">
        <v>394</v>
      </c>
      <c r="C637">
        <v>40359964</v>
      </c>
      <c r="D637" t="s">
        <v>485</v>
      </c>
      <c r="E637">
        <v>1011421</v>
      </c>
      <c r="F637" t="s">
        <v>484</v>
      </c>
      <c r="G637" s="9">
        <v>44960</v>
      </c>
      <c r="H637" s="7"/>
      <c r="I637" s="7"/>
      <c r="J637" s="7"/>
      <c r="K637" s="7"/>
      <c r="L637" s="10"/>
      <c r="N637" s="10"/>
      <c r="Q637" s="11"/>
      <c r="R637" s="7"/>
      <c r="S637" s="7"/>
      <c r="T637" s="7"/>
      <c r="U637" s="7"/>
      <c r="V637" s="10"/>
      <c r="X637" s="10"/>
      <c r="AA637" s="11"/>
    </row>
    <row r="638" spans="2:27" x14ac:dyDescent="0.2">
      <c r="B638" t="s">
        <v>394</v>
      </c>
      <c r="C638">
        <v>40359963</v>
      </c>
      <c r="D638" t="s">
        <v>485</v>
      </c>
      <c r="E638">
        <v>1011421</v>
      </c>
      <c r="F638" t="s">
        <v>484</v>
      </c>
      <c r="G638" s="9">
        <v>44960</v>
      </c>
      <c r="H638" s="7"/>
      <c r="I638" s="7"/>
      <c r="J638" s="7"/>
      <c r="K638" s="7"/>
      <c r="L638" s="10"/>
      <c r="N638" s="10"/>
      <c r="Q638" s="11"/>
      <c r="R638" s="7"/>
      <c r="S638" s="7"/>
      <c r="T638" s="7"/>
      <c r="U638" s="7"/>
      <c r="V638" s="10"/>
      <c r="X638" s="10"/>
      <c r="AA638" s="11"/>
    </row>
    <row r="639" spans="2:27" ht="16" x14ac:dyDescent="0.2">
      <c r="B639" t="s">
        <v>35</v>
      </c>
      <c r="C639">
        <v>40359930</v>
      </c>
      <c r="D639" t="s">
        <v>409</v>
      </c>
      <c r="E639">
        <v>1012483</v>
      </c>
      <c r="F639" t="s">
        <v>90</v>
      </c>
      <c r="G639" s="9">
        <v>44964</v>
      </c>
      <c r="H639" s="7"/>
      <c r="I639" s="7"/>
      <c r="J639" s="7"/>
      <c r="K639" s="7"/>
      <c r="L639" s="10">
        <v>7.5</v>
      </c>
      <c r="M639" s="9">
        <v>44971</v>
      </c>
      <c r="N639" s="10">
        <v>9.5</v>
      </c>
      <c r="O639" s="9">
        <v>44980</v>
      </c>
      <c r="P639">
        <v>4</v>
      </c>
      <c r="Q639" s="11" t="s">
        <v>49</v>
      </c>
      <c r="R639" s="7"/>
      <c r="S639" s="7"/>
      <c r="T639" s="7"/>
      <c r="U639" s="7"/>
      <c r="V639" s="10">
        <v>9.5</v>
      </c>
      <c r="W639" s="9">
        <v>44973</v>
      </c>
      <c r="X639" s="10">
        <v>11.5</v>
      </c>
      <c r="Y639" s="9">
        <v>44980</v>
      </c>
      <c r="Z639">
        <v>4</v>
      </c>
      <c r="AA639" s="11" t="s">
        <v>49</v>
      </c>
    </row>
    <row r="640" spans="2:27" ht="16" x14ac:dyDescent="0.2">
      <c r="B640" t="s">
        <v>35</v>
      </c>
      <c r="C640">
        <v>40359929</v>
      </c>
      <c r="D640" t="s">
        <v>409</v>
      </c>
      <c r="E640">
        <v>1012165</v>
      </c>
      <c r="F640" t="s">
        <v>61</v>
      </c>
      <c r="G640" s="9">
        <v>44975</v>
      </c>
      <c r="H640" s="7">
        <v>19958.047999999999</v>
      </c>
      <c r="I640" s="7"/>
      <c r="J640" s="7"/>
      <c r="K640" s="7"/>
      <c r="L640" s="10">
        <v>7.5</v>
      </c>
      <c r="M640" s="9">
        <v>44982</v>
      </c>
      <c r="N640" s="10">
        <v>9.5</v>
      </c>
      <c r="O640" s="9">
        <v>44991</v>
      </c>
      <c r="P640">
        <v>22</v>
      </c>
      <c r="Q640" s="11" t="s">
        <v>49</v>
      </c>
      <c r="R640" s="7">
        <v>19958.047999999999</v>
      </c>
      <c r="S640" s="7"/>
      <c r="T640" s="7"/>
      <c r="U640" s="7"/>
      <c r="V640" s="10">
        <v>9.5</v>
      </c>
      <c r="W640" s="9">
        <v>44984</v>
      </c>
      <c r="X640" s="10">
        <v>11.5</v>
      </c>
      <c r="Y640" s="9">
        <v>44991</v>
      </c>
      <c r="Z640">
        <v>22</v>
      </c>
      <c r="AA640" s="11" t="s">
        <v>49</v>
      </c>
    </row>
    <row r="641" spans="2:27" ht="16" x14ac:dyDescent="0.2">
      <c r="B641" t="s">
        <v>35</v>
      </c>
      <c r="C641">
        <v>40359928</v>
      </c>
      <c r="D641" t="s">
        <v>409</v>
      </c>
      <c r="E641">
        <v>1012165</v>
      </c>
      <c r="F641" t="s">
        <v>61</v>
      </c>
      <c r="G641" s="9">
        <v>44969</v>
      </c>
      <c r="H641" s="7"/>
      <c r="I641" s="7"/>
      <c r="J641" s="7"/>
      <c r="K641" s="7"/>
      <c r="L641" s="10">
        <v>7.5</v>
      </c>
      <c r="M641" s="9">
        <v>44976</v>
      </c>
      <c r="N641" s="10">
        <v>9.5</v>
      </c>
      <c r="O641" s="9">
        <v>44985</v>
      </c>
      <c r="P641">
        <v>0</v>
      </c>
      <c r="Q641" s="11" t="s">
        <v>594</v>
      </c>
      <c r="R641" s="7"/>
      <c r="S641" s="7"/>
      <c r="T641" s="7"/>
      <c r="U641" s="7"/>
      <c r="V641" s="10">
        <v>9.5</v>
      </c>
      <c r="W641" s="9">
        <v>44978</v>
      </c>
      <c r="X641" s="10">
        <v>11.5</v>
      </c>
      <c r="Y641" s="9">
        <v>44985</v>
      </c>
      <c r="Z641">
        <v>0</v>
      </c>
      <c r="AA641" s="11" t="s">
        <v>594</v>
      </c>
    </row>
    <row r="642" spans="2:27" ht="16" x14ac:dyDescent="0.2">
      <c r="B642" t="s">
        <v>35</v>
      </c>
      <c r="C642">
        <v>40359927</v>
      </c>
      <c r="D642" t="s">
        <v>409</v>
      </c>
      <c r="E642">
        <v>1012165</v>
      </c>
      <c r="F642" t="s">
        <v>61</v>
      </c>
      <c r="G642" s="9">
        <v>44971</v>
      </c>
      <c r="H642" s="7">
        <v>19958.047999999999</v>
      </c>
      <c r="I642" s="7"/>
      <c r="J642" s="7"/>
      <c r="K642" s="7"/>
      <c r="L642" s="10">
        <v>7.5</v>
      </c>
      <c r="M642" s="9">
        <v>44978</v>
      </c>
      <c r="N642" s="10">
        <v>9.5</v>
      </c>
      <c r="O642" s="9">
        <v>44987</v>
      </c>
      <c r="P642">
        <v>25</v>
      </c>
      <c r="Q642" s="11" t="s">
        <v>49</v>
      </c>
      <c r="R642" s="7">
        <v>19958.047999999999</v>
      </c>
      <c r="S642" s="7"/>
      <c r="T642" s="7"/>
      <c r="U642" s="7"/>
      <c r="V642" s="10">
        <v>9.5</v>
      </c>
      <c r="W642" s="9">
        <v>44980</v>
      </c>
      <c r="X642" s="10">
        <v>11.5</v>
      </c>
      <c r="Y642" s="9">
        <v>44987</v>
      </c>
      <c r="Z642">
        <v>25</v>
      </c>
      <c r="AA642" s="11" t="s">
        <v>49</v>
      </c>
    </row>
    <row r="643" spans="2:27" ht="16" x14ac:dyDescent="0.2">
      <c r="B643" t="s">
        <v>35</v>
      </c>
      <c r="C643">
        <v>40359926</v>
      </c>
      <c r="D643" t="s">
        <v>409</v>
      </c>
      <c r="E643">
        <v>1012165</v>
      </c>
      <c r="F643" t="s">
        <v>61</v>
      </c>
      <c r="G643" s="9">
        <v>44971</v>
      </c>
      <c r="H643" s="7">
        <v>19958.047999999999</v>
      </c>
      <c r="I643" s="7"/>
      <c r="J643" s="7"/>
      <c r="K643" s="7"/>
      <c r="L643" s="10">
        <v>7.5</v>
      </c>
      <c r="M643" s="9">
        <v>44978</v>
      </c>
      <c r="N643" s="10">
        <v>9.5</v>
      </c>
      <c r="O643" s="9">
        <v>44987</v>
      </c>
      <c r="P643">
        <v>25</v>
      </c>
      <c r="Q643" s="11" t="s">
        <v>49</v>
      </c>
      <c r="R643" s="7">
        <v>19958.047999999999</v>
      </c>
      <c r="S643" s="7"/>
      <c r="T643" s="7"/>
      <c r="U643" s="7"/>
      <c r="V643" s="10">
        <v>9.5</v>
      </c>
      <c r="W643" s="9">
        <v>44980</v>
      </c>
      <c r="X643" s="10">
        <v>11.5</v>
      </c>
      <c r="Y643" s="9">
        <v>44987</v>
      </c>
      <c r="Z643">
        <v>25</v>
      </c>
      <c r="AA643" s="11" t="s">
        <v>49</v>
      </c>
    </row>
    <row r="644" spans="2:27" ht="16" x14ac:dyDescent="0.2">
      <c r="B644" t="s">
        <v>35</v>
      </c>
      <c r="C644">
        <v>40359925</v>
      </c>
      <c r="D644" t="s">
        <v>409</v>
      </c>
      <c r="E644">
        <v>1012165</v>
      </c>
      <c r="F644" t="s">
        <v>61</v>
      </c>
      <c r="G644" s="9">
        <v>44969</v>
      </c>
      <c r="H644" s="7"/>
      <c r="I644" s="7"/>
      <c r="J644" s="7"/>
      <c r="K644" s="7"/>
      <c r="L644" s="10">
        <v>7.5</v>
      </c>
      <c r="M644" s="9">
        <v>44976</v>
      </c>
      <c r="N644" s="10">
        <v>9.5</v>
      </c>
      <c r="O644" s="9">
        <v>44985</v>
      </c>
      <c r="P644">
        <v>0</v>
      </c>
      <c r="Q644" s="11" t="s">
        <v>594</v>
      </c>
      <c r="R644" s="7"/>
      <c r="S644" s="7"/>
      <c r="T644" s="7"/>
      <c r="U644" s="7"/>
      <c r="V644" s="10">
        <v>9.5</v>
      </c>
      <c r="W644" s="9">
        <v>44978</v>
      </c>
      <c r="X644" s="10">
        <v>11.5</v>
      </c>
      <c r="Y644" s="9">
        <v>44985</v>
      </c>
      <c r="Z644">
        <v>0</v>
      </c>
      <c r="AA644" s="11" t="s">
        <v>594</v>
      </c>
    </row>
    <row r="645" spans="2:27" ht="16" x14ac:dyDescent="0.2">
      <c r="B645" t="s">
        <v>35</v>
      </c>
      <c r="C645">
        <v>40359924</v>
      </c>
      <c r="D645" t="s">
        <v>409</v>
      </c>
      <c r="E645">
        <v>1012165</v>
      </c>
      <c r="F645" t="s">
        <v>61</v>
      </c>
      <c r="G645" s="9">
        <v>44969</v>
      </c>
      <c r="H645" s="7"/>
      <c r="I645" s="7"/>
      <c r="J645" s="7"/>
      <c r="K645" s="7"/>
      <c r="L645" s="10">
        <v>7.5</v>
      </c>
      <c r="M645" s="9">
        <v>44976</v>
      </c>
      <c r="N645" s="10">
        <v>9.5</v>
      </c>
      <c r="O645" s="9">
        <v>44985</v>
      </c>
      <c r="P645">
        <v>0</v>
      </c>
      <c r="Q645" s="11" t="s">
        <v>594</v>
      </c>
      <c r="R645" s="7"/>
      <c r="S645" s="7"/>
      <c r="T645" s="7"/>
      <c r="U645" s="7"/>
      <c r="V645" s="10">
        <v>9.5</v>
      </c>
      <c r="W645" s="9">
        <v>44978</v>
      </c>
      <c r="X645" s="10">
        <v>11.5</v>
      </c>
      <c r="Y645" s="9">
        <v>44985</v>
      </c>
      <c r="Z645">
        <v>0</v>
      </c>
      <c r="AA645" s="11" t="s">
        <v>594</v>
      </c>
    </row>
    <row r="646" spans="2:27" ht="16" x14ac:dyDescent="0.2">
      <c r="B646" t="s">
        <v>35</v>
      </c>
      <c r="C646">
        <v>40359923</v>
      </c>
      <c r="D646" t="s">
        <v>409</v>
      </c>
      <c r="E646">
        <v>1012165</v>
      </c>
      <c r="F646" t="s">
        <v>61</v>
      </c>
      <c r="G646" s="9">
        <v>44972</v>
      </c>
      <c r="H646" s="7">
        <v>19958.047999999999</v>
      </c>
      <c r="I646" s="7"/>
      <c r="J646" s="7"/>
      <c r="K646" s="7"/>
      <c r="L646" s="10">
        <v>7.5</v>
      </c>
      <c r="M646" s="9">
        <v>44979</v>
      </c>
      <c r="N646" s="10">
        <v>9.5</v>
      </c>
      <c r="O646" s="9">
        <v>44988</v>
      </c>
      <c r="P646">
        <v>24</v>
      </c>
      <c r="Q646" s="11" t="s">
        <v>49</v>
      </c>
      <c r="R646" s="7">
        <v>19958.047999999999</v>
      </c>
      <c r="S646" s="7"/>
      <c r="T646" s="7"/>
      <c r="U646" s="7"/>
      <c r="V646" s="10">
        <v>9.5</v>
      </c>
      <c r="W646" s="9">
        <v>44981</v>
      </c>
      <c r="X646" s="10">
        <v>11.5</v>
      </c>
      <c r="Y646" s="9">
        <v>44988</v>
      </c>
      <c r="Z646">
        <v>24</v>
      </c>
      <c r="AA646" s="11" t="s">
        <v>49</v>
      </c>
    </row>
    <row r="647" spans="2:27" x14ac:dyDescent="0.2">
      <c r="B647" t="s">
        <v>394</v>
      </c>
      <c r="C647">
        <v>40359911</v>
      </c>
      <c r="D647" t="s">
        <v>485</v>
      </c>
      <c r="E647">
        <v>1021023</v>
      </c>
      <c r="F647" t="s">
        <v>508</v>
      </c>
      <c r="G647" s="9">
        <v>44969</v>
      </c>
      <c r="H647" s="7"/>
      <c r="I647" s="7"/>
      <c r="J647" s="7"/>
      <c r="K647" s="7"/>
      <c r="L647" s="10"/>
      <c r="N647" s="10"/>
      <c r="Q647" s="11"/>
      <c r="R647" s="7"/>
      <c r="S647" s="7"/>
      <c r="T647" s="7"/>
      <c r="U647" s="7"/>
      <c r="V647" s="10"/>
      <c r="X647" s="10"/>
      <c r="AA647" s="11"/>
    </row>
    <row r="648" spans="2:27" x14ac:dyDescent="0.2">
      <c r="B648" t="s">
        <v>394</v>
      </c>
      <c r="C648">
        <v>40359911</v>
      </c>
      <c r="D648" t="s">
        <v>485</v>
      </c>
      <c r="E648">
        <v>1021023</v>
      </c>
      <c r="F648" t="s">
        <v>508</v>
      </c>
      <c r="G648" s="9">
        <v>44969</v>
      </c>
      <c r="H648" s="7"/>
      <c r="I648" s="7"/>
      <c r="J648" s="7"/>
      <c r="K648" s="7"/>
      <c r="L648" s="10"/>
      <c r="N648" s="10"/>
      <c r="Q648" s="11"/>
      <c r="R648" s="7"/>
      <c r="S648" s="7"/>
      <c r="T648" s="7"/>
      <c r="U648" s="7"/>
      <c r="V648" s="10"/>
      <c r="X648" s="10"/>
      <c r="AA648" s="11"/>
    </row>
    <row r="649" spans="2:27" x14ac:dyDescent="0.2">
      <c r="B649" t="s">
        <v>394</v>
      </c>
      <c r="C649">
        <v>40359910</v>
      </c>
      <c r="D649" t="s">
        <v>485</v>
      </c>
      <c r="E649">
        <v>1020367</v>
      </c>
      <c r="F649" t="s">
        <v>596</v>
      </c>
      <c r="G649" s="9">
        <v>44968</v>
      </c>
      <c r="H649" s="7"/>
      <c r="I649" s="7"/>
      <c r="J649" s="7"/>
      <c r="K649" s="7"/>
      <c r="L649" s="10"/>
      <c r="N649" s="10"/>
      <c r="Q649" s="11"/>
      <c r="R649" s="7"/>
      <c r="S649" s="7"/>
      <c r="T649" s="7"/>
      <c r="U649" s="7"/>
      <c r="V649" s="10"/>
      <c r="X649" s="10"/>
      <c r="AA649" s="11"/>
    </row>
    <row r="650" spans="2:27" ht="16" x14ac:dyDescent="0.2">
      <c r="B650" t="s">
        <v>35</v>
      </c>
      <c r="C650">
        <v>40359844</v>
      </c>
      <c r="D650" t="s">
        <v>409</v>
      </c>
      <c r="E650">
        <v>1012111</v>
      </c>
      <c r="F650" t="s">
        <v>137</v>
      </c>
      <c r="G650" s="9">
        <v>44980</v>
      </c>
      <c r="H650" s="7">
        <v>9979.0239999999994</v>
      </c>
      <c r="I650" s="7"/>
      <c r="J650" s="7"/>
      <c r="K650" s="7"/>
      <c r="L650" s="10">
        <v>7.5</v>
      </c>
      <c r="M650" s="9">
        <v>44987</v>
      </c>
      <c r="N650" s="10">
        <v>9.5</v>
      </c>
      <c r="O650" s="9">
        <v>44996</v>
      </c>
      <c r="P650">
        <v>17</v>
      </c>
      <c r="Q650" s="11" t="s">
        <v>49</v>
      </c>
      <c r="R650" s="7">
        <v>9979.0239999999994</v>
      </c>
      <c r="S650" s="7"/>
      <c r="T650" s="7"/>
      <c r="U650" s="7"/>
      <c r="V650" s="10">
        <v>9.5</v>
      </c>
      <c r="W650" s="9">
        <v>44989</v>
      </c>
      <c r="X650" s="10">
        <v>11.5</v>
      </c>
      <c r="Y650" s="9">
        <v>44996</v>
      </c>
      <c r="Z650">
        <v>17</v>
      </c>
      <c r="AA650" s="11" t="s">
        <v>49</v>
      </c>
    </row>
    <row r="651" spans="2:27" ht="16" x14ac:dyDescent="0.2">
      <c r="B651" t="s">
        <v>35</v>
      </c>
      <c r="C651">
        <v>40359844</v>
      </c>
      <c r="D651" t="s">
        <v>409</v>
      </c>
      <c r="E651">
        <v>1012108</v>
      </c>
      <c r="F651" t="s">
        <v>57</v>
      </c>
      <c r="G651" s="9">
        <v>44980</v>
      </c>
      <c r="H651" s="7">
        <v>9979.0239999999994</v>
      </c>
      <c r="I651" s="7"/>
      <c r="J651" s="7"/>
      <c r="K651" s="7"/>
      <c r="L651" s="10">
        <v>7.5</v>
      </c>
      <c r="M651" s="9">
        <v>44987</v>
      </c>
      <c r="N651" s="10">
        <v>9.5</v>
      </c>
      <c r="O651" s="9">
        <v>44996</v>
      </c>
      <c r="P651">
        <v>17</v>
      </c>
      <c r="Q651" s="11" t="s">
        <v>49</v>
      </c>
      <c r="R651" s="7">
        <v>9979.0239999999994</v>
      </c>
      <c r="S651" s="7"/>
      <c r="T651" s="7"/>
      <c r="U651" s="7"/>
      <c r="V651" s="10">
        <v>9.5</v>
      </c>
      <c r="W651" s="9">
        <v>44989</v>
      </c>
      <c r="X651" s="10">
        <v>11.5</v>
      </c>
      <c r="Y651" s="9">
        <v>44996</v>
      </c>
      <c r="Z651">
        <v>17</v>
      </c>
      <c r="AA651" s="11" t="s">
        <v>49</v>
      </c>
    </row>
    <row r="652" spans="2:27" ht="16" x14ac:dyDescent="0.2">
      <c r="B652" t="s">
        <v>35</v>
      </c>
      <c r="C652">
        <v>40359629</v>
      </c>
      <c r="D652" t="s">
        <v>386</v>
      </c>
      <c r="E652">
        <v>1012730</v>
      </c>
      <c r="F652" t="s">
        <v>426</v>
      </c>
      <c r="G652" s="9">
        <v>44970</v>
      </c>
      <c r="H652" s="7"/>
      <c r="I652" s="7"/>
      <c r="J652" s="7"/>
      <c r="K652" s="7"/>
      <c r="L652" s="10">
        <v>5.1420118343195256</v>
      </c>
      <c r="M652" s="9">
        <v>44975</v>
      </c>
      <c r="N652" s="10">
        <v>7.5</v>
      </c>
      <c r="O652" s="9">
        <v>44982</v>
      </c>
      <c r="P652">
        <v>2</v>
      </c>
      <c r="Q652" s="11" t="s">
        <v>594</v>
      </c>
      <c r="R652" s="7"/>
      <c r="S652" s="7"/>
      <c r="T652" s="7"/>
      <c r="U652" s="7"/>
      <c r="V652" s="10">
        <v>7.1420118343195256</v>
      </c>
      <c r="W652" s="9">
        <v>44977</v>
      </c>
      <c r="X652" s="10">
        <v>9.5</v>
      </c>
      <c r="Y652" s="9">
        <v>44982</v>
      </c>
      <c r="Z652">
        <v>2</v>
      </c>
      <c r="AA652" s="11" t="s">
        <v>594</v>
      </c>
    </row>
    <row r="653" spans="2:27" ht="16" x14ac:dyDescent="0.2">
      <c r="B653" t="s">
        <v>35</v>
      </c>
      <c r="C653">
        <v>40359629</v>
      </c>
      <c r="D653" t="s">
        <v>386</v>
      </c>
      <c r="E653">
        <v>1012724</v>
      </c>
      <c r="F653" t="s">
        <v>427</v>
      </c>
      <c r="G653" s="9">
        <v>44970</v>
      </c>
      <c r="H653" s="7"/>
      <c r="I653" s="7"/>
      <c r="J653" s="7"/>
      <c r="K653" s="7"/>
      <c r="L653" s="10">
        <v>5.1420118343195256</v>
      </c>
      <c r="M653" s="9">
        <v>44975</v>
      </c>
      <c r="N653" s="10">
        <v>7.5</v>
      </c>
      <c r="O653" s="9">
        <v>44982</v>
      </c>
      <c r="P653">
        <v>2</v>
      </c>
      <c r="Q653" s="11" t="s">
        <v>594</v>
      </c>
      <c r="R653" s="7"/>
      <c r="S653" s="7"/>
      <c r="T653" s="7"/>
      <c r="U653" s="7"/>
      <c r="V653" s="10">
        <v>7.1420118343195256</v>
      </c>
      <c r="W653" s="9">
        <v>44977</v>
      </c>
      <c r="X653" s="10">
        <v>9.5</v>
      </c>
      <c r="Y653" s="9">
        <v>44982</v>
      </c>
      <c r="Z653">
        <v>2</v>
      </c>
      <c r="AA653" s="11" t="s">
        <v>594</v>
      </c>
    </row>
    <row r="654" spans="2:27" x14ac:dyDescent="0.2">
      <c r="B654" t="s">
        <v>394</v>
      </c>
      <c r="C654">
        <v>40359468</v>
      </c>
      <c r="D654" t="s">
        <v>485</v>
      </c>
      <c r="E654">
        <v>1021078</v>
      </c>
      <c r="F654" t="s">
        <v>536</v>
      </c>
      <c r="G654" s="9">
        <v>44961</v>
      </c>
      <c r="H654" s="7"/>
      <c r="I654" s="7"/>
      <c r="J654" s="7"/>
      <c r="K654" s="7"/>
      <c r="L654" s="10"/>
      <c r="N654" s="10"/>
      <c r="Q654" s="11"/>
      <c r="R654" s="7"/>
      <c r="S654" s="7"/>
      <c r="T654" s="7"/>
      <c r="U654" s="7"/>
      <c r="V654" s="10"/>
      <c r="X654" s="10"/>
      <c r="AA654" s="11"/>
    </row>
    <row r="655" spans="2:27" x14ac:dyDescent="0.2">
      <c r="B655" t="s">
        <v>394</v>
      </c>
      <c r="C655">
        <v>40359468</v>
      </c>
      <c r="D655" t="s">
        <v>485</v>
      </c>
      <c r="E655">
        <v>1021078</v>
      </c>
      <c r="F655" t="s">
        <v>536</v>
      </c>
      <c r="G655" s="9">
        <v>44961</v>
      </c>
      <c r="H655" s="7"/>
      <c r="I655" s="7"/>
      <c r="J655" s="7"/>
      <c r="K655" s="7"/>
      <c r="L655" s="10"/>
      <c r="N655" s="10"/>
      <c r="Q655" s="11"/>
      <c r="R655" s="7"/>
      <c r="S655" s="7"/>
      <c r="T655" s="7"/>
      <c r="U655" s="7"/>
      <c r="V655" s="10"/>
      <c r="X655" s="10"/>
      <c r="AA655" s="11"/>
    </row>
    <row r="656" spans="2:27" x14ac:dyDescent="0.2">
      <c r="B656" t="s">
        <v>394</v>
      </c>
      <c r="C656">
        <v>40359467</v>
      </c>
      <c r="D656" t="s">
        <v>485</v>
      </c>
      <c r="E656">
        <v>1020367</v>
      </c>
      <c r="F656" t="s">
        <v>596</v>
      </c>
      <c r="G656" s="9">
        <v>44960</v>
      </c>
      <c r="H656" s="7"/>
      <c r="I656" s="7"/>
      <c r="J656" s="7"/>
      <c r="K656" s="7"/>
      <c r="L656" s="10"/>
      <c r="N656" s="10"/>
      <c r="Q656" s="11"/>
      <c r="R656" s="7"/>
      <c r="S656" s="7"/>
      <c r="T656" s="7"/>
      <c r="U656" s="7"/>
      <c r="V656" s="10"/>
      <c r="X656" s="10"/>
      <c r="AA656" s="11"/>
    </row>
    <row r="657" spans="2:27" x14ac:dyDescent="0.2">
      <c r="B657" t="s">
        <v>394</v>
      </c>
      <c r="C657">
        <v>40359467</v>
      </c>
      <c r="D657" t="s">
        <v>485</v>
      </c>
      <c r="E657">
        <v>1020367</v>
      </c>
      <c r="F657" t="s">
        <v>596</v>
      </c>
      <c r="G657" s="9">
        <v>44960</v>
      </c>
      <c r="H657" s="7"/>
      <c r="I657" s="7"/>
      <c r="J657" s="7"/>
      <c r="K657" s="7"/>
      <c r="L657" s="10"/>
      <c r="N657" s="10"/>
      <c r="Q657" s="11"/>
      <c r="R657" s="7"/>
      <c r="S657" s="7"/>
      <c r="T657" s="7"/>
      <c r="U657" s="7"/>
      <c r="V657" s="10"/>
      <c r="X657" s="10"/>
      <c r="AA657" s="11"/>
    </row>
    <row r="658" spans="2:27" x14ac:dyDescent="0.2">
      <c r="B658" t="s">
        <v>394</v>
      </c>
      <c r="C658">
        <v>40359466</v>
      </c>
      <c r="D658" t="s">
        <v>485</v>
      </c>
      <c r="E658">
        <v>1021385</v>
      </c>
      <c r="F658" t="s">
        <v>495</v>
      </c>
      <c r="G658" s="9">
        <v>44962</v>
      </c>
      <c r="H658" s="7"/>
      <c r="I658" s="7"/>
      <c r="J658" s="7"/>
      <c r="K658" s="7"/>
      <c r="L658" s="10"/>
      <c r="N658" s="10"/>
      <c r="Q658" s="11"/>
      <c r="R658" s="7"/>
      <c r="S658" s="7"/>
      <c r="T658" s="7"/>
      <c r="U658" s="7"/>
      <c r="V658" s="10"/>
      <c r="X658" s="10"/>
      <c r="AA658" s="11"/>
    </row>
    <row r="659" spans="2:27" x14ac:dyDescent="0.2">
      <c r="B659" t="s">
        <v>394</v>
      </c>
      <c r="C659">
        <v>40359465</v>
      </c>
      <c r="D659" t="s">
        <v>485</v>
      </c>
      <c r="E659">
        <v>1021385</v>
      </c>
      <c r="F659" t="s">
        <v>495</v>
      </c>
      <c r="G659" s="9">
        <v>44960</v>
      </c>
      <c r="H659" s="7"/>
      <c r="I659" s="7"/>
      <c r="J659" s="7"/>
      <c r="K659" s="7"/>
      <c r="L659" s="10"/>
      <c r="N659" s="10"/>
      <c r="Q659" s="11"/>
      <c r="R659" s="7"/>
      <c r="S659" s="7"/>
      <c r="T659" s="7"/>
      <c r="U659" s="7"/>
      <c r="V659" s="10"/>
      <c r="X659" s="10"/>
      <c r="AA659" s="11"/>
    </row>
    <row r="660" spans="2:27" ht="16" x14ac:dyDescent="0.2">
      <c r="B660" t="s">
        <v>35</v>
      </c>
      <c r="C660">
        <v>40359454</v>
      </c>
      <c r="D660" t="s">
        <v>423</v>
      </c>
      <c r="E660">
        <v>1030658</v>
      </c>
      <c r="F660" t="s">
        <v>371</v>
      </c>
      <c r="G660" s="9">
        <v>44961</v>
      </c>
      <c r="H660" s="7"/>
      <c r="I660" s="7"/>
      <c r="J660" s="7"/>
      <c r="K660" s="7"/>
      <c r="L660" s="10">
        <v>5.4496124031007751</v>
      </c>
      <c r="M660" s="9">
        <v>44966</v>
      </c>
      <c r="N660" s="10">
        <v>10</v>
      </c>
      <c r="O660" s="9">
        <v>44976</v>
      </c>
      <c r="P660">
        <v>8</v>
      </c>
      <c r="Q660" s="11" t="s">
        <v>49</v>
      </c>
      <c r="R660" s="7"/>
      <c r="S660" s="7"/>
      <c r="T660" s="7"/>
      <c r="U660" s="7"/>
      <c r="V660" s="10">
        <v>7.4496124031007751</v>
      </c>
      <c r="W660" s="9">
        <v>44968</v>
      </c>
      <c r="X660" s="10">
        <v>12</v>
      </c>
      <c r="Y660" s="9">
        <v>44976</v>
      </c>
      <c r="Z660">
        <v>8</v>
      </c>
      <c r="AA660" s="11" t="s">
        <v>49</v>
      </c>
    </row>
    <row r="661" spans="2:27" x14ac:dyDescent="0.2">
      <c r="B661" t="s">
        <v>394</v>
      </c>
      <c r="C661">
        <v>40359449</v>
      </c>
      <c r="D661" t="s">
        <v>485</v>
      </c>
      <c r="E661">
        <v>1022709</v>
      </c>
      <c r="F661" t="s">
        <v>493</v>
      </c>
      <c r="G661" s="9">
        <v>44960</v>
      </c>
      <c r="H661" s="7"/>
      <c r="I661" s="7"/>
      <c r="J661" s="7"/>
      <c r="K661" s="7"/>
      <c r="L661" s="10"/>
      <c r="N661" s="10"/>
      <c r="Q661" s="11"/>
      <c r="R661" s="7"/>
      <c r="S661" s="7"/>
      <c r="T661" s="7"/>
      <c r="U661" s="7"/>
      <c r="V661" s="10"/>
      <c r="X661" s="10"/>
      <c r="AA661" s="11"/>
    </row>
    <row r="662" spans="2:27" x14ac:dyDescent="0.2">
      <c r="B662" t="s">
        <v>394</v>
      </c>
      <c r="C662">
        <v>40359448</v>
      </c>
      <c r="D662" t="s">
        <v>485</v>
      </c>
      <c r="E662">
        <v>1022709</v>
      </c>
      <c r="F662" t="s">
        <v>493</v>
      </c>
      <c r="G662" s="9">
        <v>44953</v>
      </c>
      <c r="H662" s="7"/>
      <c r="I662" s="7"/>
      <c r="J662" s="7"/>
      <c r="K662" s="7"/>
      <c r="L662" s="10"/>
      <c r="N662" s="10"/>
      <c r="Q662" s="11"/>
      <c r="R662" s="7"/>
      <c r="S662" s="7"/>
      <c r="T662" s="7"/>
      <c r="U662" s="7"/>
      <c r="V662" s="10"/>
      <c r="X662" s="10"/>
      <c r="AA662" s="11"/>
    </row>
    <row r="663" spans="2:27" x14ac:dyDescent="0.2">
      <c r="B663" t="s">
        <v>394</v>
      </c>
      <c r="C663">
        <v>40359448</v>
      </c>
      <c r="D663" t="s">
        <v>485</v>
      </c>
      <c r="E663">
        <v>1022709</v>
      </c>
      <c r="F663" t="s">
        <v>493</v>
      </c>
      <c r="G663" s="9">
        <v>44953</v>
      </c>
      <c r="H663" s="7"/>
      <c r="I663" s="7"/>
      <c r="J663" s="7"/>
      <c r="K663" s="7"/>
      <c r="L663" s="10"/>
      <c r="N663" s="10"/>
      <c r="Q663" s="11"/>
      <c r="R663" s="7"/>
      <c r="S663" s="7"/>
      <c r="T663" s="7"/>
      <c r="U663" s="7"/>
      <c r="V663" s="10"/>
      <c r="X663" s="10"/>
      <c r="AA663" s="11"/>
    </row>
    <row r="664" spans="2:27" x14ac:dyDescent="0.2">
      <c r="B664" t="s">
        <v>394</v>
      </c>
      <c r="C664">
        <v>40359447</v>
      </c>
      <c r="D664" t="s">
        <v>485</v>
      </c>
      <c r="E664">
        <v>1022709</v>
      </c>
      <c r="F664" t="s">
        <v>493</v>
      </c>
      <c r="G664" s="9">
        <v>44953</v>
      </c>
      <c r="H664" s="7"/>
      <c r="I664" s="7"/>
      <c r="J664" s="7"/>
      <c r="K664" s="7"/>
      <c r="L664" s="10"/>
      <c r="N664" s="10"/>
      <c r="Q664" s="11"/>
      <c r="R664" s="7"/>
      <c r="S664" s="7"/>
      <c r="T664" s="7"/>
      <c r="U664" s="7"/>
      <c r="V664" s="10"/>
      <c r="X664" s="10"/>
      <c r="AA664" s="11"/>
    </row>
    <row r="665" spans="2:27" x14ac:dyDescent="0.2">
      <c r="B665" t="s">
        <v>394</v>
      </c>
      <c r="C665">
        <v>40359392</v>
      </c>
      <c r="D665" t="s">
        <v>485</v>
      </c>
      <c r="E665">
        <v>1030817</v>
      </c>
      <c r="F665" t="s">
        <v>504</v>
      </c>
      <c r="G665" s="9">
        <v>44960</v>
      </c>
      <c r="H665" s="7"/>
      <c r="I665" s="7"/>
      <c r="J665" s="7"/>
      <c r="K665" s="7"/>
      <c r="L665" s="10"/>
      <c r="N665" s="10"/>
      <c r="Q665" s="11"/>
      <c r="R665" s="7"/>
      <c r="S665" s="7"/>
      <c r="T665" s="7"/>
      <c r="U665" s="7"/>
      <c r="V665" s="10"/>
      <c r="X665" s="10"/>
      <c r="AA665" s="11"/>
    </row>
    <row r="666" spans="2:27" x14ac:dyDescent="0.2">
      <c r="B666" t="s">
        <v>394</v>
      </c>
      <c r="C666">
        <v>40359391</v>
      </c>
      <c r="D666" t="s">
        <v>485</v>
      </c>
      <c r="E666">
        <v>1030817</v>
      </c>
      <c r="F666" t="s">
        <v>504</v>
      </c>
      <c r="G666" s="9">
        <v>44960</v>
      </c>
      <c r="H666" s="7"/>
      <c r="I666" s="7"/>
      <c r="J666" s="7"/>
      <c r="K666" s="7"/>
      <c r="L666" s="10"/>
      <c r="N666" s="10"/>
      <c r="Q666" s="11"/>
      <c r="R666" s="7"/>
      <c r="S666" s="7"/>
      <c r="T666" s="7"/>
      <c r="U666" s="7"/>
      <c r="V666" s="10"/>
      <c r="X666" s="10"/>
      <c r="AA666" s="11"/>
    </row>
    <row r="667" spans="2:27" x14ac:dyDescent="0.2">
      <c r="B667" t="s">
        <v>394</v>
      </c>
      <c r="C667">
        <v>40359390</v>
      </c>
      <c r="D667" t="s">
        <v>485</v>
      </c>
      <c r="E667">
        <v>1020017</v>
      </c>
      <c r="F667" t="s">
        <v>524</v>
      </c>
      <c r="G667" s="9">
        <v>44960</v>
      </c>
      <c r="H667" s="7"/>
      <c r="I667" s="7"/>
      <c r="J667" s="7"/>
      <c r="K667" s="7"/>
      <c r="L667" s="10"/>
      <c r="N667" s="10"/>
      <c r="Q667" s="11"/>
      <c r="R667" s="7"/>
      <c r="S667" s="7"/>
      <c r="T667" s="7"/>
      <c r="U667" s="7"/>
      <c r="V667" s="10"/>
      <c r="X667" s="10"/>
      <c r="AA667" s="11"/>
    </row>
    <row r="668" spans="2:27" x14ac:dyDescent="0.2">
      <c r="B668" t="s">
        <v>394</v>
      </c>
      <c r="C668">
        <v>40359390</v>
      </c>
      <c r="D668" t="s">
        <v>485</v>
      </c>
      <c r="E668">
        <v>1021385</v>
      </c>
      <c r="F668" t="s">
        <v>495</v>
      </c>
      <c r="G668" s="9">
        <v>44960</v>
      </c>
      <c r="H668" s="7"/>
      <c r="I668" s="7"/>
      <c r="J668" s="7"/>
      <c r="K668" s="7"/>
      <c r="L668" s="10"/>
      <c r="N668" s="10"/>
      <c r="Q668" s="11"/>
      <c r="R668" s="7"/>
      <c r="S668" s="7"/>
      <c r="T668" s="7"/>
      <c r="U668" s="7"/>
      <c r="V668" s="10"/>
      <c r="X668" s="10"/>
      <c r="AA668" s="11"/>
    </row>
    <row r="669" spans="2:27" x14ac:dyDescent="0.2">
      <c r="B669" t="s">
        <v>394</v>
      </c>
      <c r="C669">
        <v>40359347</v>
      </c>
      <c r="D669" t="s">
        <v>396</v>
      </c>
      <c r="E669">
        <v>1012612</v>
      </c>
      <c r="F669" t="s">
        <v>429</v>
      </c>
      <c r="G669" s="9">
        <v>45001</v>
      </c>
      <c r="H669" s="7">
        <v>24818.799999999999</v>
      </c>
      <c r="I669" s="7"/>
      <c r="J669" s="7"/>
      <c r="K669" s="7"/>
      <c r="L669" s="10"/>
      <c r="N669" s="10"/>
      <c r="Q669" s="11"/>
      <c r="R669" s="7">
        <v>24818.799999999999</v>
      </c>
      <c r="S669" s="7"/>
      <c r="T669" s="7"/>
      <c r="U669" s="7"/>
      <c r="V669" s="10"/>
      <c r="X669" s="10"/>
      <c r="AA669" s="11"/>
    </row>
    <row r="670" spans="2:27" x14ac:dyDescent="0.2">
      <c r="B670" t="s">
        <v>394</v>
      </c>
      <c r="C670">
        <v>40359346</v>
      </c>
      <c r="D670" t="s">
        <v>396</v>
      </c>
      <c r="E670">
        <v>1012612</v>
      </c>
      <c r="F670" t="s">
        <v>429</v>
      </c>
      <c r="G670" s="9">
        <v>45001</v>
      </c>
      <c r="H670" s="7">
        <v>24166.560000000001</v>
      </c>
      <c r="I670" s="7"/>
      <c r="J670" s="7"/>
      <c r="K670" s="7"/>
      <c r="L670" s="10"/>
      <c r="N670" s="10"/>
      <c r="Q670" s="11"/>
      <c r="R670" s="7">
        <v>24166.560000000001</v>
      </c>
      <c r="S670" s="7"/>
      <c r="T670" s="7"/>
      <c r="U670" s="7"/>
      <c r="V670" s="10"/>
      <c r="X670" s="10"/>
      <c r="AA670" s="11"/>
    </row>
    <row r="671" spans="2:27" ht="16" x14ac:dyDescent="0.2">
      <c r="B671" t="s">
        <v>35</v>
      </c>
      <c r="C671">
        <v>40359335</v>
      </c>
      <c r="D671" t="s">
        <v>389</v>
      </c>
      <c r="E671">
        <v>1022212</v>
      </c>
      <c r="F671" t="s">
        <v>300</v>
      </c>
      <c r="G671" s="9">
        <v>44995</v>
      </c>
      <c r="H671" s="7">
        <v>24072.560000000001</v>
      </c>
      <c r="I671" s="7"/>
      <c r="J671" s="7"/>
      <c r="K671" s="7"/>
      <c r="L671" s="10">
        <v>5.5741092456127026</v>
      </c>
      <c r="M671" s="9">
        <v>45000</v>
      </c>
      <c r="N671" s="10">
        <v>5.5</v>
      </c>
      <c r="O671" s="9">
        <v>45005</v>
      </c>
      <c r="P671">
        <v>10</v>
      </c>
      <c r="Q671" s="11" t="s">
        <v>49</v>
      </c>
      <c r="R671" s="7">
        <v>24072.560000000001</v>
      </c>
      <c r="S671" s="7"/>
      <c r="T671" s="7"/>
      <c r="U671" s="7"/>
      <c r="V671" s="10">
        <v>7.5741092456127026</v>
      </c>
      <c r="W671" s="9">
        <v>45002</v>
      </c>
      <c r="X671" s="10">
        <v>7.5</v>
      </c>
      <c r="Y671" s="9">
        <v>45005</v>
      </c>
      <c r="Z671">
        <v>10</v>
      </c>
      <c r="AA671" s="11" t="s">
        <v>49</v>
      </c>
    </row>
    <row r="672" spans="2:27" ht="16" x14ac:dyDescent="0.2">
      <c r="B672" t="s">
        <v>35</v>
      </c>
      <c r="C672">
        <v>40359334</v>
      </c>
      <c r="D672" t="s">
        <v>389</v>
      </c>
      <c r="E672">
        <v>1022212</v>
      </c>
      <c r="F672" t="s">
        <v>300</v>
      </c>
      <c r="G672" s="9">
        <v>44990</v>
      </c>
      <c r="H672" s="7">
        <v>24002.38</v>
      </c>
      <c r="I672" s="7"/>
      <c r="J672" s="7"/>
      <c r="K672" s="7"/>
      <c r="L672" s="10">
        <v>5.5741092456127026</v>
      </c>
      <c r="M672" s="9">
        <v>44995</v>
      </c>
      <c r="N672" s="10">
        <v>5.5</v>
      </c>
      <c r="O672" s="9">
        <v>45000</v>
      </c>
      <c r="P672">
        <v>14</v>
      </c>
      <c r="Q672" s="11" t="s">
        <v>49</v>
      </c>
      <c r="R672" s="7">
        <v>24002.38</v>
      </c>
      <c r="S672" s="7"/>
      <c r="T672" s="7"/>
      <c r="U672" s="7"/>
      <c r="V672" s="10">
        <v>7.5741092456127026</v>
      </c>
      <c r="W672" s="9">
        <v>44997</v>
      </c>
      <c r="X672" s="10">
        <v>7.5</v>
      </c>
      <c r="Y672" s="9">
        <v>45000</v>
      </c>
      <c r="Z672">
        <v>14</v>
      </c>
      <c r="AA672" s="11" t="s">
        <v>49</v>
      </c>
    </row>
    <row r="673" spans="2:27" ht="16" x14ac:dyDescent="0.2">
      <c r="B673" t="s">
        <v>35</v>
      </c>
      <c r="C673">
        <v>40359333</v>
      </c>
      <c r="D673" t="s">
        <v>389</v>
      </c>
      <c r="E673">
        <v>1022212</v>
      </c>
      <c r="F673" t="s">
        <v>300</v>
      </c>
      <c r="G673" s="9">
        <v>44995</v>
      </c>
      <c r="H673" s="7">
        <v>24101.81</v>
      </c>
      <c r="I673" s="7"/>
      <c r="J673" s="7"/>
      <c r="K673" s="7"/>
      <c r="L673" s="10">
        <v>5.5741092456127026</v>
      </c>
      <c r="M673" s="9">
        <v>45000</v>
      </c>
      <c r="N673" s="10">
        <v>5.5</v>
      </c>
      <c r="O673" s="9">
        <v>45005</v>
      </c>
      <c r="P673">
        <v>10</v>
      </c>
      <c r="Q673" s="11" t="s">
        <v>49</v>
      </c>
      <c r="R673" s="7">
        <v>24101.81</v>
      </c>
      <c r="S673" s="7"/>
      <c r="T673" s="7"/>
      <c r="U673" s="7"/>
      <c r="V673" s="10">
        <v>7.5741092456127026</v>
      </c>
      <c r="W673" s="9">
        <v>45002</v>
      </c>
      <c r="X673" s="10">
        <v>7.5</v>
      </c>
      <c r="Y673" s="9">
        <v>45005</v>
      </c>
      <c r="Z673">
        <v>10</v>
      </c>
      <c r="AA673" s="11" t="s">
        <v>49</v>
      </c>
    </row>
    <row r="674" spans="2:27" ht="16" x14ac:dyDescent="0.2">
      <c r="B674" t="s">
        <v>35</v>
      </c>
      <c r="C674">
        <v>40359332</v>
      </c>
      <c r="D674" t="s">
        <v>389</v>
      </c>
      <c r="E674">
        <v>1022212</v>
      </c>
      <c r="F674" t="s">
        <v>300</v>
      </c>
      <c r="G674" s="9">
        <v>44995</v>
      </c>
      <c r="H674" s="7">
        <v>23855.86</v>
      </c>
      <c r="I674" s="7"/>
      <c r="J674" s="7"/>
      <c r="K674" s="7"/>
      <c r="L674" s="10">
        <v>5.5741092456127026</v>
      </c>
      <c r="M674" s="9">
        <v>45000</v>
      </c>
      <c r="N674" s="10">
        <v>5.5</v>
      </c>
      <c r="O674" s="9">
        <v>45005</v>
      </c>
      <c r="P674">
        <v>10</v>
      </c>
      <c r="Q674" s="11" t="s">
        <v>49</v>
      </c>
      <c r="R674" s="7">
        <v>23855.86</v>
      </c>
      <c r="S674" s="7"/>
      <c r="T674" s="7"/>
      <c r="U674" s="7"/>
      <c r="V674" s="10">
        <v>7.5741092456127026</v>
      </c>
      <c r="W674" s="9">
        <v>45002</v>
      </c>
      <c r="X674" s="10">
        <v>7.5</v>
      </c>
      <c r="Y674" s="9">
        <v>45005</v>
      </c>
      <c r="Z674">
        <v>10</v>
      </c>
      <c r="AA674" s="11" t="s">
        <v>49</v>
      </c>
    </row>
    <row r="675" spans="2:27" ht="16" x14ac:dyDescent="0.2">
      <c r="B675" t="s">
        <v>35</v>
      </c>
      <c r="C675">
        <v>40359331</v>
      </c>
      <c r="D675" t="s">
        <v>389</v>
      </c>
      <c r="E675">
        <v>1022212</v>
      </c>
      <c r="F675" t="s">
        <v>300</v>
      </c>
      <c r="G675" s="9">
        <v>44990</v>
      </c>
      <c r="H675" s="7">
        <v>24021.13</v>
      </c>
      <c r="I675" s="7"/>
      <c r="J675" s="7"/>
      <c r="K675" s="7"/>
      <c r="L675" s="10">
        <v>5.5741092456127026</v>
      </c>
      <c r="M675" s="9">
        <v>44995</v>
      </c>
      <c r="N675" s="10">
        <v>5.5</v>
      </c>
      <c r="O675" s="9">
        <v>45000</v>
      </c>
      <c r="P675">
        <v>14</v>
      </c>
      <c r="Q675" s="11" t="s">
        <v>49</v>
      </c>
      <c r="R675" s="7">
        <v>24021.13</v>
      </c>
      <c r="S675" s="7"/>
      <c r="T675" s="7"/>
      <c r="U675" s="7"/>
      <c r="V675" s="10">
        <v>7.5741092456127026</v>
      </c>
      <c r="W675" s="9">
        <v>44997</v>
      </c>
      <c r="X675" s="10">
        <v>7.5</v>
      </c>
      <c r="Y675" s="9">
        <v>45000</v>
      </c>
      <c r="Z675">
        <v>14</v>
      </c>
      <c r="AA675" s="11" t="s">
        <v>49</v>
      </c>
    </row>
    <row r="676" spans="2:27" ht="16" x14ac:dyDescent="0.2">
      <c r="B676" t="s">
        <v>35</v>
      </c>
      <c r="C676">
        <v>40359330</v>
      </c>
      <c r="D676" t="s">
        <v>389</v>
      </c>
      <c r="E676">
        <v>1022212</v>
      </c>
      <c r="F676" t="s">
        <v>300</v>
      </c>
      <c r="G676" s="9">
        <v>44995</v>
      </c>
      <c r="H676" s="7">
        <v>23773.63</v>
      </c>
      <c r="I676" s="7"/>
      <c r="J676" s="7"/>
      <c r="K676" s="7"/>
      <c r="L676" s="10">
        <v>5.5741092456127026</v>
      </c>
      <c r="M676" s="9">
        <v>45000</v>
      </c>
      <c r="N676" s="10">
        <v>5.5</v>
      </c>
      <c r="O676" s="9">
        <v>45005</v>
      </c>
      <c r="P676">
        <v>10</v>
      </c>
      <c r="Q676" s="11" t="s">
        <v>49</v>
      </c>
      <c r="R676" s="7">
        <v>23773.63</v>
      </c>
      <c r="S676" s="7"/>
      <c r="T676" s="7"/>
      <c r="U676" s="7"/>
      <c r="V676" s="10">
        <v>7.5741092456127026</v>
      </c>
      <c r="W676" s="9">
        <v>45002</v>
      </c>
      <c r="X676" s="10">
        <v>7.5</v>
      </c>
      <c r="Y676" s="9">
        <v>45005</v>
      </c>
      <c r="Z676">
        <v>10</v>
      </c>
      <c r="AA676" s="11" t="s">
        <v>49</v>
      </c>
    </row>
    <row r="677" spans="2:27" ht="16" x14ac:dyDescent="0.2">
      <c r="B677" t="s">
        <v>35</v>
      </c>
      <c r="C677">
        <v>40359328</v>
      </c>
      <c r="D677" t="s">
        <v>389</v>
      </c>
      <c r="E677">
        <v>1022212</v>
      </c>
      <c r="F677" t="s">
        <v>300</v>
      </c>
      <c r="G677" s="9">
        <v>44981</v>
      </c>
      <c r="H677" s="7">
        <v>23980.34</v>
      </c>
      <c r="I677" s="7"/>
      <c r="J677" s="7"/>
      <c r="K677" s="7"/>
      <c r="L677" s="10">
        <v>5.5741092456127026</v>
      </c>
      <c r="M677" s="9">
        <v>44986</v>
      </c>
      <c r="N677" s="10">
        <v>5.5</v>
      </c>
      <c r="O677" s="9">
        <v>44991</v>
      </c>
      <c r="P677">
        <v>22</v>
      </c>
      <c r="Q677" s="11" t="s">
        <v>49</v>
      </c>
      <c r="R677" s="7">
        <v>23980.34</v>
      </c>
      <c r="S677" s="7"/>
      <c r="T677" s="7"/>
      <c r="U677" s="7"/>
      <c r="V677" s="10">
        <v>7.5741092456127026</v>
      </c>
      <c r="W677" s="9">
        <v>44988</v>
      </c>
      <c r="X677" s="10">
        <v>7.5</v>
      </c>
      <c r="Y677" s="9">
        <v>44991</v>
      </c>
      <c r="Z677">
        <v>22</v>
      </c>
      <c r="AA677" s="11" t="s">
        <v>49</v>
      </c>
    </row>
    <row r="678" spans="2:27" ht="16" x14ac:dyDescent="0.2">
      <c r="B678" t="s">
        <v>35</v>
      </c>
      <c r="C678">
        <v>40359327</v>
      </c>
      <c r="D678" t="s">
        <v>389</v>
      </c>
      <c r="E678">
        <v>1022212</v>
      </c>
      <c r="F678" t="s">
        <v>300</v>
      </c>
      <c r="G678" s="9">
        <v>44978</v>
      </c>
      <c r="H678" s="7">
        <v>23434.23</v>
      </c>
      <c r="I678" s="7"/>
      <c r="J678" s="7"/>
      <c r="K678" s="7"/>
      <c r="L678" s="10">
        <v>5.5741092456127026</v>
      </c>
      <c r="M678" s="9">
        <v>44983</v>
      </c>
      <c r="N678" s="10">
        <v>5.5</v>
      </c>
      <c r="O678" s="9">
        <v>44988</v>
      </c>
      <c r="P678">
        <v>24</v>
      </c>
      <c r="Q678" s="11" t="s">
        <v>49</v>
      </c>
      <c r="R678" s="7">
        <v>23434.23</v>
      </c>
      <c r="S678" s="7"/>
      <c r="T678" s="7"/>
      <c r="U678" s="7"/>
      <c r="V678" s="10">
        <v>7.5741092456127026</v>
      </c>
      <c r="W678" s="9">
        <v>44985</v>
      </c>
      <c r="X678" s="10">
        <v>7.5</v>
      </c>
      <c r="Y678" s="9">
        <v>44988</v>
      </c>
      <c r="Z678">
        <v>24</v>
      </c>
      <c r="AA678" s="11" t="s">
        <v>49</v>
      </c>
    </row>
    <row r="679" spans="2:27" ht="16" x14ac:dyDescent="0.2">
      <c r="B679" t="s">
        <v>35</v>
      </c>
      <c r="C679">
        <v>40359326</v>
      </c>
      <c r="D679" t="s">
        <v>389</v>
      </c>
      <c r="E679">
        <v>1022212</v>
      </c>
      <c r="F679" t="s">
        <v>300</v>
      </c>
      <c r="G679" s="9">
        <v>44977</v>
      </c>
      <c r="H679" s="7">
        <v>24137.91</v>
      </c>
      <c r="I679" s="7"/>
      <c r="J679" s="7"/>
      <c r="K679" s="7"/>
      <c r="L679" s="10">
        <v>5.5741092456127026</v>
      </c>
      <c r="M679" s="9">
        <v>44982</v>
      </c>
      <c r="N679" s="10">
        <v>5.5</v>
      </c>
      <c r="O679" s="9">
        <v>44987</v>
      </c>
      <c r="P679">
        <v>25</v>
      </c>
      <c r="Q679" s="11" t="s">
        <v>49</v>
      </c>
      <c r="R679" s="7">
        <v>24137.91</v>
      </c>
      <c r="S679" s="7"/>
      <c r="T679" s="7"/>
      <c r="U679" s="7"/>
      <c r="V679" s="10">
        <v>7.5741092456127026</v>
      </c>
      <c r="W679" s="9">
        <v>44984</v>
      </c>
      <c r="X679" s="10">
        <v>7.5</v>
      </c>
      <c r="Y679" s="9">
        <v>44987</v>
      </c>
      <c r="Z679">
        <v>25</v>
      </c>
      <c r="AA679" s="11" t="s">
        <v>49</v>
      </c>
    </row>
    <row r="680" spans="2:27" ht="16" x14ac:dyDescent="0.2">
      <c r="B680" t="s">
        <v>35</v>
      </c>
      <c r="C680">
        <v>40359325</v>
      </c>
      <c r="D680" t="s">
        <v>389</v>
      </c>
      <c r="E680">
        <v>1022212</v>
      </c>
      <c r="F680" t="s">
        <v>300</v>
      </c>
      <c r="G680" s="9">
        <v>44975</v>
      </c>
      <c r="H680" s="7"/>
      <c r="I680" s="7"/>
      <c r="J680" s="7"/>
      <c r="K680" s="7"/>
      <c r="L680" s="10">
        <v>5.5741092456127026</v>
      </c>
      <c r="M680" s="9">
        <v>44980</v>
      </c>
      <c r="N680" s="10">
        <v>5.5</v>
      </c>
      <c r="O680" s="9">
        <v>44985</v>
      </c>
      <c r="P680">
        <v>0</v>
      </c>
      <c r="Q680" s="11" t="s">
        <v>594</v>
      </c>
      <c r="R680" s="7"/>
      <c r="S680" s="7"/>
      <c r="T680" s="7"/>
      <c r="U680" s="7"/>
      <c r="V680" s="10">
        <v>7.5741092456127026</v>
      </c>
      <c r="W680" s="9">
        <v>44982</v>
      </c>
      <c r="X680" s="10">
        <v>7.5</v>
      </c>
      <c r="Y680" s="9">
        <v>44985</v>
      </c>
      <c r="Z680">
        <v>0</v>
      </c>
      <c r="AA680" s="11" t="s">
        <v>594</v>
      </c>
    </row>
    <row r="681" spans="2:27" ht="16" x14ac:dyDescent="0.2">
      <c r="B681" t="s">
        <v>35</v>
      </c>
      <c r="C681">
        <v>40359298</v>
      </c>
      <c r="D681" t="s">
        <v>409</v>
      </c>
      <c r="E681">
        <v>1021260</v>
      </c>
      <c r="F681" t="s">
        <v>430</v>
      </c>
      <c r="G681" s="9">
        <v>44971</v>
      </c>
      <c r="H681" s="7">
        <v>23921.829730000001</v>
      </c>
      <c r="I681" s="7"/>
      <c r="J681" s="7"/>
      <c r="K681" s="7"/>
      <c r="L681" s="10">
        <v>7.5</v>
      </c>
      <c r="M681" s="9">
        <v>44978</v>
      </c>
      <c r="N681" s="10">
        <v>9.5</v>
      </c>
      <c r="O681" s="9">
        <v>44987</v>
      </c>
      <c r="P681">
        <v>25</v>
      </c>
      <c r="Q681" s="11" t="s">
        <v>49</v>
      </c>
      <c r="R681" s="7">
        <v>23921.829730000001</v>
      </c>
      <c r="S681" s="7"/>
      <c r="T681" s="7"/>
      <c r="U681" s="7"/>
      <c r="V681" s="10">
        <v>9.5</v>
      </c>
      <c r="W681" s="9">
        <v>44980</v>
      </c>
      <c r="X681" s="10">
        <v>11.5</v>
      </c>
      <c r="Y681" s="9">
        <v>44987</v>
      </c>
      <c r="Z681">
        <v>25</v>
      </c>
      <c r="AA681" s="11" t="s">
        <v>49</v>
      </c>
    </row>
    <row r="682" spans="2:27" ht="16" x14ac:dyDescent="0.2">
      <c r="B682" t="s">
        <v>35</v>
      </c>
      <c r="C682">
        <v>40359270</v>
      </c>
      <c r="D682" t="s">
        <v>389</v>
      </c>
      <c r="E682">
        <v>1012595</v>
      </c>
      <c r="F682" t="s">
        <v>248</v>
      </c>
      <c r="G682" s="9">
        <v>44975</v>
      </c>
      <c r="H682" s="7"/>
      <c r="I682" s="7"/>
      <c r="J682" s="7"/>
      <c r="K682" s="7"/>
      <c r="L682" s="10">
        <v>5.5741092456127026</v>
      </c>
      <c r="M682" s="9">
        <v>44980</v>
      </c>
      <c r="N682" s="10">
        <v>5.5</v>
      </c>
      <c r="O682" s="9">
        <v>44985</v>
      </c>
      <c r="P682">
        <v>0</v>
      </c>
      <c r="Q682" s="11" t="s">
        <v>594</v>
      </c>
      <c r="R682" s="7"/>
      <c r="S682" s="7"/>
      <c r="T682" s="7"/>
      <c r="U682" s="7"/>
      <c r="V682" s="10">
        <v>7.5741092456127026</v>
      </c>
      <c r="W682" s="9">
        <v>44982</v>
      </c>
      <c r="X682" s="10">
        <v>7.5</v>
      </c>
      <c r="Y682" s="9">
        <v>44985</v>
      </c>
      <c r="Z682">
        <v>0</v>
      </c>
      <c r="AA682" s="11" t="s">
        <v>594</v>
      </c>
    </row>
    <row r="683" spans="2:27" ht="16" x14ac:dyDescent="0.2">
      <c r="B683" t="s">
        <v>35</v>
      </c>
      <c r="C683">
        <v>40359270</v>
      </c>
      <c r="D683" t="s">
        <v>389</v>
      </c>
      <c r="E683">
        <v>1012275</v>
      </c>
      <c r="F683" t="s">
        <v>237</v>
      </c>
      <c r="G683" s="9">
        <v>44975</v>
      </c>
      <c r="H683" s="7"/>
      <c r="I683" s="7"/>
      <c r="J683" s="7"/>
      <c r="K683" s="7"/>
      <c r="L683" s="10">
        <v>5.5741092456127026</v>
      </c>
      <c r="M683" s="9">
        <v>44980</v>
      </c>
      <c r="N683" s="10">
        <v>5.5</v>
      </c>
      <c r="O683" s="9">
        <v>44985</v>
      </c>
      <c r="P683">
        <v>0</v>
      </c>
      <c r="Q683" s="11" t="s">
        <v>594</v>
      </c>
      <c r="R683" s="7"/>
      <c r="S683" s="7"/>
      <c r="T683" s="7"/>
      <c r="U683" s="7"/>
      <c r="V683" s="10">
        <v>7.5741092456127026</v>
      </c>
      <c r="W683" s="9">
        <v>44982</v>
      </c>
      <c r="X683" s="10">
        <v>7.5</v>
      </c>
      <c r="Y683" s="9">
        <v>44985</v>
      </c>
      <c r="Z683">
        <v>0</v>
      </c>
      <c r="AA683" s="11" t="s">
        <v>594</v>
      </c>
    </row>
    <row r="684" spans="2:27" ht="16" x14ac:dyDescent="0.2">
      <c r="B684" t="s">
        <v>35</v>
      </c>
      <c r="C684">
        <v>40359270</v>
      </c>
      <c r="D684" t="s">
        <v>389</v>
      </c>
      <c r="E684">
        <v>1012218</v>
      </c>
      <c r="F684" t="s">
        <v>235</v>
      </c>
      <c r="G684" s="9">
        <v>44975</v>
      </c>
      <c r="H684" s="7"/>
      <c r="I684" s="7"/>
      <c r="J684" s="7"/>
      <c r="K684" s="7"/>
      <c r="L684" s="10">
        <v>5.5741092456127026</v>
      </c>
      <c r="M684" s="9">
        <v>44980</v>
      </c>
      <c r="N684" s="10">
        <v>5.5</v>
      </c>
      <c r="O684" s="9">
        <v>44985</v>
      </c>
      <c r="P684">
        <v>0</v>
      </c>
      <c r="Q684" s="11" t="s">
        <v>594</v>
      </c>
      <c r="R684" s="7"/>
      <c r="S684" s="7"/>
      <c r="T684" s="7"/>
      <c r="U684" s="7"/>
      <c r="V684" s="10">
        <v>7.5741092456127026</v>
      </c>
      <c r="W684" s="9">
        <v>44982</v>
      </c>
      <c r="X684" s="10">
        <v>7.5</v>
      </c>
      <c r="Y684" s="9">
        <v>44985</v>
      </c>
      <c r="Z684">
        <v>0</v>
      </c>
      <c r="AA684" s="11" t="s">
        <v>594</v>
      </c>
    </row>
    <row r="685" spans="2:27" ht="16" x14ac:dyDescent="0.2">
      <c r="B685" t="s">
        <v>35</v>
      </c>
      <c r="C685">
        <v>40359270</v>
      </c>
      <c r="D685" t="s">
        <v>389</v>
      </c>
      <c r="E685">
        <v>1012005</v>
      </c>
      <c r="F685" t="s">
        <v>531</v>
      </c>
      <c r="G685" s="9">
        <v>44975</v>
      </c>
      <c r="H685" s="7"/>
      <c r="I685" s="7"/>
      <c r="J685" s="7"/>
      <c r="K685" s="7"/>
      <c r="L685" s="10">
        <v>5.5741092456127026</v>
      </c>
      <c r="M685" s="9">
        <v>44980</v>
      </c>
      <c r="N685" s="10">
        <v>5.5</v>
      </c>
      <c r="O685" s="9">
        <v>44985</v>
      </c>
      <c r="P685">
        <v>0</v>
      </c>
      <c r="Q685" s="11" t="s">
        <v>594</v>
      </c>
      <c r="R685" s="7"/>
      <c r="S685" s="7"/>
      <c r="T685" s="7"/>
      <c r="U685" s="7"/>
      <c r="V685" s="10">
        <v>7.5741092456127026</v>
      </c>
      <c r="W685" s="9">
        <v>44982</v>
      </c>
      <c r="X685" s="10">
        <v>7.5</v>
      </c>
      <c r="Y685" s="9">
        <v>44985</v>
      </c>
      <c r="Z685">
        <v>0</v>
      </c>
      <c r="AA685" s="11" t="s">
        <v>594</v>
      </c>
    </row>
    <row r="686" spans="2:27" ht="16" x14ac:dyDescent="0.2">
      <c r="B686" t="s">
        <v>35</v>
      </c>
      <c r="C686">
        <v>40359261</v>
      </c>
      <c r="D686" t="s">
        <v>409</v>
      </c>
      <c r="E686">
        <v>1012518</v>
      </c>
      <c r="F686" t="s">
        <v>65</v>
      </c>
      <c r="G686" s="9">
        <v>44980</v>
      </c>
      <c r="H686" s="7">
        <v>18125.536319999999</v>
      </c>
      <c r="I686" s="7"/>
      <c r="J686" s="7"/>
      <c r="K686" s="7"/>
      <c r="L686" s="10">
        <v>7.5</v>
      </c>
      <c r="M686" s="9">
        <v>44987</v>
      </c>
      <c r="N686" s="10">
        <v>9.5</v>
      </c>
      <c r="O686" s="9">
        <v>44996</v>
      </c>
      <c r="P686">
        <v>17</v>
      </c>
      <c r="Q686" s="11" t="s">
        <v>49</v>
      </c>
      <c r="R686" s="7">
        <v>18125.536319999999</v>
      </c>
      <c r="S686" s="7"/>
      <c r="T686" s="7"/>
      <c r="U686" s="7"/>
      <c r="V686" s="10">
        <v>9.5</v>
      </c>
      <c r="W686" s="9">
        <v>44989</v>
      </c>
      <c r="X686" s="10">
        <v>11.5</v>
      </c>
      <c r="Y686" s="9">
        <v>44996</v>
      </c>
      <c r="Z686">
        <v>17</v>
      </c>
      <c r="AA686" s="11" t="s">
        <v>49</v>
      </c>
    </row>
    <row r="687" spans="2:27" ht="16" x14ac:dyDescent="0.2">
      <c r="B687" t="s">
        <v>35</v>
      </c>
      <c r="C687">
        <v>40358871</v>
      </c>
      <c r="D687" t="s">
        <v>409</v>
      </c>
      <c r="E687">
        <v>1030370</v>
      </c>
      <c r="F687" t="s">
        <v>355</v>
      </c>
      <c r="G687" s="9">
        <v>44971</v>
      </c>
      <c r="H687" s="7">
        <v>11992.97248</v>
      </c>
      <c r="I687" s="7"/>
      <c r="J687" s="7"/>
      <c r="K687" s="7"/>
      <c r="L687" s="10">
        <v>7.5</v>
      </c>
      <c r="M687" s="9">
        <v>44978</v>
      </c>
      <c r="N687" s="10">
        <v>9.5</v>
      </c>
      <c r="O687" s="9">
        <v>44987</v>
      </c>
      <c r="P687">
        <v>25</v>
      </c>
      <c r="Q687" s="11" t="s">
        <v>49</v>
      </c>
      <c r="R687" s="7">
        <v>11992.97248</v>
      </c>
      <c r="S687" s="7"/>
      <c r="T687" s="7"/>
      <c r="U687" s="7"/>
      <c r="V687" s="10">
        <v>9.5</v>
      </c>
      <c r="W687" s="9">
        <v>44980</v>
      </c>
      <c r="X687" s="10">
        <v>11.5</v>
      </c>
      <c r="Y687" s="9">
        <v>44987</v>
      </c>
      <c r="Z687">
        <v>25</v>
      </c>
      <c r="AA687" s="11" t="s">
        <v>49</v>
      </c>
    </row>
    <row r="688" spans="2:27" ht="16" x14ac:dyDescent="0.2">
      <c r="B688" t="s">
        <v>35</v>
      </c>
      <c r="C688">
        <v>40358870</v>
      </c>
      <c r="D688" t="s">
        <v>409</v>
      </c>
      <c r="E688">
        <v>1023276</v>
      </c>
      <c r="F688" t="s">
        <v>94</v>
      </c>
      <c r="G688" s="9">
        <v>44985</v>
      </c>
      <c r="H688" s="7">
        <v>2605.2283320000001</v>
      </c>
      <c r="I688" s="7"/>
      <c r="J688" s="7"/>
      <c r="K688" s="7"/>
      <c r="L688" s="10">
        <v>7.5</v>
      </c>
      <c r="M688" s="9">
        <v>44992</v>
      </c>
      <c r="N688" s="10">
        <v>9.5</v>
      </c>
      <c r="O688" s="9">
        <v>45001</v>
      </c>
      <c r="P688">
        <v>13</v>
      </c>
      <c r="Q688" s="11" t="s">
        <v>49</v>
      </c>
      <c r="R688" s="7">
        <v>2605.2283320000001</v>
      </c>
      <c r="S688" s="7"/>
      <c r="T688" s="7"/>
      <c r="U688" s="7"/>
      <c r="V688" s="10">
        <v>9.5</v>
      </c>
      <c r="W688" s="9">
        <v>44994</v>
      </c>
      <c r="X688" s="10">
        <v>11.5</v>
      </c>
      <c r="Y688" s="9">
        <v>45001</v>
      </c>
      <c r="Z688">
        <v>13</v>
      </c>
      <c r="AA688" s="11" t="s">
        <v>49</v>
      </c>
    </row>
    <row r="689" spans="2:27" ht="16" x14ac:dyDescent="0.2">
      <c r="B689" t="s">
        <v>35</v>
      </c>
      <c r="C689">
        <v>40358870</v>
      </c>
      <c r="D689" t="s">
        <v>409</v>
      </c>
      <c r="E689">
        <v>1023276</v>
      </c>
      <c r="F689" t="s">
        <v>94</v>
      </c>
      <c r="G689" s="9">
        <v>44985</v>
      </c>
      <c r="H689" s="7">
        <v>18482.907852</v>
      </c>
      <c r="I689" s="7"/>
      <c r="J689" s="7"/>
      <c r="K689" s="7"/>
      <c r="L689" s="10">
        <v>7.5</v>
      </c>
      <c r="M689" s="9">
        <v>44992</v>
      </c>
      <c r="N689" s="10">
        <v>9.5</v>
      </c>
      <c r="O689" s="9">
        <v>45001</v>
      </c>
      <c r="P689">
        <v>13</v>
      </c>
      <c r="Q689" s="11" t="s">
        <v>49</v>
      </c>
      <c r="R689" s="7">
        <v>18482.907852</v>
      </c>
      <c r="S689" s="7"/>
      <c r="T689" s="7"/>
      <c r="U689" s="7"/>
      <c r="V689" s="10">
        <v>9.5</v>
      </c>
      <c r="W689" s="9">
        <v>44994</v>
      </c>
      <c r="X689" s="10">
        <v>11.5</v>
      </c>
      <c r="Y689" s="9">
        <v>45001</v>
      </c>
      <c r="Z689">
        <v>13</v>
      </c>
      <c r="AA689" s="11" t="s">
        <v>49</v>
      </c>
    </row>
    <row r="690" spans="2:27" ht="16" x14ac:dyDescent="0.2">
      <c r="B690" t="s">
        <v>35</v>
      </c>
      <c r="C690">
        <v>40358869</v>
      </c>
      <c r="D690" t="s">
        <v>409</v>
      </c>
      <c r="E690">
        <v>1023274</v>
      </c>
      <c r="F690" t="s">
        <v>161</v>
      </c>
      <c r="G690" s="9">
        <v>44985</v>
      </c>
      <c r="H690" s="7">
        <v>18070.32057</v>
      </c>
      <c r="I690" s="7"/>
      <c r="J690" s="7"/>
      <c r="K690" s="7"/>
      <c r="L690" s="10">
        <v>7.5</v>
      </c>
      <c r="M690" s="9">
        <v>44992</v>
      </c>
      <c r="N690" s="10">
        <v>9.5</v>
      </c>
      <c r="O690" s="9">
        <v>45001</v>
      </c>
      <c r="P690">
        <v>13</v>
      </c>
      <c r="Q690" s="11" t="s">
        <v>49</v>
      </c>
      <c r="R690" s="7">
        <v>18070.32057</v>
      </c>
      <c r="S690" s="7"/>
      <c r="T690" s="7"/>
      <c r="U690" s="7"/>
      <c r="V690" s="10">
        <v>9.5</v>
      </c>
      <c r="W690" s="9">
        <v>44994</v>
      </c>
      <c r="X690" s="10">
        <v>11.5</v>
      </c>
      <c r="Y690" s="9">
        <v>45001</v>
      </c>
      <c r="Z690">
        <v>13</v>
      </c>
      <c r="AA690" s="11" t="s">
        <v>49</v>
      </c>
    </row>
    <row r="691" spans="2:27" ht="16" x14ac:dyDescent="0.2">
      <c r="B691" t="s">
        <v>35</v>
      </c>
      <c r="C691">
        <v>40358868</v>
      </c>
      <c r="D691" t="s">
        <v>409</v>
      </c>
      <c r="E691">
        <v>1023273</v>
      </c>
      <c r="F691" t="s">
        <v>260</v>
      </c>
      <c r="G691" s="9">
        <v>44985</v>
      </c>
      <c r="H691" s="7">
        <v>3445.1627819999999</v>
      </c>
      <c r="I691" s="7"/>
      <c r="J691" s="7"/>
      <c r="K691" s="7"/>
      <c r="L691" s="10">
        <v>7.5</v>
      </c>
      <c r="M691" s="9">
        <v>44992</v>
      </c>
      <c r="N691" s="10">
        <v>9.5</v>
      </c>
      <c r="O691" s="9">
        <v>45001</v>
      </c>
      <c r="P691">
        <v>13</v>
      </c>
      <c r="Q691" s="11" t="s">
        <v>49</v>
      </c>
      <c r="R691" s="7">
        <v>3445.1627819999999</v>
      </c>
      <c r="S691" s="7"/>
      <c r="T691" s="7"/>
      <c r="U691" s="7"/>
      <c r="V691" s="10">
        <v>9.5</v>
      </c>
      <c r="W691" s="9">
        <v>44994</v>
      </c>
      <c r="X691" s="10">
        <v>11.5</v>
      </c>
      <c r="Y691" s="9">
        <v>45001</v>
      </c>
      <c r="Z691">
        <v>13</v>
      </c>
      <c r="AA691" s="11" t="s">
        <v>49</v>
      </c>
    </row>
    <row r="692" spans="2:27" ht="16" x14ac:dyDescent="0.2">
      <c r="B692" t="s">
        <v>35</v>
      </c>
      <c r="C692">
        <v>40358868</v>
      </c>
      <c r="D692" t="s">
        <v>409</v>
      </c>
      <c r="E692">
        <v>1023273</v>
      </c>
      <c r="F692" t="s">
        <v>260</v>
      </c>
      <c r="G692" s="9">
        <v>44985</v>
      </c>
      <c r="H692" s="7">
        <v>19645.137562</v>
      </c>
      <c r="I692" s="7"/>
      <c r="J692" s="7"/>
      <c r="K692" s="7"/>
      <c r="L692" s="10">
        <v>7.5</v>
      </c>
      <c r="M692" s="9">
        <v>44992</v>
      </c>
      <c r="N692" s="10">
        <v>9.5</v>
      </c>
      <c r="O692" s="9">
        <v>45001</v>
      </c>
      <c r="P692">
        <v>13</v>
      </c>
      <c r="Q692" s="11" t="s">
        <v>49</v>
      </c>
      <c r="R692" s="7">
        <v>19645.137562</v>
      </c>
      <c r="S692" s="7"/>
      <c r="T692" s="7"/>
      <c r="U692" s="7"/>
      <c r="V692" s="10">
        <v>9.5</v>
      </c>
      <c r="W692" s="9">
        <v>44994</v>
      </c>
      <c r="X692" s="10">
        <v>11.5</v>
      </c>
      <c r="Y692" s="9">
        <v>45001</v>
      </c>
      <c r="Z692">
        <v>13</v>
      </c>
      <c r="AA692" s="11" t="s">
        <v>49</v>
      </c>
    </row>
    <row r="693" spans="2:27" ht="16" x14ac:dyDescent="0.2">
      <c r="B693" t="s">
        <v>35</v>
      </c>
      <c r="C693">
        <v>40358867</v>
      </c>
      <c r="D693" t="s">
        <v>409</v>
      </c>
      <c r="E693">
        <v>1012163</v>
      </c>
      <c r="F693" t="s">
        <v>140</v>
      </c>
      <c r="G693" s="9">
        <v>44964</v>
      </c>
      <c r="H693" s="7"/>
      <c r="I693" s="7"/>
      <c r="J693" s="7"/>
      <c r="K693" s="7"/>
      <c r="L693" s="10">
        <v>7.5</v>
      </c>
      <c r="M693" s="9">
        <v>44971</v>
      </c>
      <c r="N693" s="10">
        <v>9.5</v>
      </c>
      <c r="O693" s="9">
        <v>44980</v>
      </c>
      <c r="P693">
        <v>4</v>
      </c>
      <c r="Q693" s="11" t="s">
        <v>49</v>
      </c>
      <c r="R693" s="7"/>
      <c r="S693" s="7"/>
      <c r="T693" s="7"/>
      <c r="U693" s="7"/>
      <c r="V693" s="10">
        <v>9.5</v>
      </c>
      <c r="W693" s="9">
        <v>44973</v>
      </c>
      <c r="X693" s="10">
        <v>11.5</v>
      </c>
      <c r="Y693" s="9">
        <v>44980</v>
      </c>
      <c r="Z693">
        <v>4</v>
      </c>
      <c r="AA693" s="11" t="s">
        <v>49</v>
      </c>
    </row>
    <row r="694" spans="2:27" ht="16" x14ac:dyDescent="0.2">
      <c r="B694" t="s">
        <v>35</v>
      </c>
      <c r="C694">
        <v>40358862</v>
      </c>
      <c r="D694" t="s">
        <v>409</v>
      </c>
      <c r="E694">
        <v>1012519</v>
      </c>
      <c r="F694" t="s">
        <v>221</v>
      </c>
      <c r="G694" s="9">
        <v>44978</v>
      </c>
      <c r="H694" s="7">
        <v>15875.72</v>
      </c>
      <c r="I694" s="7"/>
      <c r="J694" s="7"/>
      <c r="K694" s="7"/>
      <c r="L694" s="10">
        <v>7.5</v>
      </c>
      <c r="M694" s="9">
        <v>44985</v>
      </c>
      <c r="N694" s="10">
        <v>9.5</v>
      </c>
      <c r="O694" s="9">
        <v>44994</v>
      </c>
      <c r="P694">
        <v>19</v>
      </c>
      <c r="Q694" s="11" t="s">
        <v>49</v>
      </c>
      <c r="R694" s="7">
        <v>15875.72</v>
      </c>
      <c r="S694" s="7"/>
      <c r="T694" s="7"/>
      <c r="U694" s="7"/>
      <c r="V694" s="10">
        <v>9.5</v>
      </c>
      <c r="W694" s="9">
        <v>44987</v>
      </c>
      <c r="X694" s="10">
        <v>11.5</v>
      </c>
      <c r="Y694" s="9">
        <v>44994</v>
      </c>
      <c r="Z694">
        <v>19</v>
      </c>
      <c r="AA694" s="11" t="s">
        <v>49</v>
      </c>
    </row>
    <row r="695" spans="2:27" ht="16" x14ac:dyDescent="0.2">
      <c r="B695" t="s">
        <v>35</v>
      </c>
      <c r="C695">
        <v>40358862</v>
      </c>
      <c r="D695" t="s">
        <v>409</v>
      </c>
      <c r="E695">
        <v>1012107</v>
      </c>
      <c r="F695" t="s">
        <v>215</v>
      </c>
      <c r="G695" s="9">
        <v>44978</v>
      </c>
      <c r="H695" s="7">
        <v>4082.328</v>
      </c>
      <c r="I695" s="7"/>
      <c r="J695" s="7"/>
      <c r="K695" s="7"/>
      <c r="L695" s="10">
        <v>7.5</v>
      </c>
      <c r="M695" s="9">
        <v>44985</v>
      </c>
      <c r="N695" s="10">
        <v>9.5</v>
      </c>
      <c r="O695" s="9">
        <v>44994</v>
      </c>
      <c r="P695">
        <v>19</v>
      </c>
      <c r="Q695" s="11" t="s">
        <v>49</v>
      </c>
      <c r="R695" s="7">
        <v>4082.328</v>
      </c>
      <c r="S695" s="7"/>
      <c r="T695" s="7"/>
      <c r="U695" s="7"/>
      <c r="V695" s="10">
        <v>9.5</v>
      </c>
      <c r="W695" s="9">
        <v>44987</v>
      </c>
      <c r="X695" s="10">
        <v>11.5</v>
      </c>
      <c r="Y695" s="9">
        <v>44994</v>
      </c>
      <c r="Z695">
        <v>19</v>
      </c>
      <c r="AA695" s="11" t="s">
        <v>49</v>
      </c>
    </row>
    <row r="696" spans="2:27" ht="16" x14ac:dyDescent="0.2">
      <c r="B696" t="s">
        <v>35</v>
      </c>
      <c r="C696">
        <v>40358861</v>
      </c>
      <c r="D696" t="s">
        <v>409</v>
      </c>
      <c r="E696">
        <v>1012108</v>
      </c>
      <c r="F696" t="s">
        <v>57</v>
      </c>
      <c r="G696" s="9">
        <v>44971</v>
      </c>
      <c r="H696" s="7">
        <v>9979.0239999999994</v>
      </c>
      <c r="I696" s="7"/>
      <c r="J696" s="7"/>
      <c r="K696" s="7"/>
      <c r="L696" s="10">
        <v>7.5</v>
      </c>
      <c r="M696" s="9">
        <v>44978</v>
      </c>
      <c r="N696" s="10">
        <v>9.5</v>
      </c>
      <c r="O696" s="9">
        <v>44987</v>
      </c>
      <c r="P696">
        <v>25</v>
      </c>
      <c r="Q696" s="11" t="s">
        <v>49</v>
      </c>
      <c r="R696" s="7">
        <v>9979.0239999999994</v>
      </c>
      <c r="S696" s="7"/>
      <c r="T696" s="7"/>
      <c r="U696" s="7"/>
      <c r="V696" s="10">
        <v>9.5</v>
      </c>
      <c r="W696" s="9">
        <v>44980</v>
      </c>
      <c r="X696" s="10">
        <v>11.5</v>
      </c>
      <c r="Y696" s="9">
        <v>44987</v>
      </c>
      <c r="Z696">
        <v>25</v>
      </c>
      <c r="AA696" s="11" t="s">
        <v>49</v>
      </c>
    </row>
    <row r="697" spans="2:27" ht="16" x14ac:dyDescent="0.2">
      <c r="B697" t="s">
        <v>35</v>
      </c>
      <c r="C697">
        <v>40358861</v>
      </c>
      <c r="D697" t="s">
        <v>409</v>
      </c>
      <c r="E697">
        <v>1012158</v>
      </c>
      <c r="F697" t="s">
        <v>86</v>
      </c>
      <c r="G697" s="9">
        <v>44971</v>
      </c>
      <c r="H697" s="7">
        <v>9979.0239999999994</v>
      </c>
      <c r="I697" s="7"/>
      <c r="J697" s="7"/>
      <c r="K697" s="7"/>
      <c r="L697" s="10">
        <v>7.5</v>
      </c>
      <c r="M697" s="9">
        <v>44978</v>
      </c>
      <c r="N697" s="10">
        <v>9.5</v>
      </c>
      <c r="O697" s="9">
        <v>44987</v>
      </c>
      <c r="P697">
        <v>25</v>
      </c>
      <c r="Q697" s="11" t="s">
        <v>49</v>
      </c>
      <c r="R697" s="7">
        <v>9979.0239999999994</v>
      </c>
      <c r="S697" s="7"/>
      <c r="T697" s="7"/>
      <c r="U697" s="7"/>
      <c r="V697" s="10">
        <v>9.5</v>
      </c>
      <c r="W697" s="9">
        <v>44980</v>
      </c>
      <c r="X697" s="10">
        <v>11.5</v>
      </c>
      <c r="Y697" s="9">
        <v>44987</v>
      </c>
      <c r="Z697">
        <v>25</v>
      </c>
      <c r="AA697" s="11" t="s">
        <v>49</v>
      </c>
    </row>
    <row r="698" spans="2:27" ht="16" x14ac:dyDescent="0.2">
      <c r="B698" t="s">
        <v>35</v>
      </c>
      <c r="C698">
        <v>40358860</v>
      </c>
      <c r="D698" t="s">
        <v>409</v>
      </c>
      <c r="E698">
        <v>1012158</v>
      </c>
      <c r="F698" t="s">
        <v>86</v>
      </c>
      <c r="G698" s="9">
        <v>44969</v>
      </c>
      <c r="H698" s="7"/>
      <c r="I698" s="7"/>
      <c r="J698" s="7"/>
      <c r="K698" s="7"/>
      <c r="L698" s="10">
        <v>7.5</v>
      </c>
      <c r="M698" s="9">
        <v>44976</v>
      </c>
      <c r="N698" s="10">
        <v>9.5</v>
      </c>
      <c r="O698" s="9">
        <v>44985</v>
      </c>
      <c r="P698">
        <v>0</v>
      </c>
      <c r="Q698" s="11" t="s">
        <v>594</v>
      </c>
      <c r="R698" s="7"/>
      <c r="S698" s="7"/>
      <c r="T698" s="7"/>
      <c r="U698" s="7"/>
      <c r="V698" s="10">
        <v>9.5</v>
      </c>
      <c r="W698" s="9">
        <v>44978</v>
      </c>
      <c r="X698" s="10">
        <v>11.5</v>
      </c>
      <c r="Y698" s="9">
        <v>44985</v>
      </c>
      <c r="Z698">
        <v>0</v>
      </c>
      <c r="AA698" s="11" t="s">
        <v>594</v>
      </c>
    </row>
    <row r="699" spans="2:27" ht="16" x14ac:dyDescent="0.2">
      <c r="B699" t="s">
        <v>35</v>
      </c>
      <c r="C699">
        <v>40358859</v>
      </c>
      <c r="D699" t="s">
        <v>409</v>
      </c>
      <c r="E699">
        <v>1012147</v>
      </c>
      <c r="F699" t="s">
        <v>217</v>
      </c>
      <c r="G699" s="9">
        <v>44964</v>
      </c>
      <c r="H699" s="7"/>
      <c r="I699" s="7"/>
      <c r="J699" s="7"/>
      <c r="K699" s="7"/>
      <c r="L699" s="10">
        <v>7.5</v>
      </c>
      <c r="M699" s="9">
        <v>44971</v>
      </c>
      <c r="N699" s="10">
        <v>9.5</v>
      </c>
      <c r="O699" s="9">
        <v>44980</v>
      </c>
      <c r="P699">
        <v>4</v>
      </c>
      <c r="Q699" s="11" t="s">
        <v>49</v>
      </c>
      <c r="R699" s="7"/>
      <c r="S699" s="7"/>
      <c r="T699" s="7"/>
      <c r="U699" s="7"/>
      <c r="V699" s="10">
        <v>9.5</v>
      </c>
      <c r="W699" s="9">
        <v>44973</v>
      </c>
      <c r="X699" s="10">
        <v>11.5</v>
      </c>
      <c r="Y699" s="9">
        <v>44980</v>
      </c>
      <c r="Z699">
        <v>4</v>
      </c>
      <c r="AA699" s="11" t="s">
        <v>49</v>
      </c>
    </row>
    <row r="700" spans="2:27" ht="16" x14ac:dyDescent="0.2">
      <c r="B700" t="s">
        <v>35</v>
      </c>
      <c r="C700">
        <v>40358858</v>
      </c>
      <c r="D700" t="s">
        <v>409</v>
      </c>
      <c r="E700">
        <v>1012147</v>
      </c>
      <c r="F700" t="s">
        <v>217</v>
      </c>
      <c r="G700" s="9">
        <v>44985</v>
      </c>
      <c r="H700" s="7">
        <v>18660.774880000001</v>
      </c>
      <c r="I700" s="7"/>
      <c r="J700" s="7"/>
      <c r="K700" s="7"/>
      <c r="L700" s="10">
        <v>7.5</v>
      </c>
      <c r="M700" s="9">
        <v>44992</v>
      </c>
      <c r="N700" s="10">
        <v>9.5</v>
      </c>
      <c r="O700" s="9">
        <v>45001</v>
      </c>
      <c r="P700">
        <v>13</v>
      </c>
      <c r="Q700" s="11" t="s">
        <v>49</v>
      </c>
      <c r="R700" s="7">
        <v>18660.774880000001</v>
      </c>
      <c r="S700" s="7"/>
      <c r="T700" s="7"/>
      <c r="U700" s="7"/>
      <c r="V700" s="10">
        <v>9.5</v>
      </c>
      <c r="W700" s="9">
        <v>44994</v>
      </c>
      <c r="X700" s="10">
        <v>11.5</v>
      </c>
      <c r="Y700" s="9">
        <v>45001</v>
      </c>
      <c r="Z700">
        <v>13</v>
      </c>
      <c r="AA700" s="11" t="s">
        <v>49</v>
      </c>
    </row>
    <row r="701" spans="2:27" ht="16" x14ac:dyDescent="0.2">
      <c r="B701" t="s">
        <v>35</v>
      </c>
      <c r="C701">
        <v>40358856</v>
      </c>
      <c r="D701" t="s">
        <v>409</v>
      </c>
      <c r="E701">
        <v>1012483</v>
      </c>
      <c r="F701" t="s">
        <v>90</v>
      </c>
      <c r="G701" s="9">
        <v>44964</v>
      </c>
      <c r="H701" s="7"/>
      <c r="I701" s="7"/>
      <c r="J701" s="7"/>
      <c r="K701" s="7"/>
      <c r="L701" s="10">
        <v>7.5</v>
      </c>
      <c r="M701" s="9">
        <v>44971</v>
      </c>
      <c r="N701" s="10">
        <v>9.5</v>
      </c>
      <c r="O701" s="9">
        <v>44980</v>
      </c>
      <c r="P701">
        <v>4</v>
      </c>
      <c r="Q701" s="11" t="s">
        <v>49</v>
      </c>
      <c r="R701" s="7"/>
      <c r="S701" s="7"/>
      <c r="T701" s="7"/>
      <c r="U701" s="7"/>
      <c r="V701" s="10">
        <v>9.5</v>
      </c>
      <c r="W701" s="9">
        <v>44973</v>
      </c>
      <c r="X701" s="10">
        <v>11.5</v>
      </c>
      <c r="Y701" s="9">
        <v>44980</v>
      </c>
      <c r="Z701">
        <v>4</v>
      </c>
      <c r="AA701" s="11" t="s">
        <v>49</v>
      </c>
    </row>
    <row r="702" spans="2:27" x14ac:dyDescent="0.2">
      <c r="B702" t="s">
        <v>394</v>
      </c>
      <c r="C702">
        <v>40358850</v>
      </c>
      <c r="D702" t="s">
        <v>485</v>
      </c>
      <c r="E702">
        <v>1022150</v>
      </c>
      <c r="F702" t="s">
        <v>500</v>
      </c>
      <c r="G702" s="9">
        <v>44955</v>
      </c>
      <c r="H702" s="7"/>
      <c r="I702" s="7"/>
      <c r="J702" s="7"/>
      <c r="K702" s="7"/>
      <c r="L702" s="10"/>
      <c r="N702" s="10"/>
      <c r="Q702" s="11"/>
      <c r="R702" s="7"/>
      <c r="S702" s="7"/>
      <c r="T702" s="7"/>
      <c r="U702" s="7"/>
      <c r="V702" s="10"/>
      <c r="X702" s="10"/>
      <c r="AA702" s="11"/>
    </row>
    <row r="703" spans="2:27" ht="16" x14ac:dyDescent="0.2">
      <c r="B703" t="s">
        <v>35</v>
      </c>
      <c r="C703">
        <v>40358761</v>
      </c>
      <c r="D703" t="s">
        <v>391</v>
      </c>
      <c r="E703">
        <v>1022398</v>
      </c>
      <c r="F703" t="s">
        <v>431</v>
      </c>
      <c r="G703" s="9">
        <v>44982</v>
      </c>
      <c r="H703" s="7">
        <v>5015.63</v>
      </c>
      <c r="I703" s="7"/>
      <c r="J703" s="7"/>
      <c r="K703" s="7"/>
      <c r="L703" s="10">
        <v>4.830303030303031</v>
      </c>
      <c r="M703" s="9">
        <v>44986</v>
      </c>
      <c r="N703" s="10">
        <v>15</v>
      </c>
      <c r="O703" s="9">
        <v>45001</v>
      </c>
      <c r="P703">
        <v>13</v>
      </c>
      <c r="Q703" s="11" t="s">
        <v>49</v>
      </c>
      <c r="R703" s="7">
        <v>5015.63</v>
      </c>
      <c r="S703" s="7"/>
      <c r="T703" s="7"/>
      <c r="U703" s="7"/>
      <c r="V703" s="10">
        <v>6.830303030303031</v>
      </c>
      <c r="W703" s="9">
        <v>44988</v>
      </c>
      <c r="X703" s="10">
        <v>17</v>
      </c>
      <c r="Y703" s="9">
        <v>45001</v>
      </c>
      <c r="Z703">
        <v>13</v>
      </c>
      <c r="AA703" s="11" t="s">
        <v>49</v>
      </c>
    </row>
    <row r="704" spans="2:27" ht="16" x14ac:dyDescent="0.2">
      <c r="B704" t="s">
        <v>35</v>
      </c>
      <c r="C704">
        <v>40358761</v>
      </c>
      <c r="D704" t="s">
        <v>391</v>
      </c>
      <c r="E704">
        <v>1022142</v>
      </c>
      <c r="F704" t="s">
        <v>390</v>
      </c>
      <c r="G704" s="9">
        <v>44982</v>
      </c>
      <c r="H704" s="7">
        <v>2009.5</v>
      </c>
      <c r="I704" s="7"/>
      <c r="J704" s="7"/>
      <c r="K704" s="7"/>
      <c r="L704" s="10">
        <v>4.830303030303031</v>
      </c>
      <c r="M704" s="9">
        <v>44986</v>
      </c>
      <c r="N704" s="10">
        <v>15</v>
      </c>
      <c r="O704" s="9">
        <v>45001</v>
      </c>
      <c r="P704">
        <v>13</v>
      </c>
      <c r="Q704" s="11" t="s">
        <v>49</v>
      </c>
      <c r="R704" s="7">
        <v>2009.5</v>
      </c>
      <c r="S704" s="7"/>
      <c r="T704" s="7"/>
      <c r="U704" s="7"/>
      <c r="V704" s="10">
        <v>6.830303030303031</v>
      </c>
      <c r="W704" s="9">
        <v>44988</v>
      </c>
      <c r="X704" s="10">
        <v>17</v>
      </c>
      <c r="Y704" s="9">
        <v>45001</v>
      </c>
      <c r="Z704">
        <v>13</v>
      </c>
      <c r="AA704" s="11" t="s">
        <v>49</v>
      </c>
    </row>
    <row r="705" spans="2:27" ht="16" x14ac:dyDescent="0.2">
      <c r="B705" t="s">
        <v>35</v>
      </c>
      <c r="C705">
        <v>40358761</v>
      </c>
      <c r="D705" t="s">
        <v>391</v>
      </c>
      <c r="E705">
        <v>1022141</v>
      </c>
      <c r="F705" t="s">
        <v>126</v>
      </c>
      <c r="G705" s="9">
        <v>44982</v>
      </c>
      <c r="H705" s="7">
        <v>5007.1000000000004</v>
      </c>
      <c r="I705" s="7"/>
      <c r="J705" s="7"/>
      <c r="K705" s="7"/>
      <c r="L705" s="10">
        <v>4.830303030303031</v>
      </c>
      <c r="M705" s="9">
        <v>44986</v>
      </c>
      <c r="N705" s="10">
        <v>15</v>
      </c>
      <c r="O705" s="9">
        <v>45001</v>
      </c>
      <c r="P705">
        <v>13</v>
      </c>
      <c r="Q705" s="11" t="s">
        <v>49</v>
      </c>
      <c r="R705" s="7">
        <v>5007.1000000000004</v>
      </c>
      <c r="S705" s="7"/>
      <c r="T705" s="7"/>
      <c r="U705" s="7"/>
      <c r="V705" s="10">
        <v>6.830303030303031</v>
      </c>
      <c r="W705" s="9">
        <v>44988</v>
      </c>
      <c r="X705" s="10">
        <v>17</v>
      </c>
      <c r="Y705" s="9">
        <v>45001</v>
      </c>
      <c r="Z705">
        <v>13</v>
      </c>
      <c r="AA705" s="11" t="s">
        <v>49</v>
      </c>
    </row>
    <row r="706" spans="2:27" ht="16" x14ac:dyDescent="0.2">
      <c r="B706" t="s">
        <v>35</v>
      </c>
      <c r="C706">
        <v>40358761</v>
      </c>
      <c r="D706" t="s">
        <v>391</v>
      </c>
      <c r="E706">
        <v>1021925</v>
      </c>
      <c r="F706" t="s">
        <v>432</v>
      </c>
      <c r="G706" s="9">
        <v>44982</v>
      </c>
      <c r="H706" s="7">
        <v>3005.12</v>
      </c>
      <c r="I706" s="7"/>
      <c r="J706" s="7"/>
      <c r="K706" s="7"/>
      <c r="L706" s="10">
        <v>4.830303030303031</v>
      </c>
      <c r="M706" s="9">
        <v>44986</v>
      </c>
      <c r="N706" s="10">
        <v>15</v>
      </c>
      <c r="O706" s="9">
        <v>45001</v>
      </c>
      <c r="P706">
        <v>13</v>
      </c>
      <c r="Q706" s="11" t="s">
        <v>49</v>
      </c>
      <c r="R706" s="7">
        <v>3005.12</v>
      </c>
      <c r="S706" s="7"/>
      <c r="T706" s="7"/>
      <c r="U706" s="7"/>
      <c r="V706" s="10">
        <v>6.830303030303031</v>
      </c>
      <c r="W706" s="9">
        <v>44988</v>
      </c>
      <c r="X706" s="10">
        <v>17</v>
      </c>
      <c r="Y706" s="9">
        <v>45001</v>
      </c>
      <c r="Z706">
        <v>13</v>
      </c>
      <c r="AA706" s="11" t="s">
        <v>49</v>
      </c>
    </row>
    <row r="707" spans="2:27" ht="16" x14ac:dyDescent="0.2">
      <c r="B707" t="s">
        <v>35</v>
      </c>
      <c r="C707">
        <v>40358761</v>
      </c>
      <c r="D707" t="s">
        <v>391</v>
      </c>
      <c r="E707">
        <v>1021924</v>
      </c>
      <c r="F707" t="s">
        <v>187</v>
      </c>
      <c r="G707" s="9">
        <v>44982</v>
      </c>
      <c r="H707" s="7">
        <v>9007.86</v>
      </c>
      <c r="I707" s="7"/>
      <c r="J707" s="7"/>
      <c r="K707" s="7"/>
      <c r="L707" s="10">
        <v>4.830303030303031</v>
      </c>
      <c r="M707" s="9">
        <v>44986</v>
      </c>
      <c r="N707" s="10">
        <v>15</v>
      </c>
      <c r="O707" s="9">
        <v>45001</v>
      </c>
      <c r="P707">
        <v>13</v>
      </c>
      <c r="Q707" s="11" t="s">
        <v>49</v>
      </c>
      <c r="R707" s="7">
        <v>9007.86</v>
      </c>
      <c r="S707" s="7"/>
      <c r="T707" s="7"/>
      <c r="U707" s="7"/>
      <c r="V707" s="10">
        <v>6.830303030303031</v>
      </c>
      <c r="W707" s="9">
        <v>44988</v>
      </c>
      <c r="X707" s="10">
        <v>17</v>
      </c>
      <c r="Y707" s="9">
        <v>45001</v>
      </c>
      <c r="Z707">
        <v>13</v>
      </c>
      <c r="AA707" s="11" t="s">
        <v>49</v>
      </c>
    </row>
    <row r="708" spans="2:27" ht="16" x14ac:dyDescent="0.2">
      <c r="B708" t="s">
        <v>35</v>
      </c>
      <c r="C708">
        <v>40358760</v>
      </c>
      <c r="D708" t="s">
        <v>391</v>
      </c>
      <c r="E708">
        <v>1021924</v>
      </c>
      <c r="F708" t="s">
        <v>187</v>
      </c>
      <c r="G708" s="9">
        <v>44982</v>
      </c>
      <c r="H708" s="7">
        <v>9002.98</v>
      </c>
      <c r="I708" s="7"/>
      <c r="J708" s="7"/>
      <c r="K708" s="7"/>
      <c r="L708" s="10">
        <v>4.830303030303031</v>
      </c>
      <c r="M708" s="9">
        <v>44986</v>
      </c>
      <c r="N708" s="10">
        <v>15</v>
      </c>
      <c r="O708" s="9">
        <v>45001</v>
      </c>
      <c r="P708">
        <v>13</v>
      </c>
      <c r="Q708" s="11" t="s">
        <v>49</v>
      </c>
      <c r="R708" s="7">
        <v>9002.98</v>
      </c>
      <c r="S708" s="7"/>
      <c r="T708" s="7"/>
      <c r="U708" s="7"/>
      <c r="V708" s="10">
        <v>6.830303030303031</v>
      </c>
      <c r="W708" s="9">
        <v>44988</v>
      </c>
      <c r="X708" s="10">
        <v>17</v>
      </c>
      <c r="Y708" s="9">
        <v>45001</v>
      </c>
      <c r="Z708">
        <v>13</v>
      </c>
      <c r="AA708" s="11" t="s">
        <v>49</v>
      </c>
    </row>
    <row r="709" spans="2:27" ht="16" x14ac:dyDescent="0.2">
      <c r="B709" t="s">
        <v>35</v>
      </c>
      <c r="C709">
        <v>40358760</v>
      </c>
      <c r="D709" t="s">
        <v>391</v>
      </c>
      <c r="E709">
        <v>1021925</v>
      </c>
      <c r="F709" t="s">
        <v>432</v>
      </c>
      <c r="G709" s="9">
        <v>44982</v>
      </c>
      <c r="H709" s="7">
        <v>3006.23</v>
      </c>
      <c r="I709" s="7"/>
      <c r="J709" s="7"/>
      <c r="K709" s="7"/>
      <c r="L709" s="10">
        <v>4.830303030303031</v>
      </c>
      <c r="M709" s="9">
        <v>44986</v>
      </c>
      <c r="N709" s="10">
        <v>15</v>
      </c>
      <c r="O709" s="9">
        <v>45001</v>
      </c>
      <c r="P709">
        <v>13</v>
      </c>
      <c r="Q709" s="11" t="s">
        <v>49</v>
      </c>
      <c r="R709" s="7">
        <v>3006.23</v>
      </c>
      <c r="S709" s="7"/>
      <c r="T709" s="7"/>
      <c r="U709" s="7"/>
      <c r="V709" s="10">
        <v>6.830303030303031</v>
      </c>
      <c r="W709" s="9">
        <v>44988</v>
      </c>
      <c r="X709" s="10">
        <v>17</v>
      </c>
      <c r="Y709" s="9">
        <v>45001</v>
      </c>
      <c r="Z709">
        <v>13</v>
      </c>
      <c r="AA709" s="11" t="s">
        <v>49</v>
      </c>
    </row>
    <row r="710" spans="2:27" ht="16" x14ac:dyDescent="0.2">
      <c r="B710" t="s">
        <v>35</v>
      </c>
      <c r="C710">
        <v>40358760</v>
      </c>
      <c r="D710" t="s">
        <v>391</v>
      </c>
      <c r="E710">
        <v>1022141</v>
      </c>
      <c r="F710" t="s">
        <v>126</v>
      </c>
      <c r="G710" s="9">
        <v>44982</v>
      </c>
      <c r="H710" s="7">
        <v>5000.59</v>
      </c>
      <c r="I710" s="7"/>
      <c r="J710" s="7"/>
      <c r="K710" s="7"/>
      <c r="L710" s="10">
        <v>4.830303030303031</v>
      </c>
      <c r="M710" s="9">
        <v>44986</v>
      </c>
      <c r="N710" s="10">
        <v>15</v>
      </c>
      <c r="O710" s="9">
        <v>45001</v>
      </c>
      <c r="P710">
        <v>13</v>
      </c>
      <c r="Q710" s="11" t="s">
        <v>49</v>
      </c>
      <c r="R710" s="7">
        <v>5000.59</v>
      </c>
      <c r="S710" s="7"/>
      <c r="T710" s="7"/>
      <c r="U710" s="7"/>
      <c r="V710" s="10">
        <v>6.830303030303031</v>
      </c>
      <c r="W710" s="9">
        <v>44988</v>
      </c>
      <c r="X710" s="10">
        <v>17</v>
      </c>
      <c r="Y710" s="9">
        <v>45001</v>
      </c>
      <c r="Z710">
        <v>13</v>
      </c>
      <c r="AA710" s="11" t="s">
        <v>49</v>
      </c>
    </row>
    <row r="711" spans="2:27" ht="16" x14ac:dyDescent="0.2">
      <c r="B711" t="s">
        <v>35</v>
      </c>
      <c r="C711">
        <v>40358760</v>
      </c>
      <c r="D711" t="s">
        <v>391</v>
      </c>
      <c r="E711">
        <v>1022142</v>
      </c>
      <c r="F711" t="s">
        <v>390</v>
      </c>
      <c r="G711" s="9">
        <v>44982</v>
      </c>
      <c r="H711" s="7">
        <v>2005.14</v>
      </c>
      <c r="I711" s="7"/>
      <c r="J711" s="7"/>
      <c r="K711" s="7"/>
      <c r="L711" s="10">
        <v>4.830303030303031</v>
      </c>
      <c r="M711" s="9">
        <v>44986</v>
      </c>
      <c r="N711" s="10">
        <v>15</v>
      </c>
      <c r="O711" s="9">
        <v>45001</v>
      </c>
      <c r="P711">
        <v>13</v>
      </c>
      <c r="Q711" s="11" t="s">
        <v>49</v>
      </c>
      <c r="R711" s="7">
        <v>2005.14</v>
      </c>
      <c r="S711" s="7"/>
      <c r="T711" s="7"/>
      <c r="U711" s="7"/>
      <c r="V711" s="10">
        <v>6.830303030303031</v>
      </c>
      <c r="W711" s="9">
        <v>44988</v>
      </c>
      <c r="X711" s="10">
        <v>17</v>
      </c>
      <c r="Y711" s="9">
        <v>45001</v>
      </c>
      <c r="Z711">
        <v>13</v>
      </c>
      <c r="AA711" s="11" t="s">
        <v>49</v>
      </c>
    </row>
    <row r="712" spans="2:27" ht="16" x14ac:dyDescent="0.2">
      <c r="B712" t="s">
        <v>35</v>
      </c>
      <c r="C712">
        <v>40358760</v>
      </c>
      <c r="D712" t="s">
        <v>391</v>
      </c>
      <c r="E712">
        <v>1022398</v>
      </c>
      <c r="F712" t="s">
        <v>431</v>
      </c>
      <c r="G712" s="9">
        <v>44982</v>
      </c>
      <c r="H712" s="7">
        <v>5005.82</v>
      </c>
      <c r="I712" s="7"/>
      <c r="J712" s="7"/>
      <c r="K712" s="7"/>
      <c r="L712" s="10">
        <v>4.830303030303031</v>
      </c>
      <c r="M712" s="9">
        <v>44986</v>
      </c>
      <c r="N712" s="10">
        <v>15</v>
      </c>
      <c r="O712" s="9">
        <v>45001</v>
      </c>
      <c r="P712">
        <v>13</v>
      </c>
      <c r="Q712" s="11" t="s">
        <v>49</v>
      </c>
      <c r="R712" s="7">
        <v>5005.82</v>
      </c>
      <c r="S712" s="7"/>
      <c r="T712" s="7"/>
      <c r="U712" s="7"/>
      <c r="V712" s="10">
        <v>6.830303030303031</v>
      </c>
      <c r="W712" s="9">
        <v>44988</v>
      </c>
      <c r="X712" s="10">
        <v>17</v>
      </c>
      <c r="Y712" s="9">
        <v>45001</v>
      </c>
      <c r="Z712">
        <v>13</v>
      </c>
      <c r="AA712" s="11" t="s">
        <v>49</v>
      </c>
    </row>
    <row r="713" spans="2:27" ht="16" x14ac:dyDescent="0.2">
      <c r="B713" t="s">
        <v>35</v>
      </c>
      <c r="C713">
        <v>40358698</v>
      </c>
      <c r="D713" t="s">
        <v>423</v>
      </c>
      <c r="E713">
        <v>1021270</v>
      </c>
      <c r="F713" t="s">
        <v>424</v>
      </c>
      <c r="G713" s="9">
        <v>44971</v>
      </c>
      <c r="H713" s="7">
        <v>23653.99</v>
      </c>
      <c r="I713" s="7"/>
      <c r="J713" s="7"/>
      <c r="K713" s="7"/>
      <c r="L713" s="10">
        <v>5.4496124031007751</v>
      </c>
      <c r="M713" s="9">
        <v>44976</v>
      </c>
      <c r="N713" s="10">
        <v>10</v>
      </c>
      <c r="O713" s="9">
        <v>44986</v>
      </c>
      <c r="P713">
        <v>24</v>
      </c>
      <c r="Q713" s="11" t="s">
        <v>49</v>
      </c>
      <c r="R713" s="7">
        <v>23653.99</v>
      </c>
      <c r="S713" s="7"/>
      <c r="T713" s="7"/>
      <c r="U713" s="7"/>
      <c r="V713" s="10">
        <v>7.4496124031007751</v>
      </c>
      <c r="W713" s="9">
        <v>44978</v>
      </c>
      <c r="X713" s="10">
        <v>12</v>
      </c>
      <c r="Y713" s="9">
        <v>44986</v>
      </c>
      <c r="Z713">
        <v>24</v>
      </c>
      <c r="AA713" s="11" t="s">
        <v>49</v>
      </c>
    </row>
    <row r="714" spans="2:27" ht="16" x14ac:dyDescent="0.2">
      <c r="B714" t="s">
        <v>35</v>
      </c>
      <c r="C714">
        <v>40358697</v>
      </c>
      <c r="D714" t="s">
        <v>423</v>
      </c>
      <c r="E714">
        <v>1021270</v>
      </c>
      <c r="F714" t="s">
        <v>424</v>
      </c>
      <c r="G714" s="9">
        <v>44979</v>
      </c>
      <c r="H714" s="7">
        <v>24003.21</v>
      </c>
      <c r="I714" s="7"/>
      <c r="J714" s="7"/>
      <c r="K714" s="7"/>
      <c r="L714" s="10">
        <v>5.4496124031007751</v>
      </c>
      <c r="M714" s="9">
        <v>44984</v>
      </c>
      <c r="N714" s="10">
        <v>10</v>
      </c>
      <c r="O714" s="9">
        <v>44994</v>
      </c>
      <c r="P714">
        <v>17</v>
      </c>
      <c r="Q714" s="11" t="s">
        <v>49</v>
      </c>
      <c r="R714" s="7">
        <v>24003.21</v>
      </c>
      <c r="S714" s="7"/>
      <c r="T714" s="7"/>
      <c r="U714" s="7"/>
      <c r="V714" s="10">
        <v>7.4496124031007751</v>
      </c>
      <c r="W714" s="9">
        <v>44986</v>
      </c>
      <c r="X714" s="10">
        <v>12</v>
      </c>
      <c r="Y714" s="9">
        <v>44994</v>
      </c>
      <c r="Z714">
        <v>17</v>
      </c>
      <c r="AA714" s="11" t="s">
        <v>49</v>
      </c>
    </row>
    <row r="715" spans="2:27" ht="16" x14ac:dyDescent="0.2">
      <c r="B715" t="s">
        <v>35</v>
      </c>
      <c r="C715">
        <v>40358696</v>
      </c>
      <c r="D715" t="s">
        <v>423</v>
      </c>
      <c r="E715">
        <v>1021270</v>
      </c>
      <c r="F715" t="s">
        <v>424</v>
      </c>
      <c r="G715" s="9">
        <v>44966</v>
      </c>
      <c r="H715" s="7"/>
      <c r="I715" s="7"/>
      <c r="J715" s="7"/>
      <c r="K715" s="7"/>
      <c r="L715" s="10">
        <v>5.4496124031007751</v>
      </c>
      <c r="M715" s="9">
        <v>44971</v>
      </c>
      <c r="N715" s="10">
        <v>10</v>
      </c>
      <c r="O715" s="9">
        <v>44981</v>
      </c>
      <c r="P715">
        <v>3</v>
      </c>
      <c r="Q715" s="11" t="s">
        <v>49</v>
      </c>
      <c r="R715" s="7"/>
      <c r="S715" s="7"/>
      <c r="T715" s="7"/>
      <c r="U715" s="7"/>
      <c r="V715" s="10">
        <v>7.4496124031007751</v>
      </c>
      <c r="W715" s="9">
        <v>44973</v>
      </c>
      <c r="X715" s="10">
        <v>12</v>
      </c>
      <c r="Y715" s="9">
        <v>44981</v>
      </c>
      <c r="Z715">
        <v>3</v>
      </c>
      <c r="AA715" s="11" t="s">
        <v>49</v>
      </c>
    </row>
    <row r="716" spans="2:27" ht="16" x14ac:dyDescent="0.2">
      <c r="B716" t="s">
        <v>35</v>
      </c>
      <c r="C716">
        <v>40358695</v>
      </c>
      <c r="D716" t="s">
        <v>423</v>
      </c>
      <c r="E716">
        <v>1020845</v>
      </c>
      <c r="F716" t="s">
        <v>496</v>
      </c>
      <c r="G716" s="9">
        <v>44960</v>
      </c>
      <c r="H716" s="7"/>
      <c r="I716" s="7"/>
      <c r="J716" s="7"/>
      <c r="K716" s="7"/>
      <c r="L716" s="10">
        <v>5.4496124031007751</v>
      </c>
      <c r="M716" s="9">
        <v>44965</v>
      </c>
      <c r="N716" s="10">
        <v>10</v>
      </c>
      <c r="O716" s="9">
        <v>44975</v>
      </c>
      <c r="P716">
        <v>8</v>
      </c>
      <c r="Q716" s="11" t="s">
        <v>49</v>
      </c>
      <c r="R716" s="7"/>
      <c r="S716" s="7"/>
      <c r="T716" s="7"/>
      <c r="U716" s="7"/>
      <c r="V716" s="10">
        <v>7.4496124031007751</v>
      </c>
      <c r="W716" s="9">
        <v>44967</v>
      </c>
      <c r="X716" s="10">
        <v>12</v>
      </c>
      <c r="Y716" s="9">
        <v>44975</v>
      </c>
      <c r="Z716">
        <v>8</v>
      </c>
      <c r="AA716" s="11" t="s">
        <v>49</v>
      </c>
    </row>
    <row r="717" spans="2:27" x14ac:dyDescent="0.2">
      <c r="B717" t="s">
        <v>394</v>
      </c>
      <c r="C717">
        <v>40358689</v>
      </c>
      <c r="D717" t="s">
        <v>485</v>
      </c>
      <c r="E717">
        <v>1020944</v>
      </c>
      <c r="F717" t="s">
        <v>498</v>
      </c>
      <c r="G717" s="9">
        <v>44962</v>
      </c>
      <c r="H717" s="7"/>
      <c r="I717" s="7"/>
      <c r="J717" s="7"/>
      <c r="K717" s="7"/>
      <c r="L717" s="10"/>
      <c r="N717" s="10"/>
      <c r="Q717" s="11"/>
      <c r="R717" s="7"/>
      <c r="S717" s="7"/>
      <c r="T717" s="7"/>
      <c r="U717" s="7"/>
      <c r="V717" s="10"/>
      <c r="X717" s="10"/>
      <c r="AA717" s="11"/>
    </row>
    <row r="718" spans="2:27" ht="16" x14ac:dyDescent="0.2">
      <c r="B718" t="s">
        <v>35</v>
      </c>
      <c r="C718">
        <v>40358683</v>
      </c>
      <c r="D718" t="s">
        <v>409</v>
      </c>
      <c r="E718">
        <v>1021538</v>
      </c>
      <c r="F718" t="s">
        <v>256</v>
      </c>
      <c r="G718" s="9">
        <v>44962</v>
      </c>
      <c r="H718" s="7"/>
      <c r="I718" s="7"/>
      <c r="J718" s="7"/>
      <c r="K718" s="7"/>
      <c r="L718" s="10">
        <v>7.5</v>
      </c>
      <c r="M718" s="9">
        <v>44969</v>
      </c>
      <c r="N718" s="10">
        <v>9.5</v>
      </c>
      <c r="O718" s="9">
        <v>44978</v>
      </c>
      <c r="P718">
        <v>6</v>
      </c>
      <c r="Q718" s="11" t="s">
        <v>49</v>
      </c>
      <c r="R718" s="7"/>
      <c r="S718" s="7"/>
      <c r="T718" s="7"/>
      <c r="U718" s="7"/>
      <c r="V718" s="10">
        <v>9.5</v>
      </c>
      <c r="W718" s="9">
        <v>44971</v>
      </c>
      <c r="X718" s="10">
        <v>11.5</v>
      </c>
      <c r="Y718" s="9">
        <v>44978</v>
      </c>
      <c r="Z718">
        <v>6</v>
      </c>
      <c r="AA718" s="11" t="s">
        <v>49</v>
      </c>
    </row>
    <row r="719" spans="2:27" ht="16" x14ac:dyDescent="0.2">
      <c r="B719" t="s">
        <v>35</v>
      </c>
      <c r="C719">
        <v>40358682</v>
      </c>
      <c r="D719" t="s">
        <v>409</v>
      </c>
      <c r="E719">
        <v>1021538</v>
      </c>
      <c r="F719" t="s">
        <v>256</v>
      </c>
      <c r="G719" s="9">
        <v>44975</v>
      </c>
      <c r="H719" s="7">
        <v>24009.332160000002</v>
      </c>
      <c r="I719" s="7"/>
      <c r="J719" s="7"/>
      <c r="K719" s="7"/>
      <c r="L719" s="10">
        <v>7.5</v>
      </c>
      <c r="M719" s="9">
        <v>44982</v>
      </c>
      <c r="N719" s="10">
        <v>9.5</v>
      </c>
      <c r="O719" s="9">
        <v>44991</v>
      </c>
      <c r="P719">
        <v>22</v>
      </c>
      <c r="Q719" s="11" t="s">
        <v>49</v>
      </c>
      <c r="R719" s="7">
        <v>24009.332160000002</v>
      </c>
      <c r="S719" s="7"/>
      <c r="T719" s="7"/>
      <c r="U719" s="7"/>
      <c r="V719" s="10">
        <v>9.5</v>
      </c>
      <c r="W719" s="9">
        <v>44984</v>
      </c>
      <c r="X719" s="10">
        <v>11.5</v>
      </c>
      <c r="Y719" s="9">
        <v>44991</v>
      </c>
      <c r="Z719">
        <v>22</v>
      </c>
      <c r="AA719" s="11" t="s">
        <v>49</v>
      </c>
    </row>
    <row r="720" spans="2:27" ht="16" x14ac:dyDescent="0.2">
      <c r="B720" t="s">
        <v>35</v>
      </c>
      <c r="C720">
        <v>40358680</v>
      </c>
      <c r="D720" t="s">
        <v>409</v>
      </c>
      <c r="E720">
        <v>1021538</v>
      </c>
      <c r="F720" t="s">
        <v>256</v>
      </c>
      <c r="G720" s="9">
        <v>44985</v>
      </c>
      <c r="H720" s="7">
        <v>13500.79847</v>
      </c>
      <c r="I720" s="7"/>
      <c r="J720" s="7"/>
      <c r="K720" s="7"/>
      <c r="L720" s="10">
        <v>7.5</v>
      </c>
      <c r="M720" s="9">
        <v>44992</v>
      </c>
      <c r="N720" s="10">
        <v>9.5</v>
      </c>
      <c r="O720" s="9">
        <v>45001</v>
      </c>
      <c r="P720">
        <v>13</v>
      </c>
      <c r="Q720" s="11" t="s">
        <v>49</v>
      </c>
      <c r="R720" s="7">
        <v>13500.79847</v>
      </c>
      <c r="S720" s="7"/>
      <c r="T720" s="7"/>
      <c r="U720" s="7"/>
      <c r="V720" s="10">
        <v>9.5</v>
      </c>
      <c r="W720" s="9">
        <v>44994</v>
      </c>
      <c r="X720" s="10">
        <v>11.5</v>
      </c>
      <c r="Y720" s="9">
        <v>45001</v>
      </c>
      <c r="Z720">
        <v>13</v>
      </c>
      <c r="AA720" s="11" t="s">
        <v>49</v>
      </c>
    </row>
    <row r="721" spans="2:27" ht="16" x14ac:dyDescent="0.2">
      <c r="B721" t="s">
        <v>35</v>
      </c>
      <c r="C721">
        <v>40358680</v>
      </c>
      <c r="D721" t="s">
        <v>409</v>
      </c>
      <c r="E721">
        <v>1021538</v>
      </c>
      <c r="F721" t="s">
        <v>256</v>
      </c>
      <c r="G721" s="9">
        <v>44985</v>
      </c>
      <c r="H721" s="7">
        <v>23959.160349999998</v>
      </c>
      <c r="I721" s="7"/>
      <c r="J721" s="7"/>
      <c r="K721" s="7"/>
      <c r="L721" s="10">
        <v>7.5</v>
      </c>
      <c r="M721" s="9">
        <v>44992</v>
      </c>
      <c r="N721" s="10">
        <v>9.5</v>
      </c>
      <c r="O721" s="9">
        <v>45001</v>
      </c>
      <c r="P721">
        <v>13</v>
      </c>
      <c r="Q721" s="11" t="s">
        <v>49</v>
      </c>
      <c r="R721" s="7">
        <v>23959.160349999998</v>
      </c>
      <c r="S721" s="7"/>
      <c r="T721" s="7"/>
      <c r="U721" s="7"/>
      <c r="V721" s="10">
        <v>9.5</v>
      </c>
      <c r="W721" s="9">
        <v>44994</v>
      </c>
      <c r="X721" s="10">
        <v>11.5</v>
      </c>
      <c r="Y721" s="9">
        <v>45001</v>
      </c>
      <c r="Z721">
        <v>13</v>
      </c>
      <c r="AA721" s="11" t="s">
        <v>49</v>
      </c>
    </row>
    <row r="722" spans="2:27" ht="16" x14ac:dyDescent="0.2">
      <c r="B722" t="s">
        <v>35</v>
      </c>
      <c r="C722">
        <v>40358679</v>
      </c>
      <c r="D722" t="s">
        <v>409</v>
      </c>
      <c r="E722">
        <v>1021538</v>
      </c>
      <c r="F722" t="s">
        <v>256</v>
      </c>
      <c r="G722" s="9">
        <v>44962</v>
      </c>
      <c r="H722" s="7"/>
      <c r="I722" s="7"/>
      <c r="J722" s="7"/>
      <c r="K722" s="7"/>
      <c r="L722" s="10">
        <v>7.5</v>
      </c>
      <c r="M722" s="9">
        <v>44969</v>
      </c>
      <c r="N722" s="10">
        <v>9.5</v>
      </c>
      <c r="O722" s="9">
        <v>44978</v>
      </c>
      <c r="P722">
        <v>6</v>
      </c>
      <c r="Q722" s="11" t="s">
        <v>49</v>
      </c>
      <c r="R722" s="7"/>
      <c r="S722" s="7"/>
      <c r="T722" s="7"/>
      <c r="U722" s="7"/>
      <c r="V722" s="10">
        <v>9.5</v>
      </c>
      <c r="W722" s="9">
        <v>44971</v>
      </c>
      <c r="X722" s="10">
        <v>11.5</v>
      </c>
      <c r="Y722" s="9">
        <v>44978</v>
      </c>
      <c r="Z722">
        <v>6</v>
      </c>
      <c r="AA722" s="11" t="s">
        <v>49</v>
      </c>
    </row>
    <row r="723" spans="2:27" ht="16" x14ac:dyDescent="0.2">
      <c r="B723" t="s">
        <v>35</v>
      </c>
      <c r="C723">
        <v>40358678</v>
      </c>
      <c r="D723" t="s">
        <v>409</v>
      </c>
      <c r="E723">
        <v>1021538</v>
      </c>
      <c r="F723" t="s">
        <v>256</v>
      </c>
      <c r="G723" s="9">
        <v>44972</v>
      </c>
      <c r="H723" s="7">
        <v>15497.936830000001</v>
      </c>
      <c r="I723" s="7"/>
      <c r="J723" s="7"/>
      <c r="K723" s="7"/>
      <c r="L723" s="10">
        <v>7.5</v>
      </c>
      <c r="M723" s="9">
        <v>44979</v>
      </c>
      <c r="N723" s="10">
        <v>9.5</v>
      </c>
      <c r="O723" s="9">
        <v>44988</v>
      </c>
      <c r="P723">
        <v>24</v>
      </c>
      <c r="Q723" s="11" t="s">
        <v>49</v>
      </c>
      <c r="R723" s="7">
        <v>15497.936830000001</v>
      </c>
      <c r="S723" s="7"/>
      <c r="T723" s="7"/>
      <c r="U723" s="7"/>
      <c r="V723" s="10">
        <v>9.5</v>
      </c>
      <c r="W723" s="9">
        <v>44981</v>
      </c>
      <c r="X723" s="10">
        <v>11.5</v>
      </c>
      <c r="Y723" s="9">
        <v>44988</v>
      </c>
      <c r="Z723">
        <v>24</v>
      </c>
      <c r="AA723" s="11" t="s">
        <v>49</v>
      </c>
    </row>
    <row r="724" spans="2:27" ht="16" x14ac:dyDescent="0.2">
      <c r="B724" t="s">
        <v>35</v>
      </c>
      <c r="C724">
        <v>40358678</v>
      </c>
      <c r="D724" t="s">
        <v>409</v>
      </c>
      <c r="E724">
        <v>1021538</v>
      </c>
      <c r="F724" t="s">
        <v>256</v>
      </c>
      <c r="G724" s="9">
        <v>44972</v>
      </c>
      <c r="H724" s="7">
        <v>24009.658748999998</v>
      </c>
      <c r="I724" s="7"/>
      <c r="J724" s="7"/>
      <c r="K724" s="7"/>
      <c r="L724" s="10">
        <v>7.5</v>
      </c>
      <c r="M724" s="9">
        <v>44979</v>
      </c>
      <c r="N724" s="10">
        <v>9.5</v>
      </c>
      <c r="O724" s="9">
        <v>44988</v>
      </c>
      <c r="P724">
        <v>24</v>
      </c>
      <c r="Q724" s="11" t="s">
        <v>49</v>
      </c>
      <c r="R724" s="7">
        <v>24009.658748999998</v>
      </c>
      <c r="S724" s="7"/>
      <c r="T724" s="7"/>
      <c r="U724" s="7"/>
      <c r="V724" s="10">
        <v>9.5</v>
      </c>
      <c r="W724" s="9">
        <v>44981</v>
      </c>
      <c r="X724" s="10">
        <v>11.5</v>
      </c>
      <c r="Y724" s="9">
        <v>44988</v>
      </c>
      <c r="Z724">
        <v>24</v>
      </c>
      <c r="AA724" s="11" t="s">
        <v>49</v>
      </c>
    </row>
    <row r="725" spans="2:27" x14ac:dyDescent="0.2">
      <c r="B725" t="s">
        <v>394</v>
      </c>
      <c r="C725">
        <v>40358674</v>
      </c>
      <c r="D725" t="s">
        <v>485</v>
      </c>
      <c r="E725">
        <v>1020367</v>
      </c>
      <c r="F725" t="s">
        <v>596</v>
      </c>
      <c r="G725" s="9">
        <v>44954</v>
      </c>
      <c r="H725" s="7"/>
      <c r="I725" s="7"/>
      <c r="J725" s="7"/>
      <c r="K725" s="7"/>
      <c r="L725" s="10"/>
      <c r="N725" s="10"/>
      <c r="Q725" s="11"/>
      <c r="R725" s="7"/>
      <c r="S725" s="7"/>
      <c r="T725" s="7"/>
      <c r="U725" s="7"/>
      <c r="V725" s="10"/>
      <c r="X725" s="10"/>
      <c r="AA725" s="11"/>
    </row>
    <row r="726" spans="2:27" ht="16" x14ac:dyDescent="0.2">
      <c r="B726" t="s">
        <v>35</v>
      </c>
      <c r="C726">
        <v>40358670</v>
      </c>
      <c r="D726" t="s">
        <v>386</v>
      </c>
      <c r="E726">
        <v>1022304</v>
      </c>
      <c r="F726" t="s">
        <v>538</v>
      </c>
      <c r="G726" s="9">
        <v>44970</v>
      </c>
      <c r="H726" s="7"/>
      <c r="I726" s="7"/>
      <c r="J726" s="7"/>
      <c r="K726" s="7"/>
      <c r="L726" s="10">
        <v>5.1420118343195256</v>
      </c>
      <c r="M726" s="9">
        <v>44975</v>
      </c>
      <c r="N726" s="10">
        <v>7.5</v>
      </c>
      <c r="O726" s="9">
        <v>44982</v>
      </c>
      <c r="P726">
        <v>2</v>
      </c>
      <c r="Q726" s="11" t="s">
        <v>594</v>
      </c>
      <c r="R726" s="7"/>
      <c r="S726" s="7"/>
      <c r="T726" s="7"/>
      <c r="U726" s="7"/>
      <c r="V726" s="10">
        <v>7.1420118343195256</v>
      </c>
      <c r="W726" s="9">
        <v>44977</v>
      </c>
      <c r="X726" s="10">
        <v>9.5</v>
      </c>
      <c r="Y726" s="9">
        <v>44982</v>
      </c>
      <c r="Z726">
        <v>2</v>
      </c>
      <c r="AA726" s="11" t="s">
        <v>594</v>
      </c>
    </row>
    <row r="727" spans="2:27" ht="16" x14ac:dyDescent="0.2">
      <c r="B727" t="s">
        <v>35</v>
      </c>
      <c r="C727">
        <v>40358670</v>
      </c>
      <c r="D727" t="s">
        <v>386</v>
      </c>
      <c r="E727">
        <v>1022304</v>
      </c>
      <c r="F727" t="s">
        <v>538</v>
      </c>
      <c r="G727" s="9">
        <v>44970</v>
      </c>
      <c r="H727" s="7"/>
      <c r="I727" s="7"/>
      <c r="J727" s="7"/>
      <c r="K727" s="7"/>
      <c r="L727" s="10">
        <v>5.1420118343195256</v>
      </c>
      <c r="M727" s="9">
        <v>44975</v>
      </c>
      <c r="N727" s="10">
        <v>7.5</v>
      </c>
      <c r="O727" s="9">
        <v>44982</v>
      </c>
      <c r="P727">
        <v>2</v>
      </c>
      <c r="Q727" s="11" t="s">
        <v>594</v>
      </c>
      <c r="R727" s="7"/>
      <c r="S727" s="7"/>
      <c r="T727" s="7"/>
      <c r="U727" s="7"/>
      <c r="V727" s="10">
        <v>7.1420118343195256</v>
      </c>
      <c r="W727" s="9">
        <v>44977</v>
      </c>
      <c r="X727" s="10">
        <v>9.5</v>
      </c>
      <c r="Y727" s="9">
        <v>44982</v>
      </c>
      <c r="Z727">
        <v>2</v>
      </c>
      <c r="AA727" s="11" t="s">
        <v>594</v>
      </c>
    </row>
    <row r="728" spans="2:27" ht="16" x14ac:dyDescent="0.2">
      <c r="B728" t="s">
        <v>35</v>
      </c>
      <c r="C728">
        <v>40358649</v>
      </c>
      <c r="D728" t="s">
        <v>391</v>
      </c>
      <c r="E728">
        <v>1023265</v>
      </c>
      <c r="F728" t="s">
        <v>347</v>
      </c>
      <c r="G728" s="9">
        <v>44990</v>
      </c>
      <c r="H728" s="7">
        <v>2041.38</v>
      </c>
      <c r="I728" s="7"/>
      <c r="J728" s="7"/>
      <c r="K728" s="7"/>
      <c r="L728" s="10">
        <v>4.830303030303031</v>
      </c>
      <c r="M728" s="9">
        <v>44994</v>
      </c>
      <c r="N728" s="10">
        <v>15</v>
      </c>
      <c r="O728" s="9">
        <v>45009</v>
      </c>
      <c r="P728">
        <v>6</v>
      </c>
      <c r="Q728" s="11" t="s">
        <v>49</v>
      </c>
      <c r="R728" s="7">
        <v>2041.38</v>
      </c>
      <c r="S728" s="7"/>
      <c r="T728" s="7"/>
      <c r="U728" s="7"/>
      <c r="V728" s="10">
        <v>6.830303030303031</v>
      </c>
      <c r="W728" s="9">
        <v>44996</v>
      </c>
      <c r="X728" s="10">
        <v>17</v>
      </c>
      <c r="Y728" s="9">
        <v>45009</v>
      </c>
      <c r="Z728">
        <v>6</v>
      </c>
      <c r="AA728" s="11" t="s">
        <v>49</v>
      </c>
    </row>
    <row r="729" spans="2:27" ht="16" x14ac:dyDescent="0.2">
      <c r="B729" t="s">
        <v>35</v>
      </c>
      <c r="C729">
        <v>40358649</v>
      </c>
      <c r="D729" t="s">
        <v>391</v>
      </c>
      <c r="E729">
        <v>1021931</v>
      </c>
      <c r="F729" t="s">
        <v>189</v>
      </c>
      <c r="G729" s="9">
        <v>44990</v>
      </c>
      <c r="H729" s="7">
        <v>2004.77</v>
      </c>
      <c r="I729" s="7"/>
      <c r="J729" s="7"/>
      <c r="K729" s="7"/>
      <c r="L729" s="10">
        <v>4.830303030303031</v>
      </c>
      <c r="M729" s="9">
        <v>44994</v>
      </c>
      <c r="N729" s="10">
        <v>15</v>
      </c>
      <c r="O729" s="9">
        <v>45009</v>
      </c>
      <c r="P729">
        <v>6</v>
      </c>
      <c r="Q729" s="11" t="s">
        <v>49</v>
      </c>
      <c r="R729" s="7">
        <v>2004.77</v>
      </c>
      <c r="S729" s="7"/>
      <c r="T729" s="7"/>
      <c r="U729" s="7"/>
      <c r="V729" s="10">
        <v>6.830303030303031</v>
      </c>
      <c r="W729" s="9">
        <v>44996</v>
      </c>
      <c r="X729" s="10">
        <v>17</v>
      </c>
      <c r="Y729" s="9">
        <v>45009</v>
      </c>
      <c r="Z729">
        <v>6</v>
      </c>
      <c r="AA729" s="11" t="s">
        <v>49</v>
      </c>
    </row>
    <row r="730" spans="2:27" ht="16" x14ac:dyDescent="0.2">
      <c r="B730" t="s">
        <v>35</v>
      </c>
      <c r="C730">
        <v>40358648</v>
      </c>
      <c r="D730" t="s">
        <v>391</v>
      </c>
      <c r="E730">
        <v>1022975</v>
      </c>
      <c r="F730" t="s">
        <v>433</v>
      </c>
      <c r="G730" s="9">
        <v>44990</v>
      </c>
      <c r="H730" s="7">
        <v>2950</v>
      </c>
      <c r="I730" s="7"/>
      <c r="J730" s="7"/>
      <c r="K730" s="7"/>
      <c r="L730" s="10">
        <v>4.830303030303031</v>
      </c>
      <c r="M730" s="9">
        <v>44994</v>
      </c>
      <c r="N730" s="10">
        <v>15</v>
      </c>
      <c r="O730" s="9">
        <v>45009</v>
      </c>
      <c r="P730">
        <v>6</v>
      </c>
      <c r="Q730" s="11" t="s">
        <v>49</v>
      </c>
      <c r="R730" s="7">
        <v>2950</v>
      </c>
      <c r="S730" s="7"/>
      <c r="T730" s="7"/>
      <c r="U730" s="7"/>
      <c r="V730" s="10">
        <v>6.830303030303031</v>
      </c>
      <c r="W730" s="9">
        <v>44996</v>
      </c>
      <c r="X730" s="10">
        <v>17</v>
      </c>
      <c r="Y730" s="9">
        <v>45009</v>
      </c>
      <c r="Z730">
        <v>6</v>
      </c>
      <c r="AA730" s="11" t="s">
        <v>49</v>
      </c>
    </row>
    <row r="731" spans="2:27" ht="16" x14ac:dyDescent="0.2">
      <c r="B731" t="s">
        <v>35</v>
      </c>
      <c r="C731">
        <v>40358648</v>
      </c>
      <c r="D731" t="s">
        <v>391</v>
      </c>
      <c r="E731">
        <v>1022866</v>
      </c>
      <c r="F731" t="s">
        <v>203</v>
      </c>
      <c r="G731" s="9">
        <v>44990</v>
      </c>
      <c r="H731" s="7">
        <v>4993.41</v>
      </c>
      <c r="I731" s="7"/>
      <c r="J731" s="7"/>
      <c r="K731" s="7"/>
      <c r="L731" s="10">
        <v>4.830303030303031</v>
      </c>
      <c r="M731" s="9">
        <v>44994</v>
      </c>
      <c r="N731" s="10">
        <v>15</v>
      </c>
      <c r="O731" s="9">
        <v>45009</v>
      </c>
      <c r="P731">
        <v>6</v>
      </c>
      <c r="Q731" s="11" t="s">
        <v>49</v>
      </c>
      <c r="R731" s="7">
        <v>4993.41</v>
      </c>
      <c r="S731" s="7"/>
      <c r="T731" s="7"/>
      <c r="U731" s="7"/>
      <c r="V731" s="10">
        <v>6.830303030303031</v>
      </c>
      <c r="W731" s="9">
        <v>44996</v>
      </c>
      <c r="X731" s="10">
        <v>17</v>
      </c>
      <c r="Y731" s="9">
        <v>45009</v>
      </c>
      <c r="Z731">
        <v>6</v>
      </c>
      <c r="AA731" s="11" t="s">
        <v>49</v>
      </c>
    </row>
    <row r="732" spans="2:27" ht="16" x14ac:dyDescent="0.2">
      <c r="B732" t="s">
        <v>35</v>
      </c>
      <c r="C732">
        <v>40358648</v>
      </c>
      <c r="D732" t="s">
        <v>391</v>
      </c>
      <c r="E732">
        <v>1022865</v>
      </c>
      <c r="F732" t="s">
        <v>343</v>
      </c>
      <c r="G732" s="9">
        <v>44990</v>
      </c>
      <c r="H732" s="7">
        <v>6996.79</v>
      </c>
      <c r="I732" s="7"/>
      <c r="J732" s="7"/>
      <c r="K732" s="7"/>
      <c r="L732" s="10">
        <v>4.830303030303031</v>
      </c>
      <c r="M732" s="9">
        <v>44994</v>
      </c>
      <c r="N732" s="10">
        <v>15</v>
      </c>
      <c r="O732" s="9">
        <v>45009</v>
      </c>
      <c r="P732">
        <v>6</v>
      </c>
      <c r="Q732" s="11" t="s">
        <v>49</v>
      </c>
      <c r="R732" s="7">
        <v>6996.79</v>
      </c>
      <c r="S732" s="7"/>
      <c r="T732" s="7"/>
      <c r="U732" s="7"/>
      <c r="V732" s="10">
        <v>6.830303030303031</v>
      </c>
      <c r="W732" s="9">
        <v>44996</v>
      </c>
      <c r="X732" s="10">
        <v>17</v>
      </c>
      <c r="Y732" s="9">
        <v>45009</v>
      </c>
      <c r="Z732">
        <v>6</v>
      </c>
      <c r="AA732" s="11" t="s">
        <v>49</v>
      </c>
    </row>
    <row r="733" spans="2:27" ht="16" x14ac:dyDescent="0.2">
      <c r="B733" t="s">
        <v>35</v>
      </c>
      <c r="C733">
        <v>40358648</v>
      </c>
      <c r="D733" t="s">
        <v>391</v>
      </c>
      <c r="E733">
        <v>1022398</v>
      </c>
      <c r="F733" t="s">
        <v>431</v>
      </c>
      <c r="G733" s="9">
        <v>44990</v>
      </c>
      <c r="H733" s="7">
        <v>5008.1899999999996</v>
      </c>
      <c r="I733" s="7"/>
      <c r="J733" s="7"/>
      <c r="K733" s="7"/>
      <c r="L733" s="10">
        <v>4.830303030303031</v>
      </c>
      <c r="M733" s="9">
        <v>44994</v>
      </c>
      <c r="N733" s="10">
        <v>15</v>
      </c>
      <c r="O733" s="9">
        <v>45009</v>
      </c>
      <c r="P733">
        <v>6</v>
      </c>
      <c r="Q733" s="11" t="s">
        <v>49</v>
      </c>
      <c r="R733" s="7">
        <v>5008.1899999999996</v>
      </c>
      <c r="S733" s="7"/>
      <c r="T733" s="7"/>
      <c r="U733" s="7"/>
      <c r="V733" s="10">
        <v>6.830303030303031</v>
      </c>
      <c r="W733" s="9">
        <v>44996</v>
      </c>
      <c r="X733" s="10">
        <v>17</v>
      </c>
      <c r="Y733" s="9">
        <v>45009</v>
      </c>
      <c r="Z733">
        <v>6</v>
      </c>
      <c r="AA733" s="11" t="s">
        <v>49</v>
      </c>
    </row>
    <row r="734" spans="2:27" ht="16" x14ac:dyDescent="0.2">
      <c r="B734" t="s">
        <v>35</v>
      </c>
      <c r="C734">
        <v>40358642</v>
      </c>
      <c r="D734" t="s">
        <v>391</v>
      </c>
      <c r="E734">
        <v>1023265</v>
      </c>
      <c r="F734" t="s">
        <v>347</v>
      </c>
      <c r="G734" s="9">
        <v>44990</v>
      </c>
      <c r="H734" s="7">
        <v>1994.18</v>
      </c>
      <c r="I734" s="7"/>
      <c r="J734" s="7"/>
      <c r="K734" s="7"/>
      <c r="L734" s="10">
        <v>4.830303030303031</v>
      </c>
      <c r="M734" s="9">
        <v>44994</v>
      </c>
      <c r="N734" s="10">
        <v>15</v>
      </c>
      <c r="O734" s="9">
        <v>45009</v>
      </c>
      <c r="P734">
        <v>6</v>
      </c>
      <c r="Q734" s="11" t="s">
        <v>49</v>
      </c>
      <c r="R734" s="7">
        <v>1994.18</v>
      </c>
      <c r="S734" s="7"/>
      <c r="T734" s="7"/>
      <c r="U734" s="7"/>
      <c r="V734" s="10">
        <v>6.830303030303031</v>
      </c>
      <c r="W734" s="9">
        <v>44996</v>
      </c>
      <c r="X734" s="10">
        <v>17</v>
      </c>
      <c r="Y734" s="9">
        <v>45009</v>
      </c>
      <c r="Z734">
        <v>6</v>
      </c>
      <c r="AA734" s="11" t="s">
        <v>49</v>
      </c>
    </row>
    <row r="735" spans="2:27" ht="16" x14ac:dyDescent="0.2">
      <c r="B735" t="s">
        <v>35</v>
      </c>
      <c r="C735">
        <v>40358642</v>
      </c>
      <c r="D735" t="s">
        <v>391</v>
      </c>
      <c r="E735">
        <v>1021931</v>
      </c>
      <c r="F735" t="s">
        <v>189</v>
      </c>
      <c r="G735" s="9">
        <v>44990</v>
      </c>
      <c r="H735" s="7">
        <v>1981</v>
      </c>
      <c r="I735" s="7"/>
      <c r="J735" s="7"/>
      <c r="K735" s="7"/>
      <c r="L735" s="10">
        <v>4.830303030303031</v>
      </c>
      <c r="M735" s="9">
        <v>44994</v>
      </c>
      <c r="N735" s="10">
        <v>15</v>
      </c>
      <c r="O735" s="9">
        <v>45009</v>
      </c>
      <c r="P735">
        <v>6</v>
      </c>
      <c r="Q735" s="11" t="s">
        <v>49</v>
      </c>
      <c r="R735" s="7">
        <v>1981</v>
      </c>
      <c r="S735" s="7"/>
      <c r="T735" s="7"/>
      <c r="U735" s="7"/>
      <c r="V735" s="10">
        <v>6.830303030303031</v>
      </c>
      <c r="W735" s="9">
        <v>44996</v>
      </c>
      <c r="X735" s="10">
        <v>17</v>
      </c>
      <c r="Y735" s="9">
        <v>45009</v>
      </c>
      <c r="Z735">
        <v>6</v>
      </c>
      <c r="AA735" s="11" t="s">
        <v>49</v>
      </c>
    </row>
    <row r="736" spans="2:27" ht="16" x14ac:dyDescent="0.2">
      <c r="B736" t="s">
        <v>35</v>
      </c>
      <c r="C736">
        <v>40358641</v>
      </c>
      <c r="D736" t="s">
        <v>391</v>
      </c>
      <c r="E736">
        <v>1022975</v>
      </c>
      <c r="F736" t="s">
        <v>433</v>
      </c>
      <c r="G736" s="9">
        <v>44990</v>
      </c>
      <c r="H736" s="7">
        <v>3040</v>
      </c>
      <c r="I736" s="7"/>
      <c r="J736" s="7"/>
      <c r="K736" s="7"/>
      <c r="L736" s="10">
        <v>4.830303030303031</v>
      </c>
      <c r="M736" s="9">
        <v>44994</v>
      </c>
      <c r="N736" s="10">
        <v>15</v>
      </c>
      <c r="O736" s="9">
        <v>45009</v>
      </c>
      <c r="P736">
        <v>6</v>
      </c>
      <c r="Q736" s="11" t="s">
        <v>49</v>
      </c>
      <c r="R736" s="7">
        <v>3040</v>
      </c>
      <c r="S736" s="7"/>
      <c r="T736" s="7"/>
      <c r="U736" s="7"/>
      <c r="V736" s="10">
        <v>6.830303030303031</v>
      </c>
      <c r="W736" s="9">
        <v>44996</v>
      </c>
      <c r="X736" s="10">
        <v>17</v>
      </c>
      <c r="Y736" s="9">
        <v>45009</v>
      </c>
      <c r="Z736">
        <v>6</v>
      </c>
      <c r="AA736" s="11" t="s">
        <v>49</v>
      </c>
    </row>
    <row r="737" spans="2:27" ht="16" x14ac:dyDescent="0.2">
      <c r="B737" t="s">
        <v>35</v>
      </c>
      <c r="C737">
        <v>40358641</v>
      </c>
      <c r="D737" t="s">
        <v>391</v>
      </c>
      <c r="E737">
        <v>1022866</v>
      </c>
      <c r="F737" t="s">
        <v>203</v>
      </c>
      <c r="G737" s="9">
        <v>44990</v>
      </c>
      <c r="H737" s="7">
        <v>4963.6099999999997</v>
      </c>
      <c r="I737" s="7"/>
      <c r="J737" s="7"/>
      <c r="K737" s="7"/>
      <c r="L737" s="10">
        <v>4.830303030303031</v>
      </c>
      <c r="M737" s="9">
        <v>44994</v>
      </c>
      <c r="N737" s="10">
        <v>15</v>
      </c>
      <c r="O737" s="9">
        <v>45009</v>
      </c>
      <c r="P737">
        <v>6</v>
      </c>
      <c r="Q737" s="11" t="s">
        <v>49</v>
      </c>
      <c r="R737" s="7">
        <v>4963.6099999999997</v>
      </c>
      <c r="S737" s="7"/>
      <c r="T737" s="7"/>
      <c r="U737" s="7"/>
      <c r="V737" s="10">
        <v>6.830303030303031</v>
      </c>
      <c r="W737" s="9">
        <v>44996</v>
      </c>
      <c r="X737" s="10">
        <v>17</v>
      </c>
      <c r="Y737" s="9">
        <v>45009</v>
      </c>
      <c r="Z737">
        <v>6</v>
      </c>
      <c r="AA737" s="11" t="s">
        <v>49</v>
      </c>
    </row>
    <row r="738" spans="2:27" ht="16" x14ac:dyDescent="0.2">
      <c r="B738" t="s">
        <v>35</v>
      </c>
      <c r="C738">
        <v>40358641</v>
      </c>
      <c r="D738" t="s">
        <v>391</v>
      </c>
      <c r="E738">
        <v>1022865</v>
      </c>
      <c r="F738" t="s">
        <v>343</v>
      </c>
      <c r="G738" s="9">
        <v>44990</v>
      </c>
      <c r="H738" s="7">
        <v>6850.8</v>
      </c>
      <c r="I738" s="7"/>
      <c r="J738" s="7"/>
      <c r="K738" s="7"/>
      <c r="L738" s="10">
        <v>4.830303030303031</v>
      </c>
      <c r="M738" s="9">
        <v>44994</v>
      </c>
      <c r="N738" s="10">
        <v>15</v>
      </c>
      <c r="O738" s="9">
        <v>45009</v>
      </c>
      <c r="P738">
        <v>6</v>
      </c>
      <c r="Q738" s="11" t="s">
        <v>49</v>
      </c>
      <c r="R738" s="7">
        <v>6850.8</v>
      </c>
      <c r="S738" s="7"/>
      <c r="T738" s="7"/>
      <c r="U738" s="7"/>
      <c r="V738" s="10">
        <v>6.830303030303031</v>
      </c>
      <c r="W738" s="9">
        <v>44996</v>
      </c>
      <c r="X738" s="10">
        <v>17</v>
      </c>
      <c r="Y738" s="9">
        <v>45009</v>
      </c>
      <c r="Z738">
        <v>6</v>
      </c>
      <c r="AA738" s="11" t="s">
        <v>49</v>
      </c>
    </row>
    <row r="739" spans="2:27" ht="16" x14ac:dyDescent="0.2">
      <c r="B739" t="s">
        <v>35</v>
      </c>
      <c r="C739">
        <v>40358641</v>
      </c>
      <c r="D739" t="s">
        <v>391</v>
      </c>
      <c r="E739">
        <v>1022398</v>
      </c>
      <c r="F739" t="s">
        <v>431</v>
      </c>
      <c r="G739" s="9">
        <v>44990</v>
      </c>
      <c r="H739" s="7">
        <v>4887.93</v>
      </c>
      <c r="I739" s="7"/>
      <c r="J739" s="7"/>
      <c r="K739" s="7"/>
      <c r="L739" s="10">
        <v>4.830303030303031</v>
      </c>
      <c r="M739" s="9">
        <v>44994</v>
      </c>
      <c r="N739" s="10">
        <v>15</v>
      </c>
      <c r="O739" s="9">
        <v>45009</v>
      </c>
      <c r="P739">
        <v>6</v>
      </c>
      <c r="Q739" s="11" t="s">
        <v>49</v>
      </c>
      <c r="R739" s="7">
        <v>4887.93</v>
      </c>
      <c r="S739" s="7"/>
      <c r="T739" s="7"/>
      <c r="U739" s="7"/>
      <c r="V739" s="10">
        <v>6.830303030303031</v>
      </c>
      <c r="W739" s="9">
        <v>44996</v>
      </c>
      <c r="X739" s="10">
        <v>17</v>
      </c>
      <c r="Y739" s="9">
        <v>45009</v>
      </c>
      <c r="Z739">
        <v>6</v>
      </c>
      <c r="AA739" s="11" t="s">
        <v>49</v>
      </c>
    </row>
    <row r="740" spans="2:27" ht="16" x14ac:dyDescent="0.2">
      <c r="B740" t="s">
        <v>35</v>
      </c>
      <c r="C740">
        <v>40358639</v>
      </c>
      <c r="D740" t="s">
        <v>391</v>
      </c>
      <c r="E740">
        <v>1021931</v>
      </c>
      <c r="F740" t="s">
        <v>189</v>
      </c>
      <c r="G740" s="9">
        <v>44990</v>
      </c>
      <c r="H740" s="7">
        <v>2000.96</v>
      </c>
      <c r="I740" s="7"/>
      <c r="J740" s="7"/>
      <c r="K740" s="7"/>
      <c r="L740" s="10">
        <v>4.830303030303031</v>
      </c>
      <c r="M740" s="9">
        <v>44994</v>
      </c>
      <c r="N740" s="10">
        <v>15</v>
      </c>
      <c r="O740" s="9">
        <v>45009</v>
      </c>
      <c r="P740">
        <v>6</v>
      </c>
      <c r="Q740" s="11" t="s">
        <v>49</v>
      </c>
      <c r="R740" s="7">
        <v>2000.96</v>
      </c>
      <c r="S740" s="7"/>
      <c r="T740" s="7"/>
      <c r="U740" s="7"/>
      <c r="V740" s="10">
        <v>6.830303030303031</v>
      </c>
      <c r="W740" s="9">
        <v>44996</v>
      </c>
      <c r="X740" s="10">
        <v>17</v>
      </c>
      <c r="Y740" s="9">
        <v>45009</v>
      </c>
      <c r="Z740">
        <v>6</v>
      </c>
      <c r="AA740" s="11" t="s">
        <v>49</v>
      </c>
    </row>
    <row r="741" spans="2:27" ht="16" x14ac:dyDescent="0.2">
      <c r="B741" t="s">
        <v>35</v>
      </c>
      <c r="C741">
        <v>40358638</v>
      </c>
      <c r="D741" t="s">
        <v>391</v>
      </c>
      <c r="E741">
        <v>1022413</v>
      </c>
      <c r="F741" t="s">
        <v>434</v>
      </c>
      <c r="G741" s="9">
        <v>44990</v>
      </c>
      <c r="H741" s="7">
        <v>3000</v>
      </c>
      <c r="I741" s="7"/>
      <c r="J741" s="7"/>
      <c r="K741" s="7"/>
      <c r="L741" s="10">
        <v>4.830303030303031</v>
      </c>
      <c r="M741" s="9">
        <v>44994</v>
      </c>
      <c r="N741" s="10">
        <v>15</v>
      </c>
      <c r="O741" s="9">
        <v>45009</v>
      </c>
      <c r="P741">
        <v>6</v>
      </c>
      <c r="Q741" s="11" t="s">
        <v>49</v>
      </c>
      <c r="R741" s="7">
        <v>3000</v>
      </c>
      <c r="S741" s="7"/>
      <c r="T741" s="7"/>
      <c r="U741" s="7"/>
      <c r="V741" s="10">
        <v>6.830303030303031</v>
      </c>
      <c r="W741" s="9">
        <v>44996</v>
      </c>
      <c r="X741" s="10">
        <v>17</v>
      </c>
      <c r="Y741" s="9">
        <v>45009</v>
      </c>
      <c r="Z741">
        <v>6</v>
      </c>
      <c r="AA741" s="11" t="s">
        <v>49</v>
      </c>
    </row>
    <row r="742" spans="2:27" ht="16" x14ac:dyDescent="0.2">
      <c r="B742" t="s">
        <v>35</v>
      </c>
      <c r="C742">
        <v>40358638</v>
      </c>
      <c r="D742" t="s">
        <v>391</v>
      </c>
      <c r="E742">
        <v>1021987</v>
      </c>
      <c r="F742" t="s">
        <v>435</v>
      </c>
      <c r="G742" s="9">
        <v>44990</v>
      </c>
      <c r="H742" s="7">
        <v>2000</v>
      </c>
      <c r="I742" s="7"/>
      <c r="J742" s="7"/>
      <c r="K742" s="7"/>
      <c r="L742" s="10">
        <v>4.830303030303031</v>
      </c>
      <c r="M742" s="9">
        <v>44994</v>
      </c>
      <c r="N742" s="10">
        <v>15</v>
      </c>
      <c r="O742" s="9">
        <v>45009</v>
      </c>
      <c r="P742">
        <v>6</v>
      </c>
      <c r="Q742" s="11" t="s">
        <v>49</v>
      </c>
      <c r="R742" s="7">
        <v>2000</v>
      </c>
      <c r="S742" s="7"/>
      <c r="T742" s="7"/>
      <c r="U742" s="7"/>
      <c r="V742" s="10">
        <v>6.830303030303031</v>
      </c>
      <c r="W742" s="9">
        <v>44996</v>
      </c>
      <c r="X742" s="10">
        <v>17</v>
      </c>
      <c r="Y742" s="9">
        <v>45009</v>
      </c>
      <c r="Z742">
        <v>6</v>
      </c>
      <c r="AA742" s="11" t="s">
        <v>49</v>
      </c>
    </row>
    <row r="743" spans="2:27" ht="16" x14ac:dyDescent="0.2">
      <c r="B743" t="s">
        <v>35</v>
      </c>
      <c r="C743">
        <v>40358637</v>
      </c>
      <c r="D743" t="s">
        <v>391</v>
      </c>
      <c r="E743">
        <v>1023269</v>
      </c>
      <c r="F743" t="s">
        <v>436</v>
      </c>
      <c r="G743" s="9">
        <v>44990</v>
      </c>
      <c r="H743" s="7">
        <v>8067.02</v>
      </c>
      <c r="I743" s="7"/>
      <c r="J743" s="7"/>
      <c r="K743" s="7"/>
      <c r="L743" s="10">
        <v>4.830303030303031</v>
      </c>
      <c r="M743" s="9">
        <v>44994</v>
      </c>
      <c r="N743" s="10">
        <v>15</v>
      </c>
      <c r="O743" s="9">
        <v>45009</v>
      </c>
      <c r="P743">
        <v>6</v>
      </c>
      <c r="Q743" s="11" t="s">
        <v>49</v>
      </c>
      <c r="R743" s="7">
        <v>8067.02</v>
      </c>
      <c r="S743" s="7"/>
      <c r="T743" s="7"/>
      <c r="U743" s="7"/>
      <c r="V743" s="10">
        <v>6.830303030303031</v>
      </c>
      <c r="W743" s="9">
        <v>44996</v>
      </c>
      <c r="X743" s="10">
        <v>17</v>
      </c>
      <c r="Y743" s="9">
        <v>45009</v>
      </c>
      <c r="Z743">
        <v>6</v>
      </c>
      <c r="AA743" s="11" t="s">
        <v>49</v>
      </c>
    </row>
    <row r="744" spans="2:27" ht="16" x14ac:dyDescent="0.2">
      <c r="B744" t="s">
        <v>35</v>
      </c>
      <c r="C744">
        <v>40358637</v>
      </c>
      <c r="D744" t="s">
        <v>391</v>
      </c>
      <c r="E744">
        <v>1023123</v>
      </c>
      <c r="F744" t="s">
        <v>345</v>
      </c>
      <c r="G744" s="9">
        <v>44990</v>
      </c>
      <c r="H744" s="7">
        <v>3033.74</v>
      </c>
      <c r="I744" s="7"/>
      <c r="J744" s="7"/>
      <c r="K744" s="7"/>
      <c r="L744" s="10">
        <v>4.830303030303031</v>
      </c>
      <c r="M744" s="9">
        <v>44994</v>
      </c>
      <c r="N744" s="10">
        <v>15</v>
      </c>
      <c r="O744" s="9">
        <v>45009</v>
      </c>
      <c r="P744">
        <v>6</v>
      </c>
      <c r="Q744" s="11" t="s">
        <v>49</v>
      </c>
      <c r="R744" s="7">
        <v>3033.74</v>
      </c>
      <c r="S744" s="7"/>
      <c r="T744" s="7"/>
      <c r="U744" s="7"/>
      <c r="V744" s="10">
        <v>6.830303030303031</v>
      </c>
      <c r="W744" s="9">
        <v>44996</v>
      </c>
      <c r="X744" s="10">
        <v>17</v>
      </c>
      <c r="Y744" s="9">
        <v>45009</v>
      </c>
      <c r="Z744">
        <v>6</v>
      </c>
      <c r="AA744" s="11" t="s">
        <v>49</v>
      </c>
    </row>
    <row r="745" spans="2:27" ht="16" x14ac:dyDescent="0.2">
      <c r="B745" t="s">
        <v>35</v>
      </c>
      <c r="C745">
        <v>40358637</v>
      </c>
      <c r="D745" t="s">
        <v>391</v>
      </c>
      <c r="E745">
        <v>1022621</v>
      </c>
      <c r="F745" t="s">
        <v>199</v>
      </c>
      <c r="G745" s="9">
        <v>44990</v>
      </c>
      <c r="H745" s="7">
        <v>4007.37</v>
      </c>
      <c r="I745" s="7"/>
      <c r="J745" s="7"/>
      <c r="K745" s="7"/>
      <c r="L745" s="10">
        <v>4.830303030303031</v>
      </c>
      <c r="M745" s="9">
        <v>44994</v>
      </c>
      <c r="N745" s="10">
        <v>15</v>
      </c>
      <c r="O745" s="9">
        <v>45009</v>
      </c>
      <c r="P745">
        <v>6</v>
      </c>
      <c r="Q745" s="11" t="s">
        <v>49</v>
      </c>
      <c r="R745" s="7">
        <v>4007.37</v>
      </c>
      <c r="S745" s="7"/>
      <c r="T745" s="7"/>
      <c r="U745" s="7"/>
      <c r="V745" s="10">
        <v>6.830303030303031</v>
      </c>
      <c r="W745" s="9">
        <v>44996</v>
      </c>
      <c r="X745" s="10">
        <v>17</v>
      </c>
      <c r="Y745" s="9">
        <v>45009</v>
      </c>
      <c r="Z745">
        <v>6</v>
      </c>
      <c r="AA745" s="11" t="s">
        <v>49</v>
      </c>
    </row>
    <row r="746" spans="2:27" ht="16" x14ac:dyDescent="0.2">
      <c r="B746" t="s">
        <v>35</v>
      </c>
      <c r="C746">
        <v>40358637</v>
      </c>
      <c r="D746" t="s">
        <v>391</v>
      </c>
      <c r="E746">
        <v>1021929</v>
      </c>
      <c r="F746" t="s">
        <v>335</v>
      </c>
      <c r="G746" s="9">
        <v>44990</v>
      </c>
      <c r="H746" s="7">
        <v>2000</v>
      </c>
      <c r="I746" s="7"/>
      <c r="J746" s="7"/>
      <c r="K746" s="7"/>
      <c r="L746" s="10">
        <v>4.830303030303031</v>
      </c>
      <c r="M746" s="9">
        <v>44994</v>
      </c>
      <c r="N746" s="10">
        <v>15</v>
      </c>
      <c r="O746" s="9">
        <v>45009</v>
      </c>
      <c r="P746">
        <v>6</v>
      </c>
      <c r="Q746" s="11" t="s">
        <v>49</v>
      </c>
      <c r="R746" s="7">
        <v>2000</v>
      </c>
      <c r="S746" s="7"/>
      <c r="T746" s="7"/>
      <c r="U746" s="7"/>
      <c r="V746" s="10">
        <v>6.830303030303031</v>
      </c>
      <c r="W746" s="9">
        <v>44996</v>
      </c>
      <c r="X746" s="10">
        <v>17</v>
      </c>
      <c r="Y746" s="9">
        <v>45009</v>
      </c>
      <c r="Z746">
        <v>6</v>
      </c>
      <c r="AA746" s="11" t="s">
        <v>49</v>
      </c>
    </row>
    <row r="747" spans="2:27" ht="16" x14ac:dyDescent="0.2">
      <c r="B747" t="s">
        <v>35</v>
      </c>
      <c r="C747">
        <v>40358636</v>
      </c>
      <c r="D747" t="s">
        <v>391</v>
      </c>
      <c r="E747">
        <v>1023265</v>
      </c>
      <c r="F747" t="s">
        <v>347</v>
      </c>
      <c r="G747" s="9">
        <v>44982</v>
      </c>
      <c r="H747" s="7">
        <v>2038</v>
      </c>
      <c r="I747" s="7"/>
      <c r="J747" s="7"/>
      <c r="K747" s="7"/>
      <c r="L747" s="10">
        <v>4.830303030303031</v>
      </c>
      <c r="M747" s="9">
        <v>44986</v>
      </c>
      <c r="N747" s="10">
        <v>15</v>
      </c>
      <c r="O747" s="9">
        <v>45001</v>
      </c>
      <c r="P747">
        <v>13</v>
      </c>
      <c r="Q747" s="11" t="s">
        <v>49</v>
      </c>
      <c r="R747" s="7">
        <v>2038</v>
      </c>
      <c r="S747" s="7"/>
      <c r="T747" s="7"/>
      <c r="U747" s="7"/>
      <c r="V747" s="10">
        <v>6.830303030303031</v>
      </c>
      <c r="W747" s="9">
        <v>44988</v>
      </c>
      <c r="X747" s="10">
        <v>17</v>
      </c>
      <c r="Y747" s="9">
        <v>45001</v>
      </c>
      <c r="Z747">
        <v>13</v>
      </c>
      <c r="AA747" s="11" t="s">
        <v>49</v>
      </c>
    </row>
    <row r="748" spans="2:27" ht="16" x14ac:dyDescent="0.2">
      <c r="B748" t="s">
        <v>35</v>
      </c>
      <c r="C748">
        <v>40358636</v>
      </c>
      <c r="D748" t="s">
        <v>391</v>
      </c>
      <c r="E748">
        <v>1021931</v>
      </c>
      <c r="F748" t="s">
        <v>189</v>
      </c>
      <c r="G748" s="9">
        <v>44982</v>
      </c>
      <c r="H748" s="7">
        <v>2057.5</v>
      </c>
      <c r="I748" s="7"/>
      <c r="J748" s="7"/>
      <c r="K748" s="7"/>
      <c r="L748" s="10">
        <v>4.830303030303031</v>
      </c>
      <c r="M748" s="9">
        <v>44986</v>
      </c>
      <c r="N748" s="10">
        <v>15</v>
      </c>
      <c r="O748" s="9">
        <v>45001</v>
      </c>
      <c r="P748">
        <v>13</v>
      </c>
      <c r="Q748" s="11" t="s">
        <v>49</v>
      </c>
      <c r="R748" s="7">
        <v>2057.5</v>
      </c>
      <c r="S748" s="7"/>
      <c r="T748" s="7"/>
      <c r="U748" s="7"/>
      <c r="V748" s="10">
        <v>6.830303030303031</v>
      </c>
      <c r="W748" s="9">
        <v>44988</v>
      </c>
      <c r="X748" s="10">
        <v>17</v>
      </c>
      <c r="Y748" s="9">
        <v>45001</v>
      </c>
      <c r="Z748">
        <v>13</v>
      </c>
      <c r="AA748" s="11" t="s">
        <v>49</v>
      </c>
    </row>
    <row r="749" spans="2:27" ht="16" x14ac:dyDescent="0.2">
      <c r="B749" t="s">
        <v>35</v>
      </c>
      <c r="C749">
        <v>40358635</v>
      </c>
      <c r="D749" t="s">
        <v>391</v>
      </c>
      <c r="E749">
        <v>1022398</v>
      </c>
      <c r="F749" t="s">
        <v>431</v>
      </c>
      <c r="G749" s="9">
        <v>44982</v>
      </c>
      <c r="H749" s="7">
        <v>4948.12</v>
      </c>
      <c r="I749" s="7"/>
      <c r="J749" s="7"/>
      <c r="K749" s="7"/>
      <c r="L749" s="10">
        <v>4.830303030303031</v>
      </c>
      <c r="M749" s="9">
        <v>44986</v>
      </c>
      <c r="N749" s="10">
        <v>15</v>
      </c>
      <c r="O749" s="9">
        <v>45001</v>
      </c>
      <c r="P749">
        <v>13</v>
      </c>
      <c r="Q749" s="11" t="s">
        <v>49</v>
      </c>
      <c r="R749" s="7">
        <v>4948.12</v>
      </c>
      <c r="S749" s="7"/>
      <c r="T749" s="7"/>
      <c r="U749" s="7"/>
      <c r="V749" s="10">
        <v>6.830303030303031</v>
      </c>
      <c r="W749" s="9">
        <v>44988</v>
      </c>
      <c r="X749" s="10">
        <v>17</v>
      </c>
      <c r="Y749" s="9">
        <v>45001</v>
      </c>
      <c r="Z749">
        <v>13</v>
      </c>
      <c r="AA749" s="11" t="s">
        <v>49</v>
      </c>
    </row>
    <row r="750" spans="2:27" ht="16" x14ac:dyDescent="0.2">
      <c r="B750" t="s">
        <v>35</v>
      </c>
      <c r="C750">
        <v>40358635</v>
      </c>
      <c r="D750" t="s">
        <v>391</v>
      </c>
      <c r="E750">
        <v>1022865</v>
      </c>
      <c r="F750" t="s">
        <v>343</v>
      </c>
      <c r="G750" s="9">
        <v>44982</v>
      </c>
      <c r="H750" s="7">
        <v>7155.76</v>
      </c>
      <c r="I750" s="7"/>
      <c r="J750" s="7"/>
      <c r="K750" s="7"/>
      <c r="L750" s="10">
        <v>4.830303030303031</v>
      </c>
      <c r="M750" s="9">
        <v>44986</v>
      </c>
      <c r="N750" s="10">
        <v>15</v>
      </c>
      <c r="O750" s="9">
        <v>45001</v>
      </c>
      <c r="P750">
        <v>13</v>
      </c>
      <c r="Q750" s="11" t="s">
        <v>49</v>
      </c>
      <c r="R750" s="7">
        <v>7155.76</v>
      </c>
      <c r="S750" s="7"/>
      <c r="T750" s="7"/>
      <c r="U750" s="7"/>
      <c r="V750" s="10">
        <v>6.830303030303031</v>
      </c>
      <c r="W750" s="9">
        <v>44988</v>
      </c>
      <c r="X750" s="10">
        <v>17</v>
      </c>
      <c r="Y750" s="9">
        <v>45001</v>
      </c>
      <c r="Z750">
        <v>13</v>
      </c>
      <c r="AA750" s="11" t="s">
        <v>49</v>
      </c>
    </row>
    <row r="751" spans="2:27" ht="16" x14ac:dyDescent="0.2">
      <c r="B751" t="s">
        <v>35</v>
      </c>
      <c r="C751">
        <v>40358635</v>
      </c>
      <c r="D751" t="s">
        <v>391</v>
      </c>
      <c r="E751">
        <v>1022866</v>
      </c>
      <c r="F751" t="s">
        <v>203</v>
      </c>
      <c r="G751" s="9">
        <v>44982</v>
      </c>
      <c r="H751" s="7">
        <v>4992.9799999999996</v>
      </c>
      <c r="I751" s="7"/>
      <c r="J751" s="7"/>
      <c r="K751" s="7"/>
      <c r="L751" s="10">
        <v>4.830303030303031</v>
      </c>
      <c r="M751" s="9">
        <v>44986</v>
      </c>
      <c r="N751" s="10">
        <v>15</v>
      </c>
      <c r="O751" s="9">
        <v>45001</v>
      </c>
      <c r="P751">
        <v>13</v>
      </c>
      <c r="Q751" s="11" t="s">
        <v>49</v>
      </c>
      <c r="R751" s="7">
        <v>4992.9799999999996</v>
      </c>
      <c r="S751" s="7"/>
      <c r="T751" s="7"/>
      <c r="U751" s="7"/>
      <c r="V751" s="10">
        <v>6.830303030303031</v>
      </c>
      <c r="W751" s="9">
        <v>44988</v>
      </c>
      <c r="X751" s="10">
        <v>17</v>
      </c>
      <c r="Y751" s="9">
        <v>45001</v>
      </c>
      <c r="Z751">
        <v>13</v>
      </c>
      <c r="AA751" s="11" t="s">
        <v>49</v>
      </c>
    </row>
    <row r="752" spans="2:27" ht="16" x14ac:dyDescent="0.2">
      <c r="B752" t="s">
        <v>35</v>
      </c>
      <c r="C752">
        <v>40358635</v>
      </c>
      <c r="D752" t="s">
        <v>391</v>
      </c>
      <c r="E752">
        <v>1022975</v>
      </c>
      <c r="F752" t="s">
        <v>433</v>
      </c>
      <c r="G752" s="9">
        <v>44982</v>
      </c>
      <c r="H752" s="7">
        <v>3050</v>
      </c>
      <c r="I752" s="7"/>
      <c r="J752" s="7"/>
      <c r="K752" s="7"/>
      <c r="L752" s="10">
        <v>4.830303030303031</v>
      </c>
      <c r="M752" s="9">
        <v>44986</v>
      </c>
      <c r="N752" s="10">
        <v>15</v>
      </c>
      <c r="O752" s="9">
        <v>45001</v>
      </c>
      <c r="P752">
        <v>13</v>
      </c>
      <c r="Q752" s="11" t="s">
        <v>49</v>
      </c>
      <c r="R752" s="7">
        <v>3050</v>
      </c>
      <c r="S752" s="7"/>
      <c r="T752" s="7"/>
      <c r="U752" s="7"/>
      <c r="V752" s="10">
        <v>6.830303030303031</v>
      </c>
      <c r="W752" s="9">
        <v>44988</v>
      </c>
      <c r="X752" s="10">
        <v>17</v>
      </c>
      <c r="Y752" s="9">
        <v>45001</v>
      </c>
      <c r="Z752">
        <v>13</v>
      </c>
      <c r="AA752" s="11" t="s">
        <v>49</v>
      </c>
    </row>
    <row r="753" spans="2:27" ht="16" x14ac:dyDescent="0.2">
      <c r="B753" t="s">
        <v>35</v>
      </c>
      <c r="C753">
        <v>40358627</v>
      </c>
      <c r="D753" t="s">
        <v>391</v>
      </c>
      <c r="E753">
        <v>1021931</v>
      </c>
      <c r="F753" t="s">
        <v>189</v>
      </c>
      <c r="G753" s="9">
        <v>44990</v>
      </c>
      <c r="H753" s="7">
        <v>2001.43</v>
      </c>
      <c r="I753" s="7"/>
      <c r="J753" s="7"/>
      <c r="K753" s="7"/>
      <c r="L753" s="10">
        <v>4.830303030303031</v>
      </c>
      <c r="M753" s="9">
        <v>44994</v>
      </c>
      <c r="N753" s="10">
        <v>15</v>
      </c>
      <c r="O753" s="9">
        <v>45009</v>
      </c>
      <c r="P753">
        <v>6</v>
      </c>
      <c r="Q753" s="11" t="s">
        <v>49</v>
      </c>
      <c r="R753" s="7">
        <v>2001.43</v>
      </c>
      <c r="S753" s="7"/>
      <c r="T753" s="7"/>
      <c r="U753" s="7"/>
      <c r="V753" s="10">
        <v>6.830303030303031</v>
      </c>
      <c r="W753" s="9">
        <v>44996</v>
      </c>
      <c r="X753" s="10">
        <v>17</v>
      </c>
      <c r="Y753" s="9">
        <v>45009</v>
      </c>
      <c r="Z753">
        <v>6</v>
      </c>
      <c r="AA753" s="11" t="s">
        <v>49</v>
      </c>
    </row>
    <row r="754" spans="2:27" ht="16" x14ac:dyDescent="0.2">
      <c r="B754" t="s">
        <v>35</v>
      </c>
      <c r="C754">
        <v>40358627</v>
      </c>
      <c r="D754" t="s">
        <v>391</v>
      </c>
      <c r="E754">
        <v>1023265</v>
      </c>
      <c r="F754" t="s">
        <v>347</v>
      </c>
      <c r="G754" s="9">
        <v>44990</v>
      </c>
      <c r="H754" s="7">
        <v>2000</v>
      </c>
      <c r="I754" s="7"/>
      <c r="J754" s="7"/>
      <c r="K754" s="7"/>
      <c r="L754" s="10">
        <v>4.830303030303031</v>
      </c>
      <c r="M754" s="9">
        <v>44994</v>
      </c>
      <c r="N754" s="10">
        <v>15</v>
      </c>
      <c r="O754" s="9">
        <v>45009</v>
      </c>
      <c r="P754">
        <v>6</v>
      </c>
      <c r="Q754" s="11" t="s">
        <v>49</v>
      </c>
      <c r="R754" s="7">
        <v>2000</v>
      </c>
      <c r="S754" s="7"/>
      <c r="T754" s="7"/>
      <c r="U754" s="7"/>
      <c r="V754" s="10">
        <v>6.830303030303031</v>
      </c>
      <c r="W754" s="9">
        <v>44996</v>
      </c>
      <c r="X754" s="10">
        <v>17</v>
      </c>
      <c r="Y754" s="9">
        <v>45009</v>
      </c>
      <c r="Z754">
        <v>6</v>
      </c>
      <c r="AA754" s="11" t="s">
        <v>49</v>
      </c>
    </row>
    <row r="755" spans="2:27" ht="16" x14ac:dyDescent="0.2">
      <c r="B755" t="s">
        <v>35</v>
      </c>
      <c r="C755">
        <v>40358626</v>
      </c>
      <c r="D755" t="s">
        <v>391</v>
      </c>
      <c r="E755">
        <v>1022863</v>
      </c>
      <c r="F755" t="s">
        <v>201</v>
      </c>
      <c r="G755" s="9">
        <v>44990</v>
      </c>
      <c r="H755" s="7">
        <v>5003.6400000000003</v>
      </c>
      <c r="I755" s="7"/>
      <c r="J755" s="7"/>
      <c r="K755" s="7"/>
      <c r="L755" s="10">
        <v>4.830303030303031</v>
      </c>
      <c r="M755" s="9">
        <v>44994</v>
      </c>
      <c r="N755" s="10">
        <v>15</v>
      </c>
      <c r="O755" s="9">
        <v>45009</v>
      </c>
      <c r="P755">
        <v>6</v>
      </c>
      <c r="Q755" s="11" t="s">
        <v>49</v>
      </c>
      <c r="R755" s="7">
        <v>5003.6400000000003</v>
      </c>
      <c r="S755" s="7"/>
      <c r="T755" s="7"/>
      <c r="U755" s="7"/>
      <c r="V755" s="10">
        <v>6.830303030303031</v>
      </c>
      <c r="W755" s="9">
        <v>44996</v>
      </c>
      <c r="X755" s="10">
        <v>17</v>
      </c>
      <c r="Y755" s="9">
        <v>45009</v>
      </c>
      <c r="Z755">
        <v>6</v>
      </c>
      <c r="AA755" s="11" t="s">
        <v>49</v>
      </c>
    </row>
    <row r="756" spans="2:27" ht="16" x14ac:dyDescent="0.2">
      <c r="B756" t="s">
        <v>35</v>
      </c>
      <c r="C756">
        <v>40358626</v>
      </c>
      <c r="D756" t="s">
        <v>391</v>
      </c>
      <c r="E756">
        <v>1022621</v>
      </c>
      <c r="F756" t="s">
        <v>199</v>
      </c>
      <c r="G756" s="9">
        <v>44990</v>
      </c>
      <c r="H756" s="7">
        <v>5002.24</v>
      </c>
      <c r="I756" s="7"/>
      <c r="J756" s="7"/>
      <c r="K756" s="7"/>
      <c r="L756" s="10">
        <v>4.830303030303031</v>
      </c>
      <c r="M756" s="9">
        <v>44994</v>
      </c>
      <c r="N756" s="10">
        <v>15</v>
      </c>
      <c r="O756" s="9">
        <v>45009</v>
      </c>
      <c r="P756">
        <v>6</v>
      </c>
      <c r="Q756" s="11" t="s">
        <v>49</v>
      </c>
      <c r="R756" s="7">
        <v>5002.24</v>
      </c>
      <c r="S756" s="7"/>
      <c r="T756" s="7"/>
      <c r="U756" s="7"/>
      <c r="V756" s="10">
        <v>6.830303030303031</v>
      </c>
      <c r="W756" s="9">
        <v>44996</v>
      </c>
      <c r="X756" s="10">
        <v>17</v>
      </c>
      <c r="Y756" s="9">
        <v>45009</v>
      </c>
      <c r="Z756">
        <v>6</v>
      </c>
      <c r="AA756" s="11" t="s">
        <v>49</v>
      </c>
    </row>
    <row r="757" spans="2:27" ht="16" x14ac:dyDescent="0.2">
      <c r="B757" t="s">
        <v>35</v>
      </c>
      <c r="C757">
        <v>40358626</v>
      </c>
      <c r="D757" t="s">
        <v>391</v>
      </c>
      <c r="E757">
        <v>1021925</v>
      </c>
      <c r="F757" t="s">
        <v>432</v>
      </c>
      <c r="G757" s="9">
        <v>44990</v>
      </c>
      <c r="H757" s="7">
        <v>5005.21</v>
      </c>
      <c r="I757" s="7"/>
      <c r="J757" s="7"/>
      <c r="K757" s="7"/>
      <c r="L757" s="10">
        <v>4.830303030303031</v>
      </c>
      <c r="M757" s="9">
        <v>44994</v>
      </c>
      <c r="N757" s="10">
        <v>15</v>
      </c>
      <c r="O757" s="9">
        <v>45009</v>
      </c>
      <c r="P757">
        <v>6</v>
      </c>
      <c r="Q757" s="11" t="s">
        <v>49</v>
      </c>
      <c r="R757" s="7">
        <v>5005.21</v>
      </c>
      <c r="S757" s="7"/>
      <c r="T757" s="7"/>
      <c r="U757" s="7"/>
      <c r="V757" s="10">
        <v>6.830303030303031</v>
      </c>
      <c r="W757" s="9">
        <v>44996</v>
      </c>
      <c r="X757" s="10">
        <v>17</v>
      </c>
      <c r="Y757" s="9">
        <v>45009</v>
      </c>
      <c r="Z757">
        <v>6</v>
      </c>
      <c r="AA757" s="11" t="s">
        <v>49</v>
      </c>
    </row>
    <row r="758" spans="2:27" ht="16" x14ac:dyDescent="0.2">
      <c r="B758" t="s">
        <v>35</v>
      </c>
      <c r="C758">
        <v>40358626</v>
      </c>
      <c r="D758" t="s">
        <v>391</v>
      </c>
      <c r="E758">
        <v>1021924</v>
      </c>
      <c r="F758" t="s">
        <v>187</v>
      </c>
      <c r="G758" s="9">
        <v>44990</v>
      </c>
      <c r="H758" s="7">
        <v>5012.04</v>
      </c>
      <c r="I758" s="7"/>
      <c r="J758" s="7"/>
      <c r="K758" s="7"/>
      <c r="L758" s="10">
        <v>4.830303030303031</v>
      </c>
      <c r="M758" s="9">
        <v>44994</v>
      </c>
      <c r="N758" s="10">
        <v>15</v>
      </c>
      <c r="O758" s="9">
        <v>45009</v>
      </c>
      <c r="P758">
        <v>6</v>
      </c>
      <c r="Q758" s="11" t="s">
        <v>49</v>
      </c>
      <c r="R758" s="7">
        <v>5012.04</v>
      </c>
      <c r="S758" s="7"/>
      <c r="T758" s="7"/>
      <c r="U758" s="7"/>
      <c r="V758" s="10">
        <v>6.830303030303031</v>
      </c>
      <c r="W758" s="9">
        <v>44996</v>
      </c>
      <c r="X758" s="10">
        <v>17</v>
      </c>
      <c r="Y758" s="9">
        <v>45009</v>
      </c>
      <c r="Z758">
        <v>6</v>
      </c>
      <c r="AA758" s="11" t="s">
        <v>49</v>
      </c>
    </row>
    <row r="759" spans="2:27" ht="16" x14ac:dyDescent="0.2">
      <c r="B759" t="s">
        <v>35</v>
      </c>
      <c r="C759">
        <v>40358106</v>
      </c>
      <c r="D759" t="s">
        <v>409</v>
      </c>
      <c r="E759">
        <v>1012148</v>
      </c>
      <c r="F759" t="s">
        <v>111</v>
      </c>
      <c r="G759" s="9">
        <v>44965</v>
      </c>
      <c r="H759" s="7"/>
      <c r="I759" s="7"/>
      <c r="J759" s="7"/>
      <c r="K759" s="7"/>
      <c r="L759" s="10">
        <v>7.5</v>
      </c>
      <c r="M759" s="9">
        <v>44972</v>
      </c>
      <c r="N759" s="10">
        <v>9.5</v>
      </c>
      <c r="O759" s="9">
        <v>44981</v>
      </c>
      <c r="P759">
        <v>3</v>
      </c>
      <c r="Q759" s="11" t="s">
        <v>49</v>
      </c>
      <c r="R759" s="7"/>
      <c r="S759" s="7"/>
      <c r="T759" s="7"/>
      <c r="U759" s="7"/>
      <c r="V759" s="10">
        <v>9.5</v>
      </c>
      <c r="W759" s="9">
        <v>44974</v>
      </c>
      <c r="X759" s="10">
        <v>11.5</v>
      </c>
      <c r="Y759" s="9">
        <v>44981</v>
      </c>
      <c r="Z759">
        <v>3</v>
      </c>
      <c r="AA759" s="11" t="s">
        <v>49</v>
      </c>
    </row>
    <row r="760" spans="2:27" x14ac:dyDescent="0.2">
      <c r="B760" t="s">
        <v>394</v>
      </c>
      <c r="C760">
        <v>40358087</v>
      </c>
      <c r="D760" t="s">
        <v>396</v>
      </c>
      <c r="E760">
        <v>1030535</v>
      </c>
      <c r="F760" t="s">
        <v>395</v>
      </c>
      <c r="G760" s="9">
        <v>44985</v>
      </c>
      <c r="H760" s="7"/>
      <c r="I760" s="7"/>
      <c r="J760" s="7"/>
      <c r="K760" s="7"/>
      <c r="L760" s="10"/>
      <c r="N760" s="10"/>
      <c r="Q760" s="11"/>
      <c r="R760" s="7"/>
      <c r="S760" s="7"/>
      <c r="T760" s="7"/>
      <c r="U760" s="7"/>
      <c r="V760" s="10"/>
      <c r="X760" s="10"/>
      <c r="AA760" s="11"/>
    </row>
    <row r="761" spans="2:27" x14ac:dyDescent="0.2">
      <c r="B761" t="s">
        <v>394</v>
      </c>
      <c r="C761">
        <v>40358086</v>
      </c>
      <c r="D761" t="s">
        <v>396</v>
      </c>
      <c r="E761">
        <v>1030535</v>
      </c>
      <c r="F761" t="s">
        <v>395</v>
      </c>
      <c r="G761" s="9">
        <v>44975</v>
      </c>
      <c r="H761" s="7"/>
      <c r="I761" s="7"/>
      <c r="J761" s="7"/>
      <c r="K761" s="7"/>
      <c r="L761" s="10"/>
      <c r="N761" s="10"/>
      <c r="Q761" s="11"/>
      <c r="R761" s="7"/>
      <c r="S761" s="7"/>
      <c r="T761" s="7"/>
      <c r="U761" s="7"/>
      <c r="V761" s="10"/>
      <c r="X761" s="10"/>
      <c r="AA761" s="11"/>
    </row>
    <row r="762" spans="2:27" x14ac:dyDescent="0.2">
      <c r="B762" t="s">
        <v>394</v>
      </c>
      <c r="C762">
        <v>40358084</v>
      </c>
      <c r="D762" t="s">
        <v>485</v>
      </c>
      <c r="E762">
        <v>1022290</v>
      </c>
      <c r="F762" t="s">
        <v>607</v>
      </c>
      <c r="G762" s="9">
        <v>44960</v>
      </c>
      <c r="H762" s="7"/>
      <c r="I762" s="7"/>
      <c r="J762" s="7"/>
      <c r="K762" s="7"/>
      <c r="L762" s="10"/>
      <c r="N762" s="10"/>
      <c r="Q762" s="11"/>
      <c r="R762" s="7"/>
      <c r="S762" s="7"/>
      <c r="T762" s="7"/>
      <c r="U762" s="7"/>
      <c r="V762" s="10"/>
      <c r="X762" s="10"/>
      <c r="AA762" s="11"/>
    </row>
    <row r="763" spans="2:27" x14ac:dyDescent="0.2">
      <c r="B763" t="s">
        <v>394</v>
      </c>
      <c r="C763">
        <v>40358084</v>
      </c>
      <c r="D763" t="s">
        <v>485</v>
      </c>
      <c r="E763">
        <v>1021092</v>
      </c>
      <c r="F763" t="s">
        <v>525</v>
      </c>
      <c r="G763" s="9">
        <v>44960</v>
      </c>
      <c r="H763" s="7"/>
      <c r="I763" s="7"/>
      <c r="J763" s="7"/>
      <c r="K763" s="7"/>
      <c r="L763" s="10"/>
      <c r="N763" s="10"/>
      <c r="Q763" s="11"/>
      <c r="R763" s="7"/>
      <c r="S763" s="7"/>
      <c r="T763" s="7"/>
      <c r="U763" s="7"/>
      <c r="V763" s="10"/>
      <c r="X763" s="10"/>
      <c r="AA763" s="11"/>
    </row>
    <row r="764" spans="2:27" ht="16" x14ac:dyDescent="0.2">
      <c r="B764" t="s">
        <v>35</v>
      </c>
      <c r="C764">
        <v>40358078</v>
      </c>
      <c r="D764" t="s">
        <v>423</v>
      </c>
      <c r="E764">
        <v>1023302</v>
      </c>
      <c r="F764" t="s">
        <v>268</v>
      </c>
      <c r="G764" s="9">
        <v>44961</v>
      </c>
      <c r="H764" s="7"/>
      <c r="I764" s="7"/>
      <c r="J764" s="7"/>
      <c r="K764" s="7"/>
      <c r="L764" s="10">
        <v>5.4496124031007751</v>
      </c>
      <c r="M764" s="9">
        <v>44966</v>
      </c>
      <c r="N764" s="10">
        <v>10</v>
      </c>
      <c r="O764" s="9">
        <v>44976</v>
      </c>
      <c r="P764">
        <v>8</v>
      </c>
      <c r="Q764" s="11" t="s">
        <v>49</v>
      </c>
      <c r="R764" s="7"/>
      <c r="S764" s="7"/>
      <c r="T764" s="7"/>
      <c r="U764" s="7"/>
      <c r="V764" s="10">
        <v>7.4496124031007751</v>
      </c>
      <c r="W764" s="9">
        <v>44968</v>
      </c>
      <c r="X764" s="10">
        <v>12</v>
      </c>
      <c r="Y764" s="9">
        <v>44976</v>
      </c>
      <c r="Z764">
        <v>8</v>
      </c>
      <c r="AA764" s="11" t="s">
        <v>49</v>
      </c>
    </row>
    <row r="765" spans="2:27" ht="16" x14ac:dyDescent="0.2">
      <c r="B765" t="s">
        <v>35</v>
      </c>
      <c r="C765">
        <v>40358077</v>
      </c>
      <c r="D765" t="s">
        <v>423</v>
      </c>
      <c r="E765">
        <v>1023302</v>
      </c>
      <c r="F765" t="s">
        <v>268</v>
      </c>
      <c r="G765" s="9">
        <v>44961</v>
      </c>
      <c r="H765" s="7"/>
      <c r="I765" s="7"/>
      <c r="J765" s="7"/>
      <c r="K765" s="7"/>
      <c r="L765" s="10">
        <v>5.4496124031007751</v>
      </c>
      <c r="M765" s="9">
        <v>44966</v>
      </c>
      <c r="N765" s="10">
        <v>10</v>
      </c>
      <c r="O765" s="9">
        <v>44976</v>
      </c>
      <c r="P765">
        <v>8</v>
      </c>
      <c r="Q765" s="11" t="s">
        <v>49</v>
      </c>
      <c r="R765" s="7"/>
      <c r="S765" s="7"/>
      <c r="T765" s="7"/>
      <c r="U765" s="7"/>
      <c r="V765" s="10">
        <v>7.4496124031007751</v>
      </c>
      <c r="W765" s="9">
        <v>44968</v>
      </c>
      <c r="X765" s="10">
        <v>12</v>
      </c>
      <c r="Y765" s="9">
        <v>44976</v>
      </c>
      <c r="Z765">
        <v>8</v>
      </c>
      <c r="AA765" s="11" t="s">
        <v>49</v>
      </c>
    </row>
    <row r="766" spans="2:27" ht="16" x14ac:dyDescent="0.2">
      <c r="B766" t="s">
        <v>35</v>
      </c>
      <c r="C766">
        <v>40358074</v>
      </c>
      <c r="D766" t="s">
        <v>423</v>
      </c>
      <c r="E766">
        <v>1030658</v>
      </c>
      <c r="F766" t="s">
        <v>371</v>
      </c>
      <c r="G766" s="9">
        <v>44956</v>
      </c>
      <c r="H766" s="7"/>
      <c r="I766" s="7"/>
      <c r="J766" s="7"/>
      <c r="K766" s="7"/>
      <c r="L766" s="10">
        <v>5.4496124031007751</v>
      </c>
      <c r="M766" s="9">
        <v>44961</v>
      </c>
      <c r="N766" s="10">
        <v>10</v>
      </c>
      <c r="O766" s="9">
        <v>44971</v>
      </c>
      <c r="P766">
        <v>12</v>
      </c>
      <c r="Q766" s="11" t="s">
        <v>49</v>
      </c>
      <c r="R766" s="7"/>
      <c r="S766" s="7"/>
      <c r="T766" s="7"/>
      <c r="U766" s="7"/>
      <c r="V766" s="10">
        <v>7.4496124031007751</v>
      </c>
      <c r="W766" s="9">
        <v>44963</v>
      </c>
      <c r="X766" s="10">
        <v>12</v>
      </c>
      <c r="Y766" s="9">
        <v>44971</v>
      </c>
      <c r="Z766">
        <v>12</v>
      </c>
      <c r="AA766" s="11" t="s">
        <v>49</v>
      </c>
    </row>
    <row r="767" spans="2:27" ht="16" x14ac:dyDescent="0.2">
      <c r="B767" t="s">
        <v>35</v>
      </c>
      <c r="C767">
        <v>40358073</v>
      </c>
      <c r="D767" t="s">
        <v>423</v>
      </c>
      <c r="E767">
        <v>1030658</v>
      </c>
      <c r="F767" t="s">
        <v>371</v>
      </c>
      <c r="G767" s="9">
        <v>44956</v>
      </c>
      <c r="H767" s="7"/>
      <c r="I767" s="7"/>
      <c r="J767" s="7"/>
      <c r="K767" s="7"/>
      <c r="L767" s="10">
        <v>5.4496124031007751</v>
      </c>
      <c r="M767" s="9">
        <v>44961</v>
      </c>
      <c r="N767" s="10">
        <v>10</v>
      </c>
      <c r="O767" s="9">
        <v>44971</v>
      </c>
      <c r="P767">
        <v>12</v>
      </c>
      <c r="Q767" s="11" t="s">
        <v>49</v>
      </c>
      <c r="R767" s="7"/>
      <c r="S767" s="7"/>
      <c r="T767" s="7"/>
      <c r="U767" s="7"/>
      <c r="V767" s="10">
        <v>7.4496124031007751</v>
      </c>
      <c r="W767" s="9">
        <v>44963</v>
      </c>
      <c r="X767" s="10">
        <v>12</v>
      </c>
      <c r="Y767" s="9">
        <v>44971</v>
      </c>
      <c r="Z767">
        <v>12</v>
      </c>
      <c r="AA767" s="11" t="s">
        <v>49</v>
      </c>
    </row>
    <row r="768" spans="2:27" ht="16" x14ac:dyDescent="0.2">
      <c r="B768" t="s">
        <v>35</v>
      </c>
      <c r="C768">
        <v>40358070</v>
      </c>
      <c r="D768" t="s">
        <v>423</v>
      </c>
      <c r="E768">
        <v>1030658</v>
      </c>
      <c r="F768" t="s">
        <v>371</v>
      </c>
      <c r="G768" s="9">
        <v>44956</v>
      </c>
      <c r="H768" s="7"/>
      <c r="I768" s="7"/>
      <c r="J768" s="7"/>
      <c r="K768" s="7"/>
      <c r="L768" s="10">
        <v>5.4496124031007751</v>
      </c>
      <c r="M768" s="9">
        <v>44961</v>
      </c>
      <c r="N768" s="10">
        <v>10</v>
      </c>
      <c r="O768" s="9">
        <v>44971</v>
      </c>
      <c r="P768">
        <v>12</v>
      </c>
      <c r="Q768" s="11" t="s">
        <v>49</v>
      </c>
      <c r="R768" s="7"/>
      <c r="S768" s="7"/>
      <c r="T768" s="7"/>
      <c r="U768" s="7"/>
      <c r="V768" s="10">
        <v>7.4496124031007751</v>
      </c>
      <c r="W768" s="9">
        <v>44963</v>
      </c>
      <c r="X768" s="10">
        <v>12</v>
      </c>
      <c r="Y768" s="9">
        <v>44971</v>
      </c>
      <c r="Z768">
        <v>12</v>
      </c>
      <c r="AA768" s="11" t="s">
        <v>49</v>
      </c>
    </row>
    <row r="769" spans="2:27" ht="16" x14ac:dyDescent="0.2">
      <c r="B769" t="s">
        <v>35</v>
      </c>
      <c r="C769">
        <v>40358069</v>
      </c>
      <c r="D769" t="s">
        <v>423</v>
      </c>
      <c r="E769">
        <v>1030658</v>
      </c>
      <c r="F769" t="s">
        <v>371</v>
      </c>
      <c r="G769" s="9">
        <v>44956</v>
      </c>
      <c r="H769" s="7"/>
      <c r="I769" s="7"/>
      <c r="J769" s="7"/>
      <c r="K769" s="7"/>
      <c r="L769" s="10">
        <v>5.4496124031007751</v>
      </c>
      <c r="M769" s="9">
        <v>44961</v>
      </c>
      <c r="N769" s="10">
        <v>10</v>
      </c>
      <c r="O769" s="9">
        <v>44971</v>
      </c>
      <c r="P769">
        <v>12</v>
      </c>
      <c r="Q769" s="11" t="s">
        <v>49</v>
      </c>
      <c r="R769" s="7"/>
      <c r="S769" s="7"/>
      <c r="T769" s="7"/>
      <c r="U769" s="7"/>
      <c r="V769" s="10">
        <v>7.4496124031007751</v>
      </c>
      <c r="W769" s="9">
        <v>44963</v>
      </c>
      <c r="X769" s="10">
        <v>12</v>
      </c>
      <c r="Y769" s="9">
        <v>44971</v>
      </c>
      <c r="Z769">
        <v>12</v>
      </c>
      <c r="AA769" s="11" t="s">
        <v>49</v>
      </c>
    </row>
    <row r="770" spans="2:27" ht="16" x14ac:dyDescent="0.2">
      <c r="B770" t="s">
        <v>35</v>
      </c>
      <c r="C770">
        <v>40358055</v>
      </c>
      <c r="D770" t="s">
        <v>423</v>
      </c>
      <c r="E770">
        <v>1023218</v>
      </c>
      <c r="F770" t="s">
        <v>265</v>
      </c>
      <c r="G770" s="9">
        <v>44961</v>
      </c>
      <c r="H770" s="7"/>
      <c r="I770" s="7"/>
      <c r="J770" s="7"/>
      <c r="K770" s="7"/>
      <c r="L770" s="10">
        <v>5.4496124031007751</v>
      </c>
      <c r="M770" s="9">
        <v>44966</v>
      </c>
      <c r="N770" s="10">
        <v>10</v>
      </c>
      <c r="O770" s="9">
        <v>44976</v>
      </c>
      <c r="P770">
        <v>8</v>
      </c>
      <c r="Q770" s="11" t="s">
        <v>49</v>
      </c>
      <c r="R770" s="7"/>
      <c r="S770" s="7"/>
      <c r="T770" s="7"/>
      <c r="U770" s="7"/>
      <c r="V770" s="10">
        <v>7.4496124031007751</v>
      </c>
      <c r="W770" s="9">
        <v>44968</v>
      </c>
      <c r="X770" s="10">
        <v>12</v>
      </c>
      <c r="Y770" s="9">
        <v>44976</v>
      </c>
      <c r="Z770">
        <v>8</v>
      </c>
      <c r="AA770" s="11" t="s">
        <v>49</v>
      </c>
    </row>
    <row r="771" spans="2:27" ht="16" x14ac:dyDescent="0.2">
      <c r="B771" t="s">
        <v>35</v>
      </c>
      <c r="C771">
        <v>40358055</v>
      </c>
      <c r="D771" t="s">
        <v>423</v>
      </c>
      <c r="E771">
        <v>1023218</v>
      </c>
      <c r="F771" t="s">
        <v>265</v>
      </c>
      <c r="G771" s="9">
        <v>44961</v>
      </c>
      <c r="H771" s="7"/>
      <c r="I771" s="7"/>
      <c r="J771" s="7"/>
      <c r="K771" s="7"/>
      <c r="L771" s="10">
        <v>5.4496124031007751</v>
      </c>
      <c r="M771" s="9">
        <v>44966</v>
      </c>
      <c r="N771" s="10">
        <v>10</v>
      </c>
      <c r="O771" s="9">
        <v>44976</v>
      </c>
      <c r="P771">
        <v>8</v>
      </c>
      <c r="Q771" s="11" t="s">
        <v>49</v>
      </c>
      <c r="R771" s="7"/>
      <c r="S771" s="7"/>
      <c r="T771" s="7"/>
      <c r="U771" s="7"/>
      <c r="V771" s="10">
        <v>7.4496124031007751</v>
      </c>
      <c r="W771" s="9">
        <v>44968</v>
      </c>
      <c r="X771" s="10">
        <v>12</v>
      </c>
      <c r="Y771" s="9">
        <v>44976</v>
      </c>
      <c r="Z771">
        <v>8</v>
      </c>
      <c r="AA771" s="11" t="s">
        <v>49</v>
      </c>
    </row>
    <row r="772" spans="2:27" ht="16" x14ac:dyDescent="0.2">
      <c r="B772" t="s">
        <v>35</v>
      </c>
      <c r="C772">
        <v>40358053</v>
      </c>
      <c r="D772" t="s">
        <v>423</v>
      </c>
      <c r="E772">
        <v>1023343</v>
      </c>
      <c r="F772" t="s">
        <v>483</v>
      </c>
      <c r="G772" s="9">
        <v>44956</v>
      </c>
      <c r="H772" s="7"/>
      <c r="I772" s="7"/>
      <c r="J772" s="7"/>
      <c r="K772" s="7"/>
      <c r="L772" s="10">
        <v>5.4496124031007751</v>
      </c>
      <c r="M772" s="9">
        <v>44961</v>
      </c>
      <c r="N772" s="10">
        <v>10</v>
      </c>
      <c r="O772" s="9">
        <v>44971</v>
      </c>
      <c r="P772">
        <v>12</v>
      </c>
      <c r="Q772" s="11" t="s">
        <v>49</v>
      </c>
      <c r="R772" s="7"/>
      <c r="S772" s="7"/>
      <c r="T772" s="7"/>
      <c r="U772" s="7"/>
      <c r="V772" s="10">
        <v>7.4496124031007751</v>
      </c>
      <c r="W772" s="9">
        <v>44963</v>
      </c>
      <c r="X772" s="10">
        <v>12</v>
      </c>
      <c r="Y772" s="9">
        <v>44971</v>
      </c>
      <c r="Z772">
        <v>12</v>
      </c>
      <c r="AA772" s="11" t="s">
        <v>49</v>
      </c>
    </row>
    <row r="773" spans="2:27" ht="16" x14ac:dyDescent="0.2">
      <c r="B773" t="s">
        <v>35</v>
      </c>
      <c r="C773">
        <v>40358052</v>
      </c>
      <c r="D773" t="s">
        <v>423</v>
      </c>
      <c r="E773">
        <v>1023343</v>
      </c>
      <c r="F773" t="s">
        <v>483</v>
      </c>
      <c r="G773" s="9">
        <v>44956</v>
      </c>
      <c r="H773" s="7"/>
      <c r="I773" s="7"/>
      <c r="J773" s="7"/>
      <c r="K773" s="7"/>
      <c r="L773" s="10">
        <v>5.4496124031007751</v>
      </c>
      <c r="M773" s="9">
        <v>44961</v>
      </c>
      <c r="N773" s="10">
        <v>10</v>
      </c>
      <c r="O773" s="9">
        <v>44971</v>
      </c>
      <c r="P773">
        <v>12</v>
      </c>
      <c r="Q773" s="11" t="s">
        <v>49</v>
      </c>
      <c r="R773" s="7"/>
      <c r="S773" s="7"/>
      <c r="T773" s="7"/>
      <c r="U773" s="7"/>
      <c r="V773" s="10">
        <v>7.4496124031007751</v>
      </c>
      <c r="W773" s="9">
        <v>44963</v>
      </c>
      <c r="X773" s="10">
        <v>12</v>
      </c>
      <c r="Y773" s="9">
        <v>44971</v>
      </c>
      <c r="Z773">
        <v>12</v>
      </c>
      <c r="AA773" s="11" t="s">
        <v>49</v>
      </c>
    </row>
    <row r="774" spans="2:27" ht="16" x14ac:dyDescent="0.2">
      <c r="B774" t="s">
        <v>35</v>
      </c>
      <c r="C774">
        <v>40358049</v>
      </c>
      <c r="D774" t="s">
        <v>423</v>
      </c>
      <c r="E774">
        <v>1023343</v>
      </c>
      <c r="F774" t="s">
        <v>483</v>
      </c>
      <c r="G774" s="9">
        <v>44960</v>
      </c>
      <c r="H774" s="7"/>
      <c r="I774" s="7"/>
      <c r="J774" s="7"/>
      <c r="K774" s="7"/>
      <c r="L774" s="10">
        <v>5.4496124031007751</v>
      </c>
      <c r="M774" s="9">
        <v>44965</v>
      </c>
      <c r="N774" s="10">
        <v>10</v>
      </c>
      <c r="O774" s="9">
        <v>44975</v>
      </c>
      <c r="P774">
        <v>8</v>
      </c>
      <c r="Q774" s="11" t="s">
        <v>49</v>
      </c>
      <c r="R774" s="7"/>
      <c r="S774" s="7"/>
      <c r="T774" s="7"/>
      <c r="U774" s="7"/>
      <c r="V774" s="10">
        <v>7.4496124031007751</v>
      </c>
      <c r="W774" s="9">
        <v>44967</v>
      </c>
      <c r="X774" s="10">
        <v>12</v>
      </c>
      <c r="Y774" s="9">
        <v>44975</v>
      </c>
      <c r="Z774">
        <v>8</v>
      </c>
      <c r="AA774" s="11" t="s">
        <v>49</v>
      </c>
    </row>
    <row r="775" spans="2:27" ht="16" x14ac:dyDescent="0.2">
      <c r="B775" t="s">
        <v>35</v>
      </c>
      <c r="C775">
        <v>40358045</v>
      </c>
      <c r="D775" t="s">
        <v>423</v>
      </c>
      <c r="E775">
        <v>1021020</v>
      </c>
      <c r="F775" t="s">
        <v>608</v>
      </c>
      <c r="G775" s="9">
        <v>44969</v>
      </c>
      <c r="H775" s="7"/>
      <c r="I775" s="7"/>
      <c r="J775" s="7"/>
      <c r="K775" s="7"/>
      <c r="L775" s="10">
        <v>5.4496124031007751</v>
      </c>
      <c r="M775" s="9">
        <v>44974</v>
      </c>
      <c r="N775" s="10">
        <v>10</v>
      </c>
      <c r="O775" s="9">
        <v>44984</v>
      </c>
      <c r="P775">
        <v>1</v>
      </c>
      <c r="Q775" s="11" t="s">
        <v>594</v>
      </c>
      <c r="R775" s="7"/>
      <c r="S775" s="7"/>
      <c r="T775" s="7"/>
      <c r="U775" s="7"/>
      <c r="V775" s="10">
        <v>7.4496124031007751</v>
      </c>
      <c r="W775" s="9">
        <v>44976</v>
      </c>
      <c r="X775" s="10">
        <v>12</v>
      </c>
      <c r="Y775" s="9">
        <v>44984</v>
      </c>
      <c r="Z775">
        <v>1</v>
      </c>
      <c r="AA775" s="11" t="s">
        <v>594</v>
      </c>
    </row>
    <row r="776" spans="2:27" ht="16" x14ac:dyDescent="0.2">
      <c r="B776" t="s">
        <v>35</v>
      </c>
      <c r="C776">
        <v>40358044</v>
      </c>
      <c r="D776" t="s">
        <v>423</v>
      </c>
      <c r="E776">
        <v>1021020</v>
      </c>
      <c r="F776" t="s">
        <v>608</v>
      </c>
      <c r="G776" s="9">
        <v>44961</v>
      </c>
      <c r="H776" s="7"/>
      <c r="I776" s="7"/>
      <c r="J776" s="7"/>
      <c r="K776" s="7"/>
      <c r="L776" s="10">
        <v>5.4496124031007751</v>
      </c>
      <c r="M776" s="9">
        <v>44966</v>
      </c>
      <c r="N776" s="10">
        <v>10</v>
      </c>
      <c r="O776" s="9">
        <v>44976</v>
      </c>
      <c r="P776">
        <v>8</v>
      </c>
      <c r="Q776" s="11" t="s">
        <v>49</v>
      </c>
      <c r="R776" s="7"/>
      <c r="S776" s="7"/>
      <c r="T776" s="7"/>
      <c r="U776" s="7"/>
      <c r="V776" s="10">
        <v>7.4496124031007751</v>
      </c>
      <c r="W776" s="9">
        <v>44968</v>
      </c>
      <c r="X776" s="10">
        <v>12</v>
      </c>
      <c r="Y776" s="9">
        <v>44976</v>
      </c>
      <c r="Z776">
        <v>8</v>
      </c>
      <c r="AA776" s="11" t="s">
        <v>49</v>
      </c>
    </row>
    <row r="777" spans="2:27" ht="16" x14ac:dyDescent="0.2">
      <c r="B777" t="s">
        <v>35</v>
      </c>
      <c r="C777">
        <v>40358019</v>
      </c>
      <c r="D777" t="s">
        <v>423</v>
      </c>
      <c r="E777">
        <v>1023302</v>
      </c>
      <c r="F777" t="s">
        <v>268</v>
      </c>
      <c r="G777" s="9">
        <v>44956</v>
      </c>
      <c r="H777" s="7"/>
      <c r="I777" s="7"/>
      <c r="J777" s="7"/>
      <c r="K777" s="7"/>
      <c r="L777" s="10">
        <v>5.4496124031007751</v>
      </c>
      <c r="M777" s="9">
        <v>44961</v>
      </c>
      <c r="N777" s="10">
        <v>10</v>
      </c>
      <c r="O777" s="9">
        <v>44971</v>
      </c>
      <c r="P777">
        <v>12</v>
      </c>
      <c r="Q777" s="11" t="s">
        <v>49</v>
      </c>
      <c r="R777" s="7"/>
      <c r="S777" s="7"/>
      <c r="T777" s="7"/>
      <c r="U777" s="7"/>
      <c r="V777" s="10">
        <v>7.4496124031007751</v>
      </c>
      <c r="W777" s="9">
        <v>44963</v>
      </c>
      <c r="X777" s="10">
        <v>12</v>
      </c>
      <c r="Y777" s="9">
        <v>44971</v>
      </c>
      <c r="Z777">
        <v>12</v>
      </c>
      <c r="AA777" s="11" t="s">
        <v>49</v>
      </c>
    </row>
    <row r="778" spans="2:27" ht="16" x14ac:dyDescent="0.2">
      <c r="B778" t="s">
        <v>35</v>
      </c>
      <c r="C778">
        <v>40358019</v>
      </c>
      <c r="D778" t="s">
        <v>423</v>
      </c>
      <c r="E778">
        <v>1023302</v>
      </c>
      <c r="F778" t="s">
        <v>268</v>
      </c>
      <c r="G778" s="9">
        <v>44956</v>
      </c>
      <c r="H778" s="7"/>
      <c r="I778" s="7"/>
      <c r="J778" s="7"/>
      <c r="K778" s="7"/>
      <c r="L778" s="10">
        <v>5.4496124031007751</v>
      </c>
      <c r="M778" s="9">
        <v>44961</v>
      </c>
      <c r="N778" s="10">
        <v>10</v>
      </c>
      <c r="O778" s="9">
        <v>44971</v>
      </c>
      <c r="P778">
        <v>12</v>
      </c>
      <c r="Q778" s="11" t="s">
        <v>49</v>
      </c>
      <c r="R778" s="7"/>
      <c r="S778" s="7"/>
      <c r="T778" s="7"/>
      <c r="U778" s="7"/>
      <c r="V778" s="10">
        <v>7.4496124031007751</v>
      </c>
      <c r="W778" s="9">
        <v>44963</v>
      </c>
      <c r="X778" s="10">
        <v>12</v>
      </c>
      <c r="Y778" s="9">
        <v>44971</v>
      </c>
      <c r="Z778">
        <v>12</v>
      </c>
      <c r="AA778" s="11" t="s">
        <v>49</v>
      </c>
    </row>
    <row r="779" spans="2:27" ht="16" x14ac:dyDescent="0.2">
      <c r="B779" t="s">
        <v>35</v>
      </c>
      <c r="C779">
        <v>40358016</v>
      </c>
      <c r="D779" t="s">
        <v>423</v>
      </c>
      <c r="E779">
        <v>1021874</v>
      </c>
      <c r="F779" t="s">
        <v>514</v>
      </c>
      <c r="G779" s="9">
        <v>44967</v>
      </c>
      <c r="H779" s="7"/>
      <c r="I779" s="7"/>
      <c r="J779" s="7"/>
      <c r="K779" s="7"/>
      <c r="L779" s="10">
        <v>5.4496124031007751</v>
      </c>
      <c r="M779" s="9">
        <v>44972</v>
      </c>
      <c r="N779" s="10">
        <v>10</v>
      </c>
      <c r="O779" s="9">
        <v>44982</v>
      </c>
      <c r="P779">
        <v>2</v>
      </c>
      <c r="Q779" s="11" t="s">
        <v>594</v>
      </c>
      <c r="R779" s="7"/>
      <c r="S779" s="7"/>
      <c r="T779" s="7"/>
      <c r="U779" s="7"/>
      <c r="V779" s="10">
        <v>7.4496124031007751</v>
      </c>
      <c r="W779" s="9">
        <v>44974</v>
      </c>
      <c r="X779" s="10">
        <v>12</v>
      </c>
      <c r="Y779" s="9">
        <v>44982</v>
      </c>
      <c r="Z779">
        <v>2</v>
      </c>
      <c r="AA779" s="11" t="s">
        <v>594</v>
      </c>
    </row>
    <row r="780" spans="2:27" ht="16" x14ac:dyDescent="0.2">
      <c r="B780" t="s">
        <v>35</v>
      </c>
      <c r="C780">
        <v>40358015</v>
      </c>
      <c r="D780" t="s">
        <v>423</v>
      </c>
      <c r="E780">
        <v>1021874</v>
      </c>
      <c r="F780" t="s">
        <v>514</v>
      </c>
      <c r="G780" s="9">
        <v>44969</v>
      </c>
      <c r="H780" s="7"/>
      <c r="I780" s="7"/>
      <c r="J780" s="7"/>
      <c r="K780" s="7"/>
      <c r="L780" s="10">
        <v>5.4496124031007751</v>
      </c>
      <c r="M780" s="9">
        <v>44974</v>
      </c>
      <c r="N780" s="10">
        <v>10</v>
      </c>
      <c r="O780" s="9">
        <v>44984</v>
      </c>
      <c r="P780">
        <v>1</v>
      </c>
      <c r="Q780" s="11" t="s">
        <v>594</v>
      </c>
      <c r="R780" s="7"/>
      <c r="S780" s="7"/>
      <c r="T780" s="7"/>
      <c r="U780" s="7"/>
      <c r="V780" s="10">
        <v>7.4496124031007751</v>
      </c>
      <c r="W780" s="9">
        <v>44976</v>
      </c>
      <c r="X780" s="10">
        <v>12</v>
      </c>
      <c r="Y780" s="9">
        <v>44984</v>
      </c>
      <c r="Z780">
        <v>1</v>
      </c>
      <c r="AA780" s="11" t="s">
        <v>594</v>
      </c>
    </row>
    <row r="781" spans="2:27" ht="16" x14ac:dyDescent="0.2">
      <c r="B781" t="s">
        <v>35</v>
      </c>
      <c r="C781">
        <v>40358012</v>
      </c>
      <c r="D781" t="s">
        <v>423</v>
      </c>
      <c r="E781">
        <v>1021555</v>
      </c>
      <c r="F781" t="s">
        <v>422</v>
      </c>
      <c r="G781" s="9">
        <v>44966</v>
      </c>
      <c r="H781" s="7"/>
      <c r="I781" s="7"/>
      <c r="J781" s="7"/>
      <c r="K781" s="7"/>
      <c r="L781" s="10">
        <v>5.4496124031007751</v>
      </c>
      <c r="M781" s="9">
        <v>44971</v>
      </c>
      <c r="N781" s="10">
        <v>10</v>
      </c>
      <c r="O781" s="9">
        <v>44981</v>
      </c>
      <c r="P781">
        <v>3</v>
      </c>
      <c r="Q781" s="11" t="s">
        <v>49</v>
      </c>
      <c r="R781" s="7"/>
      <c r="S781" s="7"/>
      <c r="T781" s="7"/>
      <c r="U781" s="7"/>
      <c r="V781" s="10">
        <v>7.4496124031007751</v>
      </c>
      <c r="W781" s="9">
        <v>44973</v>
      </c>
      <c r="X781" s="10">
        <v>12</v>
      </c>
      <c r="Y781" s="9">
        <v>44981</v>
      </c>
      <c r="Z781">
        <v>3</v>
      </c>
      <c r="AA781" s="11" t="s">
        <v>49</v>
      </c>
    </row>
    <row r="782" spans="2:27" ht="16" x14ac:dyDescent="0.2">
      <c r="B782" t="s">
        <v>35</v>
      </c>
      <c r="C782">
        <v>40358012</v>
      </c>
      <c r="D782" t="s">
        <v>423</v>
      </c>
      <c r="E782">
        <v>1021555</v>
      </c>
      <c r="F782" t="s">
        <v>422</v>
      </c>
      <c r="G782" s="9">
        <v>44966</v>
      </c>
      <c r="H782" s="7"/>
      <c r="I782" s="7"/>
      <c r="J782" s="7"/>
      <c r="K782" s="7"/>
      <c r="L782" s="10">
        <v>5.4496124031007751</v>
      </c>
      <c r="M782" s="9">
        <v>44971</v>
      </c>
      <c r="N782" s="10">
        <v>10</v>
      </c>
      <c r="O782" s="9">
        <v>44981</v>
      </c>
      <c r="P782">
        <v>3</v>
      </c>
      <c r="Q782" s="11" t="s">
        <v>49</v>
      </c>
      <c r="R782" s="7"/>
      <c r="S782" s="7"/>
      <c r="T782" s="7"/>
      <c r="U782" s="7"/>
      <c r="V782" s="10">
        <v>7.4496124031007751</v>
      </c>
      <c r="W782" s="9">
        <v>44973</v>
      </c>
      <c r="X782" s="10">
        <v>12</v>
      </c>
      <c r="Y782" s="9">
        <v>44981</v>
      </c>
      <c r="Z782">
        <v>3</v>
      </c>
      <c r="AA782" s="11" t="s">
        <v>49</v>
      </c>
    </row>
    <row r="783" spans="2:27" ht="16" x14ac:dyDescent="0.2">
      <c r="B783" t="s">
        <v>35</v>
      </c>
      <c r="C783">
        <v>40358010</v>
      </c>
      <c r="D783" t="s">
        <v>423</v>
      </c>
      <c r="E783">
        <v>1021874</v>
      </c>
      <c r="F783" t="s">
        <v>514</v>
      </c>
      <c r="G783" s="9">
        <v>44967</v>
      </c>
      <c r="H783" s="7"/>
      <c r="I783" s="7"/>
      <c r="J783" s="7"/>
      <c r="K783" s="7"/>
      <c r="L783" s="10">
        <v>5.4496124031007751</v>
      </c>
      <c r="M783" s="9">
        <v>44972</v>
      </c>
      <c r="N783" s="10">
        <v>10</v>
      </c>
      <c r="O783" s="9">
        <v>44982</v>
      </c>
      <c r="P783">
        <v>2</v>
      </c>
      <c r="Q783" s="11" t="s">
        <v>594</v>
      </c>
      <c r="R783" s="7"/>
      <c r="S783" s="7"/>
      <c r="T783" s="7"/>
      <c r="U783" s="7"/>
      <c r="V783" s="10">
        <v>7.4496124031007751</v>
      </c>
      <c r="W783" s="9">
        <v>44974</v>
      </c>
      <c r="X783" s="10">
        <v>12</v>
      </c>
      <c r="Y783" s="9">
        <v>44982</v>
      </c>
      <c r="Z783">
        <v>2</v>
      </c>
      <c r="AA783" s="11" t="s">
        <v>594</v>
      </c>
    </row>
    <row r="784" spans="2:27" ht="16" x14ac:dyDescent="0.2">
      <c r="B784" t="s">
        <v>35</v>
      </c>
      <c r="C784">
        <v>40358009</v>
      </c>
      <c r="D784" t="s">
        <v>423</v>
      </c>
      <c r="E784">
        <v>1021874</v>
      </c>
      <c r="F784" t="s">
        <v>514</v>
      </c>
      <c r="G784" s="9">
        <v>44961</v>
      </c>
      <c r="H784" s="7"/>
      <c r="I784" s="7"/>
      <c r="J784" s="7"/>
      <c r="K784" s="7"/>
      <c r="L784" s="10">
        <v>5.4496124031007751</v>
      </c>
      <c r="M784" s="9">
        <v>44966</v>
      </c>
      <c r="N784" s="10">
        <v>10</v>
      </c>
      <c r="O784" s="9">
        <v>44976</v>
      </c>
      <c r="P784">
        <v>8</v>
      </c>
      <c r="Q784" s="11" t="s">
        <v>49</v>
      </c>
      <c r="R784" s="7"/>
      <c r="S784" s="7"/>
      <c r="T784" s="7"/>
      <c r="U784" s="7"/>
      <c r="V784" s="10">
        <v>7.4496124031007751</v>
      </c>
      <c r="W784" s="9">
        <v>44968</v>
      </c>
      <c r="X784" s="10">
        <v>12</v>
      </c>
      <c r="Y784" s="9">
        <v>44976</v>
      </c>
      <c r="Z784">
        <v>8</v>
      </c>
      <c r="AA784" s="11" t="s">
        <v>49</v>
      </c>
    </row>
    <row r="785" spans="2:27" ht="16" x14ac:dyDescent="0.2">
      <c r="B785" t="s">
        <v>35</v>
      </c>
      <c r="C785">
        <v>40358006</v>
      </c>
      <c r="D785" t="s">
        <v>423</v>
      </c>
      <c r="E785">
        <v>1021874</v>
      </c>
      <c r="F785" t="s">
        <v>514</v>
      </c>
      <c r="G785" s="9">
        <v>44969</v>
      </c>
      <c r="H785" s="7"/>
      <c r="I785" s="7"/>
      <c r="J785" s="7"/>
      <c r="K785" s="7"/>
      <c r="L785" s="10">
        <v>5.4496124031007751</v>
      </c>
      <c r="M785" s="9">
        <v>44974</v>
      </c>
      <c r="N785" s="10">
        <v>10</v>
      </c>
      <c r="O785" s="9">
        <v>44984</v>
      </c>
      <c r="P785">
        <v>1</v>
      </c>
      <c r="Q785" s="11" t="s">
        <v>594</v>
      </c>
      <c r="R785" s="7"/>
      <c r="S785" s="7"/>
      <c r="T785" s="7"/>
      <c r="U785" s="7"/>
      <c r="V785" s="10">
        <v>7.4496124031007751</v>
      </c>
      <c r="W785" s="9">
        <v>44976</v>
      </c>
      <c r="X785" s="10">
        <v>12</v>
      </c>
      <c r="Y785" s="9">
        <v>44984</v>
      </c>
      <c r="Z785">
        <v>1</v>
      </c>
      <c r="AA785" s="11" t="s">
        <v>594</v>
      </c>
    </row>
    <row r="786" spans="2:27" ht="16" x14ac:dyDescent="0.2">
      <c r="B786" t="s">
        <v>35</v>
      </c>
      <c r="C786">
        <v>40358005</v>
      </c>
      <c r="D786" t="s">
        <v>423</v>
      </c>
      <c r="E786">
        <v>1021874</v>
      </c>
      <c r="F786" t="s">
        <v>514</v>
      </c>
      <c r="G786" s="9">
        <v>44956</v>
      </c>
      <c r="H786" s="7"/>
      <c r="I786" s="7"/>
      <c r="J786" s="7"/>
      <c r="K786" s="7"/>
      <c r="L786" s="10">
        <v>5.4496124031007751</v>
      </c>
      <c r="M786" s="9">
        <v>44961</v>
      </c>
      <c r="N786" s="10">
        <v>10</v>
      </c>
      <c r="O786" s="9">
        <v>44971</v>
      </c>
      <c r="P786">
        <v>12</v>
      </c>
      <c r="Q786" s="11" t="s">
        <v>49</v>
      </c>
      <c r="R786" s="7"/>
      <c r="S786" s="7"/>
      <c r="T786" s="7"/>
      <c r="U786" s="7"/>
      <c r="V786" s="10">
        <v>7.4496124031007751</v>
      </c>
      <c r="W786" s="9">
        <v>44963</v>
      </c>
      <c r="X786" s="10">
        <v>12</v>
      </c>
      <c r="Y786" s="9">
        <v>44971</v>
      </c>
      <c r="Z786">
        <v>12</v>
      </c>
      <c r="AA786" s="11" t="s">
        <v>49</v>
      </c>
    </row>
    <row r="787" spans="2:27" ht="16" x14ac:dyDescent="0.2">
      <c r="B787" t="s">
        <v>35</v>
      </c>
      <c r="C787">
        <v>40358004</v>
      </c>
      <c r="D787" t="s">
        <v>423</v>
      </c>
      <c r="E787">
        <v>1021555</v>
      </c>
      <c r="F787" t="s">
        <v>422</v>
      </c>
      <c r="G787" s="9">
        <v>44966</v>
      </c>
      <c r="H787" s="7"/>
      <c r="I787" s="7"/>
      <c r="J787" s="7"/>
      <c r="K787" s="7"/>
      <c r="L787" s="10">
        <v>5.4496124031007751</v>
      </c>
      <c r="M787" s="9">
        <v>44971</v>
      </c>
      <c r="N787" s="10">
        <v>10</v>
      </c>
      <c r="O787" s="9">
        <v>44981</v>
      </c>
      <c r="P787">
        <v>3</v>
      </c>
      <c r="Q787" s="11" t="s">
        <v>49</v>
      </c>
      <c r="R787" s="7"/>
      <c r="S787" s="7"/>
      <c r="T787" s="7"/>
      <c r="U787" s="7"/>
      <c r="V787" s="10">
        <v>7.4496124031007751</v>
      </c>
      <c r="W787" s="9">
        <v>44973</v>
      </c>
      <c r="X787" s="10">
        <v>12</v>
      </c>
      <c r="Y787" s="9">
        <v>44981</v>
      </c>
      <c r="Z787">
        <v>3</v>
      </c>
      <c r="AA787" s="11" t="s">
        <v>49</v>
      </c>
    </row>
    <row r="788" spans="2:27" ht="16" x14ac:dyDescent="0.2">
      <c r="B788" t="s">
        <v>35</v>
      </c>
      <c r="C788">
        <v>40358000</v>
      </c>
      <c r="D788" t="s">
        <v>423</v>
      </c>
      <c r="E788">
        <v>1021272</v>
      </c>
      <c r="F788" t="s">
        <v>263</v>
      </c>
      <c r="G788" s="9">
        <v>44961</v>
      </c>
      <c r="H788" s="7"/>
      <c r="I788" s="7"/>
      <c r="J788" s="7"/>
      <c r="K788" s="7"/>
      <c r="L788" s="10">
        <v>5.4496124031007751</v>
      </c>
      <c r="M788" s="9">
        <v>44966</v>
      </c>
      <c r="N788" s="10">
        <v>10</v>
      </c>
      <c r="O788" s="9">
        <v>44976</v>
      </c>
      <c r="P788">
        <v>8</v>
      </c>
      <c r="Q788" s="11" t="s">
        <v>49</v>
      </c>
      <c r="R788" s="7"/>
      <c r="S788" s="7"/>
      <c r="T788" s="7"/>
      <c r="U788" s="7"/>
      <c r="V788" s="10">
        <v>7.4496124031007751</v>
      </c>
      <c r="W788" s="9">
        <v>44968</v>
      </c>
      <c r="X788" s="10">
        <v>12</v>
      </c>
      <c r="Y788" s="9">
        <v>44976</v>
      </c>
      <c r="Z788">
        <v>8</v>
      </c>
      <c r="AA788" s="11" t="s">
        <v>49</v>
      </c>
    </row>
    <row r="789" spans="2:27" ht="16" x14ac:dyDescent="0.2">
      <c r="B789" t="s">
        <v>35</v>
      </c>
      <c r="C789">
        <v>40357999</v>
      </c>
      <c r="D789" t="s">
        <v>423</v>
      </c>
      <c r="E789">
        <v>1021272</v>
      </c>
      <c r="F789" t="s">
        <v>263</v>
      </c>
      <c r="G789" s="9">
        <v>44956</v>
      </c>
      <c r="H789" s="7"/>
      <c r="I789" s="7"/>
      <c r="J789" s="7"/>
      <c r="K789" s="7"/>
      <c r="L789" s="10">
        <v>5.4496124031007751</v>
      </c>
      <c r="M789" s="9">
        <v>44961</v>
      </c>
      <c r="N789" s="10">
        <v>10</v>
      </c>
      <c r="O789" s="9">
        <v>44971</v>
      </c>
      <c r="P789">
        <v>12</v>
      </c>
      <c r="Q789" s="11" t="s">
        <v>49</v>
      </c>
      <c r="R789" s="7"/>
      <c r="S789" s="7"/>
      <c r="T789" s="7"/>
      <c r="U789" s="7"/>
      <c r="V789" s="10">
        <v>7.4496124031007751</v>
      </c>
      <c r="W789" s="9">
        <v>44963</v>
      </c>
      <c r="X789" s="10">
        <v>12</v>
      </c>
      <c r="Y789" s="9">
        <v>44971</v>
      </c>
      <c r="Z789">
        <v>12</v>
      </c>
      <c r="AA789" s="11" t="s">
        <v>49</v>
      </c>
    </row>
    <row r="790" spans="2:27" ht="16" x14ac:dyDescent="0.2">
      <c r="B790" t="s">
        <v>35</v>
      </c>
      <c r="C790">
        <v>40357996</v>
      </c>
      <c r="D790" t="s">
        <v>423</v>
      </c>
      <c r="E790">
        <v>1021272</v>
      </c>
      <c r="F790" t="s">
        <v>263</v>
      </c>
      <c r="G790" s="9">
        <v>44961</v>
      </c>
      <c r="H790" s="7"/>
      <c r="I790" s="7"/>
      <c r="J790" s="7"/>
      <c r="K790" s="7"/>
      <c r="L790" s="10">
        <v>5.4496124031007751</v>
      </c>
      <c r="M790" s="9">
        <v>44966</v>
      </c>
      <c r="N790" s="10">
        <v>10</v>
      </c>
      <c r="O790" s="9">
        <v>44976</v>
      </c>
      <c r="P790">
        <v>8</v>
      </c>
      <c r="Q790" s="11" t="s">
        <v>49</v>
      </c>
      <c r="R790" s="7"/>
      <c r="S790" s="7"/>
      <c r="T790" s="7"/>
      <c r="U790" s="7"/>
      <c r="V790" s="10">
        <v>7.4496124031007751</v>
      </c>
      <c r="W790" s="9">
        <v>44968</v>
      </c>
      <c r="X790" s="10">
        <v>12</v>
      </c>
      <c r="Y790" s="9">
        <v>44976</v>
      </c>
      <c r="Z790">
        <v>8</v>
      </c>
      <c r="AA790" s="11" t="s">
        <v>49</v>
      </c>
    </row>
    <row r="791" spans="2:27" ht="16" x14ac:dyDescent="0.2">
      <c r="B791" t="s">
        <v>35</v>
      </c>
      <c r="C791">
        <v>40357991</v>
      </c>
      <c r="D791" t="s">
        <v>423</v>
      </c>
      <c r="E791">
        <v>1021272</v>
      </c>
      <c r="F791" t="s">
        <v>263</v>
      </c>
      <c r="G791" s="9">
        <v>44956</v>
      </c>
      <c r="H791" s="7"/>
      <c r="I791" s="7"/>
      <c r="J791" s="7"/>
      <c r="K791" s="7"/>
      <c r="L791" s="10">
        <v>5.4496124031007751</v>
      </c>
      <c r="M791" s="9">
        <v>44961</v>
      </c>
      <c r="N791" s="10">
        <v>10</v>
      </c>
      <c r="O791" s="9">
        <v>44971</v>
      </c>
      <c r="P791">
        <v>12</v>
      </c>
      <c r="Q791" s="11" t="s">
        <v>49</v>
      </c>
      <c r="R791" s="7"/>
      <c r="S791" s="7"/>
      <c r="T791" s="7"/>
      <c r="U791" s="7"/>
      <c r="V791" s="10">
        <v>7.4496124031007751</v>
      </c>
      <c r="W791" s="9">
        <v>44963</v>
      </c>
      <c r="X791" s="10">
        <v>12</v>
      </c>
      <c r="Y791" s="9">
        <v>44971</v>
      </c>
      <c r="Z791">
        <v>12</v>
      </c>
      <c r="AA791" s="11" t="s">
        <v>49</v>
      </c>
    </row>
    <row r="792" spans="2:27" ht="16" x14ac:dyDescent="0.2">
      <c r="B792" t="s">
        <v>35</v>
      </c>
      <c r="C792">
        <v>40357991</v>
      </c>
      <c r="D792" t="s">
        <v>423</v>
      </c>
      <c r="E792">
        <v>1021272</v>
      </c>
      <c r="F792" t="s">
        <v>263</v>
      </c>
      <c r="G792" s="9">
        <v>44956</v>
      </c>
      <c r="H792" s="7"/>
      <c r="I792" s="7"/>
      <c r="J792" s="7"/>
      <c r="K792" s="7"/>
      <c r="L792" s="10">
        <v>5.4496124031007751</v>
      </c>
      <c r="M792" s="9">
        <v>44961</v>
      </c>
      <c r="N792" s="10">
        <v>10</v>
      </c>
      <c r="O792" s="9">
        <v>44971</v>
      </c>
      <c r="P792">
        <v>12</v>
      </c>
      <c r="Q792" s="11" t="s">
        <v>49</v>
      </c>
      <c r="R792" s="7"/>
      <c r="S792" s="7"/>
      <c r="T792" s="7"/>
      <c r="U792" s="7"/>
      <c r="V792" s="10">
        <v>7.4496124031007751</v>
      </c>
      <c r="W792" s="9">
        <v>44963</v>
      </c>
      <c r="X792" s="10">
        <v>12</v>
      </c>
      <c r="Y792" s="9">
        <v>44971</v>
      </c>
      <c r="Z792">
        <v>12</v>
      </c>
      <c r="AA792" s="11" t="s">
        <v>49</v>
      </c>
    </row>
    <row r="793" spans="2:27" ht="16" x14ac:dyDescent="0.2">
      <c r="B793" t="s">
        <v>35</v>
      </c>
      <c r="C793">
        <v>40357981</v>
      </c>
      <c r="D793" t="s">
        <v>409</v>
      </c>
      <c r="E793">
        <v>1012521</v>
      </c>
      <c r="F793" t="s">
        <v>114</v>
      </c>
      <c r="G793" s="9">
        <v>44972</v>
      </c>
      <c r="H793" s="7">
        <v>9071.84</v>
      </c>
      <c r="I793" s="7"/>
      <c r="J793" s="7"/>
      <c r="K793" s="7"/>
      <c r="L793" s="10">
        <v>7.5</v>
      </c>
      <c r="M793" s="9">
        <v>44979</v>
      </c>
      <c r="N793" s="10">
        <v>9.5</v>
      </c>
      <c r="O793" s="9">
        <v>44988</v>
      </c>
      <c r="P793">
        <v>24</v>
      </c>
      <c r="Q793" s="11" t="s">
        <v>49</v>
      </c>
      <c r="R793" s="7">
        <v>9071.84</v>
      </c>
      <c r="S793" s="7"/>
      <c r="T793" s="7"/>
      <c r="U793" s="7"/>
      <c r="V793" s="10">
        <v>9.5</v>
      </c>
      <c r="W793" s="9">
        <v>44981</v>
      </c>
      <c r="X793" s="10">
        <v>11.5</v>
      </c>
      <c r="Y793" s="9">
        <v>44988</v>
      </c>
      <c r="Z793">
        <v>24</v>
      </c>
      <c r="AA793" s="11" t="s">
        <v>49</v>
      </c>
    </row>
    <row r="794" spans="2:27" ht="16" x14ac:dyDescent="0.2">
      <c r="B794" t="s">
        <v>35</v>
      </c>
      <c r="C794">
        <v>40357981</v>
      </c>
      <c r="D794" t="s">
        <v>409</v>
      </c>
      <c r="E794">
        <v>1012110</v>
      </c>
      <c r="F794" t="s">
        <v>109</v>
      </c>
      <c r="G794" s="9">
        <v>44972</v>
      </c>
      <c r="H794" s="7">
        <v>9979.0239999999994</v>
      </c>
      <c r="I794" s="7"/>
      <c r="J794" s="7"/>
      <c r="K794" s="7"/>
      <c r="L794" s="10">
        <v>7.5</v>
      </c>
      <c r="M794" s="9">
        <v>44979</v>
      </c>
      <c r="N794" s="10">
        <v>9.5</v>
      </c>
      <c r="O794" s="9">
        <v>44988</v>
      </c>
      <c r="P794">
        <v>24</v>
      </c>
      <c r="Q794" s="11" t="s">
        <v>49</v>
      </c>
      <c r="R794" s="7">
        <v>9979.0239999999994</v>
      </c>
      <c r="S794" s="7"/>
      <c r="T794" s="7"/>
      <c r="U794" s="7"/>
      <c r="V794" s="10">
        <v>9.5</v>
      </c>
      <c r="W794" s="9">
        <v>44981</v>
      </c>
      <c r="X794" s="10">
        <v>11.5</v>
      </c>
      <c r="Y794" s="9">
        <v>44988</v>
      </c>
      <c r="Z794">
        <v>24</v>
      </c>
      <c r="AA794" s="11" t="s">
        <v>49</v>
      </c>
    </row>
    <row r="795" spans="2:27" ht="16" x14ac:dyDescent="0.2">
      <c r="B795" t="s">
        <v>35</v>
      </c>
      <c r="C795">
        <v>40357980</v>
      </c>
      <c r="D795" t="s">
        <v>409</v>
      </c>
      <c r="E795">
        <v>1012110</v>
      </c>
      <c r="F795" t="s">
        <v>109</v>
      </c>
      <c r="G795" s="9">
        <v>44968</v>
      </c>
      <c r="H795" s="7"/>
      <c r="I795" s="7"/>
      <c r="J795" s="7"/>
      <c r="K795" s="7"/>
      <c r="L795" s="10">
        <v>7.5</v>
      </c>
      <c r="M795" s="9">
        <v>44975</v>
      </c>
      <c r="N795" s="10">
        <v>9.5</v>
      </c>
      <c r="O795" s="9">
        <v>44984</v>
      </c>
      <c r="P795">
        <v>1</v>
      </c>
      <c r="Q795" s="11" t="s">
        <v>594</v>
      </c>
      <c r="R795" s="7"/>
      <c r="S795" s="7"/>
      <c r="T795" s="7"/>
      <c r="U795" s="7"/>
      <c r="V795" s="10">
        <v>9.5</v>
      </c>
      <c r="W795" s="9">
        <v>44977</v>
      </c>
      <c r="X795" s="10">
        <v>11.5</v>
      </c>
      <c r="Y795" s="9">
        <v>44984</v>
      </c>
      <c r="Z795">
        <v>1</v>
      </c>
      <c r="AA795" s="11" t="s">
        <v>594</v>
      </c>
    </row>
    <row r="796" spans="2:27" ht="16" x14ac:dyDescent="0.2">
      <c r="B796" t="s">
        <v>35</v>
      </c>
      <c r="C796">
        <v>40357964</v>
      </c>
      <c r="D796" t="s">
        <v>409</v>
      </c>
      <c r="E796">
        <v>1012108</v>
      </c>
      <c r="F796" t="s">
        <v>57</v>
      </c>
      <c r="G796" s="9">
        <v>44964</v>
      </c>
      <c r="H796" s="7"/>
      <c r="I796" s="7"/>
      <c r="J796" s="7"/>
      <c r="K796" s="7"/>
      <c r="L796" s="10">
        <v>7.5</v>
      </c>
      <c r="M796" s="9">
        <v>44971</v>
      </c>
      <c r="N796" s="10">
        <v>9.5</v>
      </c>
      <c r="O796" s="9">
        <v>44980</v>
      </c>
      <c r="P796">
        <v>4</v>
      </c>
      <c r="Q796" s="11" t="s">
        <v>49</v>
      </c>
      <c r="R796" s="7"/>
      <c r="S796" s="7"/>
      <c r="T796" s="7"/>
      <c r="U796" s="7"/>
      <c r="V796" s="10">
        <v>9.5</v>
      </c>
      <c r="W796" s="9">
        <v>44973</v>
      </c>
      <c r="X796" s="10">
        <v>11.5</v>
      </c>
      <c r="Y796" s="9">
        <v>44980</v>
      </c>
      <c r="Z796">
        <v>4</v>
      </c>
      <c r="AA796" s="11" t="s">
        <v>49</v>
      </c>
    </row>
    <row r="797" spans="2:27" ht="16" x14ac:dyDescent="0.2">
      <c r="B797" t="s">
        <v>35</v>
      </c>
      <c r="C797">
        <v>40357956</v>
      </c>
      <c r="D797" t="s">
        <v>409</v>
      </c>
      <c r="E797">
        <v>1012520</v>
      </c>
      <c r="F797" t="s">
        <v>113</v>
      </c>
      <c r="G797" s="9">
        <v>44972</v>
      </c>
      <c r="H797" s="7">
        <v>19958.047999999999</v>
      </c>
      <c r="I797" s="7"/>
      <c r="J797" s="7"/>
      <c r="K797" s="7"/>
      <c r="L797" s="10">
        <v>7.5</v>
      </c>
      <c r="M797" s="9">
        <v>44979</v>
      </c>
      <c r="N797" s="10">
        <v>9.5</v>
      </c>
      <c r="O797" s="9">
        <v>44988</v>
      </c>
      <c r="P797">
        <v>24</v>
      </c>
      <c r="Q797" s="11" t="s">
        <v>49</v>
      </c>
      <c r="R797" s="7">
        <v>19958.047999999999</v>
      </c>
      <c r="S797" s="7"/>
      <c r="T797" s="7"/>
      <c r="U797" s="7"/>
      <c r="V797" s="10">
        <v>9.5</v>
      </c>
      <c r="W797" s="9">
        <v>44981</v>
      </c>
      <c r="X797" s="10">
        <v>11.5</v>
      </c>
      <c r="Y797" s="9">
        <v>44988</v>
      </c>
      <c r="Z797">
        <v>24</v>
      </c>
      <c r="AA797" s="11" t="s">
        <v>49</v>
      </c>
    </row>
    <row r="798" spans="2:27" ht="16" x14ac:dyDescent="0.2">
      <c r="B798" t="s">
        <v>35</v>
      </c>
      <c r="C798">
        <v>40357955</v>
      </c>
      <c r="D798" t="s">
        <v>409</v>
      </c>
      <c r="E798">
        <v>1012110</v>
      </c>
      <c r="F798" t="s">
        <v>109</v>
      </c>
      <c r="G798" s="9">
        <v>44965</v>
      </c>
      <c r="H798" s="7"/>
      <c r="I798" s="7"/>
      <c r="J798" s="7"/>
      <c r="K798" s="7"/>
      <c r="L798" s="10">
        <v>7.5</v>
      </c>
      <c r="M798" s="9">
        <v>44972</v>
      </c>
      <c r="N798" s="10">
        <v>9.5</v>
      </c>
      <c r="O798" s="9">
        <v>44981</v>
      </c>
      <c r="P798">
        <v>3</v>
      </c>
      <c r="Q798" s="11" t="s">
        <v>49</v>
      </c>
      <c r="R798" s="7"/>
      <c r="S798" s="7"/>
      <c r="T798" s="7"/>
      <c r="U798" s="7"/>
      <c r="V798" s="10">
        <v>9.5</v>
      </c>
      <c r="W798" s="9">
        <v>44974</v>
      </c>
      <c r="X798" s="10">
        <v>11.5</v>
      </c>
      <c r="Y798" s="9">
        <v>44981</v>
      </c>
      <c r="Z798">
        <v>3</v>
      </c>
      <c r="AA798" s="11" t="s">
        <v>49</v>
      </c>
    </row>
    <row r="799" spans="2:27" ht="16" x14ac:dyDescent="0.2">
      <c r="B799" t="s">
        <v>35</v>
      </c>
      <c r="C799">
        <v>40357955</v>
      </c>
      <c r="D799" t="s">
        <v>409</v>
      </c>
      <c r="E799">
        <v>1012107</v>
      </c>
      <c r="F799" t="s">
        <v>215</v>
      </c>
      <c r="G799" s="9">
        <v>44965</v>
      </c>
      <c r="H799" s="7"/>
      <c r="I799" s="7"/>
      <c r="J799" s="7"/>
      <c r="K799" s="7"/>
      <c r="L799" s="10">
        <v>7.5</v>
      </c>
      <c r="M799" s="9">
        <v>44972</v>
      </c>
      <c r="N799" s="10">
        <v>9.5</v>
      </c>
      <c r="O799" s="9">
        <v>44981</v>
      </c>
      <c r="P799">
        <v>3</v>
      </c>
      <c r="Q799" s="11" t="s">
        <v>49</v>
      </c>
      <c r="R799" s="7"/>
      <c r="S799" s="7"/>
      <c r="T799" s="7"/>
      <c r="U799" s="7"/>
      <c r="V799" s="10">
        <v>9.5</v>
      </c>
      <c r="W799" s="9">
        <v>44974</v>
      </c>
      <c r="X799" s="10">
        <v>11.5</v>
      </c>
      <c r="Y799" s="9">
        <v>44981</v>
      </c>
      <c r="Z799">
        <v>3</v>
      </c>
      <c r="AA799" s="11" t="s">
        <v>49</v>
      </c>
    </row>
    <row r="800" spans="2:27" ht="16" x14ac:dyDescent="0.2">
      <c r="B800" t="s">
        <v>35</v>
      </c>
      <c r="C800">
        <v>40357949</v>
      </c>
      <c r="D800" t="s">
        <v>409</v>
      </c>
      <c r="E800">
        <v>1012167</v>
      </c>
      <c r="F800" t="s">
        <v>70</v>
      </c>
      <c r="G800" s="9">
        <v>44972</v>
      </c>
      <c r="H800" s="7">
        <v>19958.047999999999</v>
      </c>
      <c r="I800" s="7"/>
      <c r="J800" s="7"/>
      <c r="K800" s="7"/>
      <c r="L800" s="10">
        <v>7.5</v>
      </c>
      <c r="M800" s="9">
        <v>44979</v>
      </c>
      <c r="N800" s="10">
        <v>9.5</v>
      </c>
      <c r="O800" s="9">
        <v>44988</v>
      </c>
      <c r="P800">
        <v>24</v>
      </c>
      <c r="Q800" s="11" t="s">
        <v>49</v>
      </c>
      <c r="R800" s="7">
        <v>19958.047999999999</v>
      </c>
      <c r="S800" s="7"/>
      <c r="T800" s="7"/>
      <c r="U800" s="7"/>
      <c r="V800" s="10">
        <v>9.5</v>
      </c>
      <c r="W800" s="9">
        <v>44981</v>
      </c>
      <c r="X800" s="10">
        <v>11.5</v>
      </c>
      <c r="Y800" s="9">
        <v>44988</v>
      </c>
      <c r="Z800">
        <v>24</v>
      </c>
      <c r="AA800" s="11" t="s">
        <v>49</v>
      </c>
    </row>
    <row r="801" spans="2:27" ht="16" x14ac:dyDescent="0.2">
      <c r="B801" t="s">
        <v>35</v>
      </c>
      <c r="C801">
        <v>40357948</v>
      </c>
      <c r="D801" t="s">
        <v>409</v>
      </c>
      <c r="E801">
        <v>1012167</v>
      </c>
      <c r="F801" t="s">
        <v>70</v>
      </c>
      <c r="G801" s="9">
        <v>44972</v>
      </c>
      <c r="H801" s="7">
        <v>19958.047999999999</v>
      </c>
      <c r="I801" s="7"/>
      <c r="J801" s="7"/>
      <c r="K801" s="7"/>
      <c r="L801" s="10">
        <v>7.5</v>
      </c>
      <c r="M801" s="9">
        <v>44979</v>
      </c>
      <c r="N801" s="10">
        <v>9.5</v>
      </c>
      <c r="O801" s="9">
        <v>44988</v>
      </c>
      <c r="P801">
        <v>24</v>
      </c>
      <c r="Q801" s="11" t="s">
        <v>49</v>
      </c>
      <c r="R801" s="7">
        <v>19958.047999999999</v>
      </c>
      <c r="S801" s="7"/>
      <c r="T801" s="7"/>
      <c r="U801" s="7"/>
      <c r="V801" s="10">
        <v>9.5</v>
      </c>
      <c r="W801" s="9">
        <v>44981</v>
      </c>
      <c r="X801" s="10">
        <v>11.5</v>
      </c>
      <c r="Y801" s="9">
        <v>44988</v>
      </c>
      <c r="Z801">
        <v>24</v>
      </c>
      <c r="AA801" s="11" t="s">
        <v>49</v>
      </c>
    </row>
    <row r="802" spans="2:27" ht="16" x14ac:dyDescent="0.2">
      <c r="B802" t="s">
        <v>35</v>
      </c>
      <c r="C802">
        <v>40357937</v>
      </c>
      <c r="D802" t="s">
        <v>409</v>
      </c>
      <c r="E802">
        <v>1012518</v>
      </c>
      <c r="F802" t="s">
        <v>65</v>
      </c>
      <c r="G802" s="9">
        <v>44957</v>
      </c>
      <c r="H802" s="7"/>
      <c r="I802" s="7"/>
      <c r="J802" s="7"/>
      <c r="K802" s="7"/>
      <c r="L802" s="10">
        <v>7.5</v>
      </c>
      <c r="M802" s="9">
        <v>44964</v>
      </c>
      <c r="N802" s="10">
        <v>9.5</v>
      </c>
      <c r="O802" s="9">
        <v>44973</v>
      </c>
      <c r="P802">
        <v>9</v>
      </c>
      <c r="Q802" s="11" t="s">
        <v>49</v>
      </c>
      <c r="R802" s="7"/>
      <c r="S802" s="7"/>
      <c r="T802" s="7"/>
      <c r="U802" s="7"/>
      <c r="V802" s="10">
        <v>9.5</v>
      </c>
      <c r="W802" s="9">
        <v>44966</v>
      </c>
      <c r="X802" s="10">
        <v>11.5</v>
      </c>
      <c r="Y802" s="9">
        <v>44973</v>
      </c>
      <c r="Z802">
        <v>9</v>
      </c>
      <c r="AA802" s="11" t="s">
        <v>49</v>
      </c>
    </row>
    <row r="803" spans="2:27" ht="16" x14ac:dyDescent="0.2">
      <c r="B803" t="s">
        <v>35</v>
      </c>
      <c r="C803">
        <v>40357919</v>
      </c>
      <c r="D803" t="s">
        <v>409</v>
      </c>
      <c r="E803">
        <v>1012165</v>
      </c>
      <c r="F803" t="s">
        <v>61</v>
      </c>
      <c r="G803" s="9">
        <v>44961</v>
      </c>
      <c r="H803" s="7"/>
      <c r="I803" s="7"/>
      <c r="J803" s="7"/>
      <c r="K803" s="7"/>
      <c r="L803" s="10">
        <v>7.5</v>
      </c>
      <c r="M803" s="9">
        <v>44968</v>
      </c>
      <c r="N803" s="10">
        <v>9.5</v>
      </c>
      <c r="O803" s="9">
        <v>44977</v>
      </c>
      <c r="P803">
        <v>7</v>
      </c>
      <c r="Q803" s="11" t="s">
        <v>49</v>
      </c>
      <c r="R803" s="7"/>
      <c r="S803" s="7"/>
      <c r="T803" s="7"/>
      <c r="U803" s="7"/>
      <c r="V803" s="10">
        <v>9.5</v>
      </c>
      <c r="W803" s="9">
        <v>44970</v>
      </c>
      <c r="X803" s="10">
        <v>11.5</v>
      </c>
      <c r="Y803" s="9">
        <v>44977</v>
      </c>
      <c r="Z803">
        <v>7</v>
      </c>
      <c r="AA803" s="11" t="s">
        <v>49</v>
      </c>
    </row>
    <row r="804" spans="2:27" ht="16" x14ac:dyDescent="0.2">
      <c r="B804" t="s">
        <v>35</v>
      </c>
      <c r="C804">
        <v>40357918</v>
      </c>
      <c r="D804" t="s">
        <v>409</v>
      </c>
      <c r="E804">
        <v>1012165</v>
      </c>
      <c r="F804" t="s">
        <v>61</v>
      </c>
      <c r="G804" s="9">
        <v>44969</v>
      </c>
      <c r="H804" s="7"/>
      <c r="I804" s="7"/>
      <c r="J804" s="7"/>
      <c r="K804" s="7"/>
      <c r="L804" s="10">
        <v>7.5</v>
      </c>
      <c r="M804" s="9">
        <v>44976</v>
      </c>
      <c r="N804" s="10">
        <v>9.5</v>
      </c>
      <c r="O804" s="9">
        <v>44985</v>
      </c>
      <c r="P804">
        <v>0</v>
      </c>
      <c r="Q804" s="11" t="s">
        <v>594</v>
      </c>
      <c r="R804" s="7"/>
      <c r="S804" s="7"/>
      <c r="T804" s="7"/>
      <c r="U804" s="7"/>
      <c r="V804" s="10">
        <v>9.5</v>
      </c>
      <c r="W804" s="9">
        <v>44978</v>
      </c>
      <c r="X804" s="10">
        <v>11.5</v>
      </c>
      <c r="Y804" s="9">
        <v>44985</v>
      </c>
      <c r="Z804">
        <v>0</v>
      </c>
      <c r="AA804" s="11" t="s">
        <v>594</v>
      </c>
    </row>
    <row r="805" spans="2:27" ht="16" x14ac:dyDescent="0.2">
      <c r="B805" t="s">
        <v>35</v>
      </c>
      <c r="C805">
        <v>40357910</v>
      </c>
      <c r="D805" t="s">
        <v>409</v>
      </c>
      <c r="E805">
        <v>1012148</v>
      </c>
      <c r="F805" t="s">
        <v>111</v>
      </c>
      <c r="G805" s="9">
        <v>44963</v>
      </c>
      <c r="H805" s="7"/>
      <c r="I805" s="7"/>
      <c r="J805" s="7"/>
      <c r="K805" s="7"/>
      <c r="L805" s="10">
        <v>7.5</v>
      </c>
      <c r="M805" s="9">
        <v>44970</v>
      </c>
      <c r="N805" s="10">
        <v>9.5</v>
      </c>
      <c r="O805" s="9">
        <v>44979</v>
      </c>
      <c r="P805">
        <v>5</v>
      </c>
      <c r="Q805" s="11" t="s">
        <v>49</v>
      </c>
      <c r="R805" s="7"/>
      <c r="S805" s="7"/>
      <c r="T805" s="7"/>
      <c r="U805" s="7"/>
      <c r="V805" s="10">
        <v>9.5</v>
      </c>
      <c r="W805" s="9">
        <v>44972</v>
      </c>
      <c r="X805" s="10">
        <v>11.5</v>
      </c>
      <c r="Y805" s="9">
        <v>44979</v>
      </c>
      <c r="Z805">
        <v>5</v>
      </c>
      <c r="AA805" s="11" t="s">
        <v>49</v>
      </c>
    </row>
    <row r="806" spans="2:27" ht="16" x14ac:dyDescent="0.2">
      <c r="B806" t="s">
        <v>35</v>
      </c>
      <c r="C806">
        <v>40357905</v>
      </c>
      <c r="D806" t="s">
        <v>409</v>
      </c>
      <c r="E806">
        <v>1012161</v>
      </c>
      <c r="F806" t="s">
        <v>101</v>
      </c>
      <c r="G806" s="9">
        <v>44964</v>
      </c>
      <c r="H806" s="7"/>
      <c r="I806" s="7"/>
      <c r="J806" s="7"/>
      <c r="K806" s="7"/>
      <c r="L806" s="10">
        <v>7.5</v>
      </c>
      <c r="M806" s="9">
        <v>44971</v>
      </c>
      <c r="N806" s="10">
        <v>9.5</v>
      </c>
      <c r="O806" s="9">
        <v>44980</v>
      </c>
      <c r="P806">
        <v>4</v>
      </c>
      <c r="Q806" s="11" t="s">
        <v>49</v>
      </c>
      <c r="R806" s="7"/>
      <c r="S806" s="7"/>
      <c r="T806" s="7"/>
      <c r="U806" s="7"/>
      <c r="V806" s="10">
        <v>9.5</v>
      </c>
      <c r="W806" s="9">
        <v>44973</v>
      </c>
      <c r="X806" s="10">
        <v>11.5</v>
      </c>
      <c r="Y806" s="9">
        <v>44980</v>
      </c>
      <c r="Z806">
        <v>4</v>
      </c>
      <c r="AA806" s="11" t="s">
        <v>49</v>
      </c>
    </row>
    <row r="807" spans="2:27" ht="16" x14ac:dyDescent="0.2">
      <c r="B807" t="s">
        <v>35</v>
      </c>
      <c r="C807">
        <v>40357904</v>
      </c>
      <c r="D807" t="s">
        <v>409</v>
      </c>
      <c r="E807">
        <v>1021539</v>
      </c>
      <c r="F807" t="s">
        <v>437</v>
      </c>
      <c r="G807" s="9">
        <v>44978</v>
      </c>
      <c r="H807" s="7">
        <v>4011.1140559999999</v>
      </c>
      <c r="I807" s="7"/>
      <c r="J807" s="7"/>
      <c r="K807" s="7"/>
      <c r="L807" s="10">
        <v>7.5</v>
      </c>
      <c r="M807" s="9">
        <v>44985</v>
      </c>
      <c r="N807" s="10">
        <v>9.5</v>
      </c>
      <c r="O807" s="9">
        <v>44994</v>
      </c>
      <c r="P807">
        <v>19</v>
      </c>
      <c r="Q807" s="11" t="s">
        <v>49</v>
      </c>
      <c r="R807" s="7">
        <v>4011.1140559999999</v>
      </c>
      <c r="S807" s="7"/>
      <c r="T807" s="7"/>
      <c r="U807" s="7"/>
      <c r="V807" s="10">
        <v>9.5</v>
      </c>
      <c r="W807" s="9">
        <v>44987</v>
      </c>
      <c r="X807" s="10">
        <v>11.5</v>
      </c>
      <c r="Y807" s="9">
        <v>44994</v>
      </c>
      <c r="Z807">
        <v>19</v>
      </c>
      <c r="AA807" s="11" t="s">
        <v>49</v>
      </c>
    </row>
    <row r="808" spans="2:27" ht="16" x14ac:dyDescent="0.2">
      <c r="B808" t="s">
        <v>35</v>
      </c>
      <c r="C808">
        <v>40357904</v>
      </c>
      <c r="D808" t="s">
        <v>409</v>
      </c>
      <c r="E808">
        <v>1021538</v>
      </c>
      <c r="F808" t="s">
        <v>256</v>
      </c>
      <c r="G808" s="9">
        <v>44978</v>
      </c>
      <c r="H808" s="7">
        <v>12013.438550000001</v>
      </c>
      <c r="I808" s="7"/>
      <c r="J808" s="7"/>
      <c r="K808" s="7"/>
      <c r="L808" s="10">
        <v>7.5</v>
      </c>
      <c r="M808" s="9">
        <v>44985</v>
      </c>
      <c r="N808" s="10">
        <v>9.5</v>
      </c>
      <c r="O808" s="9">
        <v>44994</v>
      </c>
      <c r="P808">
        <v>19</v>
      </c>
      <c r="Q808" s="11" t="s">
        <v>49</v>
      </c>
      <c r="R808" s="7">
        <v>12013.438550000001</v>
      </c>
      <c r="S808" s="7"/>
      <c r="T808" s="7"/>
      <c r="U808" s="7"/>
      <c r="V808" s="10">
        <v>9.5</v>
      </c>
      <c r="W808" s="9">
        <v>44987</v>
      </c>
      <c r="X808" s="10">
        <v>11.5</v>
      </c>
      <c r="Y808" s="9">
        <v>44994</v>
      </c>
      <c r="Z808">
        <v>19</v>
      </c>
      <c r="AA808" s="11" t="s">
        <v>49</v>
      </c>
    </row>
    <row r="809" spans="2:27" ht="16" x14ac:dyDescent="0.2">
      <c r="B809" t="s">
        <v>35</v>
      </c>
      <c r="C809">
        <v>40357904</v>
      </c>
      <c r="D809" t="s">
        <v>409</v>
      </c>
      <c r="E809">
        <v>1021539</v>
      </c>
      <c r="F809" t="s">
        <v>437</v>
      </c>
      <c r="G809" s="9">
        <v>44978</v>
      </c>
      <c r="H809" s="7">
        <v>6050.4455440000002</v>
      </c>
      <c r="I809" s="7"/>
      <c r="J809" s="7"/>
      <c r="K809" s="7"/>
      <c r="L809" s="10">
        <v>7.5</v>
      </c>
      <c r="M809" s="9">
        <v>44985</v>
      </c>
      <c r="N809" s="10">
        <v>9.5</v>
      </c>
      <c r="O809" s="9">
        <v>44994</v>
      </c>
      <c r="P809">
        <v>19</v>
      </c>
      <c r="Q809" s="11" t="s">
        <v>49</v>
      </c>
      <c r="R809" s="7">
        <v>6050.4455440000002</v>
      </c>
      <c r="S809" s="7"/>
      <c r="T809" s="7"/>
      <c r="U809" s="7"/>
      <c r="V809" s="10">
        <v>9.5</v>
      </c>
      <c r="W809" s="9">
        <v>44987</v>
      </c>
      <c r="X809" s="10">
        <v>11.5</v>
      </c>
      <c r="Y809" s="9">
        <v>44994</v>
      </c>
      <c r="Z809">
        <v>19</v>
      </c>
      <c r="AA809" s="11" t="s">
        <v>49</v>
      </c>
    </row>
    <row r="810" spans="2:27" ht="16" x14ac:dyDescent="0.2">
      <c r="B810" t="s">
        <v>35</v>
      </c>
      <c r="C810">
        <v>40357904</v>
      </c>
      <c r="D810" t="s">
        <v>409</v>
      </c>
      <c r="E810">
        <v>1022619</v>
      </c>
      <c r="F810" t="s">
        <v>158</v>
      </c>
      <c r="G810" s="9">
        <v>44978</v>
      </c>
      <c r="H810" s="7">
        <v>2164.7315330000001</v>
      </c>
      <c r="I810" s="7"/>
      <c r="J810" s="7"/>
      <c r="K810" s="7"/>
      <c r="L810" s="10">
        <v>7.5</v>
      </c>
      <c r="M810" s="9">
        <v>44985</v>
      </c>
      <c r="N810" s="10">
        <v>9.5</v>
      </c>
      <c r="O810" s="9">
        <v>44994</v>
      </c>
      <c r="P810">
        <v>19</v>
      </c>
      <c r="Q810" s="11" t="s">
        <v>49</v>
      </c>
      <c r="R810" s="7">
        <v>2164.7315330000001</v>
      </c>
      <c r="S810" s="7"/>
      <c r="T810" s="7"/>
      <c r="U810" s="7"/>
      <c r="V810" s="10">
        <v>9.5</v>
      </c>
      <c r="W810" s="9">
        <v>44987</v>
      </c>
      <c r="X810" s="10">
        <v>11.5</v>
      </c>
      <c r="Y810" s="9">
        <v>44994</v>
      </c>
      <c r="Z810">
        <v>19</v>
      </c>
      <c r="AA810" s="11" t="s">
        <v>49</v>
      </c>
    </row>
    <row r="811" spans="2:27" ht="16" x14ac:dyDescent="0.2">
      <c r="B811" t="s">
        <v>35</v>
      </c>
      <c r="C811">
        <v>40357893</v>
      </c>
      <c r="D811" t="s">
        <v>409</v>
      </c>
      <c r="E811">
        <v>1030379</v>
      </c>
      <c r="F811" t="s">
        <v>97</v>
      </c>
      <c r="G811" s="9">
        <v>44972</v>
      </c>
      <c r="H811" s="7">
        <v>24004.088640000002</v>
      </c>
      <c r="I811" s="7"/>
      <c r="J811" s="7"/>
      <c r="K811" s="7"/>
      <c r="L811" s="10">
        <v>7.5</v>
      </c>
      <c r="M811" s="9">
        <v>44979</v>
      </c>
      <c r="N811" s="10">
        <v>9.5</v>
      </c>
      <c r="O811" s="9">
        <v>44988</v>
      </c>
      <c r="P811">
        <v>24</v>
      </c>
      <c r="Q811" s="11" t="s">
        <v>49</v>
      </c>
      <c r="R811" s="7">
        <v>24004.088640000002</v>
      </c>
      <c r="S811" s="7"/>
      <c r="T811" s="7"/>
      <c r="U811" s="7"/>
      <c r="V811" s="10">
        <v>9.5</v>
      </c>
      <c r="W811" s="9">
        <v>44981</v>
      </c>
      <c r="X811" s="10">
        <v>11.5</v>
      </c>
      <c r="Y811" s="9">
        <v>44988</v>
      </c>
      <c r="Z811">
        <v>24</v>
      </c>
      <c r="AA811" s="11" t="s">
        <v>49</v>
      </c>
    </row>
    <row r="812" spans="2:27" ht="16" x14ac:dyDescent="0.2">
      <c r="B812" t="s">
        <v>35</v>
      </c>
      <c r="C812">
        <v>40357891</v>
      </c>
      <c r="D812" t="s">
        <v>409</v>
      </c>
      <c r="E812">
        <v>1030379</v>
      </c>
      <c r="F812" t="s">
        <v>97</v>
      </c>
      <c r="G812" s="9">
        <v>44972</v>
      </c>
      <c r="H812" s="7">
        <v>24004.088640000002</v>
      </c>
      <c r="I812" s="7"/>
      <c r="J812" s="7"/>
      <c r="K812" s="7"/>
      <c r="L812" s="10">
        <v>7.5</v>
      </c>
      <c r="M812" s="9">
        <v>44979</v>
      </c>
      <c r="N812" s="10">
        <v>9.5</v>
      </c>
      <c r="O812" s="9">
        <v>44988</v>
      </c>
      <c r="P812">
        <v>24</v>
      </c>
      <c r="Q812" s="11" t="s">
        <v>49</v>
      </c>
      <c r="R812" s="7">
        <v>24004.088640000002</v>
      </c>
      <c r="S812" s="7"/>
      <c r="T812" s="7"/>
      <c r="U812" s="7"/>
      <c r="V812" s="10">
        <v>9.5</v>
      </c>
      <c r="W812" s="9">
        <v>44981</v>
      </c>
      <c r="X812" s="10">
        <v>11.5</v>
      </c>
      <c r="Y812" s="9">
        <v>44988</v>
      </c>
      <c r="Z812">
        <v>24</v>
      </c>
      <c r="AA812" s="11" t="s">
        <v>49</v>
      </c>
    </row>
    <row r="813" spans="2:27" ht="16" x14ac:dyDescent="0.2">
      <c r="B813" t="s">
        <v>35</v>
      </c>
      <c r="C813">
        <v>40357890</v>
      </c>
      <c r="D813" t="s">
        <v>409</v>
      </c>
      <c r="E813">
        <v>1030379</v>
      </c>
      <c r="F813" t="s">
        <v>97</v>
      </c>
      <c r="G813" s="9">
        <v>44964</v>
      </c>
      <c r="H813" s="7"/>
      <c r="I813" s="7"/>
      <c r="J813" s="7"/>
      <c r="K813" s="7"/>
      <c r="L813" s="10">
        <v>7.5</v>
      </c>
      <c r="M813" s="9">
        <v>44971</v>
      </c>
      <c r="N813" s="10">
        <v>9.5</v>
      </c>
      <c r="O813" s="9">
        <v>44980</v>
      </c>
      <c r="P813">
        <v>4</v>
      </c>
      <c r="Q813" s="11" t="s">
        <v>49</v>
      </c>
      <c r="R813" s="7"/>
      <c r="S813" s="7"/>
      <c r="T813" s="7"/>
      <c r="U813" s="7"/>
      <c r="V813" s="10">
        <v>9.5</v>
      </c>
      <c r="W813" s="9">
        <v>44973</v>
      </c>
      <c r="X813" s="10">
        <v>11.5</v>
      </c>
      <c r="Y813" s="9">
        <v>44980</v>
      </c>
      <c r="Z813">
        <v>4</v>
      </c>
      <c r="AA813" s="11" t="s">
        <v>49</v>
      </c>
    </row>
    <row r="814" spans="2:27" ht="16" x14ac:dyDescent="0.2">
      <c r="B814" t="s">
        <v>35</v>
      </c>
      <c r="C814">
        <v>40357858</v>
      </c>
      <c r="D814" t="s">
        <v>423</v>
      </c>
      <c r="E814">
        <v>1011150</v>
      </c>
      <c r="F814" t="s">
        <v>149</v>
      </c>
      <c r="G814" s="9">
        <v>44969</v>
      </c>
      <c r="H814" s="7"/>
      <c r="I814" s="7"/>
      <c r="J814" s="7"/>
      <c r="K814" s="7"/>
      <c r="L814" s="10">
        <v>5.4496124031007751</v>
      </c>
      <c r="M814" s="9">
        <v>44974</v>
      </c>
      <c r="N814" s="10">
        <v>10</v>
      </c>
      <c r="O814" s="9">
        <v>44984</v>
      </c>
      <c r="P814">
        <v>1</v>
      </c>
      <c r="Q814" s="11" t="s">
        <v>594</v>
      </c>
      <c r="R814" s="7"/>
      <c r="S814" s="7"/>
      <c r="T814" s="7"/>
      <c r="U814" s="7"/>
      <c r="V814" s="10">
        <v>7.4496124031007751</v>
      </c>
      <c r="W814" s="9">
        <v>44976</v>
      </c>
      <c r="X814" s="10">
        <v>12</v>
      </c>
      <c r="Y814" s="9">
        <v>44984</v>
      </c>
      <c r="Z814">
        <v>1</v>
      </c>
      <c r="AA814" s="11" t="s">
        <v>594</v>
      </c>
    </row>
    <row r="815" spans="2:27" ht="16" x14ac:dyDescent="0.2">
      <c r="B815" t="s">
        <v>35</v>
      </c>
      <c r="C815">
        <v>40357857</v>
      </c>
      <c r="D815" t="s">
        <v>423</v>
      </c>
      <c r="E815">
        <v>1011150</v>
      </c>
      <c r="F815" t="s">
        <v>149</v>
      </c>
      <c r="G815" s="9">
        <v>44961</v>
      </c>
      <c r="H815" s="7"/>
      <c r="I815" s="7"/>
      <c r="J815" s="7"/>
      <c r="K815" s="7"/>
      <c r="L815" s="10">
        <v>5.4496124031007751</v>
      </c>
      <c r="M815" s="9">
        <v>44966</v>
      </c>
      <c r="N815" s="10">
        <v>10</v>
      </c>
      <c r="O815" s="9">
        <v>44976</v>
      </c>
      <c r="P815">
        <v>8</v>
      </c>
      <c r="Q815" s="11" t="s">
        <v>49</v>
      </c>
      <c r="R815" s="7"/>
      <c r="S815" s="7"/>
      <c r="T815" s="7"/>
      <c r="U815" s="7"/>
      <c r="V815" s="10">
        <v>7.4496124031007751</v>
      </c>
      <c r="W815" s="9">
        <v>44968</v>
      </c>
      <c r="X815" s="10">
        <v>12</v>
      </c>
      <c r="Y815" s="9">
        <v>44976</v>
      </c>
      <c r="Z815">
        <v>8</v>
      </c>
      <c r="AA815" s="11" t="s">
        <v>49</v>
      </c>
    </row>
    <row r="816" spans="2:27" ht="16" x14ac:dyDescent="0.2">
      <c r="B816" t="s">
        <v>35</v>
      </c>
      <c r="C816">
        <v>40357856</v>
      </c>
      <c r="D816" t="s">
        <v>423</v>
      </c>
      <c r="E816">
        <v>1012278</v>
      </c>
      <c r="F816" t="s">
        <v>230</v>
      </c>
      <c r="G816" s="9">
        <v>44956</v>
      </c>
      <c r="H816" s="7"/>
      <c r="I816" s="7"/>
      <c r="J816" s="7"/>
      <c r="K816" s="7"/>
      <c r="L816" s="10">
        <v>5.4496124031007751</v>
      </c>
      <c r="M816" s="9">
        <v>44961</v>
      </c>
      <c r="N816" s="10">
        <v>10</v>
      </c>
      <c r="O816" s="9">
        <v>44971</v>
      </c>
      <c r="P816">
        <v>12</v>
      </c>
      <c r="Q816" s="11" t="s">
        <v>49</v>
      </c>
      <c r="R816" s="7"/>
      <c r="S816" s="7"/>
      <c r="T816" s="7"/>
      <c r="U816" s="7"/>
      <c r="V816" s="10">
        <v>7.4496124031007751</v>
      </c>
      <c r="W816" s="9">
        <v>44963</v>
      </c>
      <c r="X816" s="10">
        <v>12</v>
      </c>
      <c r="Y816" s="9">
        <v>44971</v>
      </c>
      <c r="Z816">
        <v>12</v>
      </c>
      <c r="AA816" s="11" t="s">
        <v>49</v>
      </c>
    </row>
    <row r="817" spans="2:27" ht="16" x14ac:dyDescent="0.2">
      <c r="B817" t="s">
        <v>35</v>
      </c>
      <c r="C817">
        <v>40357852</v>
      </c>
      <c r="D817" t="s">
        <v>423</v>
      </c>
      <c r="E817">
        <v>1012278</v>
      </c>
      <c r="F817" t="s">
        <v>230</v>
      </c>
      <c r="G817" s="9">
        <v>44956</v>
      </c>
      <c r="H817" s="7"/>
      <c r="I817" s="7"/>
      <c r="J817" s="7"/>
      <c r="K817" s="7"/>
      <c r="L817" s="10">
        <v>5.4496124031007751</v>
      </c>
      <c r="M817" s="9">
        <v>44961</v>
      </c>
      <c r="N817" s="10">
        <v>10</v>
      </c>
      <c r="O817" s="9">
        <v>44971</v>
      </c>
      <c r="P817">
        <v>12</v>
      </c>
      <c r="Q817" s="11" t="s">
        <v>49</v>
      </c>
      <c r="R817" s="7"/>
      <c r="S817" s="7"/>
      <c r="T817" s="7"/>
      <c r="U817" s="7"/>
      <c r="V817" s="10">
        <v>7.4496124031007751</v>
      </c>
      <c r="W817" s="9">
        <v>44963</v>
      </c>
      <c r="X817" s="10">
        <v>12</v>
      </c>
      <c r="Y817" s="9">
        <v>44971</v>
      </c>
      <c r="Z817">
        <v>12</v>
      </c>
      <c r="AA817" s="11" t="s">
        <v>49</v>
      </c>
    </row>
    <row r="818" spans="2:27" x14ac:dyDescent="0.2">
      <c r="B818" t="s">
        <v>394</v>
      </c>
      <c r="C818">
        <v>40357847</v>
      </c>
      <c r="D818" t="s">
        <v>485</v>
      </c>
      <c r="E818">
        <v>1020367</v>
      </c>
      <c r="F818" t="s">
        <v>596</v>
      </c>
      <c r="G818" s="9">
        <v>44954</v>
      </c>
      <c r="H818" s="7"/>
      <c r="I818" s="7"/>
      <c r="J818" s="7"/>
      <c r="K818" s="7"/>
      <c r="L818" s="10"/>
      <c r="N818" s="10"/>
      <c r="Q818" s="11"/>
      <c r="R818" s="7"/>
      <c r="S818" s="7"/>
      <c r="T818" s="7"/>
      <c r="U818" s="7"/>
      <c r="V818" s="10"/>
      <c r="X818" s="10"/>
      <c r="AA818" s="11"/>
    </row>
    <row r="819" spans="2:27" x14ac:dyDescent="0.2">
      <c r="B819" t="s">
        <v>394</v>
      </c>
      <c r="C819">
        <v>40357846</v>
      </c>
      <c r="D819" t="s">
        <v>485</v>
      </c>
      <c r="E819">
        <v>1021078</v>
      </c>
      <c r="F819" t="s">
        <v>536</v>
      </c>
      <c r="G819" s="9">
        <v>44962</v>
      </c>
      <c r="H819" s="7"/>
      <c r="I819" s="7"/>
      <c r="J819" s="7"/>
      <c r="K819" s="7"/>
      <c r="L819" s="10"/>
      <c r="N819" s="10"/>
      <c r="Q819" s="11"/>
      <c r="R819" s="7"/>
      <c r="S819" s="7"/>
      <c r="T819" s="7"/>
      <c r="U819" s="7"/>
      <c r="V819" s="10"/>
      <c r="X819" s="10"/>
      <c r="AA819" s="11"/>
    </row>
    <row r="820" spans="2:27" x14ac:dyDescent="0.2">
      <c r="B820" t="s">
        <v>394</v>
      </c>
      <c r="C820">
        <v>40357846</v>
      </c>
      <c r="D820" t="s">
        <v>485</v>
      </c>
      <c r="E820">
        <v>1021078</v>
      </c>
      <c r="F820" t="s">
        <v>536</v>
      </c>
      <c r="G820" s="9">
        <v>44962</v>
      </c>
      <c r="H820" s="7"/>
      <c r="I820" s="7"/>
      <c r="J820" s="7"/>
      <c r="K820" s="7"/>
      <c r="L820" s="10"/>
      <c r="N820" s="10"/>
      <c r="Q820" s="11"/>
      <c r="R820" s="7"/>
      <c r="S820" s="7"/>
      <c r="T820" s="7"/>
      <c r="U820" s="7"/>
      <c r="V820" s="10"/>
      <c r="X820" s="10"/>
      <c r="AA820" s="11"/>
    </row>
    <row r="821" spans="2:27" x14ac:dyDescent="0.2">
      <c r="B821" t="s">
        <v>394</v>
      </c>
      <c r="C821">
        <v>40357845</v>
      </c>
      <c r="D821" t="s">
        <v>485</v>
      </c>
      <c r="E821">
        <v>1021078</v>
      </c>
      <c r="F821" t="s">
        <v>536</v>
      </c>
      <c r="G821" s="9">
        <v>44954</v>
      </c>
      <c r="H821" s="7"/>
      <c r="I821" s="7"/>
      <c r="J821" s="7"/>
      <c r="K821" s="7"/>
      <c r="L821" s="10"/>
      <c r="N821" s="10"/>
      <c r="Q821" s="11"/>
      <c r="R821" s="7"/>
      <c r="S821" s="7"/>
      <c r="T821" s="7"/>
      <c r="U821" s="7"/>
      <c r="V821" s="10"/>
      <c r="X821" s="10"/>
      <c r="AA821" s="11"/>
    </row>
    <row r="822" spans="2:27" x14ac:dyDescent="0.2">
      <c r="B822" t="s">
        <v>394</v>
      </c>
      <c r="C822">
        <v>40357845</v>
      </c>
      <c r="D822" t="s">
        <v>485</v>
      </c>
      <c r="E822">
        <v>1021078</v>
      </c>
      <c r="F822" t="s">
        <v>536</v>
      </c>
      <c r="G822" s="9">
        <v>44954</v>
      </c>
      <c r="H822" s="7"/>
      <c r="I822" s="7"/>
      <c r="J822" s="7"/>
      <c r="K822" s="7"/>
      <c r="L822" s="10"/>
      <c r="N822" s="10"/>
      <c r="Q822" s="11"/>
      <c r="R822" s="7"/>
      <c r="S822" s="7"/>
      <c r="T822" s="7"/>
      <c r="U822" s="7"/>
      <c r="V822" s="10"/>
      <c r="X822" s="10"/>
      <c r="AA822" s="11"/>
    </row>
    <row r="823" spans="2:27" x14ac:dyDescent="0.2">
      <c r="B823" t="s">
        <v>394</v>
      </c>
      <c r="C823">
        <v>40357829</v>
      </c>
      <c r="D823" t="s">
        <v>485</v>
      </c>
      <c r="E823">
        <v>1011421</v>
      </c>
      <c r="F823" t="s">
        <v>484</v>
      </c>
      <c r="G823" s="9">
        <v>44954</v>
      </c>
      <c r="H823" s="7"/>
      <c r="I823" s="7"/>
      <c r="J823" s="7"/>
      <c r="K823" s="7"/>
      <c r="L823" s="10"/>
      <c r="N823" s="10"/>
      <c r="Q823" s="11"/>
      <c r="R823" s="7"/>
      <c r="S823" s="7"/>
      <c r="T823" s="7"/>
      <c r="U823" s="7"/>
      <c r="V823" s="10"/>
      <c r="X823" s="10"/>
      <c r="AA823" s="11"/>
    </row>
    <row r="824" spans="2:27" x14ac:dyDescent="0.2">
      <c r="B824" t="s">
        <v>394</v>
      </c>
      <c r="C824">
        <v>40357828</v>
      </c>
      <c r="D824" t="s">
        <v>485</v>
      </c>
      <c r="E824">
        <v>1011421</v>
      </c>
      <c r="F824" t="s">
        <v>484</v>
      </c>
      <c r="G824" s="9">
        <v>44954</v>
      </c>
      <c r="H824" s="7"/>
      <c r="I824" s="7"/>
      <c r="J824" s="7"/>
      <c r="K824" s="7"/>
      <c r="L824" s="10"/>
      <c r="N824" s="10"/>
      <c r="Q824" s="11"/>
      <c r="R824" s="7"/>
      <c r="S824" s="7"/>
      <c r="T824" s="7"/>
      <c r="U824" s="7"/>
      <c r="V824" s="10"/>
      <c r="X824" s="10"/>
      <c r="AA824" s="11"/>
    </row>
    <row r="825" spans="2:27" ht="16" x14ac:dyDescent="0.2">
      <c r="B825" t="s">
        <v>35</v>
      </c>
      <c r="C825">
        <v>40357803</v>
      </c>
      <c r="D825" t="s">
        <v>389</v>
      </c>
      <c r="E825">
        <v>1012453</v>
      </c>
      <c r="F825" t="s">
        <v>241</v>
      </c>
      <c r="G825" s="9">
        <v>44977</v>
      </c>
      <c r="H825" s="7">
        <v>19976</v>
      </c>
      <c r="I825" s="7"/>
      <c r="J825" s="7"/>
      <c r="K825" s="7"/>
      <c r="L825" s="10">
        <v>5.5741092456127026</v>
      </c>
      <c r="M825" s="9">
        <v>44982</v>
      </c>
      <c r="N825" s="10">
        <v>5.5</v>
      </c>
      <c r="O825" s="9">
        <v>44987</v>
      </c>
      <c r="P825">
        <v>25</v>
      </c>
      <c r="Q825" s="11" t="s">
        <v>49</v>
      </c>
      <c r="R825" s="7">
        <v>19976</v>
      </c>
      <c r="S825" s="7"/>
      <c r="T825" s="7"/>
      <c r="U825" s="7"/>
      <c r="V825" s="10">
        <v>7.5741092456127026</v>
      </c>
      <c r="W825" s="9">
        <v>44984</v>
      </c>
      <c r="X825" s="10">
        <v>7.5</v>
      </c>
      <c r="Y825" s="9">
        <v>44987</v>
      </c>
      <c r="Z825">
        <v>25</v>
      </c>
      <c r="AA825" s="11" t="s">
        <v>49</v>
      </c>
    </row>
    <row r="826" spans="2:27" ht="16" x14ac:dyDescent="0.2">
      <c r="B826" t="s">
        <v>35</v>
      </c>
      <c r="C826">
        <v>40357802</v>
      </c>
      <c r="D826" t="s">
        <v>389</v>
      </c>
      <c r="E826">
        <v>1012453</v>
      </c>
      <c r="F826" t="s">
        <v>241</v>
      </c>
      <c r="G826" s="9">
        <v>44975</v>
      </c>
      <c r="H826" s="7"/>
      <c r="I826" s="7"/>
      <c r="J826" s="7"/>
      <c r="K826" s="7"/>
      <c r="L826" s="10">
        <v>5.5741092456127026</v>
      </c>
      <c r="M826" s="9">
        <v>44980</v>
      </c>
      <c r="N826" s="10">
        <v>5.5</v>
      </c>
      <c r="O826" s="9">
        <v>44985</v>
      </c>
      <c r="P826">
        <v>0</v>
      </c>
      <c r="Q826" s="11" t="s">
        <v>594</v>
      </c>
      <c r="R826" s="7"/>
      <c r="S826" s="7"/>
      <c r="T826" s="7"/>
      <c r="U826" s="7"/>
      <c r="V826" s="10">
        <v>7.5741092456127026</v>
      </c>
      <c r="W826" s="9">
        <v>44982</v>
      </c>
      <c r="X826" s="10">
        <v>7.5</v>
      </c>
      <c r="Y826" s="9">
        <v>44985</v>
      </c>
      <c r="Z826">
        <v>0</v>
      </c>
      <c r="AA826" s="11" t="s">
        <v>594</v>
      </c>
    </row>
    <row r="827" spans="2:27" x14ac:dyDescent="0.2">
      <c r="B827" t="s">
        <v>394</v>
      </c>
      <c r="C827">
        <v>40357799</v>
      </c>
      <c r="D827" t="s">
        <v>396</v>
      </c>
      <c r="E827">
        <v>1021149</v>
      </c>
      <c r="F827" t="s">
        <v>399</v>
      </c>
      <c r="G827" s="9">
        <v>44981</v>
      </c>
      <c r="H827" s="7"/>
      <c r="I827" s="7"/>
      <c r="J827" s="7"/>
      <c r="K827" s="7"/>
      <c r="L827" s="10"/>
      <c r="N827" s="10"/>
      <c r="Q827" s="11"/>
      <c r="R827" s="7"/>
      <c r="S827" s="7"/>
      <c r="T827" s="7"/>
      <c r="U827" s="7"/>
      <c r="V827" s="10"/>
      <c r="X827" s="10"/>
      <c r="AA827" s="11"/>
    </row>
    <row r="828" spans="2:27" x14ac:dyDescent="0.2">
      <c r="B828" t="s">
        <v>394</v>
      </c>
      <c r="C828">
        <v>40357798</v>
      </c>
      <c r="D828" t="s">
        <v>396</v>
      </c>
      <c r="E828">
        <v>1021149</v>
      </c>
      <c r="F828" t="s">
        <v>399</v>
      </c>
      <c r="G828" s="9">
        <v>44980</v>
      </c>
      <c r="H828" s="7"/>
      <c r="I828" s="7"/>
      <c r="J828" s="7"/>
      <c r="K828" s="7"/>
      <c r="L828" s="10"/>
      <c r="N828" s="10"/>
      <c r="Q828" s="11"/>
      <c r="R828" s="7"/>
      <c r="S828" s="7"/>
      <c r="T828" s="7"/>
      <c r="U828" s="7"/>
      <c r="V828" s="10"/>
      <c r="X828" s="10"/>
      <c r="AA828" s="11"/>
    </row>
    <row r="829" spans="2:27" x14ac:dyDescent="0.2">
      <c r="B829" t="s">
        <v>394</v>
      </c>
      <c r="C829">
        <v>40357798</v>
      </c>
      <c r="D829" t="s">
        <v>396</v>
      </c>
      <c r="E829">
        <v>1021149</v>
      </c>
      <c r="F829" t="s">
        <v>399</v>
      </c>
      <c r="G829" s="9">
        <v>44980</v>
      </c>
      <c r="H829" s="7"/>
      <c r="I829" s="7"/>
      <c r="J829" s="7"/>
      <c r="K829" s="7"/>
      <c r="L829" s="10"/>
      <c r="N829" s="10"/>
      <c r="Q829" s="11"/>
      <c r="R829" s="7"/>
      <c r="S829" s="7"/>
      <c r="T829" s="7"/>
      <c r="U829" s="7"/>
      <c r="V829" s="10"/>
      <c r="X829" s="10"/>
      <c r="AA829" s="11"/>
    </row>
    <row r="830" spans="2:27" x14ac:dyDescent="0.2">
      <c r="B830" t="s">
        <v>394</v>
      </c>
      <c r="C830">
        <v>40357792</v>
      </c>
      <c r="D830" t="s">
        <v>485</v>
      </c>
      <c r="E830">
        <v>1020886</v>
      </c>
      <c r="F830" t="s">
        <v>609</v>
      </c>
      <c r="G830" s="9">
        <v>44960</v>
      </c>
      <c r="H830" s="7"/>
      <c r="I830" s="7"/>
      <c r="J830" s="7"/>
      <c r="K830" s="7"/>
      <c r="L830" s="10"/>
      <c r="N830" s="10"/>
      <c r="Q830" s="11"/>
      <c r="R830" s="7"/>
      <c r="S830" s="7"/>
      <c r="T830" s="7"/>
      <c r="U830" s="7"/>
      <c r="V830" s="10"/>
      <c r="X830" s="10"/>
      <c r="AA830" s="11"/>
    </row>
    <row r="831" spans="2:27" ht="16" x14ac:dyDescent="0.2">
      <c r="B831" t="s">
        <v>35</v>
      </c>
      <c r="C831">
        <v>40357717</v>
      </c>
      <c r="D831" t="s">
        <v>386</v>
      </c>
      <c r="E831">
        <v>1010877</v>
      </c>
      <c r="F831" t="s">
        <v>387</v>
      </c>
      <c r="G831" s="9">
        <v>45035</v>
      </c>
      <c r="H831" s="7"/>
      <c r="I831" s="7"/>
      <c r="J831" s="7">
        <v>24000</v>
      </c>
      <c r="K831" s="7"/>
      <c r="L831" s="10">
        <v>5.1420118343195256</v>
      </c>
      <c r="M831" s="9">
        <v>45040</v>
      </c>
      <c r="N831" s="10">
        <v>7.5</v>
      </c>
      <c r="O831" s="9">
        <v>45047</v>
      </c>
      <c r="P831">
        <v>26</v>
      </c>
      <c r="Q831" s="11" t="s">
        <v>49</v>
      </c>
      <c r="R831" s="7"/>
      <c r="S831" s="7"/>
      <c r="T831" s="7">
        <v>24000</v>
      </c>
      <c r="U831" s="7"/>
      <c r="V831" s="10">
        <v>7.1420118343195256</v>
      </c>
      <c r="W831" s="9">
        <v>45042</v>
      </c>
      <c r="X831" s="10">
        <v>9.5</v>
      </c>
      <c r="Y831" s="9">
        <v>45047</v>
      </c>
      <c r="Z831">
        <v>26</v>
      </c>
      <c r="AA831" s="11" t="s">
        <v>49</v>
      </c>
    </row>
    <row r="832" spans="2:27" ht="16" x14ac:dyDescent="0.2">
      <c r="B832" t="s">
        <v>35</v>
      </c>
      <c r="C832">
        <v>40357716</v>
      </c>
      <c r="D832" t="s">
        <v>386</v>
      </c>
      <c r="E832">
        <v>1010877</v>
      </c>
      <c r="F832" t="s">
        <v>387</v>
      </c>
      <c r="G832" s="9">
        <v>45035</v>
      </c>
      <c r="H832" s="7"/>
      <c r="I832" s="7"/>
      <c r="J832" s="7">
        <v>24000</v>
      </c>
      <c r="K832" s="7"/>
      <c r="L832" s="10">
        <v>5.1420118343195256</v>
      </c>
      <c r="M832" s="9">
        <v>45040</v>
      </c>
      <c r="N832" s="10">
        <v>7.5</v>
      </c>
      <c r="O832" s="9">
        <v>45047</v>
      </c>
      <c r="P832">
        <v>26</v>
      </c>
      <c r="Q832" s="11" t="s">
        <v>49</v>
      </c>
      <c r="R832" s="7"/>
      <c r="S832" s="7"/>
      <c r="T832" s="7">
        <v>24000</v>
      </c>
      <c r="U832" s="7"/>
      <c r="V832" s="10">
        <v>7.1420118343195256</v>
      </c>
      <c r="W832" s="9">
        <v>45042</v>
      </c>
      <c r="X832" s="10">
        <v>9.5</v>
      </c>
      <c r="Y832" s="9">
        <v>45047</v>
      </c>
      <c r="Z832">
        <v>26</v>
      </c>
      <c r="AA832" s="11" t="s">
        <v>49</v>
      </c>
    </row>
    <row r="833" spans="2:27" ht="16" x14ac:dyDescent="0.2">
      <c r="B833" t="s">
        <v>35</v>
      </c>
      <c r="C833">
        <v>40357713</v>
      </c>
      <c r="D833" t="s">
        <v>386</v>
      </c>
      <c r="E833">
        <v>1030355</v>
      </c>
      <c r="F833" t="s">
        <v>385</v>
      </c>
      <c r="G833" s="9">
        <v>45012</v>
      </c>
      <c r="H833" s="7"/>
      <c r="I833" s="7">
        <v>24000</v>
      </c>
      <c r="J833" s="7"/>
      <c r="K833" s="7"/>
      <c r="L833" s="10">
        <v>5.1420118343195256</v>
      </c>
      <c r="M833" s="9">
        <v>45017</v>
      </c>
      <c r="N833" s="10">
        <v>7.5</v>
      </c>
      <c r="O833" s="9">
        <v>45024</v>
      </c>
      <c r="P833">
        <v>16</v>
      </c>
      <c r="Q833" s="11" t="s">
        <v>49</v>
      </c>
      <c r="R833" s="7"/>
      <c r="S833" s="7">
        <v>24000</v>
      </c>
      <c r="T833" s="7"/>
      <c r="U833" s="7"/>
      <c r="V833" s="10">
        <v>7.1420118343195256</v>
      </c>
      <c r="W833" s="9">
        <v>45019</v>
      </c>
      <c r="X833" s="10">
        <v>9.5</v>
      </c>
      <c r="Y833" s="9">
        <v>45024</v>
      </c>
      <c r="Z833">
        <v>16</v>
      </c>
      <c r="AA833" s="11" t="s">
        <v>49</v>
      </c>
    </row>
    <row r="834" spans="2:27" ht="16" x14ac:dyDescent="0.2">
      <c r="B834" t="s">
        <v>35</v>
      </c>
      <c r="C834">
        <v>40357667</v>
      </c>
      <c r="D834" t="s">
        <v>389</v>
      </c>
      <c r="E834">
        <v>1012526</v>
      </c>
      <c r="F834" t="s">
        <v>246</v>
      </c>
      <c r="G834" s="9">
        <v>44985</v>
      </c>
      <c r="H834" s="7">
        <v>9600</v>
      </c>
      <c r="I834" s="7"/>
      <c r="J834" s="7"/>
      <c r="K834" s="7"/>
      <c r="L834" s="10">
        <v>5.5741092456127026</v>
      </c>
      <c r="M834" s="9">
        <v>44990</v>
      </c>
      <c r="N834" s="10">
        <v>5.5</v>
      </c>
      <c r="O834" s="9">
        <v>44995</v>
      </c>
      <c r="P834">
        <v>18</v>
      </c>
      <c r="Q834" s="11" t="s">
        <v>49</v>
      </c>
      <c r="R834" s="7">
        <v>9600</v>
      </c>
      <c r="S834" s="7"/>
      <c r="T834" s="7"/>
      <c r="U834" s="7"/>
      <c r="V834" s="10">
        <v>7.5741092456127026</v>
      </c>
      <c r="W834" s="9">
        <v>44992</v>
      </c>
      <c r="X834" s="10">
        <v>7.5</v>
      </c>
      <c r="Y834" s="9">
        <v>44995</v>
      </c>
      <c r="Z834">
        <v>18</v>
      </c>
      <c r="AA834" s="11" t="s">
        <v>49</v>
      </c>
    </row>
    <row r="835" spans="2:27" ht="16" x14ac:dyDescent="0.2">
      <c r="B835" t="s">
        <v>35</v>
      </c>
      <c r="C835">
        <v>40357667</v>
      </c>
      <c r="D835" t="s">
        <v>389</v>
      </c>
      <c r="E835">
        <v>1011968</v>
      </c>
      <c r="F835" t="s">
        <v>438</v>
      </c>
      <c r="G835" s="9">
        <v>44985</v>
      </c>
      <c r="H835" s="7">
        <v>14400</v>
      </c>
      <c r="I835" s="7"/>
      <c r="J835" s="7"/>
      <c r="K835" s="7"/>
      <c r="L835" s="10">
        <v>5.5741092456127026</v>
      </c>
      <c r="M835" s="9">
        <v>44990</v>
      </c>
      <c r="N835" s="10">
        <v>5.5</v>
      </c>
      <c r="O835" s="9">
        <v>44995</v>
      </c>
      <c r="P835">
        <v>18</v>
      </c>
      <c r="Q835" s="11" t="s">
        <v>49</v>
      </c>
      <c r="R835" s="7">
        <v>14400</v>
      </c>
      <c r="S835" s="7"/>
      <c r="T835" s="7"/>
      <c r="U835" s="7"/>
      <c r="V835" s="10">
        <v>7.5741092456127026</v>
      </c>
      <c r="W835" s="9">
        <v>44992</v>
      </c>
      <c r="X835" s="10">
        <v>7.5</v>
      </c>
      <c r="Y835" s="9">
        <v>44995</v>
      </c>
      <c r="Z835">
        <v>18</v>
      </c>
      <c r="AA835" s="11" t="s">
        <v>49</v>
      </c>
    </row>
    <row r="836" spans="2:27" ht="16" x14ac:dyDescent="0.2">
      <c r="B836" t="s">
        <v>35</v>
      </c>
      <c r="C836">
        <v>40357666</v>
      </c>
      <c r="D836" t="s">
        <v>389</v>
      </c>
      <c r="E836">
        <v>1011417</v>
      </c>
      <c r="F836" t="s">
        <v>421</v>
      </c>
      <c r="G836" s="9">
        <v>44975</v>
      </c>
      <c r="H836" s="7"/>
      <c r="I836" s="7"/>
      <c r="J836" s="7"/>
      <c r="K836" s="7"/>
      <c r="L836" s="10">
        <v>5.5741092456127026</v>
      </c>
      <c r="M836" s="9">
        <v>44980</v>
      </c>
      <c r="N836" s="10">
        <v>5.5</v>
      </c>
      <c r="O836" s="9">
        <v>44985</v>
      </c>
      <c r="P836">
        <v>0</v>
      </c>
      <c r="Q836" s="11" t="s">
        <v>594</v>
      </c>
      <c r="R836" s="7"/>
      <c r="S836" s="7"/>
      <c r="T836" s="7"/>
      <c r="U836" s="7"/>
      <c r="V836" s="10">
        <v>7.5741092456127026</v>
      </c>
      <c r="W836" s="9">
        <v>44982</v>
      </c>
      <c r="X836" s="10">
        <v>7.5</v>
      </c>
      <c r="Y836" s="9">
        <v>44985</v>
      </c>
      <c r="Z836">
        <v>0</v>
      </c>
      <c r="AA836" s="11" t="s">
        <v>594</v>
      </c>
    </row>
    <row r="837" spans="2:27" ht="16" x14ac:dyDescent="0.2">
      <c r="B837" t="s">
        <v>35</v>
      </c>
      <c r="C837">
        <v>40357651</v>
      </c>
      <c r="D837" t="s">
        <v>389</v>
      </c>
      <c r="E837">
        <v>1030525</v>
      </c>
      <c r="F837" t="s">
        <v>377</v>
      </c>
      <c r="G837" s="9">
        <v>44973</v>
      </c>
      <c r="H837" s="7"/>
      <c r="I837" s="7"/>
      <c r="J837" s="7"/>
      <c r="K837" s="7"/>
      <c r="L837" s="10">
        <v>5.5741092456127026</v>
      </c>
      <c r="M837" s="9">
        <v>44978</v>
      </c>
      <c r="N837" s="10">
        <v>5.5</v>
      </c>
      <c r="O837" s="9">
        <v>44983</v>
      </c>
      <c r="P837">
        <v>2</v>
      </c>
      <c r="Q837" s="11" t="s">
        <v>594</v>
      </c>
      <c r="R837" s="7"/>
      <c r="S837" s="7"/>
      <c r="T837" s="7"/>
      <c r="U837" s="7"/>
      <c r="V837" s="10">
        <v>7.5741092456127026</v>
      </c>
      <c r="W837" s="9">
        <v>44980</v>
      </c>
      <c r="X837" s="10">
        <v>7.5</v>
      </c>
      <c r="Y837" s="9">
        <v>44983</v>
      </c>
      <c r="Z837">
        <v>2</v>
      </c>
      <c r="AA837" s="11" t="s">
        <v>594</v>
      </c>
    </row>
    <row r="838" spans="2:27" ht="16" x14ac:dyDescent="0.2">
      <c r="B838" t="s">
        <v>35</v>
      </c>
      <c r="C838">
        <v>40357650</v>
      </c>
      <c r="D838" t="s">
        <v>389</v>
      </c>
      <c r="E838">
        <v>1030525</v>
      </c>
      <c r="F838" t="s">
        <v>377</v>
      </c>
      <c r="G838" s="9">
        <v>44971</v>
      </c>
      <c r="H838" s="7"/>
      <c r="I838" s="7"/>
      <c r="J838" s="7"/>
      <c r="K838" s="7"/>
      <c r="L838" s="10">
        <v>5.5741092456127026</v>
      </c>
      <c r="M838" s="9">
        <v>44976</v>
      </c>
      <c r="N838" s="10">
        <v>5.5</v>
      </c>
      <c r="O838" s="9">
        <v>44981</v>
      </c>
      <c r="P838">
        <v>3</v>
      </c>
      <c r="Q838" s="11" t="s">
        <v>49</v>
      </c>
      <c r="R838" s="7"/>
      <c r="S838" s="7"/>
      <c r="T838" s="7"/>
      <c r="U838" s="7"/>
      <c r="V838" s="10">
        <v>7.5741092456127026</v>
      </c>
      <c r="W838" s="9">
        <v>44978</v>
      </c>
      <c r="X838" s="10">
        <v>7.5</v>
      </c>
      <c r="Y838" s="9">
        <v>44981</v>
      </c>
      <c r="Z838">
        <v>3</v>
      </c>
      <c r="AA838" s="11" t="s">
        <v>49</v>
      </c>
    </row>
    <row r="839" spans="2:27" ht="16" x14ac:dyDescent="0.2">
      <c r="B839" t="s">
        <v>35</v>
      </c>
      <c r="C839">
        <v>40357648</v>
      </c>
      <c r="D839" t="s">
        <v>389</v>
      </c>
      <c r="E839">
        <v>1030566</v>
      </c>
      <c r="F839" t="s">
        <v>439</v>
      </c>
      <c r="G839" s="9">
        <v>44978</v>
      </c>
      <c r="H839" s="7">
        <v>12000</v>
      </c>
      <c r="I839" s="7"/>
      <c r="J839" s="7"/>
      <c r="K839" s="7"/>
      <c r="L839" s="10">
        <v>5.5741092456127026</v>
      </c>
      <c r="M839" s="9">
        <v>44983</v>
      </c>
      <c r="N839" s="10">
        <v>5.5</v>
      </c>
      <c r="O839" s="9">
        <v>44988</v>
      </c>
      <c r="P839">
        <v>24</v>
      </c>
      <c r="Q839" s="11" t="s">
        <v>49</v>
      </c>
      <c r="R839" s="7">
        <v>12000</v>
      </c>
      <c r="S839" s="7"/>
      <c r="T839" s="7"/>
      <c r="U839" s="7"/>
      <c r="V839" s="10">
        <v>7.5741092456127026</v>
      </c>
      <c r="W839" s="9">
        <v>44985</v>
      </c>
      <c r="X839" s="10">
        <v>7.5</v>
      </c>
      <c r="Y839" s="9">
        <v>44988</v>
      </c>
      <c r="Z839">
        <v>24</v>
      </c>
      <c r="AA839" s="11" t="s">
        <v>49</v>
      </c>
    </row>
    <row r="840" spans="2:27" ht="16" x14ac:dyDescent="0.2">
      <c r="B840" t="s">
        <v>35</v>
      </c>
      <c r="C840">
        <v>40357648</v>
      </c>
      <c r="D840" t="s">
        <v>389</v>
      </c>
      <c r="E840">
        <v>1030525</v>
      </c>
      <c r="F840" t="s">
        <v>377</v>
      </c>
      <c r="G840" s="9">
        <v>44978</v>
      </c>
      <c r="H840" s="7">
        <v>12000</v>
      </c>
      <c r="I840" s="7"/>
      <c r="J840" s="7"/>
      <c r="K840" s="7"/>
      <c r="L840" s="10">
        <v>5.5741092456127026</v>
      </c>
      <c r="M840" s="9">
        <v>44983</v>
      </c>
      <c r="N840" s="10">
        <v>5.5</v>
      </c>
      <c r="O840" s="9">
        <v>44988</v>
      </c>
      <c r="P840">
        <v>24</v>
      </c>
      <c r="Q840" s="11" t="s">
        <v>49</v>
      </c>
      <c r="R840" s="7">
        <v>12000</v>
      </c>
      <c r="S840" s="7"/>
      <c r="T840" s="7"/>
      <c r="U840" s="7"/>
      <c r="V840" s="10">
        <v>7.5741092456127026</v>
      </c>
      <c r="W840" s="9">
        <v>44985</v>
      </c>
      <c r="X840" s="10">
        <v>7.5</v>
      </c>
      <c r="Y840" s="9">
        <v>44988</v>
      </c>
      <c r="Z840">
        <v>24</v>
      </c>
      <c r="AA840" s="11" t="s">
        <v>49</v>
      </c>
    </row>
    <row r="841" spans="2:27" ht="16" x14ac:dyDescent="0.2">
      <c r="B841" t="s">
        <v>35</v>
      </c>
      <c r="C841">
        <v>40357647</v>
      </c>
      <c r="D841" t="s">
        <v>389</v>
      </c>
      <c r="E841">
        <v>1030566</v>
      </c>
      <c r="F841" t="s">
        <v>439</v>
      </c>
      <c r="G841" s="9">
        <v>44990</v>
      </c>
      <c r="H841" s="7">
        <v>24000</v>
      </c>
      <c r="I841" s="7"/>
      <c r="J841" s="7"/>
      <c r="K841" s="7"/>
      <c r="L841" s="10">
        <v>5.5741092456127026</v>
      </c>
      <c r="M841" s="9">
        <v>44995</v>
      </c>
      <c r="N841" s="10">
        <v>5.5</v>
      </c>
      <c r="O841" s="9">
        <v>45000</v>
      </c>
      <c r="P841">
        <v>14</v>
      </c>
      <c r="Q841" s="11" t="s">
        <v>49</v>
      </c>
      <c r="R841" s="7">
        <v>24000</v>
      </c>
      <c r="S841" s="7"/>
      <c r="T841" s="7"/>
      <c r="U841" s="7"/>
      <c r="V841" s="10">
        <v>7.5741092456127026</v>
      </c>
      <c r="W841" s="9">
        <v>44997</v>
      </c>
      <c r="X841" s="10">
        <v>7.5</v>
      </c>
      <c r="Y841" s="9">
        <v>45000</v>
      </c>
      <c r="Z841">
        <v>14</v>
      </c>
      <c r="AA841" s="11" t="s">
        <v>49</v>
      </c>
    </row>
    <row r="842" spans="2:27" ht="16" x14ac:dyDescent="0.2">
      <c r="B842" t="s">
        <v>35</v>
      </c>
      <c r="C842">
        <v>40357646</v>
      </c>
      <c r="D842" t="s">
        <v>389</v>
      </c>
      <c r="E842">
        <v>1022851</v>
      </c>
      <c r="F842" t="s">
        <v>322</v>
      </c>
      <c r="G842" s="9">
        <v>44995</v>
      </c>
      <c r="H842" s="7">
        <v>24319.47</v>
      </c>
      <c r="I842" s="7"/>
      <c r="J842" s="7"/>
      <c r="K842" s="7"/>
      <c r="L842" s="10">
        <v>5.5741092456127026</v>
      </c>
      <c r="M842" s="9">
        <v>45000</v>
      </c>
      <c r="N842" s="10">
        <v>5.5</v>
      </c>
      <c r="O842" s="9">
        <v>45005</v>
      </c>
      <c r="P842">
        <v>10</v>
      </c>
      <c r="Q842" s="11" t="s">
        <v>49</v>
      </c>
      <c r="R842" s="7">
        <v>24319.47</v>
      </c>
      <c r="S842" s="7"/>
      <c r="T842" s="7"/>
      <c r="U842" s="7"/>
      <c r="V842" s="10">
        <v>7.5741092456127026</v>
      </c>
      <c r="W842" s="9">
        <v>45002</v>
      </c>
      <c r="X842" s="10">
        <v>7.5</v>
      </c>
      <c r="Y842" s="9">
        <v>45005</v>
      </c>
      <c r="Z842">
        <v>10</v>
      </c>
      <c r="AA842" s="11" t="s">
        <v>49</v>
      </c>
    </row>
    <row r="843" spans="2:27" ht="16" x14ac:dyDescent="0.2">
      <c r="B843" t="s">
        <v>35</v>
      </c>
      <c r="C843">
        <v>40357645</v>
      </c>
      <c r="D843" t="s">
        <v>389</v>
      </c>
      <c r="E843">
        <v>1022851</v>
      </c>
      <c r="F843" t="s">
        <v>322</v>
      </c>
      <c r="G843" s="9">
        <v>44990</v>
      </c>
      <c r="H843" s="7">
        <v>23990.19</v>
      </c>
      <c r="I843" s="7"/>
      <c r="J843" s="7"/>
      <c r="K843" s="7"/>
      <c r="L843" s="10">
        <v>5.5741092456127026</v>
      </c>
      <c r="M843" s="9">
        <v>44995</v>
      </c>
      <c r="N843" s="10">
        <v>5.5</v>
      </c>
      <c r="O843" s="9">
        <v>45000</v>
      </c>
      <c r="P843">
        <v>14</v>
      </c>
      <c r="Q843" s="11" t="s">
        <v>49</v>
      </c>
      <c r="R843" s="7">
        <v>23990.19</v>
      </c>
      <c r="S843" s="7"/>
      <c r="T843" s="7"/>
      <c r="U843" s="7"/>
      <c r="V843" s="10">
        <v>7.5741092456127026</v>
      </c>
      <c r="W843" s="9">
        <v>44997</v>
      </c>
      <c r="X843" s="10">
        <v>7.5</v>
      </c>
      <c r="Y843" s="9">
        <v>45000</v>
      </c>
      <c r="Z843">
        <v>14</v>
      </c>
      <c r="AA843" s="11" t="s">
        <v>49</v>
      </c>
    </row>
    <row r="844" spans="2:27" ht="16" x14ac:dyDescent="0.2">
      <c r="B844" t="s">
        <v>35</v>
      </c>
      <c r="C844">
        <v>40357644</v>
      </c>
      <c r="D844" t="s">
        <v>389</v>
      </c>
      <c r="E844">
        <v>1022851</v>
      </c>
      <c r="F844" t="s">
        <v>322</v>
      </c>
      <c r="G844" s="9">
        <v>44990</v>
      </c>
      <c r="H844" s="7">
        <v>24013.5</v>
      </c>
      <c r="I844" s="7"/>
      <c r="J844" s="7"/>
      <c r="K844" s="7"/>
      <c r="L844" s="10">
        <v>5.5741092456127026</v>
      </c>
      <c r="M844" s="9">
        <v>44995</v>
      </c>
      <c r="N844" s="10">
        <v>5.5</v>
      </c>
      <c r="O844" s="9">
        <v>45000</v>
      </c>
      <c r="P844">
        <v>14</v>
      </c>
      <c r="Q844" s="11" t="s">
        <v>49</v>
      </c>
      <c r="R844" s="7">
        <v>24013.5</v>
      </c>
      <c r="S844" s="7"/>
      <c r="T844" s="7"/>
      <c r="U844" s="7"/>
      <c r="V844" s="10">
        <v>7.5741092456127026</v>
      </c>
      <c r="W844" s="9">
        <v>44997</v>
      </c>
      <c r="X844" s="10">
        <v>7.5</v>
      </c>
      <c r="Y844" s="9">
        <v>45000</v>
      </c>
      <c r="Z844">
        <v>14</v>
      </c>
      <c r="AA844" s="11" t="s">
        <v>49</v>
      </c>
    </row>
    <row r="845" spans="2:27" ht="16" x14ac:dyDescent="0.2">
      <c r="B845" t="s">
        <v>35</v>
      </c>
      <c r="C845">
        <v>40357631</v>
      </c>
      <c r="D845" t="s">
        <v>389</v>
      </c>
      <c r="E845">
        <v>1030686</v>
      </c>
      <c r="F845" t="s">
        <v>381</v>
      </c>
      <c r="G845" s="9">
        <v>44987</v>
      </c>
      <c r="H845" s="7">
        <v>24000</v>
      </c>
      <c r="I845" s="7"/>
      <c r="J845" s="7"/>
      <c r="K845" s="7"/>
      <c r="L845" s="10">
        <v>5.5741092456127026</v>
      </c>
      <c r="M845" s="9">
        <v>44992</v>
      </c>
      <c r="N845" s="10">
        <v>5.5</v>
      </c>
      <c r="O845" s="9">
        <v>44997</v>
      </c>
      <c r="P845">
        <v>17</v>
      </c>
      <c r="Q845" s="11" t="s">
        <v>49</v>
      </c>
      <c r="R845" s="7">
        <v>24000</v>
      </c>
      <c r="S845" s="7"/>
      <c r="T845" s="7"/>
      <c r="U845" s="7"/>
      <c r="V845" s="10">
        <v>7.5741092456127026</v>
      </c>
      <c r="W845" s="9">
        <v>44994</v>
      </c>
      <c r="X845" s="10">
        <v>7.5</v>
      </c>
      <c r="Y845" s="9">
        <v>44997</v>
      </c>
      <c r="Z845">
        <v>17</v>
      </c>
      <c r="AA845" s="11" t="s">
        <v>49</v>
      </c>
    </row>
    <row r="846" spans="2:27" ht="16" x14ac:dyDescent="0.2">
      <c r="B846" t="s">
        <v>35</v>
      </c>
      <c r="C846">
        <v>40357630</v>
      </c>
      <c r="D846" t="s">
        <v>389</v>
      </c>
      <c r="E846">
        <v>1030686</v>
      </c>
      <c r="F846" t="s">
        <v>381</v>
      </c>
      <c r="G846" s="9">
        <v>44975</v>
      </c>
      <c r="H846" s="7"/>
      <c r="I846" s="7"/>
      <c r="J846" s="7"/>
      <c r="K846" s="7"/>
      <c r="L846" s="10">
        <v>5.5741092456127026</v>
      </c>
      <c r="M846" s="9">
        <v>44980</v>
      </c>
      <c r="N846" s="10">
        <v>5.5</v>
      </c>
      <c r="O846" s="9">
        <v>44985</v>
      </c>
      <c r="P846">
        <v>0</v>
      </c>
      <c r="Q846" s="11" t="s">
        <v>594</v>
      </c>
      <c r="R846" s="7"/>
      <c r="S846" s="7"/>
      <c r="T846" s="7"/>
      <c r="U846" s="7"/>
      <c r="V846" s="10">
        <v>7.5741092456127026</v>
      </c>
      <c r="W846" s="9">
        <v>44982</v>
      </c>
      <c r="X846" s="10">
        <v>7.5</v>
      </c>
      <c r="Y846" s="9">
        <v>44985</v>
      </c>
      <c r="Z846">
        <v>0</v>
      </c>
      <c r="AA846" s="11" t="s">
        <v>594</v>
      </c>
    </row>
    <row r="847" spans="2:27" ht="16" x14ac:dyDescent="0.2">
      <c r="B847" t="s">
        <v>35</v>
      </c>
      <c r="C847">
        <v>40357629</v>
      </c>
      <c r="D847" t="s">
        <v>389</v>
      </c>
      <c r="E847">
        <v>1030686</v>
      </c>
      <c r="F847" t="s">
        <v>381</v>
      </c>
      <c r="G847" s="9">
        <v>44977</v>
      </c>
      <c r="H847" s="7">
        <v>24000</v>
      </c>
      <c r="I847" s="7"/>
      <c r="J847" s="7"/>
      <c r="K847" s="7"/>
      <c r="L847" s="10">
        <v>5.5741092456127026</v>
      </c>
      <c r="M847" s="9">
        <v>44982</v>
      </c>
      <c r="N847" s="10">
        <v>5.5</v>
      </c>
      <c r="O847" s="9">
        <v>44987</v>
      </c>
      <c r="P847">
        <v>25</v>
      </c>
      <c r="Q847" s="11" t="s">
        <v>49</v>
      </c>
      <c r="R847" s="7">
        <v>24000</v>
      </c>
      <c r="S847" s="7"/>
      <c r="T847" s="7"/>
      <c r="U847" s="7"/>
      <c r="V847" s="10">
        <v>7.5741092456127026</v>
      </c>
      <c r="W847" s="9">
        <v>44984</v>
      </c>
      <c r="X847" s="10">
        <v>7.5</v>
      </c>
      <c r="Y847" s="9">
        <v>44987</v>
      </c>
      <c r="Z847">
        <v>25</v>
      </c>
      <c r="AA847" s="11" t="s">
        <v>49</v>
      </c>
    </row>
    <row r="848" spans="2:27" ht="16" x14ac:dyDescent="0.2">
      <c r="B848" t="s">
        <v>35</v>
      </c>
      <c r="C848">
        <v>40357628</v>
      </c>
      <c r="D848" t="s">
        <v>389</v>
      </c>
      <c r="E848">
        <v>1030686</v>
      </c>
      <c r="F848" t="s">
        <v>381</v>
      </c>
      <c r="G848" s="9">
        <v>44977</v>
      </c>
      <c r="H848" s="7">
        <v>24000</v>
      </c>
      <c r="I848" s="7"/>
      <c r="J848" s="7"/>
      <c r="K848" s="7"/>
      <c r="L848" s="10">
        <v>5.5741092456127026</v>
      </c>
      <c r="M848" s="9">
        <v>44982</v>
      </c>
      <c r="N848" s="10">
        <v>5.5</v>
      </c>
      <c r="O848" s="9">
        <v>44987</v>
      </c>
      <c r="P848">
        <v>25</v>
      </c>
      <c r="Q848" s="11" t="s">
        <v>49</v>
      </c>
      <c r="R848" s="7">
        <v>24000</v>
      </c>
      <c r="S848" s="7"/>
      <c r="T848" s="7"/>
      <c r="U848" s="7"/>
      <c r="V848" s="10">
        <v>7.5741092456127026</v>
      </c>
      <c r="W848" s="9">
        <v>44984</v>
      </c>
      <c r="X848" s="10">
        <v>7.5</v>
      </c>
      <c r="Y848" s="9">
        <v>44987</v>
      </c>
      <c r="Z848">
        <v>25</v>
      </c>
      <c r="AA848" s="11" t="s">
        <v>49</v>
      </c>
    </row>
    <row r="849" spans="2:27" ht="16" x14ac:dyDescent="0.2">
      <c r="B849" t="s">
        <v>35</v>
      </c>
      <c r="C849">
        <v>40357626</v>
      </c>
      <c r="D849" t="s">
        <v>389</v>
      </c>
      <c r="E849">
        <v>1030685</v>
      </c>
      <c r="F849" t="s">
        <v>413</v>
      </c>
      <c r="G849" s="9">
        <v>44975</v>
      </c>
      <c r="H849" s="7"/>
      <c r="I849" s="7"/>
      <c r="J849" s="7"/>
      <c r="K849" s="7"/>
      <c r="L849" s="10">
        <v>5.5741092456127026</v>
      </c>
      <c r="M849" s="9">
        <v>44980</v>
      </c>
      <c r="N849" s="10">
        <v>5.5</v>
      </c>
      <c r="O849" s="9">
        <v>44985</v>
      </c>
      <c r="P849">
        <v>0</v>
      </c>
      <c r="Q849" s="11" t="s">
        <v>594</v>
      </c>
      <c r="R849" s="7"/>
      <c r="S849" s="7"/>
      <c r="T849" s="7"/>
      <c r="U849" s="7"/>
      <c r="V849" s="10">
        <v>7.5741092456127026</v>
      </c>
      <c r="W849" s="9">
        <v>44982</v>
      </c>
      <c r="X849" s="10">
        <v>7.5</v>
      </c>
      <c r="Y849" s="9">
        <v>44985</v>
      </c>
      <c r="Z849">
        <v>0</v>
      </c>
      <c r="AA849" s="11" t="s">
        <v>594</v>
      </c>
    </row>
    <row r="850" spans="2:27" ht="16" x14ac:dyDescent="0.2">
      <c r="B850" t="s">
        <v>35</v>
      </c>
      <c r="C850">
        <v>40357625</v>
      </c>
      <c r="D850" t="s">
        <v>389</v>
      </c>
      <c r="E850">
        <v>1030685</v>
      </c>
      <c r="F850" t="s">
        <v>413</v>
      </c>
      <c r="G850" s="9">
        <v>44975</v>
      </c>
      <c r="H850" s="7"/>
      <c r="I850" s="7"/>
      <c r="J850" s="7"/>
      <c r="K850" s="7"/>
      <c r="L850" s="10">
        <v>5.5741092456127026</v>
      </c>
      <c r="M850" s="9">
        <v>44980</v>
      </c>
      <c r="N850" s="10">
        <v>5.5</v>
      </c>
      <c r="O850" s="9">
        <v>44985</v>
      </c>
      <c r="P850">
        <v>0</v>
      </c>
      <c r="Q850" s="11" t="s">
        <v>594</v>
      </c>
      <c r="R850" s="7"/>
      <c r="S850" s="7"/>
      <c r="T850" s="7"/>
      <c r="U850" s="7"/>
      <c r="V850" s="10">
        <v>7.5741092456127026</v>
      </c>
      <c r="W850" s="9">
        <v>44982</v>
      </c>
      <c r="X850" s="10">
        <v>7.5</v>
      </c>
      <c r="Y850" s="9">
        <v>44985</v>
      </c>
      <c r="Z850">
        <v>0</v>
      </c>
      <c r="AA850" s="11" t="s">
        <v>594</v>
      </c>
    </row>
    <row r="851" spans="2:27" ht="16" x14ac:dyDescent="0.2">
      <c r="B851" t="s">
        <v>35</v>
      </c>
      <c r="C851">
        <v>40357620</v>
      </c>
      <c r="D851" t="s">
        <v>389</v>
      </c>
      <c r="E851">
        <v>1022378</v>
      </c>
      <c r="F851" t="s">
        <v>304</v>
      </c>
      <c r="G851" s="9">
        <v>44977</v>
      </c>
      <c r="H851" s="7">
        <v>24000</v>
      </c>
      <c r="I851" s="7"/>
      <c r="J851" s="7"/>
      <c r="K851" s="7"/>
      <c r="L851" s="10">
        <v>5.5741092456127026</v>
      </c>
      <c r="M851" s="9">
        <v>44982</v>
      </c>
      <c r="N851" s="10">
        <v>5.5</v>
      </c>
      <c r="O851" s="9">
        <v>44987</v>
      </c>
      <c r="P851">
        <v>25</v>
      </c>
      <c r="Q851" s="11" t="s">
        <v>49</v>
      </c>
      <c r="R851" s="7">
        <v>24000</v>
      </c>
      <c r="S851" s="7"/>
      <c r="T851" s="7"/>
      <c r="U851" s="7"/>
      <c r="V851" s="10">
        <v>7.5741092456127026</v>
      </c>
      <c r="W851" s="9">
        <v>44984</v>
      </c>
      <c r="X851" s="10">
        <v>7.5</v>
      </c>
      <c r="Y851" s="9">
        <v>44987</v>
      </c>
      <c r="Z851">
        <v>25</v>
      </c>
      <c r="AA851" s="11" t="s">
        <v>49</v>
      </c>
    </row>
    <row r="852" spans="2:27" ht="16" x14ac:dyDescent="0.2">
      <c r="B852" t="s">
        <v>35</v>
      </c>
      <c r="C852">
        <v>40357619</v>
      </c>
      <c r="D852" t="s">
        <v>389</v>
      </c>
      <c r="E852">
        <v>1022378</v>
      </c>
      <c r="F852" t="s">
        <v>304</v>
      </c>
      <c r="G852" s="9">
        <v>44971</v>
      </c>
      <c r="H852" s="7"/>
      <c r="I852" s="7"/>
      <c r="J852" s="7"/>
      <c r="K852" s="7"/>
      <c r="L852" s="10">
        <v>5.5741092456127026</v>
      </c>
      <c r="M852" s="9">
        <v>44976</v>
      </c>
      <c r="N852" s="10">
        <v>5.5</v>
      </c>
      <c r="O852" s="9">
        <v>44981</v>
      </c>
      <c r="P852">
        <v>3</v>
      </c>
      <c r="Q852" s="11" t="s">
        <v>49</v>
      </c>
      <c r="R852" s="7"/>
      <c r="S852" s="7"/>
      <c r="T852" s="7"/>
      <c r="U852" s="7"/>
      <c r="V852" s="10">
        <v>7.5741092456127026</v>
      </c>
      <c r="W852" s="9">
        <v>44978</v>
      </c>
      <c r="X852" s="10">
        <v>7.5</v>
      </c>
      <c r="Y852" s="9">
        <v>44981</v>
      </c>
      <c r="Z852">
        <v>3</v>
      </c>
      <c r="AA852" s="11" t="s">
        <v>49</v>
      </c>
    </row>
    <row r="853" spans="2:27" ht="16" x14ac:dyDescent="0.2">
      <c r="B853" t="s">
        <v>35</v>
      </c>
      <c r="C853">
        <v>40357617</v>
      </c>
      <c r="D853" t="s">
        <v>389</v>
      </c>
      <c r="E853">
        <v>1022291</v>
      </c>
      <c r="F853" t="s">
        <v>414</v>
      </c>
      <c r="G853" s="9">
        <v>44975</v>
      </c>
      <c r="H853" s="7"/>
      <c r="I853" s="7"/>
      <c r="J853" s="7"/>
      <c r="K853" s="7"/>
      <c r="L853" s="10">
        <v>5.5741092456127026</v>
      </c>
      <c r="M853" s="9">
        <v>44980</v>
      </c>
      <c r="N853" s="10">
        <v>5.5</v>
      </c>
      <c r="O853" s="9">
        <v>44985</v>
      </c>
      <c r="P853">
        <v>0</v>
      </c>
      <c r="Q853" s="11" t="s">
        <v>594</v>
      </c>
      <c r="R853" s="7"/>
      <c r="S853" s="7"/>
      <c r="T853" s="7"/>
      <c r="U853" s="7"/>
      <c r="V853" s="10">
        <v>7.5741092456127026</v>
      </c>
      <c r="W853" s="9">
        <v>44982</v>
      </c>
      <c r="X853" s="10">
        <v>7.5</v>
      </c>
      <c r="Y853" s="9">
        <v>44985</v>
      </c>
      <c r="Z853">
        <v>0</v>
      </c>
      <c r="AA853" s="11" t="s">
        <v>594</v>
      </c>
    </row>
    <row r="854" spans="2:27" ht="16" x14ac:dyDescent="0.2">
      <c r="B854" t="s">
        <v>35</v>
      </c>
      <c r="C854">
        <v>40357613</v>
      </c>
      <c r="D854" t="s">
        <v>389</v>
      </c>
      <c r="E854">
        <v>1022639</v>
      </c>
      <c r="F854" t="s">
        <v>316</v>
      </c>
      <c r="G854" s="9">
        <v>44990</v>
      </c>
      <c r="H854" s="7">
        <v>21970.44</v>
      </c>
      <c r="I854" s="7"/>
      <c r="J854" s="7"/>
      <c r="K854" s="7"/>
      <c r="L854" s="10">
        <v>5.5741092456127026</v>
      </c>
      <c r="M854" s="9">
        <v>44995</v>
      </c>
      <c r="N854" s="10">
        <v>5.5</v>
      </c>
      <c r="O854" s="9">
        <v>45000</v>
      </c>
      <c r="P854">
        <v>14</v>
      </c>
      <c r="Q854" s="11" t="s">
        <v>49</v>
      </c>
      <c r="R854" s="7">
        <v>21970.44</v>
      </c>
      <c r="S854" s="7"/>
      <c r="T854" s="7"/>
      <c r="U854" s="7"/>
      <c r="V854" s="10">
        <v>7.5741092456127026</v>
      </c>
      <c r="W854" s="9">
        <v>44997</v>
      </c>
      <c r="X854" s="10">
        <v>7.5</v>
      </c>
      <c r="Y854" s="9">
        <v>45000</v>
      </c>
      <c r="Z854">
        <v>14</v>
      </c>
      <c r="AA854" s="11" t="s">
        <v>49</v>
      </c>
    </row>
    <row r="855" spans="2:27" ht="16" x14ac:dyDescent="0.2">
      <c r="B855" t="s">
        <v>35</v>
      </c>
      <c r="C855">
        <v>40357611</v>
      </c>
      <c r="D855" t="s">
        <v>389</v>
      </c>
      <c r="E855">
        <v>1022639</v>
      </c>
      <c r="F855" t="s">
        <v>316</v>
      </c>
      <c r="G855" s="9">
        <v>44994</v>
      </c>
      <c r="H855" s="7">
        <v>21989.87</v>
      </c>
      <c r="I855" s="7"/>
      <c r="J855" s="7"/>
      <c r="K855" s="7"/>
      <c r="L855" s="10">
        <v>5.5741092456127026</v>
      </c>
      <c r="M855" s="9">
        <v>44999</v>
      </c>
      <c r="N855" s="10">
        <v>5.5</v>
      </c>
      <c r="O855" s="9">
        <v>45004</v>
      </c>
      <c r="P855">
        <v>11</v>
      </c>
      <c r="Q855" s="11" t="s">
        <v>49</v>
      </c>
      <c r="R855" s="7">
        <v>21989.87</v>
      </c>
      <c r="S855" s="7"/>
      <c r="T855" s="7"/>
      <c r="U855" s="7"/>
      <c r="V855" s="10">
        <v>7.5741092456127026</v>
      </c>
      <c r="W855" s="9">
        <v>45001</v>
      </c>
      <c r="X855" s="10">
        <v>7.5</v>
      </c>
      <c r="Y855" s="9">
        <v>45004</v>
      </c>
      <c r="Z855">
        <v>11</v>
      </c>
      <c r="AA855" s="11" t="s">
        <v>49</v>
      </c>
    </row>
    <row r="856" spans="2:27" ht="16" x14ac:dyDescent="0.2">
      <c r="B856" t="s">
        <v>35</v>
      </c>
      <c r="C856">
        <v>40357610</v>
      </c>
      <c r="D856" t="s">
        <v>389</v>
      </c>
      <c r="E856">
        <v>1022639</v>
      </c>
      <c r="F856" t="s">
        <v>316</v>
      </c>
      <c r="G856" s="9">
        <v>44990</v>
      </c>
      <c r="H856" s="7">
        <v>22101</v>
      </c>
      <c r="I856" s="7"/>
      <c r="J856" s="7"/>
      <c r="K856" s="7"/>
      <c r="L856" s="10">
        <v>5.5741092456127026</v>
      </c>
      <c r="M856" s="9">
        <v>44995</v>
      </c>
      <c r="N856" s="10">
        <v>5.5</v>
      </c>
      <c r="O856" s="9">
        <v>45000</v>
      </c>
      <c r="P856">
        <v>14</v>
      </c>
      <c r="Q856" s="11" t="s">
        <v>49</v>
      </c>
      <c r="R856" s="7">
        <v>22101</v>
      </c>
      <c r="S856" s="7"/>
      <c r="T856" s="7"/>
      <c r="U856" s="7"/>
      <c r="V856" s="10">
        <v>7.5741092456127026</v>
      </c>
      <c r="W856" s="9">
        <v>44997</v>
      </c>
      <c r="X856" s="10">
        <v>7.5</v>
      </c>
      <c r="Y856" s="9">
        <v>45000</v>
      </c>
      <c r="Z856">
        <v>14</v>
      </c>
      <c r="AA856" s="11" t="s">
        <v>49</v>
      </c>
    </row>
    <row r="857" spans="2:27" ht="16" x14ac:dyDescent="0.2">
      <c r="B857" t="s">
        <v>35</v>
      </c>
      <c r="C857">
        <v>40357609</v>
      </c>
      <c r="D857" t="s">
        <v>389</v>
      </c>
      <c r="E857">
        <v>1022639</v>
      </c>
      <c r="F857" t="s">
        <v>316</v>
      </c>
      <c r="G857" s="9">
        <v>44995</v>
      </c>
      <c r="H857" s="7">
        <v>22146.36</v>
      </c>
      <c r="I857" s="7"/>
      <c r="J857" s="7"/>
      <c r="K857" s="7"/>
      <c r="L857" s="10">
        <v>5.5741092456127026</v>
      </c>
      <c r="M857" s="9">
        <v>45000</v>
      </c>
      <c r="N857" s="10">
        <v>5.5</v>
      </c>
      <c r="O857" s="9">
        <v>45005</v>
      </c>
      <c r="P857">
        <v>10</v>
      </c>
      <c r="Q857" s="11" t="s">
        <v>49</v>
      </c>
      <c r="R857" s="7">
        <v>22146.36</v>
      </c>
      <c r="S857" s="7"/>
      <c r="T857" s="7"/>
      <c r="U857" s="7"/>
      <c r="V857" s="10">
        <v>7.5741092456127026</v>
      </c>
      <c r="W857" s="9">
        <v>45002</v>
      </c>
      <c r="X857" s="10">
        <v>7.5</v>
      </c>
      <c r="Y857" s="9">
        <v>45005</v>
      </c>
      <c r="Z857">
        <v>10</v>
      </c>
      <c r="AA857" s="11" t="s">
        <v>49</v>
      </c>
    </row>
    <row r="858" spans="2:27" ht="16" x14ac:dyDescent="0.2">
      <c r="B858" t="s">
        <v>35</v>
      </c>
      <c r="C858">
        <v>40357608</v>
      </c>
      <c r="D858" t="s">
        <v>389</v>
      </c>
      <c r="E858">
        <v>1022639</v>
      </c>
      <c r="F858" t="s">
        <v>316</v>
      </c>
      <c r="G858" s="9">
        <v>44990</v>
      </c>
      <c r="H858" s="7">
        <v>22071.72</v>
      </c>
      <c r="I858" s="7"/>
      <c r="J858" s="7"/>
      <c r="K858" s="7"/>
      <c r="L858" s="10">
        <v>5.5741092456127026</v>
      </c>
      <c r="M858" s="9">
        <v>44995</v>
      </c>
      <c r="N858" s="10">
        <v>5.5</v>
      </c>
      <c r="O858" s="9">
        <v>45000</v>
      </c>
      <c r="P858">
        <v>14</v>
      </c>
      <c r="Q858" s="11" t="s">
        <v>49</v>
      </c>
      <c r="R858" s="7">
        <v>22071.72</v>
      </c>
      <c r="S858" s="7"/>
      <c r="T858" s="7"/>
      <c r="U858" s="7"/>
      <c r="V858" s="10">
        <v>7.5741092456127026</v>
      </c>
      <c r="W858" s="9">
        <v>44997</v>
      </c>
      <c r="X858" s="10">
        <v>7.5</v>
      </c>
      <c r="Y858" s="9">
        <v>45000</v>
      </c>
      <c r="Z858">
        <v>14</v>
      </c>
      <c r="AA858" s="11" t="s">
        <v>49</v>
      </c>
    </row>
    <row r="859" spans="2:27" ht="16" x14ac:dyDescent="0.2">
      <c r="B859" t="s">
        <v>35</v>
      </c>
      <c r="C859">
        <v>40357606</v>
      </c>
      <c r="D859" t="s">
        <v>389</v>
      </c>
      <c r="E859">
        <v>1022639</v>
      </c>
      <c r="F859" t="s">
        <v>316</v>
      </c>
      <c r="G859" s="9">
        <v>44990</v>
      </c>
      <c r="H859" s="7">
        <v>22048.99</v>
      </c>
      <c r="I859" s="7"/>
      <c r="J859" s="7"/>
      <c r="K859" s="7"/>
      <c r="L859" s="10">
        <v>5.5741092456127026</v>
      </c>
      <c r="M859" s="9">
        <v>44995</v>
      </c>
      <c r="N859" s="10">
        <v>5.5</v>
      </c>
      <c r="O859" s="9">
        <v>45000</v>
      </c>
      <c r="P859">
        <v>14</v>
      </c>
      <c r="Q859" s="11" t="s">
        <v>49</v>
      </c>
      <c r="R859" s="7">
        <v>22048.99</v>
      </c>
      <c r="S859" s="7"/>
      <c r="T859" s="7"/>
      <c r="U859" s="7"/>
      <c r="V859" s="10">
        <v>7.5741092456127026</v>
      </c>
      <c r="W859" s="9">
        <v>44997</v>
      </c>
      <c r="X859" s="10">
        <v>7.5</v>
      </c>
      <c r="Y859" s="9">
        <v>45000</v>
      </c>
      <c r="Z859">
        <v>14</v>
      </c>
      <c r="AA859" s="11" t="s">
        <v>49</v>
      </c>
    </row>
    <row r="860" spans="2:27" ht="16" x14ac:dyDescent="0.2">
      <c r="B860" t="s">
        <v>35</v>
      </c>
      <c r="C860">
        <v>40357569</v>
      </c>
      <c r="D860" t="s">
        <v>389</v>
      </c>
      <c r="E860">
        <v>1022373</v>
      </c>
      <c r="F860" t="s">
        <v>302</v>
      </c>
      <c r="G860" s="9">
        <v>44981</v>
      </c>
      <c r="H860" s="7">
        <v>16746.79</v>
      </c>
      <c r="I860" s="7"/>
      <c r="J860" s="7"/>
      <c r="K860" s="7"/>
      <c r="L860" s="10">
        <v>5.5741092456127026</v>
      </c>
      <c r="M860" s="9">
        <v>44986</v>
      </c>
      <c r="N860" s="10">
        <v>5.5</v>
      </c>
      <c r="O860" s="9">
        <v>44991</v>
      </c>
      <c r="P860">
        <v>22</v>
      </c>
      <c r="Q860" s="11" t="s">
        <v>49</v>
      </c>
      <c r="R860" s="7">
        <v>16746.79</v>
      </c>
      <c r="S860" s="7"/>
      <c r="T860" s="7"/>
      <c r="U860" s="7"/>
      <c r="V860" s="10">
        <v>7.5741092456127026</v>
      </c>
      <c r="W860" s="9">
        <v>44988</v>
      </c>
      <c r="X860" s="10">
        <v>7.5</v>
      </c>
      <c r="Y860" s="9">
        <v>44991</v>
      </c>
      <c r="Z860">
        <v>22</v>
      </c>
      <c r="AA860" s="11" t="s">
        <v>49</v>
      </c>
    </row>
    <row r="861" spans="2:27" ht="16" x14ac:dyDescent="0.2">
      <c r="B861" t="s">
        <v>35</v>
      </c>
      <c r="C861">
        <v>40357569</v>
      </c>
      <c r="D861" t="s">
        <v>389</v>
      </c>
      <c r="E861">
        <v>1022373</v>
      </c>
      <c r="F861" t="s">
        <v>302</v>
      </c>
      <c r="G861" s="9">
        <v>44981</v>
      </c>
      <c r="H861" s="7">
        <v>25249.919999999998</v>
      </c>
      <c r="I861" s="7"/>
      <c r="J861" s="7"/>
      <c r="K861" s="7"/>
      <c r="L861" s="10">
        <v>5.5741092456127026</v>
      </c>
      <c r="M861" s="9">
        <v>44986</v>
      </c>
      <c r="N861" s="10">
        <v>5.5</v>
      </c>
      <c r="O861" s="9">
        <v>44991</v>
      </c>
      <c r="P861">
        <v>22</v>
      </c>
      <c r="Q861" s="11" t="s">
        <v>49</v>
      </c>
      <c r="R861" s="7">
        <v>25249.919999999998</v>
      </c>
      <c r="S861" s="7"/>
      <c r="T861" s="7"/>
      <c r="U861" s="7"/>
      <c r="V861" s="10">
        <v>7.5741092456127026</v>
      </c>
      <c r="W861" s="9">
        <v>44988</v>
      </c>
      <c r="X861" s="10">
        <v>7.5</v>
      </c>
      <c r="Y861" s="9">
        <v>44991</v>
      </c>
      <c r="Z861">
        <v>22</v>
      </c>
      <c r="AA861" s="11" t="s">
        <v>49</v>
      </c>
    </row>
    <row r="862" spans="2:27" ht="16" x14ac:dyDescent="0.2">
      <c r="B862" t="s">
        <v>35</v>
      </c>
      <c r="C862">
        <v>40357568</v>
      </c>
      <c r="D862" t="s">
        <v>389</v>
      </c>
      <c r="E862">
        <v>1022373</v>
      </c>
      <c r="F862" t="s">
        <v>302</v>
      </c>
      <c r="G862" s="9">
        <v>44975</v>
      </c>
      <c r="H862" s="7"/>
      <c r="I862" s="7"/>
      <c r="J862" s="7"/>
      <c r="K862" s="7"/>
      <c r="L862" s="10">
        <v>5.5741092456127026</v>
      </c>
      <c r="M862" s="9">
        <v>44980</v>
      </c>
      <c r="N862" s="10">
        <v>5.5</v>
      </c>
      <c r="O862" s="9">
        <v>44985</v>
      </c>
      <c r="P862">
        <v>0</v>
      </c>
      <c r="Q862" s="11" t="s">
        <v>594</v>
      </c>
      <c r="R862" s="7"/>
      <c r="S862" s="7"/>
      <c r="T862" s="7"/>
      <c r="U862" s="7"/>
      <c r="V862" s="10">
        <v>7.5741092456127026</v>
      </c>
      <c r="W862" s="9">
        <v>44982</v>
      </c>
      <c r="X862" s="10">
        <v>7.5</v>
      </c>
      <c r="Y862" s="9">
        <v>44985</v>
      </c>
      <c r="Z862">
        <v>0</v>
      </c>
      <c r="AA862" s="11" t="s">
        <v>594</v>
      </c>
    </row>
    <row r="863" spans="2:27" ht="16" x14ac:dyDescent="0.2">
      <c r="B863" t="s">
        <v>35</v>
      </c>
      <c r="C863">
        <v>40357565</v>
      </c>
      <c r="D863" t="s">
        <v>389</v>
      </c>
      <c r="E863">
        <v>1022169</v>
      </c>
      <c r="F863" t="s">
        <v>298</v>
      </c>
      <c r="G863" s="9">
        <v>44989</v>
      </c>
      <c r="H863" s="7">
        <v>24070</v>
      </c>
      <c r="I863" s="7"/>
      <c r="J863" s="7"/>
      <c r="K863" s="7"/>
      <c r="L863" s="10">
        <v>5.5741092456127026</v>
      </c>
      <c r="M863" s="9">
        <v>44994</v>
      </c>
      <c r="N863" s="10">
        <v>5.5</v>
      </c>
      <c r="O863" s="9">
        <v>44999</v>
      </c>
      <c r="P863">
        <v>15</v>
      </c>
      <c r="Q863" s="11" t="s">
        <v>49</v>
      </c>
      <c r="R863" s="7">
        <v>24070</v>
      </c>
      <c r="S863" s="7"/>
      <c r="T863" s="7"/>
      <c r="U863" s="7"/>
      <c r="V863" s="10">
        <v>7.5741092456127026</v>
      </c>
      <c r="W863" s="9">
        <v>44996</v>
      </c>
      <c r="X863" s="10">
        <v>7.5</v>
      </c>
      <c r="Y863" s="9">
        <v>44999</v>
      </c>
      <c r="Z863">
        <v>15</v>
      </c>
      <c r="AA863" s="11" t="s">
        <v>49</v>
      </c>
    </row>
    <row r="864" spans="2:27" ht="16" x14ac:dyDescent="0.2">
      <c r="B864" t="s">
        <v>35</v>
      </c>
      <c r="C864">
        <v>40357564</v>
      </c>
      <c r="D864" t="s">
        <v>389</v>
      </c>
      <c r="E864">
        <v>1022169</v>
      </c>
      <c r="F864" t="s">
        <v>298</v>
      </c>
      <c r="G864" s="9">
        <v>44981</v>
      </c>
      <c r="H864" s="7">
        <v>23750</v>
      </c>
      <c r="I864" s="7"/>
      <c r="J864" s="7"/>
      <c r="K864" s="7"/>
      <c r="L864" s="10">
        <v>5.5741092456127026</v>
      </c>
      <c r="M864" s="9">
        <v>44986</v>
      </c>
      <c r="N864" s="10">
        <v>5.5</v>
      </c>
      <c r="O864" s="9">
        <v>44991</v>
      </c>
      <c r="P864">
        <v>22</v>
      </c>
      <c r="Q864" s="11" t="s">
        <v>49</v>
      </c>
      <c r="R864" s="7">
        <v>23750</v>
      </c>
      <c r="S864" s="7"/>
      <c r="T864" s="7"/>
      <c r="U864" s="7"/>
      <c r="V864" s="10">
        <v>7.5741092456127026</v>
      </c>
      <c r="W864" s="9">
        <v>44988</v>
      </c>
      <c r="X864" s="10">
        <v>7.5</v>
      </c>
      <c r="Y864" s="9">
        <v>44991</v>
      </c>
      <c r="Z864">
        <v>22</v>
      </c>
      <c r="AA864" s="11" t="s">
        <v>49</v>
      </c>
    </row>
    <row r="865" spans="2:27" ht="16" x14ac:dyDescent="0.2">
      <c r="B865" t="s">
        <v>35</v>
      </c>
      <c r="C865">
        <v>40357563</v>
      </c>
      <c r="D865" t="s">
        <v>389</v>
      </c>
      <c r="E865">
        <v>1022169</v>
      </c>
      <c r="F865" t="s">
        <v>298</v>
      </c>
      <c r="G865" s="9">
        <v>44978</v>
      </c>
      <c r="H865" s="7">
        <v>24000</v>
      </c>
      <c r="I865" s="7"/>
      <c r="J865" s="7"/>
      <c r="K865" s="7"/>
      <c r="L865" s="10">
        <v>5.5741092456127026</v>
      </c>
      <c r="M865" s="9">
        <v>44983</v>
      </c>
      <c r="N865" s="10">
        <v>5.5</v>
      </c>
      <c r="O865" s="9">
        <v>44988</v>
      </c>
      <c r="P865">
        <v>24</v>
      </c>
      <c r="Q865" s="11" t="s">
        <v>49</v>
      </c>
      <c r="R865" s="7">
        <v>24000</v>
      </c>
      <c r="S865" s="7"/>
      <c r="T865" s="7"/>
      <c r="U865" s="7"/>
      <c r="V865" s="10">
        <v>7.5741092456127026</v>
      </c>
      <c r="W865" s="9">
        <v>44985</v>
      </c>
      <c r="X865" s="10">
        <v>7.5</v>
      </c>
      <c r="Y865" s="9">
        <v>44988</v>
      </c>
      <c r="Z865">
        <v>24</v>
      </c>
      <c r="AA865" s="11" t="s">
        <v>49</v>
      </c>
    </row>
    <row r="866" spans="2:27" ht="16" x14ac:dyDescent="0.2">
      <c r="B866" t="s">
        <v>35</v>
      </c>
      <c r="C866">
        <v>40357562</v>
      </c>
      <c r="D866" t="s">
        <v>389</v>
      </c>
      <c r="E866">
        <v>1022169</v>
      </c>
      <c r="F866" t="s">
        <v>298</v>
      </c>
      <c r="G866" s="9">
        <v>44975</v>
      </c>
      <c r="H866" s="7"/>
      <c r="I866" s="7"/>
      <c r="J866" s="7"/>
      <c r="K866" s="7"/>
      <c r="L866" s="10">
        <v>5.5741092456127026</v>
      </c>
      <c r="M866" s="9">
        <v>44980</v>
      </c>
      <c r="N866" s="10">
        <v>5.5</v>
      </c>
      <c r="O866" s="9">
        <v>44985</v>
      </c>
      <c r="P866">
        <v>0</v>
      </c>
      <c r="Q866" s="11" t="s">
        <v>594</v>
      </c>
      <c r="R866" s="7"/>
      <c r="S866" s="7"/>
      <c r="T866" s="7"/>
      <c r="U866" s="7"/>
      <c r="V866" s="10">
        <v>7.5741092456127026</v>
      </c>
      <c r="W866" s="9">
        <v>44982</v>
      </c>
      <c r="X866" s="10">
        <v>7.5</v>
      </c>
      <c r="Y866" s="9">
        <v>44985</v>
      </c>
      <c r="Z866">
        <v>0</v>
      </c>
      <c r="AA866" s="11" t="s">
        <v>594</v>
      </c>
    </row>
    <row r="867" spans="2:27" ht="16" x14ac:dyDescent="0.2">
      <c r="B867" t="s">
        <v>35</v>
      </c>
      <c r="C867">
        <v>40357561</v>
      </c>
      <c r="D867" t="s">
        <v>389</v>
      </c>
      <c r="E867">
        <v>1022169</v>
      </c>
      <c r="F867" t="s">
        <v>298</v>
      </c>
      <c r="G867" s="9">
        <v>44975</v>
      </c>
      <c r="H867" s="7"/>
      <c r="I867" s="7"/>
      <c r="J867" s="7"/>
      <c r="K867" s="7"/>
      <c r="L867" s="10">
        <v>5.5741092456127026</v>
      </c>
      <c r="M867" s="9">
        <v>44980</v>
      </c>
      <c r="N867" s="10">
        <v>5.5</v>
      </c>
      <c r="O867" s="9">
        <v>44985</v>
      </c>
      <c r="P867">
        <v>0</v>
      </c>
      <c r="Q867" s="11" t="s">
        <v>594</v>
      </c>
      <c r="R867" s="7"/>
      <c r="S867" s="7"/>
      <c r="T867" s="7"/>
      <c r="U867" s="7"/>
      <c r="V867" s="10">
        <v>7.5741092456127026</v>
      </c>
      <c r="W867" s="9">
        <v>44982</v>
      </c>
      <c r="X867" s="10">
        <v>7.5</v>
      </c>
      <c r="Y867" s="9">
        <v>44985</v>
      </c>
      <c r="Z867">
        <v>0</v>
      </c>
      <c r="AA867" s="11" t="s">
        <v>594</v>
      </c>
    </row>
    <row r="868" spans="2:27" ht="16" x14ac:dyDescent="0.2">
      <c r="B868" t="s">
        <v>35</v>
      </c>
      <c r="C868">
        <v>40357558</v>
      </c>
      <c r="D868" t="s">
        <v>389</v>
      </c>
      <c r="E868">
        <v>1022169</v>
      </c>
      <c r="F868" t="s">
        <v>298</v>
      </c>
      <c r="G868" s="9">
        <v>44977</v>
      </c>
      <c r="H868" s="7">
        <v>24030</v>
      </c>
      <c r="I868" s="7"/>
      <c r="J868" s="7"/>
      <c r="K868" s="7"/>
      <c r="L868" s="10">
        <v>5.5741092456127026</v>
      </c>
      <c r="M868" s="9">
        <v>44982</v>
      </c>
      <c r="N868" s="10">
        <v>5.5</v>
      </c>
      <c r="O868" s="9">
        <v>44987</v>
      </c>
      <c r="P868">
        <v>25</v>
      </c>
      <c r="Q868" s="11" t="s">
        <v>49</v>
      </c>
      <c r="R868" s="7">
        <v>24030</v>
      </c>
      <c r="S868" s="7"/>
      <c r="T868" s="7"/>
      <c r="U868" s="7"/>
      <c r="V868" s="10">
        <v>7.5741092456127026</v>
      </c>
      <c r="W868" s="9">
        <v>44984</v>
      </c>
      <c r="X868" s="10">
        <v>7.5</v>
      </c>
      <c r="Y868" s="9">
        <v>44987</v>
      </c>
      <c r="Z868">
        <v>25</v>
      </c>
      <c r="AA868" s="11" t="s">
        <v>49</v>
      </c>
    </row>
    <row r="869" spans="2:27" ht="16" x14ac:dyDescent="0.2">
      <c r="B869" t="s">
        <v>35</v>
      </c>
      <c r="C869">
        <v>40357549</v>
      </c>
      <c r="D869" t="s">
        <v>389</v>
      </c>
      <c r="E869">
        <v>1022414</v>
      </c>
      <c r="F869" t="s">
        <v>308</v>
      </c>
      <c r="G869" s="9">
        <v>44975</v>
      </c>
      <c r="H869" s="7"/>
      <c r="I869" s="7"/>
      <c r="J869" s="7"/>
      <c r="K869" s="7"/>
      <c r="L869" s="10">
        <v>5.5741092456127026</v>
      </c>
      <c r="M869" s="9">
        <v>44980</v>
      </c>
      <c r="N869" s="10">
        <v>5.5</v>
      </c>
      <c r="O869" s="9">
        <v>44985</v>
      </c>
      <c r="P869">
        <v>0</v>
      </c>
      <c r="Q869" s="11" t="s">
        <v>594</v>
      </c>
      <c r="R869" s="7"/>
      <c r="S869" s="7"/>
      <c r="T869" s="7"/>
      <c r="U869" s="7"/>
      <c r="V869" s="10">
        <v>7.5741092456127026</v>
      </c>
      <c r="W869" s="9">
        <v>44982</v>
      </c>
      <c r="X869" s="10">
        <v>7.5</v>
      </c>
      <c r="Y869" s="9">
        <v>44985</v>
      </c>
      <c r="Z869">
        <v>0</v>
      </c>
      <c r="AA869" s="11" t="s">
        <v>594</v>
      </c>
    </row>
    <row r="870" spans="2:27" ht="16" x14ac:dyDescent="0.2">
      <c r="B870" t="s">
        <v>35</v>
      </c>
      <c r="C870">
        <v>40357548</v>
      </c>
      <c r="D870" t="s">
        <v>389</v>
      </c>
      <c r="E870">
        <v>1022414</v>
      </c>
      <c r="F870" t="s">
        <v>308</v>
      </c>
      <c r="G870" s="9">
        <v>44975</v>
      </c>
      <c r="H870" s="7"/>
      <c r="I870" s="7"/>
      <c r="J870" s="7"/>
      <c r="K870" s="7"/>
      <c r="L870" s="10">
        <v>5.5741092456127026</v>
      </c>
      <c r="M870" s="9">
        <v>44980</v>
      </c>
      <c r="N870" s="10">
        <v>5.5</v>
      </c>
      <c r="O870" s="9">
        <v>44985</v>
      </c>
      <c r="P870">
        <v>0</v>
      </c>
      <c r="Q870" s="11" t="s">
        <v>594</v>
      </c>
      <c r="R870" s="7"/>
      <c r="S870" s="7"/>
      <c r="T870" s="7"/>
      <c r="U870" s="7"/>
      <c r="V870" s="10">
        <v>7.5741092456127026</v>
      </c>
      <c r="W870" s="9">
        <v>44982</v>
      </c>
      <c r="X870" s="10">
        <v>7.5</v>
      </c>
      <c r="Y870" s="9">
        <v>44985</v>
      </c>
      <c r="Z870">
        <v>0</v>
      </c>
      <c r="AA870" s="11" t="s">
        <v>594</v>
      </c>
    </row>
    <row r="871" spans="2:27" ht="16" x14ac:dyDescent="0.2">
      <c r="B871" t="s">
        <v>35</v>
      </c>
      <c r="C871">
        <v>40357547</v>
      </c>
      <c r="D871" t="s">
        <v>389</v>
      </c>
      <c r="E871">
        <v>1022414</v>
      </c>
      <c r="F871" t="s">
        <v>308</v>
      </c>
      <c r="G871" s="9">
        <v>44977</v>
      </c>
      <c r="H871" s="7">
        <v>24040</v>
      </c>
      <c r="I871" s="7"/>
      <c r="J871" s="7"/>
      <c r="K871" s="7"/>
      <c r="L871" s="10">
        <v>5.5741092456127026</v>
      </c>
      <c r="M871" s="9">
        <v>44982</v>
      </c>
      <c r="N871" s="10">
        <v>5.5</v>
      </c>
      <c r="O871" s="9">
        <v>44987</v>
      </c>
      <c r="P871">
        <v>25</v>
      </c>
      <c r="Q871" s="11" t="s">
        <v>49</v>
      </c>
      <c r="R871" s="7">
        <v>24040</v>
      </c>
      <c r="S871" s="7"/>
      <c r="T871" s="7"/>
      <c r="U871" s="7"/>
      <c r="V871" s="10">
        <v>7.5741092456127026</v>
      </c>
      <c r="W871" s="9">
        <v>44984</v>
      </c>
      <c r="X871" s="10">
        <v>7.5</v>
      </c>
      <c r="Y871" s="9">
        <v>44987</v>
      </c>
      <c r="Z871">
        <v>25</v>
      </c>
      <c r="AA871" s="11" t="s">
        <v>49</v>
      </c>
    </row>
    <row r="872" spans="2:27" ht="16" x14ac:dyDescent="0.2">
      <c r="B872" t="s">
        <v>35</v>
      </c>
      <c r="C872">
        <v>40357541</v>
      </c>
      <c r="D872" t="s">
        <v>389</v>
      </c>
      <c r="E872">
        <v>1022080</v>
      </c>
      <c r="F872" t="s">
        <v>292</v>
      </c>
      <c r="G872" s="9">
        <v>45003</v>
      </c>
      <c r="H872" s="7">
        <v>23980</v>
      </c>
      <c r="I872" s="7"/>
      <c r="J872" s="7"/>
      <c r="K872" s="7"/>
      <c r="L872" s="10">
        <v>5.5741092456127026</v>
      </c>
      <c r="M872" s="9">
        <v>45008</v>
      </c>
      <c r="N872" s="10">
        <v>5.5</v>
      </c>
      <c r="O872" s="9">
        <v>45013</v>
      </c>
      <c r="P872">
        <v>3</v>
      </c>
      <c r="Q872" s="11" t="s">
        <v>49</v>
      </c>
      <c r="R872" s="7">
        <v>23980</v>
      </c>
      <c r="S872" s="7"/>
      <c r="T872" s="7"/>
      <c r="U872" s="7"/>
      <c r="V872" s="10">
        <v>7.5741092456127026</v>
      </c>
      <c r="W872" s="9">
        <v>45010</v>
      </c>
      <c r="X872" s="10">
        <v>7.5</v>
      </c>
      <c r="Y872" s="9">
        <v>45013</v>
      </c>
      <c r="Z872">
        <v>3</v>
      </c>
      <c r="AA872" s="11" t="s">
        <v>49</v>
      </c>
    </row>
    <row r="873" spans="2:27" ht="16" x14ac:dyDescent="0.2">
      <c r="B873" t="s">
        <v>35</v>
      </c>
      <c r="C873">
        <v>40357540</v>
      </c>
      <c r="D873" t="s">
        <v>389</v>
      </c>
      <c r="E873">
        <v>1022080</v>
      </c>
      <c r="F873" t="s">
        <v>292</v>
      </c>
      <c r="G873" s="9">
        <v>44975</v>
      </c>
      <c r="H873" s="7"/>
      <c r="I873" s="7"/>
      <c r="J873" s="7"/>
      <c r="K873" s="7"/>
      <c r="L873" s="10">
        <v>5.5741092456127026</v>
      </c>
      <c r="M873" s="9">
        <v>44980</v>
      </c>
      <c r="N873" s="10">
        <v>5.5</v>
      </c>
      <c r="O873" s="9">
        <v>44985</v>
      </c>
      <c r="P873">
        <v>0</v>
      </c>
      <c r="Q873" s="11" t="s">
        <v>594</v>
      </c>
      <c r="R873" s="7"/>
      <c r="S873" s="7"/>
      <c r="T873" s="7"/>
      <c r="U873" s="7"/>
      <c r="V873" s="10">
        <v>7.5741092456127026</v>
      </c>
      <c r="W873" s="9">
        <v>44982</v>
      </c>
      <c r="X873" s="10">
        <v>7.5</v>
      </c>
      <c r="Y873" s="9">
        <v>44985</v>
      </c>
      <c r="Z873">
        <v>0</v>
      </c>
      <c r="AA873" s="11" t="s">
        <v>594</v>
      </c>
    </row>
    <row r="874" spans="2:27" ht="16" x14ac:dyDescent="0.2">
      <c r="B874" t="s">
        <v>35</v>
      </c>
      <c r="C874">
        <v>40357539</v>
      </c>
      <c r="D874" t="s">
        <v>389</v>
      </c>
      <c r="E874">
        <v>1022637</v>
      </c>
      <c r="F874" t="s">
        <v>314</v>
      </c>
      <c r="G874" s="9">
        <v>45000</v>
      </c>
      <c r="H874" s="7">
        <v>23580</v>
      </c>
      <c r="I874" s="7"/>
      <c r="J874" s="7"/>
      <c r="K874" s="7"/>
      <c r="L874" s="10">
        <v>5.5741092456127026</v>
      </c>
      <c r="M874" s="9">
        <v>45005</v>
      </c>
      <c r="N874" s="10">
        <v>5.5</v>
      </c>
      <c r="O874" s="9">
        <v>45010</v>
      </c>
      <c r="P874">
        <v>5</v>
      </c>
      <c r="Q874" s="11" t="s">
        <v>49</v>
      </c>
      <c r="R874" s="7">
        <v>23580</v>
      </c>
      <c r="S874" s="7"/>
      <c r="T874" s="7"/>
      <c r="U874" s="7"/>
      <c r="V874" s="10">
        <v>7.5741092456127026</v>
      </c>
      <c r="W874" s="9">
        <v>45007</v>
      </c>
      <c r="X874" s="10">
        <v>7.5</v>
      </c>
      <c r="Y874" s="9">
        <v>45010</v>
      </c>
      <c r="Z874">
        <v>5</v>
      </c>
      <c r="AA874" s="11" t="s">
        <v>49</v>
      </c>
    </row>
    <row r="875" spans="2:27" ht="16" x14ac:dyDescent="0.2">
      <c r="B875" t="s">
        <v>35</v>
      </c>
      <c r="C875">
        <v>40357538</v>
      </c>
      <c r="D875" t="s">
        <v>389</v>
      </c>
      <c r="E875">
        <v>1022637</v>
      </c>
      <c r="F875" t="s">
        <v>314</v>
      </c>
      <c r="G875" s="9">
        <v>44993</v>
      </c>
      <c r="H875" s="7">
        <v>23070</v>
      </c>
      <c r="I875" s="7"/>
      <c r="J875" s="7"/>
      <c r="K875" s="7"/>
      <c r="L875" s="10">
        <v>5.5741092456127026</v>
      </c>
      <c r="M875" s="9">
        <v>44998</v>
      </c>
      <c r="N875" s="10">
        <v>5.5</v>
      </c>
      <c r="O875" s="9">
        <v>45003</v>
      </c>
      <c r="P875">
        <v>11</v>
      </c>
      <c r="Q875" s="11" t="s">
        <v>49</v>
      </c>
      <c r="R875" s="7">
        <v>23070</v>
      </c>
      <c r="S875" s="7"/>
      <c r="T875" s="7"/>
      <c r="U875" s="7"/>
      <c r="V875" s="10">
        <v>7.5741092456127026</v>
      </c>
      <c r="W875" s="9">
        <v>45000</v>
      </c>
      <c r="X875" s="10">
        <v>7.5</v>
      </c>
      <c r="Y875" s="9">
        <v>45003</v>
      </c>
      <c r="Z875">
        <v>11</v>
      </c>
      <c r="AA875" s="11" t="s">
        <v>49</v>
      </c>
    </row>
    <row r="876" spans="2:27" ht="16" x14ac:dyDescent="0.2">
      <c r="B876" t="s">
        <v>35</v>
      </c>
      <c r="C876">
        <v>40357537</v>
      </c>
      <c r="D876" t="s">
        <v>389</v>
      </c>
      <c r="E876">
        <v>1022637</v>
      </c>
      <c r="F876" t="s">
        <v>314</v>
      </c>
      <c r="G876" s="9">
        <v>44993</v>
      </c>
      <c r="H876" s="7">
        <v>21660</v>
      </c>
      <c r="I876" s="7"/>
      <c r="J876" s="7"/>
      <c r="K876" s="7"/>
      <c r="L876" s="10">
        <v>5.5741092456127026</v>
      </c>
      <c r="M876" s="9">
        <v>44998</v>
      </c>
      <c r="N876" s="10">
        <v>5.5</v>
      </c>
      <c r="O876" s="9">
        <v>45003</v>
      </c>
      <c r="P876">
        <v>11</v>
      </c>
      <c r="Q876" s="11" t="s">
        <v>49</v>
      </c>
      <c r="R876" s="7">
        <v>21660</v>
      </c>
      <c r="S876" s="7"/>
      <c r="T876" s="7"/>
      <c r="U876" s="7"/>
      <c r="V876" s="10">
        <v>7.5741092456127026</v>
      </c>
      <c r="W876" s="9">
        <v>45000</v>
      </c>
      <c r="X876" s="10">
        <v>7.5</v>
      </c>
      <c r="Y876" s="9">
        <v>45003</v>
      </c>
      <c r="Z876">
        <v>11</v>
      </c>
      <c r="AA876" s="11" t="s">
        <v>49</v>
      </c>
    </row>
    <row r="877" spans="2:27" ht="16" x14ac:dyDescent="0.2">
      <c r="B877" t="s">
        <v>35</v>
      </c>
      <c r="C877">
        <v>40357536</v>
      </c>
      <c r="D877" t="s">
        <v>389</v>
      </c>
      <c r="E877">
        <v>1022096</v>
      </c>
      <c r="F877" t="s">
        <v>440</v>
      </c>
      <c r="G877" s="9">
        <v>44985</v>
      </c>
      <c r="H877" s="7">
        <v>23780</v>
      </c>
      <c r="I877" s="7"/>
      <c r="J877" s="7"/>
      <c r="K877" s="7"/>
      <c r="L877" s="10">
        <v>5.5741092456127026</v>
      </c>
      <c r="M877" s="9">
        <v>44990</v>
      </c>
      <c r="N877" s="10">
        <v>5.5</v>
      </c>
      <c r="O877" s="9">
        <v>44995</v>
      </c>
      <c r="P877">
        <v>18</v>
      </c>
      <c r="Q877" s="11" t="s">
        <v>49</v>
      </c>
      <c r="R877" s="7">
        <v>23780</v>
      </c>
      <c r="S877" s="7"/>
      <c r="T877" s="7"/>
      <c r="U877" s="7"/>
      <c r="V877" s="10">
        <v>7.5741092456127026</v>
      </c>
      <c r="W877" s="9">
        <v>44992</v>
      </c>
      <c r="X877" s="10">
        <v>7.5</v>
      </c>
      <c r="Y877" s="9">
        <v>44995</v>
      </c>
      <c r="Z877">
        <v>18</v>
      </c>
      <c r="AA877" s="11" t="s">
        <v>49</v>
      </c>
    </row>
    <row r="878" spans="2:27" ht="16" x14ac:dyDescent="0.2">
      <c r="B878" t="s">
        <v>35</v>
      </c>
      <c r="C878">
        <v>40357533</v>
      </c>
      <c r="D878" t="s">
        <v>389</v>
      </c>
      <c r="E878">
        <v>1022096</v>
      </c>
      <c r="F878" t="s">
        <v>440</v>
      </c>
      <c r="G878" s="9">
        <v>44976</v>
      </c>
      <c r="H878" s="7">
        <v>23950</v>
      </c>
      <c r="I878" s="7"/>
      <c r="J878" s="7"/>
      <c r="K878" s="7"/>
      <c r="L878" s="10">
        <v>5.5741092456127026</v>
      </c>
      <c r="M878" s="9">
        <v>44981</v>
      </c>
      <c r="N878" s="10">
        <v>5.5</v>
      </c>
      <c r="O878" s="9">
        <v>44986</v>
      </c>
      <c r="P878">
        <v>26</v>
      </c>
      <c r="Q878" s="11" t="s">
        <v>49</v>
      </c>
      <c r="R878" s="7">
        <v>23950</v>
      </c>
      <c r="S878" s="7"/>
      <c r="T878" s="7"/>
      <c r="U878" s="7"/>
      <c r="V878" s="10">
        <v>7.5741092456127026</v>
      </c>
      <c r="W878" s="9">
        <v>44983</v>
      </c>
      <c r="X878" s="10">
        <v>7.5</v>
      </c>
      <c r="Y878" s="9">
        <v>44986</v>
      </c>
      <c r="Z878">
        <v>26</v>
      </c>
      <c r="AA878" s="11" t="s">
        <v>49</v>
      </c>
    </row>
    <row r="879" spans="2:27" ht="16" x14ac:dyDescent="0.2">
      <c r="B879" t="s">
        <v>35</v>
      </c>
      <c r="C879">
        <v>40357532</v>
      </c>
      <c r="D879" t="s">
        <v>389</v>
      </c>
      <c r="E879">
        <v>1022096</v>
      </c>
      <c r="F879" t="s">
        <v>440</v>
      </c>
      <c r="G879" s="9">
        <v>44976</v>
      </c>
      <c r="H879" s="7">
        <v>24000</v>
      </c>
      <c r="I879" s="7"/>
      <c r="J879" s="7"/>
      <c r="K879" s="7"/>
      <c r="L879" s="10">
        <v>5.5741092456127026</v>
      </c>
      <c r="M879" s="9">
        <v>44981</v>
      </c>
      <c r="N879" s="10">
        <v>5.5</v>
      </c>
      <c r="O879" s="9">
        <v>44986</v>
      </c>
      <c r="P879">
        <v>26</v>
      </c>
      <c r="Q879" s="11" t="s">
        <v>49</v>
      </c>
      <c r="R879" s="7">
        <v>24000</v>
      </c>
      <c r="S879" s="7"/>
      <c r="T879" s="7"/>
      <c r="U879" s="7"/>
      <c r="V879" s="10">
        <v>7.5741092456127026</v>
      </c>
      <c r="W879" s="9">
        <v>44983</v>
      </c>
      <c r="X879" s="10">
        <v>7.5</v>
      </c>
      <c r="Y879" s="9">
        <v>44986</v>
      </c>
      <c r="Z879">
        <v>26</v>
      </c>
      <c r="AA879" s="11" t="s">
        <v>49</v>
      </c>
    </row>
    <row r="880" spans="2:27" ht="16" x14ac:dyDescent="0.2">
      <c r="B880" t="s">
        <v>35</v>
      </c>
      <c r="C880">
        <v>40357531</v>
      </c>
      <c r="D880" t="s">
        <v>389</v>
      </c>
      <c r="E880">
        <v>1022096</v>
      </c>
      <c r="F880" t="s">
        <v>440</v>
      </c>
      <c r="G880" s="9">
        <v>44971</v>
      </c>
      <c r="H880" s="7"/>
      <c r="I880" s="7"/>
      <c r="J880" s="7"/>
      <c r="K880" s="7"/>
      <c r="L880" s="10">
        <v>5.5741092456127026</v>
      </c>
      <c r="M880" s="9">
        <v>44976</v>
      </c>
      <c r="N880" s="10">
        <v>5.5</v>
      </c>
      <c r="O880" s="9">
        <v>44981</v>
      </c>
      <c r="P880">
        <v>3</v>
      </c>
      <c r="Q880" s="11" t="s">
        <v>49</v>
      </c>
      <c r="R880" s="7"/>
      <c r="S880" s="7"/>
      <c r="T880" s="7"/>
      <c r="U880" s="7"/>
      <c r="V880" s="10">
        <v>7.5741092456127026</v>
      </c>
      <c r="W880" s="9">
        <v>44978</v>
      </c>
      <c r="X880" s="10">
        <v>7.5</v>
      </c>
      <c r="Y880" s="9">
        <v>44981</v>
      </c>
      <c r="Z880">
        <v>3</v>
      </c>
      <c r="AA880" s="11" t="s">
        <v>49</v>
      </c>
    </row>
    <row r="881" spans="2:27" ht="16" x14ac:dyDescent="0.2">
      <c r="B881" t="s">
        <v>35</v>
      </c>
      <c r="C881">
        <v>40357530</v>
      </c>
      <c r="D881" t="s">
        <v>389</v>
      </c>
      <c r="E881">
        <v>1022096</v>
      </c>
      <c r="F881" t="s">
        <v>440</v>
      </c>
      <c r="G881" s="9">
        <v>44971</v>
      </c>
      <c r="H881" s="7"/>
      <c r="I881" s="7"/>
      <c r="J881" s="7"/>
      <c r="K881" s="7"/>
      <c r="L881" s="10">
        <v>5.5741092456127026</v>
      </c>
      <c r="M881" s="9">
        <v>44976</v>
      </c>
      <c r="N881" s="10">
        <v>5.5</v>
      </c>
      <c r="O881" s="9">
        <v>44981</v>
      </c>
      <c r="P881">
        <v>3</v>
      </c>
      <c r="Q881" s="11" t="s">
        <v>49</v>
      </c>
      <c r="R881" s="7"/>
      <c r="S881" s="7"/>
      <c r="T881" s="7"/>
      <c r="U881" s="7"/>
      <c r="V881" s="10">
        <v>7.5741092456127026</v>
      </c>
      <c r="W881" s="9">
        <v>44978</v>
      </c>
      <c r="X881" s="10">
        <v>7.5</v>
      </c>
      <c r="Y881" s="9">
        <v>44981</v>
      </c>
      <c r="Z881">
        <v>3</v>
      </c>
      <c r="AA881" s="11" t="s">
        <v>49</v>
      </c>
    </row>
    <row r="882" spans="2:27" ht="16" x14ac:dyDescent="0.2">
      <c r="B882" t="s">
        <v>35</v>
      </c>
      <c r="C882">
        <v>40357529</v>
      </c>
      <c r="D882" t="s">
        <v>389</v>
      </c>
      <c r="E882">
        <v>1022096</v>
      </c>
      <c r="F882" t="s">
        <v>440</v>
      </c>
      <c r="G882" s="9">
        <v>44971</v>
      </c>
      <c r="H882" s="7"/>
      <c r="I882" s="7"/>
      <c r="J882" s="7"/>
      <c r="K882" s="7"/>
      <c r="L882" s="10">
        <v>5.5741092456127026</v>
      </c>
      <c r="M882" s="9">
        <v>44976</v>
      </c>
      <c r="N882" s="10">
        <v>5.5</v>
      </c>
      <c r="O882" s="9">
        <v>44981</v>
      </c>
      <c r="P882">
        <v>3</v>
      </c>
      <c r="Q882" s="11" t="s">
        <v>49</v>
      </c>
      <c r="R882" s="7"/>
      <c r="S882" s="7"/>
      <c r="T882" s="7"/>
      <c r="U882" s="7"/>
      <c r="V882" s="10">
        <v>7.5741092456127026</v>
      </c>
      <c r="W882" s="9">
        <v>44978</v>
      </c>
      <c r="X882" s="10">
        <v>7.5</v>
      </c>
      <c r="Y882" s="9">
        <v>44981</v>
      </c>
      <c r="Z882">
        <v>3</v>
      </c>
      <c r="AA882" s="11" t="s">
        <v>49</v>
      </c>
    </row>
    <row r="883" spans="2:27" ht="16" x14ac:dyDescent="0.2">
      <c r="B883" t="s">
        <v>35</v>
      </c>
      <c r="C883">
        <v>40357526</v>
      </c>
      <c r="D883" t="s">
        <v>389</v>
      </c>
      <c r="E883">
        <v>1023034</v>
      </c>
      <c r="F883" t="s">
        <v>441</v>
      </c>
      <c r="G883" s="9">
        <v>44989</v>
      </c>
      <c r="H883" s="7">
        <v>23700</v>
      </c>
      <c r="I883" s="7"/>
      <c r="J883" s="7"/>
      <c r="K883" s="7"/>
      <c r="L883" s="10">
        <v>5.5741092456127026</v>
      </c>
      <c r="M883" s="9">
        <v>44994</v>
      </c>
      <c r="N883" s="10">
        <v>5.5</v>
      </c>
      <c r="O883" s="9">
        <v>44999</v>
      </c>
      <c r="P883">
        <v>15</v>
      </c>
      <c r="Q883" s="11" t="s">
        <v>49</v>
      </c>
      <c r="R883" s="7">
        <v>23700</v>
      </c>
      <c r="S883" s="7"/>
      <c r="T883" s="7"/>
      <c r="U883" s="7"/>
      <c r="V883" s="10">
        <v>7.5741092456127026</v>
      </c>
      <c r="W883" s="9">
        <v>44996</v>
      </c>
      <c r="X883" s="10">
        <v>7.5</v>
      </c>
      <c r="Y883" s="9">
        <v>44999</v>
      </c>
      <c r="Z883">
        <v>15</v>
      </c>
      <c r="AA883" s="11" t="s">
        <v>49</v>
      </c>
    </row>
    <row r="884" spans="2:27" ht="16" x14ac:dyDescent="0.2">
      <c r="B884" t="s">
        <v>35</v>
      </c>
      <c r="C884">
        <v>40357525</v>
      </c>
      <c r="D884" t="s">
        <v>389</v>
      </c>
      <c r="E884">
        <v>1023034</v>
      </c>
      <c r="F884" t="s">
        <v>441</v>
      </c>
      <c r="G884" s="9">
        <v>44981</v>
      </c>
      <c r="H884" s="7">
        <v>24340</v>
      </c>
      <c r="I884" s="7"/>
      <c r="J884" s="7"/>
      <c r="K884" s="7"/>
      <c r="L884" s="10">
        <v>5.5741092456127026</v>
      </c>
      <c r="M884" s="9">
        <v>44986</v>
      </c>
      <c r="N884" s="10">
        <v>5.5</v>
      </c>
      <c r="O884" s="9">
        <v>44991</v>
      </c>
      <c r="P884">
        <v>22</v>
      </c>
      <c r="Q884" s="11" t="s">
        <v>49</v>
      </c>
      <c r="R884" s="7">
        <v>24340</v>
      </c>
      <c r="S884" s="7"/>
      <c r="T884" s="7"/>
      <c r="U884" s="7"/>
      <c r="V884" s="10">
        <v>7.5741092456127026</v>
      </c>
      <c r="W884" s="9">
        <v>44988</v>
      </c>
      <c r="X884" s="10">
        <v>7.5</v>
      </c>
      <c r="Y884" s="9">
        <v>44991</v>
      </c>
      <c r="Z884">
        <v>22</v>
      </c>
      <c r="AA884" s="11" t="s">
        <v>49</v>
      </c>
    </row>
    <row r="885" spans="2:27" ht="16" x14ac:dyDescent="0.2">
      <c r="B885" t="s">
        <v>35</v>
      </c>
      <c r="C885">
        <v>40357524</v>
      </c>
      <c r="D885" t="s">
        <v>389</v>
      </c>
      <c r="E885">
        <v>1023034</v>
      </c>
      <c r="F885" t="s">
        <v>441</v>
      </c>
      <c r="G885" s="9">
        <v>44980</v>
      </c>
      <c r="H885" s="7">
        <v>25000</v>
      </c>
      <c r="I885" s="7"/>
      <c r="J885" s="7"/>
      <c r="K885" s="7"/>
      <c r="L885" s="10">
        <v>5.5741092456127026</v>
      </c>
      <c r="M885" s="9">
        <v>44985</v>
      </c>
      <c r="N885" s="10">
        <v>5.5</v>
      </c>
      <c r="O885" s="9">
        <v>44990</v>
      </c>
      <c r="P885">
        <v>23</v>
      </c>
      <c r="Q885" s="11" t="s">
        <v>49</v>
      </c>
      <c r="R885" s="7">
        <v>25000</v>
      </c>
      <c r="S885" s="7"/>
      <c r="T885" s="7"/>
      <c r="U885" s="7"/>
      <c r="V885" s="10">
        <v>7.5741092456127026</v>
      </c>
      <c r="W885" s="9">
        <v>44987</v>
      </c>
      <c r="X885" s="10">
        <v>7.5</v>
      </c>
      <c r="Y885" s="9">
        <v>44990</v>
      </c>
      <c r="Z885">
        <v>23</v>
      </c>
      <c r="AA885" s="11" t="s">
        <v>49</v>
      </c>
    </row>
    <row r="886" spans="2:27" ht="16" x14ac:dyDescent="0.2">
      <c r="B886" t="s">
        <v>35</v>
      </c>
      <c r="C886">
        <v>40357523</v>
      </c>
      <c r="D886" t="s">
        <v>389</v>
      </c>
      <c r="E886">
        <v>1023034</v>
      </c>
      <c r="F886" t="s">
        <v>441</v>
      </c>
      <c r="G886" s="9">
        <v>44975</v>
      </c>
      <c r="H886" s="7"/>
      <c r="I886" s="7"/>
      <c r="J886" s="7"/>
      <c r="K886" s="7"/>
      <c r="L886" s="10">
        <v>5.5741092456127026</v>
      </c>
      <c r="M886" s="9">
        <v>44980</v>
      </c>
      <c r="N886" s="10">
        <v>5.5</v>
      </c>
      <c r="O886" s="9">
        <v>44985</v>
      </c>
      <c r="P886">
        <v>0</v>
      </c>
      <c r="Q886" s="11" t="s">
        <v>594</v>
      </c>
      <c r="R886" s="7"/>
      <c r="S886" s="7"/>
      <c r="T886" s="7"/>
      <c r="U886" s="7"/>
      <c r="V886" s="10">
        <v>7.5741092456127026</v>
      </c>
      <c r="W886" s="9">
        <v>44982</v>
      </c>
      <c r="X886" s="10">
        <v>7.5</v>
      </c>
      <c r="Y886" s="9">
        <v>44985</v>
      </c>
      <c r="Z886">
        <v>0</v>
      </c>
      <c r="AA886" s="11" t="s">
        <v>594</v>
      </c>
    </row>
    <row r="887" spans="2:27" ht="16" x14ac:dyDescent="0.2">
      <c r="B887" t="s">
        <v>35</v>
      </c>
      <c r="C887">
        <v>40357522</v>
      </c>
      <c r="D887" t="s">
        <v>389</v>
      </c>
      <c r="E887">
        <v>1023034</v>
      </c>
      <c r="F887" t="s">
        <v>441</v>
      </c>
      <c r="G887" s="9">
        <v>44975</v>
      </c>
      <c r="H887" s="7"/>
      <c r="I887" s="7"/>
      <c r="J887" s="7"/>
      <c r="K887" s="7"/>
      <c r="L887" s="10">
        <v>5.5741092456127026</v>
      </c>
      <c r="M887" s="9">
        <v>44980</v>
      </c>
      <c r="N887" s="10">
        <v>5.5</v>
      </c>
      <c r="O887" s="9">
        <v>44985</v>
      </c>
      <c r="P887">
        <v>0</v>
      </c>
      <c r="Q887" s="11" t="s">
        <v>594</v>
      </c>
      <c r="R887" s="7"/>
      <c r="S887" s="7"/>
      <c r="T887" s="7"/>
      <c r="U887" s="7"/>
      <c r="V887" s="10">
        <v>7.5741092456127026</v>
      </c>
      <c r="W887" s="9">
        <v>44982</v>
      </c>
      <c r="X887" s="10">
        <v>7.5</v>
      </c>
      <c r="Y887" s="9">
        <v>44985</v>
      </c>
      <c r="Z887">
        <v>0</v>
      </c>
      <c r="AA887" s="11" t="s">
        <v>594</v>
      </c>
    </row>
    <row r="888" spans="2:27" ht="16" x14ac:dyDescent="0.2">
      <c r="B888" t="s">
        <v>35</v>
      </c>
      <c r="C888">
        <v>40357521</v>
      </c>
      <c r="D888" t="s">
        <v>389</v>
      </c>
      <c r="E888">
        <v>1023034</v>
      </c>
      <c r="F888" t="s">
        <v>441</v>
      </c>
      <c r="G888" s="9">
        <v>44975</v>
      </c>
      <c r="H888" s="7"/>
      <c r="I888" s="7"/>
      <c r="J888" s="7"/>
      <c r="K888" s="7"/>
      <c r="L888" s="10">
        <v>5.5741092456127026</v>
      </c>
      <c r="M888" s="9">
        <v>44980</v>
      </c>
      <c r="N888" s="10">
        <v>5.5</v>
      </c>
      <c r="O888" s="9">
        <v>44985</v>
      </c>
      <c r="P888">
        <v>0</v>
      </c>
      <c r="Q888" s="11" t="s">
        <v>594</v>
      </c>
      <c r="R888" s="7"/>
      <c r="S888" s="7"/>
      <c r="T888" s="7"/>
      <c r="U888" s="7"/>
      <c r="V888" s="10">
        <v>7.5741092456127026</v>
      </c>
      <c r="W888" s="9">
        <v>44982</v>
      </c>
      <c r="X888" s="10">
        <v>7.5</v>
      </c>
      <c r="Y888" s="9">
        <v>44985</v>
      </c>
      <c r="Z888">
        <v>0</v>
      </c>
      <c r="AA888" s="11" t="s">
        <v>594</v>
      </c>
    </row>
    <row r="889" spans="2:27" ht="16" x14ac:dyDescent="0.2">
      <c r="B889" t="s">
        <v>35</v>
      </c>
      <c r="C889">
        <v>40357516</v>
      </c>
      <c r="D889" t="s">
        <v>389</v>
      </c>
      <c r="E889">
        <v>1021766</v>
      </c>
      <c r="F889" t="s">
        <v>286</v>
      </c>
      <c r="G889" s="9">
        <v>44990</v>
      </c>
      <c r="H889" s="7">
        <v>24282</v>
      </c>
      <c r="I889" s="7"/>
      <c r="J889" s="7"/>
      <c r="K889" s="7"/>
      <c r="L889" s="10">
        <v>5.5741092456127026</v>
      </c>
      <c r="M889" s="9">
        <v>44995</v>
      </c>
      <c r="N889" s="10">
        <v>5.5</v>
      </c>
      <c r="O889" s="9">
        <v>45000</v>
      </c>
      <c r="P889">
        <v>14</v>
      </c>
      <c r="Q889" s="11" t="s">
        <v>49</v>
      </c>
      <c r="R889" s="7">
        <v>24282</v>
      </c>
      <c r="S889" s="7"/>
      <c r="T889" s="7"/>
      <c r="U889" s="7"/>
      <c r="V889" s="10">
        <v>7.5741092456127026</v>
      </c>
      <c r="W889" s="9">
        <v>44997</v>
      </c>
      <c r="X889" s="10">
        <v>7.5</v>
      </c>
      <c r="Y889" s="9">
        <v>45000</v>
      </c>
      <c r="Z889">
        <v>14</v>
      </c>
      <c r="AA889" s="11" t="s">
        <v>49</v>
      </c>
    </row>
    <row r="890" spans="2:27" ht="16" x14ac:dyDescent="0.2">
      <c r="B890" t="s">
        <v>35</v>
      </c>
      <c r="C890">
        <v>40357515</v>
      </c>
      <c r="D890" t="s">
        <v>389</v>
      </c>
      <c r="E890">
        <v>1021766</v>
      </c>
      <c r="F890" t="s">
        <v>286</v>
      </c>
      <c r="G890" s="9">
        <v>44995</v>
      </c>
      <c r="H890" s="7">
        <v>23994</v>
      </c>
      <c r="I890" s="7"/>
      <c r="J890" s="7"/>
      <c r="K890" s="7"/>
      <c r="L890" s="10">
        <v>5.5741092456127026</v>
      </c>
      <c r="M890" s="9">
        <v>45000</v>
      </c>
      <c r="N890" s="10">
        <v>5.5</v>
      </c>
      <c r="O890" s="9">
        <v>45005</v>
      </c>
      <c r="P890">
        <v>10</v>
      </c>
      <c r="Q890" s="11" t="s">
        <v>49</v>
      </c>
      <c r="R890" s="7">
        <v>23994</v>
      </c>
      <c r="S890" s="7"/>
      <c r="T890" s="7"/>
      <c r="U890" s="7"/>
      <c r="V890" s="10">
        <v>7.5741092456127026</v>
      </c>
      <c r="W890" s="9">
        <v>45002</v>
      </c>
      <c r="X890" s="10">
        <v>7.5</v>
      </c>
      <c r="Y890" s="9">
        <v>45005</v>
      </c>
      <c r="Z890">
        <v>10</v>
      </c>
      <c r="AA890" s="11" t="s">
        <v>49</v>
      </c>
    </row>
    <row r="891" spans="2:27" ht="16" x14ac:dyDescent="0.2">
      <c r="B891" t="s">
        <v>35</v>
      </c>
      <c r="C891">
        <v>40357514</v>
      </c>
      <c r="D891" t="s">
        <v>389</v>
      </c>
      <c r="E891">
        <v>1021766</v>
      </c>
      <c r="F891" t="s">
        <v>286</v>
      </c>
      <c r="G891" s="9">
        <v>44995</v>
      </c>
      <c r="H891" s="7">
        <v>23958</v>
      </c>
      <c r="I891" s="7"/>
      <c r="J891" s="7"/>
      <c r="K891" s="7"/>
      <c r="L891" s="10">
        <v>5.5741092456127026</v>
      </c>
      <c r="M891" s="9">
        <v>45000</v>
      </c>
      <c r="N891" s="10">
        <v>5.5</v>
      </c>
      <c r="O891" s="9">
        <v>45005</v>
      </c>
      <c r="P891">
        <v>10</v>
      </c>
      <c r="Q891" s="11" t="s">
        <v>49</v>
      </c>
      <c r="R891" s="7">
        <v>23958</v>
      </c>
      <c r="S891" s="7"/>
      <c r="T891" s="7"/>
      <c r="U891" s="7"/>
      <c r="V891" s="10">
        <v>7.5741092456127026</v>
      </c>
      <c r="W891" s="9">
        <v>45002</v>
      </c>
      <c r="X891" s="10">
        <v>7.5</v>
      </c>
      <c r="Y891" s="9">
        <v>45005</v>
      </c>
      <c r="Z891">
        <v>10</v>
      </c>
      <c r="AA891" s="11" t="s">
        <v>49</v>
      </c>
    </row>
    <row r="892" spans="2:27" ht="16" x14ac:dyDescent="0.2">
      <c r="B892" t="s">
        <v>35</v>
      </c>
      <c r="C892">
        <v>40357513</v>
      </c>
      <c r="D892" t="s">
        <v>389</v>
      </c>
      <c r="E892">
        <v>1021766</v>
      </c>
      <c r="F892" t="s">
        <v>286</v>
      </c>
      <c r="G892" s="9">
        <v>44990</v>
      </c>
      <c r="H892" s="7">
        <v>24264</v>
      </c>
      <c r="I892" s="7"/>
      <c r="J892" s="7"/>
      <c r="K892" s="7"/>
      <c r="L892" s="10">
        <v>5.5741092456127026</v>
      </c>
      <c r="M892" s="9">
        <v>44995</v>
      </c>
      <c r="N892" s="10">
        <v>5.5</v>
      </c>
      <c r="O892" s="9">
        <v>45000</v>
      </c>
      <c r="P892">
        <v>14</v>
      </c>
      <c r="Q892" s="11" t="s">
        <v>49</v>
      </c>
      <c r="R892" s="7">
        <v>24264</v>
      </c>
      <c r="S892" s="7"/>
      <c r="T892" s="7"/>
      <c r="U892" s="7"/>
      <c r="V892" s="10">
        <v>7.5741092456127026</v>
      </c>
      <c r="W892" s="9">
        <v>44997</v>
      </c>
      <c r="X892" s="10">
        <v>7.5</v>
      </c>
      <c r="Y892" s="9">
        <v>45000</v>
      </c>
      <c r="Z892">
        <v>14</v>
      </c>
      <c r="AA892" s="11" t="s">
        <v>49</v>
      </c>
    </row>
    <row r="893" spans="2:27" ht="16" x14ac:dyDescent="0.2">
      <c r="B893" t="s">
        <v>35</v>
      </c>
      <c r="C893">
        <v>40357512</v>
      </c>
      <c r="D893" t="s">
        <v>389</v>
      </c>
      <c r="E893">
        <v>1021766</v>
      </c>
      <c r="F893" t="s">
        <v>286</v>
      </c>
      <c r="G893" s="9">
        <v>44990</v>
      </c>
      <c r="H893" s="7">
        <v>23400</v>
      </c>
      <c r="I893" s="7"/>
      <c r="J893" s="7"/>
      <c r="K893" s="7"/>
      <c r="L893" s="10">
        <v>5.5741092456127026</v>
      </c>
      <c r="M893" s="9">
        <v>44995</v>
      </c>
      <c r="N893" s="10">
        <v>5.5</v>
      </c>
      <c r="O893" s="9">
        <v>45000</v>
      </c>
      <c r="P893">
        <v>14</v>
      </c>
      <c r="Q893" s="11" t="s">
        <v>49</v>
      </c>
      <c r="R893" s="7">
        <v>23400</v>
      </c>
      <c r="S893" s="7"/>
      <c r="T893" s="7"/>
      <c r="U893" s="7"/>
      <c r="V893" s="10">
        <v>7.5741092456127026</v>
      </c>
      <c r="W893" s="9">
        <v>44997</v>
      </c>
      <c r="X893" s="10">
        <v>7.5</v>
      </c>
      <c r="Y893" s="9">
        <v>45000</v>
      </c>
      <c r="Z893">
        <v>14</v>
      </c>
      <c r="AA893" s="11" t="s">
        <v>49</v>
      </c>
    </row>
    <row r="894" spans="2:27" ht="16" x14ac:dyDescent="0.2">
      <c r="B894" t="s">
        <v>35</v>
      </c>
      <c r="C894">
        <v>40357511</v>
      </c>
      <c r="D894" t="s">
        <v>389</v>
      </c>
      <c r="E894">
        <v>1021766</v>
      </c>
      <c r="F894" t="s">
        <v>286</v>
      </c>
      <c r="G894" s="9">
        <v>44990</v>
      </c>
      <c r="H894" s="7">
        <v>24354</v>
      </c>
      <c r="I894" s="7"/>
      <c r="J894" s="7"/>
      <c r="K894" s="7"/>
      <c r="L894" s="10">
        <v>5.5741092456127026</v>
      </c>
      <c r="M894" s="9">
        <v>44995</v>
      </c>
      <c r="N894" s="10">
        <v>5.5</v>
      </c>
      <c r="O894" s="9">
        <v>45000</v>
      </c>
      <c r="P894">
        <v>14</v>
      </c>
      <c r="Q894" s="11" t="s">
        <v>49</v>
      </c>
      <c r="R894" s="7">
        <v>24354</v>
      </c>
      <c r="S894" s="7"/>
      <c r="T894" s="7"/>
      <c r="U894" s="7"/>
      <c r="V894" s="10">
        <v>7.5741092456127026</v>
      </c>
      <c r="W894" s="9">
        <v>44997</v>
      </c>
      <c r="X894" s="10">
        <v>7.5</v>
      </c>
      <c r="Y894" s="9">
        <v>45000</v>
      </c>
      <c r="Z894">
        <v>14</v>
      </c>
      <c r="AA894" s="11" t="s">
        <v>49</v>
      </c>
    </row>
    <row r="895" spans="2:27" ht="16" x14ac:dyDescent="0.2">
      <c r="B895" t="s">
        <v>35</v>
      </c>
      <c r="C895">
        <v>40357510</v>
      </c>
      <c r="D895" t="s">
        <v>389</v>
      </c>
      <c r="E895">
        <v>1021766</v>
      </c>
      <c r="F895" t="s">
        <v>286</v>
      </c>
      <c r="G895" s="9">
        <v>44990</v>
      </c>
      <c r="H895" s="7">
        <v>24732</v>
      </c>
      <c r="I895" s="7"/>
      <c r="J895" s="7"/>
      <c r="K895" s="7"/>
      <c r="L895" s="10">
        <v>5.5741092456127026</v>
      </c>
      <c r="M895" s="9">
        <v>44995</v>
      </c>
      <c r="N895" s="10">
        <v>5.5</v>
      </c>
      <c r="O895" s="9">
        <v>45000</v>
      </c>
      <c r="P895">
        <v>14</v>
      </c>
      <c r="Q895" s="11" t="s">
        <v>49</v>
      </c>
      <c r="R895" s="7">
        <v>24732</v>
      </c>
      <c r="S895" s="7"/>
      <c r="T895" s="7"/>
      <c r="U895" s="7"/>
      <c r="V895" s="10">
        <v>7.5741092456127026</v>
      </c>
      <c r="W895" s="9">
        <v>44997</v>
      </c>
      <c r="X895" s="10">
        <v>7.5</v>
      </c>
      <c r="Y895" s="9">
        <v>45000</v>
      </c>
      <c r="Z895">
        <v>14</v>
      </c>
      <c r="AA895" s="11" t="s">
        <v>49</v>
      </c>
    </row>
    <row r="896" spans="2:27" ht="16" x14ac:dyDescent="0.2">
      <c r="B896" t="s">
        <v>35</v>
      </c>
      <c r="C896">
        <v>40357499</v>
      </c>
      <c r="D896" t="s">
        <v>389</v>
      </c>
      <c r="E896">
        <v>1023306</v>
      </c>
      <c r="F896" t="s">
        <v>330</v>
      </c>
      <c r="G896" s="9">
        <v>44984</v>
      </c>
      <c r="H896" s="7">
        <v>24300</v>
      </c>
      <c r="I896" s="7"/>
      <c r="J896" s="7"/>
      <c r="K896" s="7"/>
      <c r="L896" s="10">
        <v>5.5741092456127026</v>
      </c>
      <c r="M896" s="9">
        <v>44989</v>
      </c>
      <c r="N896" s="10">
        <v>5.5</v>
      </c>
      <c r="O896" s="9">
        <v>44994</v>
      </c>
      <c r="P896">
        <v>19</v>
      </c>
      <c r="Q896" s="11" t="s">
        <v>49</v>
      </c>
      <c r="R896" s="7">
        <v>24300</v>
      </c>
      <c r="S896" s="7"/>
      <c r="T896" s="7"/>
      <c r="U896" s="7"/>
      <c r="V896" s="10">
        <v>7.5741092456127026</v>
      </c>
      <c r="W896" s="9">
        <v>44991</v>
      </c>
      <c r="X896" s="10">
        <v>7.5</v>
      </c>
      <c r="Y896" s="9">
        <v>44994</v>
      </c>
      <c r="Z896">
        <v>19</v>
      </c>
      <c r="AA896" s="11" t="s">
        <v>49</v>
      </c>
    </row>
    <row r="897" spans="2:27" ht="16" x14ac:dyDescent="0.2">
      <c r="B897" t="s">
        <v>35</v>
      </c>
      <c r="C897">
        <v>40357498</v>
      </c>
      <c r="D897" t="s">
        <v>389</v>
      </c>
      <c r="E897">
        <v>1023306</v>
      </c>
      <c r="F897" t="s">
        <v>330</v>
      </c>
      <c r="G897" s="9">
        <v>44981</v>
      </c>
      <c r="H897" s="7">
        <v>24300</v>
      </c>
      <c r="I897" s="7"/>
      <c r="J897" s="7"/>
      <c r="K897" s="7"/>
      <c r="L897" s="10">
        <v>5.5741092456127026</v>
      </c>
      <c r="M897" s="9">
        <v>44986</v>
      </c>
      <c r="N897" s="10">
        <v>5.5</v>
      </c>
      <c r="O897" s="9">
        <v>44991</v>
      </c>
      <c r="P897">
        <v>22</v>
      </c>
      <c r="Q897" s="11" t="s">
        <v>49</v>
      </c>
      <c r="R897" s="7">
        <v>24300</v>
      </c>
      <c r="S897" s="7"/>
      <c r="T897" s="7"/>
      <c r="U897" s="7"/>
      <c r="V897" s="10">
        <v>7.5741092456127026</v>
      </c>
      <c r="W897" s="9">
        <v>44988</v>
      </c>
      <c r="X897" s="10">
        <v>7.5</v>
      </c>
      <c r="Y897" s="9">
        <v>44991</v>
      </c>
      <c r="Z897">
        <v>22</v>
      </c>
      <c r="AA897" s="11" t="s">
        <v>49</v>
      </c>
    </row>
    <row r="898" spans="2:27" ht="16" x14ac:dyDescent="0.2">
      <c r="B898" t="s">
        <v>35</v>
      </c>
      <c r="C898">
        <v>40357497</v>
      </c>
      <c r="D898" t="s">
        <v>389</v>
      </c>
      <c r="E898">
        <v>1023306</v>
      </c>
      <c r="F898" t="s">
        <v>330</v>
      </c>
      <c r="G898" s="9">
        <v>44981</v>
      </c>
      <c r="H898" s="7">
        <v>24300</v>
      </c>
      <c r="I898" s="7"/>
      <c r="J898" s="7"/>
      <c r="K898" s="7"/>
      <c r="L898" s="10">
        <v>5.5741092456127026</v>
      </c>
      <c r="M898" s="9">
        <v>44986</v>
      </c>
      <c r="N898" s="10">
        <v>5.5</v>
      </c>
      <c r="O898" s="9">
        <v>44991</v>
      </c>
      <c r="P898">
        <v>22</v>
      </c>
      <c r="Q898" s="11" t="s">
        <v>49</v>
      </c>
      <c r="R898" s="7">
        <v>24300</v>
      </c>
      <c r="S898" s="7"/>
      <c r="T898" s="7"/>
      <c r="U898" s="7"/>
      <c r="V898" s="10">
        <v>7.5741092456127026</v>
      </c>
      <c r="W898" s="9">
        <v>44988</v>
      </c>
      <c r="X898" s="10">
        <v>7.5</v>
      </c>
      <c r="Y898" s="9">
        <v>44991</v>
      </c>
      <c r="Z898">
        <v>22</v>
      </c>
      <c r="AA898" s="11" t="s">
        <v>49</v>
      </c>
    </row>
    <row r="899" spans="2:27" ht="16" x14ac:dyDescent="0.2">
      <c r="B899" t="s">
        <v>35</v>
      </c>
      <c r="C899">
        <v>40357496</v>
      </c>
      <c r="D899" t="s">
        <v>389</v>
      </c>
      <c r="E899">
        <v>1023306</v>
      </c>
      <c r="F899" t="s">
        <v>330</v>
      </c>
      <c r="G899" s="9">
        <v>44975</v>
      </c>
      <c r="H899" s="7"/>
      <c r="I899" s="7"/>
      <c r="J899" s="7"/>
      <c r="K899" s="7"/>
      <c r="L899" s="10">
        <v>5.5741092456127026</v>
      </c>
      <c r="M899" s="9">
        <v>44980</v>
      </c>
      <c r="N899" s="10">
        <v>5.5</v>
      </c>
      <c r="O899" s="9">
        <v>44985</v>
      </c>
      <c r="P899">
        <v>0</v>
      </c>
      <c r="Q899" s="11" t="s">
        <v>594</v>
      </c>
      <c r="R899" s="7"/>
      <c r="S899" s="7"/>
      <c r="T899" s="7"/>
      <c r="U899" s="7"/>
      <c r="V899" s="10">
        <v>7.5741092456127026</v>
      </c>
      <c r="W899" s="9">
        <v>44982</v>
      </c>
      <c r="X899" s="10">
        <v>7.5</v>
      </c>
      <c r="Y899" s="9">
        <v>44985</v>
      </c>
      <c r="Z899">
        <v>0</v>
      </c>
      <c r="AA899" s="11" t="s">
        <v>594</v>
      </c>
    </row>
    <row r="900" spans="2:27" ht="16" x14ac:dyDescent="0.2">
      <c r="B900" t="s">
        <v>35</v>
      </c>
      <c r="C900">
        <v>40357495</v>
      </c>
      <c r="D900" t="s">
        <v>389</v>
      </c>
      <c r="E900">
        <v>1023306</v>
      </c>
      <c r="F900" t="s">
        <v>330</v>
      </c>
      <c r="G900" s="9">
        <v>44981</v>
      </c>
      <c r="H900" s="7">
        <v>24200</v>
      </c>
      <c r="I900" s="7"/>
      <c r="J900" s="7"/>
      <c r="K900" s="7"/>
      <c r="L900" s="10">
        <v>5.5741092456127026</v>
      </c>
      <c r="M900" s="9">
        <v>44986</v>
      </c>
      <c r="N900" s="10">
        <v>5.5</v>
      </c>
      <c r="O900" s="9">
        <v>44991</v>
      </c>
      <c r="P900">
        <v>22</v>
      </c>
      <c r="Q900" s="11" t="s">
        <v>49</v>
      </c>
      <c r="R900" s="7">
        <v>24200</v>
      </c>
      <c r="S900" s="7"/>
      <c r="T900" s="7"/>
      <c r="U900" s="7"/>
      <c r="V900" s="10">
        <v>7.5741092456127026</v>
      </c>
      <c r="W900" s="9">
        <v>44988</v>
      </c>
      <c r="X900" s="10">
        <v>7.5</v>
      </c>
      <c r="Y900" s="9">
        <v>44991</v>
      </c>
      <c r="Z900">
        <v>22</v>
      </c>
      <c r="AA900" s="11" t="s">
        <v>49</v>
      </c>
    </row>
    <row r="901" spans="2:27" ht="16" x14ac:dyDescent="0.2">
      <c r="B901" t="s">
        <v>35</v>
      </c>
      <c r="C901">
        <v>40357493</v>
      </c>
      <c r="D901" t="s">
        <v>389</v>
      </c>
      <c r="E901">
        <v>1022417</v>
      </c>
      <c r="F901" t="s">
        <v>173</v>
      </c>
      <c r="G901" s="9">
        <v>44981</v>
      </c>
      <c r="H901" s="7">
        <v>4160</v>
      </c>
      <c r="I901" s="7"/>
      <c r="J901" s="7"/>
      <c r="K901" s="7"/>
      <c r="L901" s="10">
        <v>5.5741092456127026</v>
      </c>
      <c r="M901" s="9">
        <v>44986</v>
      </c>
      <c r="N901" s="10">
        <v>5.5</v>
      </c>
      <c r="O901" s="9">
        <v>44991</v>
      </c>
      <c r="P901">
        <v>22</v>
      </c>
      <c r="Q901" s="11" t="s">
        <v>49</v>
      </c>
      <c r="R901" s="7">
        <v>4160</v>
      </c>
      <c r="S901" s="7"/>
      <c r="T901" s="7"/>
      <c r="U901" s="7"/>
      <c r="V901" s="10">
        <v>7.5741092456127026</v>
      </c>
      <c r="W901" s="9">
        <v>44988</v>
      </c>
      <c r="X901" s="10">
        <v>7.5</v>
      </c>
      <c r="Y901" s="9">
        <v>44991</v>
      </c>
      <c r="Z901">
        <v>22</v>
      </c>
      <c r="AA901" s="11" t="s">
        <v>49</v>
      </c>
    </row>
    <row r="902" spans="2:27" ht="16" x14ac:dyDescent="0.2">
      <c r="B902" t="s">
        <v>35</v>
      </c>
      <c r="C902">
        <v>40357493</v>
      </c>
      <c r="D902" t="s">
        <v>389</v>
      </c>
      <c r="E902">
        <v>1022417</v>
      </c>
      <c r="F902" t="s">
        <v>173</v>
      </c>
      <c r="G902" s="9">
        <v>44981</v>
      </c>
      <c r="H902" s="7">
        <v>25000</v>
      </c>
      <c r="I902" s="7"/>
      <c r="J902" s="7"/>
      <c r="K902" s="7"/>
      <c r="L902" s="10">
        <v>5.5741092456127026</v>
      </c>
      <c r="M902" s="9">
        <v>44986</v>
      </c>
      <c r="N902" s="10">
        <v>5.5</v>
      </c>
      <c r="O902" s="9">
        <v>44991</v>
      </c>
      <c r="P902">
        <v>22</v>
      </c>
      <c r="Q902" s="11" t="s">
        <v>49</v>
      </c>
      <c r="R902" s="7">
        <v>25000</v>
      </c>
      <c r="S902" s="7"/>
      <c r="T902" s="7"/>
      <c r="U902" s="7"/>
      <c r="V902" s="10">
        <v>7.5741092456127026</v>
      </c>
      <c r="W902" s="9">
        <v>44988</v>
      </c>
      <c r="X902" s="10">
        <v>7.5</v>
      </c>
      <c r="Y902" s="9">
        <v>44991</v>
      </c>
      <c r="Z902">
        <v>22</v>
      </c>
      <c r="AA902" s="11" t="s">
        <v>49</v>
      </c>
    </row>
    <row r="903" spans="2:27" ht="16" x14ac:dyDescent="0.2">
      <c r="B903" t="s">
        <v>35</v>
      </c>
      <c r="C903">
        <v>40357492</v>
      </c>
      <c r="D903" t="s">
        <v>389</v>
      </c>
      <c r="E903">
        <v>1022417</v>
      </c>
      <c r="F903" t="s">
        <v>173</v>
      </c>
      <c r="G903" s="9">
        <v>44977</v>
      </c>
      <c r="H903" s="7">
        <v>23860</v>
      </c>
      <c r="I903" s="7"/>
      <c r="J903" s="7"/>
      <c r="K903" s="7"/>
      <c r="L903" s="10">
        <v>5.5741092456127026</v>
      </c>
      <c r="M903" s="9">
        <v>44982</v>
      </c>
      <c r="N903" s="10">
        <v>5.5</v>
      </c>
      <c r="O903" s="9">
        <v>44987</v>
      </c>
      <c r="P903">
        <v>25</v>
      </c>
      <c r="Q903" s="11" t="s">
        <v>49</v>
      </c>
      <c r="R903" s="7">
        <v>23860</v>
      </c>
      <c r="S903" s="7"/>
      <c r="T903" s="7"/>
      <c r="U903" s="7"/>
      <c r="V903" s="10">
        <v>7.5741092456127026</v>
      </c>
      <c r="W903" s="9">
        <v>44984</v>
      </c>
      <c r="X903" s="10">
        <v>7.5</v>
      </c>
      <c r="Y903" s="9">
        <v>44987</v>
      </c>
      <c r="Z903">
        <v>25</v>
      </c>
      <c r="AA903" s="11" t="s">
        <v>49</v>
      </c>
    </row>
    <row r="904" spans="2:27" ht="16" x14ac:dyDescent="0.2">
      <c r="B904" t="s">
        <v>35</v>
      </c>
      <c r="C904">
        <v>40357491</v>
      </c>
      <c r="D904" t="s">
        <v>389</v>
      </c>
      <c r="E904">
        <v>1022417</v>
      </c>
      <c r="F904" t="s">
        <v>173</v>
      </c>
      <c r="G904" s="9">
        <v>44975</v>
      </c>
      <c r="H904" s="7"/>
      <c r="I904" s="7"/>
      <c r="J904" s="7"/>
      <c r="K904" s="7"/>
      <c r="L904" s="10">
        <v>5.5741092456127026</v>
      </c>
      <c r="M904" s="9">
        <v>44980</v>
      </c>
      <c r="N904" s="10">
        <v>5.5</v>
      </c>
      <c r="O904" s="9">
        <v>44985</v>
      </c>
      <c r="P904">
        <v>0</v>
      </c>
      <c r="Q904" s="11" t="s">
        <v>594</v>
      </c>
      <c r="R904" s="7"/>
      <c r="S904" s="7"/>
      <c r="T904" s="7"/>
      <c r="U904" s="7"/>
      <c r="V904" s="10">
        <v>7.5741092456127026</v>
      </c>
      <c r="W904" s="9">
        <v>44982</v>
      </c>
      <c r="X904" s="10">
        <v>7.5</v>
      </c>
      <c r="Y904" s="9">
        <v>44985</v>
      </c>
      <c r="Z904">
        <v>0</v>
      </c>
      <c r="AA904" s="11" t="s">
        <v>594</v>
      </c>
    </row>
    <row r="905" spans="2:27" ht="16" x14ac:dyDescent="0.2">
      <c r="B905" t="s">
        <v>35</v>
      </c>
      <c r="C905">
        <v>40357489</v>
      </c>
      <c r="D905" t="s">
        <v>389</v>
      </c>
      <c r="E905">
        <v>1022417</v>
      </c>
      <c r="F905" t="s">
        <v>173</v>
      </c>
      <c r="G905" s="9">
        <v>44977</v>
      </c>
      <c r="H905" s="7">
        <v>24400</v>
      </c>
      <c r="I905" s="7"/>
      <c r="J905" s="7"/>
      <c r="K905" s="7"/>
      <c r="L905" s="10">
        <v>5.5741092456127026</v>
      </c>
      <c r="M905" s="9">
        <v>44982</v>
      </c>
      <c r="N905" s="10">
        <v>5.5</v>
      </c>
      <c r="O905" s="9">
        <v>44987</v>
      </c>
      <c r="P905">
        <v>25</v>
      </c>
      <c r="Q905" s="11" t="s">
        <v>49</v>
      </c>
      <c r="R905" s="7">
        <v>24400</v>
      </c>
      <c r="S905" s="7"/>
      <c r="T905" s="7"/>
      <c r="U905" s="7"/>
      <c r="V905" s="10">
        <v>7.5741092456127026</v>
      </c>
      <c r="W905" s="9">
        <v>44984</v>
      </c>
      <c r="X905" s="10">
        <v>7.5</v>
      </c>
      <c r="Y905" s="9">
        <v>44987</v>
      </c>
      <c r="Z905">
        <v>25</v>
      </c>
      <c r="AA905" s="11" t="s">
        <v>49</v>
      </c>
    </row>
    <row r="906" spans="2:27" ht="16" x14ac:dyDescent="0.2">
      <c r="B906" t="s">
        <v>35</v>
      </c>
      <c r="C906">
        <v>40357487</v>
      </c>
      <c r="D906" t="s">
        <v>389</v>
      </c>
      <c r="E906">
        <v>1022417</v>
      </c>
      <c r="F906" t="s">
        <v>173</v>
      </c>
      <c r="G906" s="9">
        <v>44975</v>
      </c>
      <c r="H906" s="7"/>
      <c r="I906" s="7"/>
      <c r="J906" s="7"/>
      <c r="K906" s="7"/>
      <c r="L906" s="10">
        <v>5.5741092456127026</v>
      </c>
      <c r="M906" s="9">
        <v>44980</v>
      </c>
      <c r="N906" s="10">
        <v>5.5</v>
      </c>
      <c r="O906" s="9">
        <v>44985</v>
      </c>
      <c r="P906">
        <v>0</v>
      </c>
      <c r="Q906" s="11" t="s">
        <v>594</v>
      </c>
      <c r="R906" s="7"/>
      <c r="S906" s="7"/>
      <c r="T906" s="7"/>
      <c r="U906" s="7"/>
      <c r="V906" s="10">
        <v>7.5741092456127026</v>
      </c>
      <c r="W906" s="9">
        <v>44982</v>
      </c>
      <c r="X906" s="10">
        <v>7.5</v>
      </c>
      <c r="Y906" s="9">
        <v>44985</v>
      </c>
      <c r="Z906">
        <v>0</v>
      </c>
      <c r="AA906" s="11" t="s">
        <v>594</v>
      </c>
    </row>
    <row r="907" spans="2:27" ht="16" x14ac:dyDescent="0.2">
      <c r="B907" t="s">
        <v>35</v>
      </c>
      <c r="C907">
        <v>40357483</v>
      </c>
      <c r="D907" t="s">
        <v>389</v>
      </c>
      <c r="E907">
        <v>1022388</v>
      </c>
      <c r="F907" t="s">
        <v>170</v>
      </c>
      <c r="G907" s="9">
        <v>44977</v>
      </c>
      <c r="H907" s="7">
        <v>24180</v>
      </c>
      <c r="I907" s="7"/>
      <c r="J907" s="7"/>
      <c r="K907" s="7"/>
      <c r="L907" s="10">
        <v>5.5741092456127026</v>
      </c>
      <c r="M907" s="9">
        <v>44982</v>
      </c>
      <c r="N907" s="10">
        <v>5.5</v>
      </c>
      <c r="O907" s="9">
        <v>44987</v>
      </c>
      <c r="P907">
        <v>25</v>
      </c>
      <c r="Q907" s="11" t="s">
        <v>49</v>
      </c>
      <c r="R907" s="7">
        <v>24180</v>
      </c>
      <c r="S907" s="7"/>
      <c r="T907" s="7"/>
      <c r="U907" s="7"/>
      <c r="V907" s="10">
        <v>7.5741092456127026</v>
      </c>
      <c r="W907" s="9">
        <v>44984</v>
      </c>
      <c r="X907" s="10">
        <v>7.5</v>
      </c>
      <c r="Y907" s="9">
        <v>44987</v>
      </c>
      <c r="Z907">
        <v>25</v>
      </c>
      <c r="AA907" s="11" t="s">
        <v>49</v>
      </c>
    </row>
    <row r="908" spans="2:27" ht="16" x14ac:dyDescent="0.2">
      <c r="B908" t="s">
        <v>35</v>
      </c>
      <c r="C908">
        <v>40357482</v>
      </c>
      <c r="D908" t="s">
        <v>389</v>
      </c>
      <c r="E908">
        <v>1022388</v>
      </c>
      <c r="F908" t="s">
        <v>170</v>
      </c>
      <c r="G908" s="9">
        <v>44971</v>
      </c>
      <c r="H908" s="7"/>
      <c r="I908" s="7"/>
      <c r="J908" s="7"/>
      <c r="K908" s="7"/>
      <c r="L908" s="10">
        <v>5.5741092456127026</v>
      </c>
      <c r="M908" s="9">
        <v>44976</v>
      </c>
      <c r="N908" s="10">
        <v>5.5</v>
      </c>
      <c r="O908" s="9">
        <v>44981</v>
      </c>
      <c r="P908">
        <v>3</v>
      </c>
      <c r="Q908" s="11" t="s">
        <v>49</v>
      </c>
      <c r="R908" s="7"/>
      <c r="S908" s="7"/>
      <c r="T908" s="7"/>
      <c r="U908" s="7"/>
      <c r="V908" s="10">
        <v>7.5741092456127026</v>
      </c>
      <c r="W908" s="9">
        <v>44978</v>
      </c>
      <c r="X908" s="10">
        <v>7.5</v>
      </c>
      <c r="Y908" s="9">
        <v>44981</v>
      </c>
      <c r="Z908">
        <v>3</v>
      </c>
      <c r="AA908" s="11" t="s">
        <v>49</v>
      </c>
    </row>
    <row r="909" spans="2:27" ht="16" x14ac:dyDescent="0.2">
      <c r="B909" t="s">
        <v>35</v>
      </c>
      <c r="C909">
        <v>40357481</v>
      </c>
      <c r="D909" t="s">
        <v>389</v>
      </c>
      <c r="E909">
        <v>1022388</v>
      </c>
      <c r="F909" t="s">
        <v>170</v>
      </c>
      <c r="G909" s="9">
        <v>44973</v>
      </c>
      <c r="H909" s="7"/>
      <c r="I909" s="7"/>
      <c r="J909" s="7"/>
      <c r="K909" s="7"/>
      <c r="L909" s="10">
        <v>5.5741092456127026</v>
      </c>
      <c r="M909" s="9">
        <v>44978</v>
      </c>
      <c r="N909" s="10">
        <v>5.5</v>
      </c>
      <c r="O909" s="9">
        <v>44983</v>
      </c>
      <c r="P909">
        <v>2</v>
      </c>
      <c r="Q909" s="11" t="s">
        <v>594</v>
      </c>
      <c r="R909" s="7"/>
      <c r="S909" s="7"/>
      <c r="T909" s="7"/>
      <c r="U909" s="7"/>
      <c r="V909" s="10">
        <v>7.5741092456127026</v>
      </c>
      <c r="W909" s="9">
        <v>44980</v>
      </c>
      <c r="X909" s="10">
        <v>7.5</v>
      </c>
      <c r="Y909" s="9">
        <v>44983</v>
      </c>
      <c r="Z909">
        <v>2</v>
      </c>
      <c r="AA909" s="11" t="s">
        <v>594</v>
      </c>
    </row>
    <row r="910" spans="2:27" ht="16" x14ac:dyDescent="0.2">
      <c r="B910" t="s">
        <v>35</v>
      </c>
      <c r="C910">
        <v>40357480</v>
      </c>
      <c r="D910" t="s">
        <v>389</v>
      </c>
      <c r="E910">
        <v>1022388</v>
      </c>
      <c r="F910" t="s">
        <v>170</v>
      </c>
      <c r="G910" s="9">
        <v>44973</v>
      </c>
      <c r="H910" s="7"/>
      <c r="I910" s="7"/>
      <c r="J910" s="7"/>
      <c r="K910" s="7"/>
      <c r="L910" s="10">
        <v>5.5741092456127026</v>
      </c>
      <c r="M910" s="9">
        <v>44978</v>
      </c>
      <c r="N910" s="10">
        <v>5.5</v>
      </c>
      <c r="O910" s="9">
        <v>44983</v>
      </c>
      <c r="P910">
        <v>2</v>
      </c>
      <c r="Q910" s="11" t="s">
        <v>594</v>
      </c>
      <c r="R910" s="7"/>
      <c r="S910" s="7"/>
      <c r="T910" s="7"/>
      <c r="U910" s="7"/>
      <c r="V910" s="10">
        <v>7.5741092456127026</v>
      </c>
      <c r="W910" s="9">
        <v>44980</v>
      </c>
      <c r="X910" s="10">
        <v>7.5</v>
      </c>
      <c r="Y910" s="9">
        <v>44983</v>
      </c>
      <c r="Z910">
        <v>2</v>
      </c>
      <c r="AA910" s="11" t="s">
        <v>594</v>
      </c>
    </row>
    <row r="911" spans="2:27" ht="16" x14ac:dyDescent="0.2">
      <c r="B911" t="s">
        <v>35</v>
      </c>
      <c r="C911">
        <v>40357478</v>
      </c>
      <c r="D911" t="s">
        <v>389</v>
      </c>
      <c r="E911">
        <v>1023093</v>
      </c>
      <c r="F911" t="s">
        <v>179</v>
      </c>
      <c r="G911" s="9">
        <v>44981</v>
      </c>
      <c r="H911" s="7">
        <v>24000</v>
      </c>
      <c r="I911" s="7"/>
      <c r="J911" s="7"/>
      <c r="K911" s="7"/>
      <c r="L911" s="10">
        <v>5.5741092456127026</v>
      </c>
      <c r="M911" s="9">
        <v>44986</v>
      </c>
      <c r="N911" s="10">
        <v>5.5</v>
      </c>
      <c r="O911" s="9">
        <v>44991</v>
      </c>
      <c r="P911">
        <v>22</v>
      </c>
      <c r="Q911" s="11" t="s">
        <v>49</v>
      </c>
      <c r="R911" s="7">
        <v>24000</v>
      </c>
      <c r="S911" s="7"/>
      <c r="T911" s="7"/>
      <c r="U911" s="7"/>
      <c r="V911" s="10">
        <v>7.5741092456127026</v>
      </c>
      <c r="W911" s="9">
        <v>44988</v>
      </c>
      <c r="X911" s="10">
        <v>7.5</v>
      </c>
      <c r="Y911" s="9">
        <v>44991</v>
      </c>
      <c r="Z911">
        <v>22</v>
      </c>
      <c r="AA911" s="11" t="s">
        <v>49</v>
      </c>
    </row>
    <row r="912" spans="2:27" ht="16" x14ac:dyDescent="0.2">
      <c r="B912" t="s">
        <v>35</v>
      </c>
      <c r="C912">
        <v>40357475</v>
      </c>
      <c r="D912" t="s">
        <v>389</v>
      </c>
      <c r="E912">
        <v>1022125</v>
      </c>
      <c r="F912" t="s">
        <v>296</v>
      </c>
      <c r="G912" s="9">
        <v>44989</v>
      </c>
      <c r="H912" s="7">
        <v>24005.13</v>
      </c>
      <c r="I912" s="7"/>
      <c r="J912" s="7"/>
      <c r="K912" s="7"/>
      <c r="L912" s="10">
        <v>5.5741092456127026</v>
      </c>
      <c r="M912" s="9">
        <v>44994</v>
      </c>
      <c r="N912" s="10">
        <v>5.5</v>
      </c>
      <c r="O912" s="9">
        <v>44999</v>
      </c>
      <c r="P912">
        <v>15</v>
      </c>
      <c r="Q912" s="11" t="s">
        <v>49</v>
      </c>
      <c r="R912" s="7">
        <v>24005.13</v>
      </c>
      <c r="S912" s="7"/>
      <c r="T912" s="7"/>
      <c r="U912" s="7"/>
      <c r="V912" s="10">
        <v>7.5741092456127026</v>
      </c>
      <c r="W912" s="9">
        <v>44996</v>
      </c>
      <c r="X912" s="10">
        <v>7.5</v>
      </c>
      <c r="Y912" s="9">
        <v>44999</v>
      </c>
      <c r="Z912">
        <v>15</v>
      </c>
      <c r="AA912" s="11" t="s">
        <v>49</v>
      </c>
    </row>
    <row r="913" spans="2:27" ht="16" x14ac:dyDescent="0.2">
      <c r="B913" t="s">
        <v>35</v>
      </c>
      <c r="C913">
        <v>40357474</v>
      </c>
      <c r="D913" t="s">
        <v>389</v>
      </c>
      <c r="E913">
        <v>1022125</v>
      </c>
      <c r="F913" t="s">
        <v>296</v>
      </c>
      <c r="G913" s="9">
        <v>44989</v>
      </c>
      <c r="H913" s="7">
        <v>25003.3</v>
      </c>
      <c r="I913" s="7"/>
      <c r="J913" s="7"/>
      <c r="K913" s="7"/>
      <c r="L913" s="10">
        <v>5.5741092456127026</v>
      </c>
      <c r="M913" s="9">
        <v>44994</v>
      </c>
      <c r="N913" s="10">
        <v>5.5</v>
      </c>
      <c r="O913" s="9">
        <v>44999</v>
      </c>
      <c r="P913">
        <v>15</v>
      </c>
      <c r="Q913" s="11" t="s">
        <v>49</v>
      </c>
      <c r="R913" s="7">
        <v>25003.3</v>
      </c>
      <c r="S913" s="7"/>
      <c r="T913" s="7"/>
      <c r="U913" s="7"/>
      <c r="V913" s="10">
        <v>7.5741092456127026</v>
      </c>
      <c r="W913" s="9">
        <v>44996</v>
      </c>
      <c r="X913" s="10">
        <v>7.5</v>
      </c>
      <c r="Y913" s="9">
        <v>44999</v>
      </c>
      <c r="Z913">
        <v>15</v>
      </c>
      <c r="AA913" s="11" t="s">
        <v>49</v>
      </c>
    </row>
    <row r="914" spans="2:27" ht="16" x14ac:dyDescent="0.2">
      <c r="B914" t="s">
        <v>35</v>
      </c>
      <c r="C914">
        <v>40357472</v>
      </c>
      <c r="D914" t="s">
        <v>389</v>
      </c>
      <c r="E914">
        <v>1022125</v>
      </c>
      <c r="F914" t="s">
        <v>296</v>
      </c>
      <c r="G914" s="9">
        <v>44973</v>
      </c>
      <c r="H914" s="7"/>
      <c r="I914" s="7"/>
      <c r="J914" s="7"/>
      <c r="K914" s="7"/>
      <c r="L914" s="10">
        <v>5.5741092456127026</v>
      </c>
      <c r="M914" s="9">
        <v>44978</v>
      </c>
      <c r="N914" s="10">
        <v>5.5</v>
      </c>
      <c r="O914" s="9">
        <v>44983</v>
      </c>
      <c r="P914">
        <v>2</v>
      </c>
      <c r="Q914" s="11" t="s">
        <v>594</v>
      </c>
      <c r="R914" s="7"/>
      <c r="S914" s="7"/>
      <c r="T914" s="7"/>
      <c r="U914" s="7"/>
      <c r="V914" s="10">
        <v>7.5741092456127026</v>
      </c>
      <c r="W914" s="9">
        <v>44980</v>
      </c>
      <c r="X914" s="10">
        <v>7.5</v>
      </c>
      <c r="Y914" s="9">
        <v>44983</v>
      </c>
      <c r="Z914">
        <v>2</v>
      </c>
      <c r="AA914" s="11" t="s">
        <v>594</v>
      </c>
    </row>
    <row r="915" spans="2:27" ht="16" x14ac:dyDescent="0.2">
      <c r="B915" t="s">
        <v>35</v>
      </c>
      <c r="C915">
        <v>40357470</v>
      </c>
      <c r="D915" t="s">
        <v>389</v>
      </c>
      <c r="E915">
        <v>1021740</v>
      </c>
      <c r="F915" t="s">
        <v>284</v>
      </c>
      <c r="G915" s="9">
        <v>45000</v>
      </c>
      <c r="H915" s="7">
        <v>10290.74</v>
      </c>
      <c r="I915" s="7"/>
      <c r="J915" s="7"/>
      <c r="K915" s="7"/>
      <c r="L915" s="10">
        <v>5.5741092456127026</v>
      </c>
      <c r="M915" s="9">
        <v>45005</v>
      </c>
      <c r="N915" s="10">
        <v>5.5</v>
      </c>
      <c r="O915" s="9">
        <v>45010</v>
      </c>
      <c r="P915">
        <v>5</v>
      </c>
      <c r="Q915" s="11" t="s">
        <v>49</v>
      </c>
      <c r="R915" s="7">
        <v>10290.74</v>
      </c>
      <c r="S915" s="7"/>
      <c r="T915" s="7"/>
      <c r="U915" s="7"/>
      <c r="V915" s="10">
        <v>7.5741092456127026</v>
      </c>
      <c r="W915" s="9">
        <v>45007</v>
      </c>
      <c r="X915" s="10">
        <v>7.5</v>
      </c>
      <c r="Y915" s="9">
        <v>45010</v>
      </c>
      <c r="Z915">
        <v>5</v>
      </c>
      <c r="AA915" s="11" t="s">
        <v>49</v>
      </c>
    </row>
    <row r="916" spans="2:27" ht="16" x14ac:dyDescent="0.2">
      <c r="B916" t="s">
        <v>35</v>
      </c>
      <c r="C916">
        <v>40357470</v>
      </c>
      <c r="D916" t="s">
        <v>389</v>
      </c>
      <c r="E916">
        <v>1021740</v>
      </c>
      <c r="F916" t="s">
        <v>284</v>
      </c>
      <c r="G916" s="9">
        <v>45000</v>
      </c>
      <c r="H916" s="7">
        <v>24007.66</v>
      </c>
      <c r="I916" s="7"/>
      <c r="J916" s="7"/>
      <c r="K916" s="7"/>
      <c r="L916" s="10">
        <v>5.5741092456127026</v>
      </c>
      <c r="M916" s="9">
        <v>45005</v>
      </c>
      <c r="N916" s="10">
        <v>5.5</v>
      </c>
      <c r="O916" s="9">
        <v>45010</v>
      </c>
      <c r="P916">
        <v>5</v>
      </c>
      <c r="Q916" s="11" t="s">
        <v>49</v>
      </c>
      <c r="R916" s="7">
        <v>24007.66</v>
      </c>
      <c r="S916" s="7"/>
      <c r="T916" s="7"/>
      <c r="U916" s="7"/>
      <c r="V916" s="10">
        <v>7.5741092456127026</v>
      </c>
      <c r="W916" s="9">
        <v>45007</v>
      </c>
      <c r="X916" s="10">
        <v>7.5</v>
      </c>
      <c r="Y916" s="9">
        <v>45010</v>
      </c>
      <c r="Z916">
        <v>5</v>
      </c>
      <c r="AA916" s="11" t="s">
        <v>49</v>
      </c>
    </row>
    <row r="917" spans="2:27" ht="16" x14ac:dyDescent="0.2">
      <c r="B917" t="s">
        <v>35</v>
      </c>
      <c r="C917">
        <v>40357469</v>
      </c>
      <c r="D917" t="s">
        <v>389</v>
      </c>
      <c r="E917">
        <v>1021740</v>
      </c>
      <c r="F917" t="s">
        <v>284</v>
      </c>
      <c r="G917" s="9">
        <v>44995</v>
      </c>
      <c r="H917" s="7">
        <v>10997.73</v>
      </c>
      <c r="I917" s="7"/>
      <c r="J917" s="7"/>
      <c r="K917" s="7"/>
      <c r="L917" s="10">
        <v>5.5741092456127026</v>
      </c>
      <c r="M917" s="9">
        <v>45000</v>
      </c>
      <c r="N917" s="10">
        <v>5.5</v>
      </c>
      <c r="O917" s="9">
        <v>45005</v>
      </c>
      <c r="P917">
        <v>10</v>
      </c>
      <c r="Q917" s="11" t="s">
        <v>49</v>
      </c>
      <c r="R917" s="7">
        <v>10997.73</v>
      </c>
      <c r="S917" s="7"/>
      <c r="T917" s="7"/>
      <c r="U917" s="7"/>
      <c r="V917" s="10">
        <v>7.5741092456127026</v>
      </c>
      <c r="W917" s="9">
        <v>45002</v>
      </c>
      <c r="X917" s="10">
        <v>7.5</v>
      </c>
      <c r="Y917" s="9">
        <v>45005</v>
      </c>
      <c r="Z917">
        <v>10</v>
      </c>
      <c r="AA917" s="11" t="s">
        <v>49</v>
      </c>
    </row>
    <row r="918" spans="2:27" ht="16" x14ac:dyDescent="0.2">
      <c r="B918" t="s">
        <v>35</v>
      </c>
      <c r="C918">
        <v>40357469</v>
      </c>
      <c r="D918" t="s">
        <v>389</v>
      </c>
      <c r="E918">
        <v>1021740</v>
      </c>
      <c r="F918" t="s">
        <v>284</v>
      </c>
      <c r="G918" s="9">
        <v>44995</v>
      </c>
      <c r="H918" s="7">
        <v>25019.16</v>
      </c>
      <c r="I918" s="7"/>
      <c r="J918" s="7"/>
      <c r="K918" s="7"/>
      <c r="L918" s="10">
        <v>5.5741092456127026</v>
      </c>
      <c r="M918" s="9">
        <v>45000</v>
      </c>
      <c r="N918" s="10">
        <v>5.5</v>
      </c>
      <c r="O918" s="9">
        <v>45005</v>
      </c>
      <c r="P918">
        <v>10</v>
      </c>
      <c r="Q918" s="11" t="s">
        <v>49</v>
      </c>
      <c r="R918" s="7">
        <v>25019.16</v>
      </c>
      <c r="S918" s="7"/>
      <c r="T918" s="7"/>
      <c r="U918" s="7"/>
      <c r="V918" s="10">
        <v>7.5741092456127026</v>
      </c>
      <c r="W918" s="9">
        <v>45002</v>
      </c>
      <c r="X918" s="10">
        <v>7.5</v>
      </c>
      <c r="Y918" s="9">
        <v>45005</v>
      </c>
      <c r="Z918">
        <v>10</v>
      </c>
      <c r="AA918" s="11" t="s">
        <v>49</v>
      </c>
    </row>
    <row r="919" spans="2:27" ht="16" x14ac:dyDescent="0.2">
      <c r="B919" t="s">
        <v>35</v>
      </c>
      <c r="C919">
        <v>40357468</v>
      </c>
      <c r="D919" t="s">
        <v>389</v>
      </c>
      <c r="E919">
        <v>1021740</v>
      </c>
      <c r="F919" t="s">
        <v>284</v>
      </c>
      <c r="G919" s="9">
        <v>44995</v>
      </c>
      <c r="H919" s="7">
        <v>24537.08</v>
      </c>
      <c r="I919" s="7"/>
      <c r="J919" s="7"/>
      <c r="K919" s="7"/>
      <c r="L919" s="10">
        <v>5.5741092456127026</v>
      </c>
      <c r="M919" s="9">
        <v>45000</v>
      </c>
      <c r="N919" s="10">
        <v>5.5</v>
      </c>
      <c r="O919" s="9">
        <v>45005</v>
      </c>
      <c r="P919">
        <v>10</v>
      </c>
      <c r="Q919" s="11" t="s">
        <v>49</v>
      </c>
      <c r="R919" s="7">
        <v>24537.08</v>
      </c>
      <c r="S919" s="7"/>
      <c r="T919" s="7"/>
      <c r="U919" s="7"/>
      <c r="V919" s="10">
        <v>7.5741092456127026</v>
      </c>
      <c r="W919" s="9">
        <v>45002</v>
      </c>
      <c r="X919" s="10">
        <v>7.5</v>
      </c>
      <c r="Y919" s="9">
        <v>45005</v>
      </c>
      <c r="Z919">
        <v>10</v>
      </c>
      <c r="AA919" s="11" t="s">
        <v>49</v>
      </c>
    </row>
    <row r="920" spans="2:27" ht="16" x14ac:dyDescent="0.2">
      <c r="B920" t="s">
        <v>35</v>
      </c>
      <c r="C920">
        <v>40357467</v>
      </c>
      <c r="D920" t="s">
        <v>389</v>
      </c>
      <c r="E920">
        <v>1021740</v>
      </c>
      <c r="F920" t="s">
        <v>284</v>
      </c>
      <c r="G920" s="9">
        <v>44990</v>
      </c>
      <c r="H920" s="7">
        <v>24986.1</v>
      </c>
      <c r="I920" s="7"/>
      <c r="J920" s="7"/>
      <c r="K920" s="7"/>
      <c r="L920" s="10">
        <v>5.5741092456127026</v>
      </c>
      <c r="M920" s="9">
        <v>44995</v>
      </c>
      <c r="N920" s="10">
        <v>5.5</v>
      </c>
      <c r="O920" s="9">
        <v>45000</v>
      </c>
      <c r="P920">
        <v>14</v>
      </c>
      <c r="Q920" s="11" t="s">
        <v>49</v>
      </c>
      <c r="R920" s="7">
        <v>24986.1</v>
      </c>
      <c r="S920" s="7"/>
      <c r="T920" s="7"/>
      <c r="U920" s="7"/>
      <c r="V920" s="10">
        <v>7.5741092456127026</v>
      </c>
      <c r="W920" s="9">
        <v>44997</v>
      </c>
      <c r="X920" s="10">
        <v>7.5</v>
      </c>
      <c r="Y920" s="9">
        <v>45000</v>
      </c>
      <c r="Z920">
        <v>14</v>
      </c>
      <c r="AA920" s="11" t="s">
        <v>49</v>
      </c>
    </row>
    <row r="921" spans="2:27" ht="16" x14ac:dyDescent="0.2">
      <c r="B921" t="s">
        <v>35</v>
      </c>
      <c r="C921">
        <v>40357466</v>
      </c>
      <c r="D921" t="s">
        <v>389</v>
      </c>
      <c r="E921">
        <v>1021740</v>
      </c>
      <c r="F921" t="s">
        <v>284</v>
      </c>
      <c r="G921" s="9">
        <v>44990</v>
      </c>
      <c r="H921" s="7">
        <v>9712.76</v>
      </c>
      <c r="I921" s="7"/>
      <c r="J921" s="7"/>
      <c r="K921" s="7"/>
      <c r="L921" s="10">
        <v>5.5741092456127026</v>
      </c>
      <c r="M921" s="9">
        <v>44995</v>
      </c>
      <c r="N921" s="10">
        <v>5.5</v>
      </c>
      <c r="O921" s="9">
        <v>45000</v>
      </c>
      <c r="P921">
        <v>14</v>
      </c>
      <c r="Q921" s="11" t="s">
        <v>49</v>
      </c>
      <c r="R921" s="7">
        <v>9712.76</v>
      </c>
      <c r="S921" s="7"/>
      <c r="T921" s="7"/>
      <c r="U921" s="7"/>
      <c r="V921" s="10">
        <v>7.5741092456127026</v>
      </c>
      <c r="W921" s="9">
        <v>44997</v>
      </c>
      <c r="X921" s="10">
        <v>7.5</v>
      </c>
      <c r="Y921" s="9">
        <v>45000</v>
      </c>
      <c r="Z921">
        <v>14</v>
      </c>
      <c r="AA921" s="11" t="s">
        <v>49</v>
      </c>
    </row>
    <row r="922" spans="2:27" ht="16" x14ac:dyDescent="0.2">
      <c r="B922" t="s">
        <v>35</v>
      </c>
      <c r="C922">
        <v>40357466</v>
      </c>
      <c r="D922" t="s">
        <v>389</v>
      </c>
      <c r="E922">
        <v>1021740</v>
      </c>
      <c r="F922" t="s">
        <v>284</v>
      </c>
      <c r="G922" s="9">
        <v>44990</v>
      </c>
      <c r="H922" s="7">
        <v>25026.48</v>
      </c>
      <c r="I922" s="7"/>
      <c r="J922" s="7"/>
      <c r="K922" s="7"/>
      <c r="L922" s="10">
        <v>5.5741092456127026</v>
      </c>
      <c r="M922" s="9">
        <v>44995</v>
      </c>
      <c r="N922" s="10">
        <v>5.5</v>
      </c>
      <c r="O922" s="9">
        <v>45000</v>
      </c>
      <c r="P922">
        <v>14</v>
      </c>
      <c r="Q922" s="11" t="s">
        <v>49</v>
      </c>
      <c r="R922" s="7">
        <v>25026.48</v>
      </c>
      <c r="S922" s="7"/>
      <c r="T922" s="7"/>
      <c r="U922" s="7"/>
      <c r="V922" s="10">
        <v>7.5741092456127026</v>
      </c>
      <c r="W922" s="9">
        <v>44997</v>
      </c>
      <c r="X922" s="10">
        <v>7.5</v>
      </c>
      <c r="Y922" s="9">
        <v>45000</v>
      </c>
      <c r="Z922">
        <v>14</v>
      </c>
      <c r="AA922" s="11" t="s">
        <v>49</v>
      </c>
    </row>
    <row r="923" spans="2:27" ht="16" x14ac:dyDescent="0.2">
      <c r="B923" t="s">
        <v>35</v>
      </c>
      <c r="C923">
        <v>40357459</v>
      </c>
      <c r="D923" t="s">
        <v>389</v>
      </c>
      <c r="E923">
        <v>1021733</v>
      </c>
      <c r="F923" t="s">
        <v>277</v>
      </c>
      <c r="G923" s="9">
        <v>44990</v>
      </c>
      <c r="H923" s="7">
        <v>14662.17</v>
      </c>
      <c r="I923" s="7"/>
      <c r="J923" s="7"/>
      <c r="K923" s="7"/>
      <c r="L923" s="10">
        <v>5.5741092456127026</v>
      </c>
      <c r="M923" s="9">
        <v>44995</v>
      </c>
      <c r="N923" s="10">
        <v>5.5</v>
      </c>
      <c r="O923" s="9">
        <v>45000</v>
      </c>
      <c r="P923">
        <v>14</v>
      </c>
      <c r="Q923" s="11" t="s">
        <v>49</v>
      </c>
      <c r="R923" s="7">
        <v>14662.17</v>
      </c>
      <c r="S923" s="7"/>
      <c r="T923" s="7"/>
      <c r="U923" s="7"/>
      <c r="V923" s="10">
        <v>7.5741092456127026</v>
      </c>
      <c r="W923" s="9">
        <v>44997</v>
      </c>
      <c r="X923" s="10">
        <v>7.5</v>
      </c>
      <c r="Y923" s="9">
        <v>45000</v>
      </c>
      <c r="Z923">
        <v>14</v>
      </c>
      <c r="AA923" s="11" t="s">
        <v>49</v>
      </c>
    </row>
    <row r="924" spans="2:27" ht="16" x14ac:dyDescent="0.2">
      <c r="B924" t="s">
        <v>35</v>
      </c>
      <c r="C924">
        <v>40357459</v>
      </c>
      <c r="D924" t="s">
        <v>389</v>
      </c>
      <c r="E924">
        <v>1021733</v>
      </c>
      <c r="F924" t="s">
        <v>277</v>
      </c>
      <c r="G924" s="9">
        <v>44990</v>
      </c>
      <c r="H924" s="7">
        <v>24369.38</v>
      </c>
      <c r="I924" s="7"/>
      <c r="J924" s="7"/>
      <c r="K924" s="7"/>
      <c r="L924" s="10">
        <v>5.5741092456127026</v>
      </c>
      <c r="M924" s="9">
        <v>44995</v>
      </c>
      <c r="N924" s="10">
        <v>5.5</v>
      </c>
      <c r="O924" s="9">
        <v>45000</v>
      </c>
      <c r="P924">
        <v>14</v>
      </c>
      <c r="Q924" s="11" t="s">
        <v>49</v>
      </c>
      <c r="R924" s="7">
        <v>24369.38</v>
      </c>
      <c r="S924" s="7"/>
      <c r="T924" s="7"/>
      <c r="U924" s="7"/>
      <c r="V924" s="10">
        <v>7.5741092456127026</v>
      </c>
      <c r="W924" s="9">
        <v>44997</v>
      </c>
      <c r="X924" s="10">
        <v>7.5</v>
      </c>
      <c r="Y924" s="9">
        <v>45000</v>
      </c>
      <c r="Z924">
        <v>14</v>
      </c>
      <c r="AA924" s="11" t="s">
        <v>49</v>
      </c>
    </row>
    <row r="925" spans="2:27" ht="16" x14ac:dyDescent="0.2">
      <c r="B925" t="s">
        <v>35</v>
      </c>
      <c r="C925">
        <v>40357458</v>
      </c>
      <c r="D925" t="s">
        <v>389</v>
      </c>
      <c r="E925">
        <v>1021733</v>
      </c>
      <c r="F925" t="s">
        <v>277</v>
      </c>
      <c r="G925" s="9">
        <v>44990</v>
      </c>
      <c r="H925" s="7">
        <v>23947.17</v>
      </c>
      <c r="I925" s="7"/>
      <c r="J925" s="7"/>
      <c r="K925" s="7"/>
      <c r="L925" s="10">
        <v>5.5741092456127026</v>
      </c>
      <c r="M925" s="9">
        <v>44995</v>
      </c>
      <c r="N925" s="10">
        <v>5.5</v>
      </c>
      <c r="O925" s="9">
        <v>45000</v>
      </c>
      <c r="P925">
        <v>14</v>
      </c>
      <c r="Q925" s="11" t="s">
        <v>49</v>
      </c>
      <c r="R925" s="7">
        <v>23947.17</v>
      </c>
      <c r="S925" s="7"/>
      <c r="T925" s="7"/>
      <c r="U925" s="7"/>
      <c r="V925" s="10">
        <v>7.5741092456127026</v>
      </c>
      <c r="W925" s="9">
        <v>44997</v>
      </c>
      <c r="X925" s="10">
        <v>7.5</v>
      </c>
      <c r="Y925" s="9">
        <v>45000</v>
      </c>
      <c r="Z925">
        <v>14</v>
      </c>
      <c r="AA925" s="11" t="s">
        <v>49</v>
      </c>
    </row>
    <row r="926" spans="2:27" ht="16" x14ac:dyDescent="0.2">
      <c r="B926" t="s">
        <v>35</v>
      </c>
      <c r="C926">
        <v>40357443</v>
      </c>
      <c r="D926" t="s">
        <v>389</v>
      </c>
      <c r="E926">
        <v>1022945</v>
      </c>
      <c r="F926" t="s">
        <v>442</v>
      </c>
      <c r="G926" s="9">
        <v>44975</v>
      </c>
      <c r="H926" s="7"/>
      <c r="I926" s="7"/>
      <c r="J926" s="7"/>
      <c r="K926" s="7"/>
      <c r="L926" s="10">
        <v>5.5741092456127026</v>
      </c>
      <c r="M926" s="9">
        <v>44980</v>
      </c>
      <c r="N926" s="10">
        <v>5.5</v>
      </c>
      <c r="O926" s="9">
        <v>44985</v>
      </c>
      <c r="P926">
        <v>0</v>
      </c>
      <c r="Q926" s="11" t="s">
        <v>594</v>
      </c>
      <c r="R926" s="7"/>
      <c r="S926" s="7"/>
      <c r="T926" s="7"/>
      <c r="U926" s="7"/>
      <c r="V926" s="10">
        <v>7.5741092456127026</v>
      </c>
      <c r="W926" s="9">
        <v>44982</v>
      </c>
      <c r="X926" s="10">
        <v>7.5</v>
      </c>
      <c r="Y926" s="9">
        <v>44985</v>
      </c>
      <c r="Z926">
        <v>0</v>
      </c>
      <c r="AA926" s="11" t="s">
        <v>594</v>
      </c>
    </row>
    <row r="927" spans="2:27" ht="16" x14ac:dyDescent="0.2">
      <c r="B927" t="s">
        <v>35</v>
      </c>
      <c r="C927">
        <v>40357438</v>
      </c>
      <c r="D927" t="s">
        <v>389</v>
      </c>
      <c r="E927">
        <v>1022945</v>
      </c>
      <c r="F927" t="s">
        <v>442</v>
      </c>
      <c r="G927" s="9">
        <v>44976</v>
      </c>
      <c r="H927" s="7">
        <v>24460</v>
      </c>
      <c r="I927" s="7"/>
      <c r="J927" s="7"/>
      <c r="K927" s="7"/>
      <c r="L927" s="10">
        <v>5.5741092456127026</v>
      </c>
      <c r="M927" s="9">
        <v>44981</v>
      </c>
      <c r="N927" s="10">
        <v>5.5</v>
      </c>
      <c r="O927" s="9">
        <v>44986</v>
      </c>
      <c r="P927">
        <v>26</v>
      </c>
      <c r="Q927" s="11" t="s">
        <v>49</v>
      </c>
      <c r="R927" s="7">
        <v>24460</v>
      </c>
      <c r="S927" s="7"/>
      <c r="T927" s="7"/>
      <c r="U927" s="7"/>
      <c r="V927" s="10">
        <v>7.5741092456127026</v>
      </c>
      <c r="W927" s="9">
        <v>44983</v>
      </c>
      <c r="X927" s="10">
        <v>7.5</v>
      </c>
      <c r="Y927" s="9">
        <v>44986</v>
      </c>
      <c r="Z927">
        <v>26</v>
      </c>
      <c r="AA927" s="11" t="s">
        <v>49</v>
      </c>
    </row>
    <row r="928" spans="2:27" ht="16" x14ac:dyDescent="0.2">
      <c r="B928" t="s">
        <v>35</v>
      </c>
      <c r="C928">
        <v>40357435</v>
      </c>
      <c r="D928" t="s">
        <v>389</v>
      </c>
      <c r="E928">
        <v>1022073</v>
      </c>
      <c r="F928" t="s">
        <v>45</v>
      </c>
      <c r="G928" s="9">
        <v>44977</v>
      </c>
      <c r="H928" s="7">
        <v>24005.56</v>
      </c>
      <c r="I928" s="7"/>
      <c r="J928" s="7"/>
      <c r="K928" s="7"/>
      <c r="L928" s="10">
        <v>5.5741092456127026</v>
      </c>
      <c r="M928" s="9">
        <v>44982</v>
      </c>
      <c r="N928" s="10">
        <v>5.5</v>
      </c>
      <c r="O928" s="9">
        <v>44987</v>
      </c>
      <c r="P928">
        <v>25</v>
      </c>
      <c r="Q928" s="11" t="s">
        <v>49</v>
      </c>
      <c r="R928" s="7">
        <v>24005.56</v>
      </c>
      <c r="S928" s="7"/>
      <c r="T928" s="7"/>
      <c r="U928" s="7"/>
      <c r="V928" s="10">
        <v>7.5741092456127026</v>
      </c>
      <c r="W928" s="9">
        <v>44984</v>
      </c>
      <c r="X928" s="10">
        <v>7.5</v>
      </c>
      <c r="Y928" s="9">
        <v>44987</v>
      </c>
      <c r="Z928">
        <v>25</v>
      </c>
      <c r="AA928" s="11" t="s">
        <v>49</v>
      </c>
    </row>
    <row r="929" spans="2:27" ht="16" x14ac:dyDescent="0.2">
      <c r="B929" t="s">
        <v>35</v>
      </c>
      <c r="C929">
        <v>40357428</v>
      </c>
      <c r="D929" t="s">
        <v>389</v>
      </c>
      <c r="E929">
        <v>1021774</v>
      </c>
      <c r="F929" t="s">
        <v>443</v>
      </c>
      <c r="G929" s="9">
        <v>44989</v>
      </c>
      <c r="H929" s="7">
        <v>24440</v>
      </c>
      <c r="I929" s="7"/>
      <c r="J929" s="7"/>
      <c r="K929" s="7"/>
      <c r="L929" s="10">
        <v>5.5741092456127026</v>
      </c>
      <c r="M929" s="9">
        <v>44994</v>
      </c>
      <c r="N929" s="10">
        <v>5.5</v>
      </c>
      <c r="O929" s="9">
        <v>44999</v>
      </c>
      <c r="P929">
        <v>15</v>
      </c>
      <c r="Q929" s="11" t="s">
        <v>49</v>
      </c>
      <c r="R929" s="7">
        <v>24440</v>
      </c>
      <c r="S929" s="7"/>
      <c r="T929" s="7"/>
      <c r="U929" s="7"/>
      <c r="V929" s="10">
        <v>7.5741092456127026</v>
      </c>
      <c r="W929" s="9">
        <v>44996</v>
      </c>
      <c r="X929" s="10">
        <v>7.5</v>
      </c>
      <c r="Y929" s="9">
        <v>44999</v>
      </c>
      <c r="Z929">
        <v>15</v>
      </c>
      <c r="AA929" s="11" t="s">
        <v>49</v>
      </c>
    </row>
    <row r="930" spans="2:27" ht="16" x14ac:dyDescent="0.2">
      <c r="B930" t="s">
        <v>35</v>
      </c>
      <c r="C930">
        <v>40357427</v>
      </c>
      <c r="D930" t="s">
        <v>389</v>
      </c>
      <c r="E930">
        <v>1021774</v>
      </c>
      <c r="F930" t="s">
        <v>443</v>
      </c>
      <c r="G930" s="9">
        <v>44977</v>
      </c>
      <c r="H930" s="7">
        <v>23880</v>
      </c>
      <c r="I930" s="7"/>
      <c r="J930" s="7"/>
      <c r="K930" s="7"/>
      <c r="L930" s="10">
        <v>5.5741092456127026</v>
      </c>
      <c r="M930" s="9">
        <v>44982</v>
      </c>
      <c r="N930" s="10">
        <v>5.5</v>
      </c>
      <c r="O930" s="9">
        <v>44987</v>
      </c>
      <c r="P930">
        <v>25</v>
      </c>
      <c r="Q930" s="11" t="s">
        <v>49</v>
      </c>
      <c r="R930" s="7">
        <v>23880</v>
      </c>
      <c r="S930" s="7"/>
      <c r="T930" s="7"/>
      <c r="U930" s="7"/>
      <c r="V930" s="10">
        <v>7.5741092456127026</v>
      </c>
      <c r="W930" s="9">
        <v>44984</v>
      </c>
      <c r="X930" s="10">
        <v>7.5</v>
      </c>
      <c r="Y930" s="9">
        <v>44987</v>
      </c>
      <c r="Z930">
        <v>25</v>
      </c>
      <c r="AA930" s="11" t="s">
        <v>49</v>
      </c>
    </row>
    <row r="931" spans="2:27" ht="16" x14ac:dyDescent="0.2">
      <c r="B931" t="s">
        <v>35</v>
      </c>
      <c r="C931">
        <v>40357425</v>
      </c>
      <c r="D931" t="s">
        <v>389</v>
      </c>
      <c r="E931">
        <v>1022636</v>
      </c>
      <c r="F931" t="s">
        <v>312</v>
      </c>
      <c r="G931" s="9">
        <v>44995</v>
      </c>
      <c r="H931" s="7">
        <v>22155</v>
      </c>
      <c r="I931" s="7"/>
      <c r="J931" s="7"/>
      <c r="K931" s="7"/>
      <c r="L931" s="10">
        <v>5.5741092456127026</v>
      </c>
      <c r="M931" s="9">
        <v>45000</v>
      </c>
      <c r="N931" s="10">
        <v>5.5</v>
      </c>
      <c r="O931" s="9">
        <v>45005</v>
      </c>
      <c r="P931">
        <v>10</v>
      </c>
      <c r="Q931" s="11" t="s">
        <v>49</v>
      </c>
      <c r="R931" s="7">
        <v>22155</v>
      </c>
      <c r="S931" s="7"/>
      <c r="T931" s="7"/>
      <c r="U931" s="7"/>
      <c r="V931" s="10">
        <v>7.5741092456127026</v>
      </c>
      <c r="W931" s="9">
        <v>45002</v>
      </c>
      <c r="X931" s="10">
        <v>7.5</v>
      </c>
      <c r="Y931" s="9">
        <v>45005</v>
      </c>
      <c r="Z931">
        <v>10</v>
      </c>
      <c r="AA931" s="11" t="s">
        <v>49</v>
      </c>
    </row>
    <row r="932" spans="2:27" ht="16" x14ac:dyDescent="0.2">
      <c r="B932" t="s">
        <v>35</v>
      </c>
      <c r="C932">
        <v>40357424</v>
      </c>
      <c r="D932" t="s">
        <v>389</v>
      </c>
      <c r="E932">
        <v>1022636</v>
      </c>
      <c r="F932" t="s">
        <v>312</v>
      </c>
      <c r="G932" s="9">
        <v>44999</v>
      </c>
      <c r="H932" s="7">
        <v>21870</v>
      </c>
      <c r="I932" s="7"/>
      <c r="J932" s="7"/>
      <c r="K932" s="7"/>
      <c r="L932" s="10">
        <v>5.5741092456127026</v>
      </c>
      <c r="M932" s="9">
        <v>45004</v>
      </c>
      <c r="N932" s="10">
        <v>5.5</v>
      </c>
      <c r="O932" s="9">
        <v>45009</v>
      </c>
      <c r="P932">
        <v>6</v>
      </c>
      <c r="Q932" s="11" t="s">
        <v>49</v>
      </c>
      <c r="R932" s="7">
        <v>21870</v>
      </c>
      <c r="S932" s="7"/>
      <c r="T932" s="7"/>
      <c r="U932" s="7"/>
      <c r="V932" s="10">
        <v>7.5741092456127026</v>
      </c>
      <c r="W932" s="9">
        <v>45006</v>
      </c>
      <c r="X932" s="10">
        <v>7.5</v>
      </c>
      <c r="Y932" s="9">
        <v>45009</v>
      </c>
      <c r="Z932">
        <v>6</v>
      </c>
      <c r="AA932" s="11" t="s">
        <v>49</v>
      </c>
    </row>
    <row r="933" spans="2:27" ht="16" x14ac:dyDescent="0.2">
      <c r="B933" t="s">
        <v>35</v>
      </c>
      <c r="C933">
        <v>40357423</v>
      </c>
      <c r="D933" t="s">
        <v>389</v>
      </c>
      <c r="E933">
        <v>1022636</v>
      </c>
      <c r="F933" t="s">
        <v>312</v>
      </c>
      <c r="G933" s="9">
        <v>45001</v>
      </c>
      <c r="H933" s="7">
        <v>22290</v>
      </c>
      <c r="I933" s="7"/>
      <c r="J933" s="7"/>
      <c r="K933" s="7"/>
      <c r="L933" s="10">
        <v>5.5741092456127026</v>
      </c>
      <c r="M933" s="9">
        <v>45006</v>
      </c>
      <c r="N933" s="10">
        <v>5.5</v>
      </c>
      <c r="O933" s="9">
        <v>45011</v>
      </c>
      <c r="P933">
        <v>5</v>
      </c>
      <c r="Q933" s="11" t="s">
        <v>49</v>
      </c>
      <c r="R933" s="7">
        <v>22290</v>
      </c>
      <c r="S933" s="7"/>
      <c r="T933" s="7"/>
      <c r="U933" s="7"/>
      <c r="V933" s="10">
        <v>7.5741092456127026</v>
      </c>
      <c r="W933" s="9">
        <v>45008</v>
      </c>
      <c r="X933" s="10">
        <v>7.5</v>
      </c>
      <c r="Y933" s="9">
        <v>45011</v>
      </c>
      <c r="Z933">
        <v>5</v>
      </c>
      <c r="AA933" s="11" t="s">
        <v>49</v>
      </c>
    </row>
    <row r="934" spans="2:27" ht="16" x14ac:dyDescent="0.2">
      <c r="B934" t="s">
        <v>35</v>
      </c>
      <c r="C934">
        <v>40357422</v>
      </c>
      <c r="D934" t="s">
        <v>389</v>
      </c>
      <c r="E934">
        <v>1022636</v>
      </c>
      <c r="F934" t="s">
        <v>312</v>
      </c>
      <c r="G934" s="9">
        <v>44994</v>
      </c>
      <c r="H934" s="7">
        <v>24105</v>
      </c>
      <c r="I934" s="7"/>
      <c r="J934" s="7"/>
      <c r="K934" s="7"/>
      <c r="L934" s="10">
        <v>5.5741092456127026</v>
      </c>
      <c r="M934" s="9">
        <v>44999</v>
      </c>
      <c r="N934" s="10">
        <v>5.5</v>
      </c>
      <c r="O934" s="9">
        <v>45004</v>
      </c>
      <c r="P934">
        <v>11</v>
      </c>
      <c r="Q934" s="11" t="s">
        <v>49</v>
      </c>
      <c r="R934" s="7">
        <v>24105</v>
      </c>
      <c r="S934" s="7"/>
      <c r="T934" s="7"/>
      <c r="U934" s="7"/>
      <c r="V934" s="10">
        <v>7.5741092456127026</v>
      </c>
      <c r="W934" s="9">
        <v>45001</v>
      </c>
      <c r="X934" s="10">
        <v>7.5</v>
      </c>
      <c r="Y934" s="9">
        <v>45004</v>
      </c>
      <c r="Z934">
        <v>11</v>
      </c>
      <c r="AA934" s="11" t="s">
        <v>49</v>
      </c>
    </row>
    <row r="935" spans="2:27" ht="16" x14ac:dyDescent="0.2">
      <c r="B935" t="s">
        <v>35</v>
      </c>
      <c r="C935">
        <v>40357421</v>
      </c>
      <c r="D935" t="s">
        <v>389</v>
      </c>
      <c r="E935">
        <v>1022636</v>
      </c>
      <c r="F935" t="s">
        <v>312</v>
      </c>
      <c r="G935" s="9">
        <v>44977</v>
      </c>
      <c r="H935" s="7">
        <v>24045</v>
      </c>
      <c r="I935" s="7"/>
      <c r="J935" s="7"/>
      <c r="K935" s="7"/>
      <c r="L935" s="10">
        <v>5.5741092456127026</v>
      </c>
      <c r="M935" s="9">
        <v>44982</v>
      </c>
      <c r="N935" s="10">
        <v>5.5</v>
      </c>
      <c r="O935" s="9">
        <v>44987</v>
      </c>
      <c r="P935">
        <v>25</v>
      </c>
      <c r="Q935" s="11" t="s">
        <v>49</v>
      </c>
      <c r="R935" s="7">
        <v>24045</v>
      </c>
      <c r="S935" s="7"/>
      <c r="T935" s="7"/>
      <c r="U935" s="7"/>
      <c r="V935" s="10">
        <v>7.5741092456127026</v>
      </c>
      <c r="W935" s="9">
        <v>44984</v>
      </c>
      <c r="X935" s="10">
        <v>7.5</v>
      </c>
      <c r="Y935" s="9">
        <v>44987</v>
      </c>
      <c r="Z935">
        <v>25</v>
      </c>
      <c r="AA935" s="11" t="s">
        <v>49</v>
      </c>
    </row>
    <row r="936" spans="2:27" ht="16" x14ac:dyDescent="0.2">
      <c r="B936" t="s">
        <v>35</v>
      </c>
      <c r="C936">
        <v>40357420</v>
      </c>
      <c r="D936" t="s">
        <v>389</v>
      </c>
      <c r="E936">
        <v>1022636</v>
      </c>
      <c r="F936" t="s">
        <v>312</v>
      </c>
      <c r="G936" s="9">
        <v>44975</v>
      </c>
      <c r="H936" s="7"/>
      <c r="I936" s="7"/>
      <c r="J936" s="7"/>
      <c r="K936" s="7"/>
      <c r="L936" s="10">
        <v>5.5741092456127026</v>
      </c>
      <c r="M936" s="9">
        <v>44980</v>
      </c>
      <c r="N936" s="10">
        <v>5.5</v>
      </c>
      <c r="O936" s="9">
        <v>44985</v>
      </c>
      <c r="P936">
        <v>0</v>
      </c>
      <c r="Q936" s="11" t="s">
        <v>594</v>
      </c>
      <c r="R936" s="7"/>
      <c r="S936" s="7"/>
      <c r="T936" s="7"/>
      <c r="U936" s="7"/>
      <c r="V936" s="10">
        <v>7.5741092456127026</v>
      </c>
      <c r="W936" s="9">
        <v>44982</v>
      </c>
      <c r="X936" s="10">
        <v>7.5</v>
      </c>
      <c r="Y936" s="9">
        <v>44985</v>
      </c>
      <c r="Z936">
        <v>0</v>
      </c>
      <c r="AA936" s="11" t="s">
        <v>594</v>
      </c>
    </row>
    <row r="937" spans="2:27" ht="16" x14ac:dyDescent="0.2">
      <c r="B937" t="s">
        <v>35</v>
      </c>
      <c r="C937">
        <v>40357417</v>
      </c>
      <c r="D937" t="s">
        <v>389</v>
      </c>
      <c r="E937">
        <v>1022183</v>
      </c>
      <c r="F937" t="s">
        <v>165</v>
      </c>
      <c r="G937" s="9">
        <v>44975</v>
      </c>
      <c r="H937" s="7"/>
      <c r="I937" s="7"/>
      <c r="J937" s="7"/>
      <c r="K937" s="7"/>
      <c r="L937" s="10">
        <v>5.5741092456127026</v>
      </c>
      <c r="M937" s="9">
        <v>44980</v>
      </c>
      <c r="N937" s="10">
        <v>5.5</v>
      </c>
      <c r="O937" s="9">
        <v>44985</v>
      </c>
      <c r="P937">
        <v>0</v>
      </c>
      <c r="Q937" s="11" t="s">
        <v>594</v>
      </c>
      <c r="R937" s="7"/>
      <c r="S937" s="7"/>
      <c r="T937" s="7"/>
      <c r="U937" s="7"/>
      <c r="V937" s="10">
        <v>7.5741092456127026</v>
      </c>
      <c r="W937" s="9">
        <v>44982</v>
      </c>
      <c r="X937" s="10">
        <v>7.5</v>
      </c>
      <c r="Y937" s="9">
        <v>44985</v>
      </c>
      <c r="Z937">
        <v>0</v>
      </c>
      <c r="AA937" s="11" t="s">
        <v>594</v>
      </c>
    </row>
    <row r="938" spans="2:27" ht="16" x14ac:dyDescent="0.2">
      <c r="B938" t="s">
        <v>35</v>
      </c>
      <c r="C938">
        <v>40357416</v>
      </c>
      <c r="D938" t="s">
        <v>389</v>
      </c>
      <c r="E938">
        <v>1022183</v>
      </c>
      <c r="F938" t="s">
        <v>165</v>
      </c>
      <c r="G938" s="9">
        <v>44981</v>
      </c>
      <c r="H938" s="7">
        <v>9201.26</v>
      </c>
      <c r="I938" s="7"/>
      <c r="J938" s="7"/>
      <c r="K938" s="7"/>
      <c r="L938" s="10">
        <v>5.5741092456127026</v>
      </c>
      <c r="M938" s="9">
        <v>44986</v>
      </c>
      <c r="N938" s="10">
        <v>5.5</v>
      </c>
      <c r="O938" s="9">
        <v>44991</v>
      </c>
      <c r="P938">
        <v>22</v>
      </c>
      <c r="Q938" s="11" t="s">
        <v>49</v>
      </c>
      <c r="R938" s="7">
        <v>9201.26</v>
      </c>
      <c r="S938" s="7"/>
      <c r="T938" s="7"/>
      <c r="U938" s="7"/>
      <c r="V938" s="10">
        <v>7.5741092456127026</v>
      </c>
      <c r="W938" s="9">
        <v>44988</v>
      </c>
      <c r="X938" s="10">
        <v>7.5</v>
      </c>
      <c r="Y938" s="9">
        <v>44991</v>
      </c>
      <c r="Z938">
        <v>22</v>
      </c>
      <c r="AA938" s="11" t="s">
        <v>49</v>
      </c>
    </row>
    <row r="939" spans="2:27" ht="16" x14ac:dyDescent="0.2">
      <c r="B939" t="s">
        <v>35</v>
      </c>
      <c r="C939">
        <v>40357416</v>
      </c>
      <c r="D939" t="s">
        <v>389</v>
      </c>
      <c r="E939">
        <v>1022183</v>
      </c>
      <c r="F939" t="s">
        <v>165</v>
      </c>
      <c r="G939" s="9">
        <v>44981</v>
      </c>
      <c r="H939" s="7">
        <v>24031.52</v>
      </c>
      <c r="I939" s="7"/>
      <c r="J939" s="7"/>
      <c r="K939" s="7"/>
      <c r="L939" s="10">
        <v>5.5741092456127026</v>
      </c>
      <c r="M939" s="9">
        <v>44986</v>
      </c>
      <c r="N939" s="10">
        <v>5.5</v>
      </c>
      <c r="O939" s="9">
        <v>44991</v>
      </c>
      <c r="P939">
        <v>22</v>
      </c>
      <c r="Q939" s="11" t="s">
        <v>49</v>
      </c>
      <c r="R939" s="7">
        <v>24031.52</v>
      </c>
      <c r="S939" s="7"/>
      <c r="T939" s="7"/>
      <c r="U939" s="7"/>
      <c r="V939" s="10">
        <v>7.5741092456127026</v>
      </c>
      <c r="W939" s="9">
        <v>44988</v>
      </c>
      <c r="X939" s="10">
        <v>7.5</v>
      </c>
      <c r="Y939" s="9">
        <v>44991</v>
      </c>
      <c r="Z939">
        <v>22</v>
      </c>
      <c r="AA939" s="11" t="s">
        <v>49</v>
      </c>
    </row>
    <row r="940" spans="2:27" ht="16" x14ac:dyDescent="0.2">
      <c r="B940" t="s">
        <v>35</v>
      </c>
      <c r="C940">
        <v>40357415</v>
      </c>
      <c r="D940" t="s">
        <v>389</v>
      </c>
      <c r="E940">
        <v>1022183</v>
      </c>
      <c r="F940" t="s">
        <v>165</v>
      </c>
      <c r="G940" s="9">
        <v>44977</v>
      </c>
      <c r="H940" s="7">
        <v>24171.200000000001</v>
      </c>
      <c r="I940" s="7"/>
      <c r="J940" s="7"/>
      <c r="K940" s="7"/>
      <c r="L940" s="10">
        <v>5.5741092456127026</v>
      </c>
      <c r="M940" s="9">
        <v>44982</v>
      </c>
      <c r="N940" s="10">
        <v>5.5</v>
      </c>
      <c r="O940" s="9">
        <v>44987</v>
      </c>
      <c r="P940">
        <v>25</v>
      </c>
      <c r="Q940" s="11" t="s">
        <v>49</v>
      </c>
      <c r="R940" s="7">
        <v>24171.200000000001</v>
      </c>
      <c r="S940" s="7"/>
      <c r="T940" s="7"/>
      <c r="U940" s="7"/>
      <c r="V940" s="10">
        <v>7.5741092456127026</v>
      </c>
      <c r="W940" s="9">
        <v>44984</v>
      </c>
      <c r="X940" s="10">
        <v>7.5</v>
      </c>
      <c r="Y940" s="9">
        <v>44987</v>
      </c>
      <c r="Z940">
        <v>25</v>
      </c>
      <c r="AA940" s="11" t="s">
        <v>49</v>
      </c>
    </row>
    <row r="941" spans="2:27" ht="16" x14ac:dyDescent="0.2">
      <c r="B941" t="s">
        <v>35</v>
      </c>
      <c r="C941">
        <v>40357414</v>
      </c>
      <c r="D941" t="s">
        <v>389</v>
      </c>
      <c r="E941">
        <v>1022183</v>
      </c>
      <c r="F941" t="s">
        <v>165</v>
      </c>
      <c r="G941" s="9">
        <v>44975</v>
      </c>
      <c r="H941" s="7"/>
      <c r="I941" s="7"/>
      <c r="J941" s="7"/>
      <c r="K941" s="7"/>
      <c r="L941" s="10">
        <v>5.5741092456127026</v>
      </c>
      <c r="M941" s="9">
        <v>44980</v>
      </c>
      <c r="N941" s="10">
        <v>5.5</v>
      </c>
      <c r="O941" s="9">
        <v>44985</v>
      </c>
      <c r="P941">
        <v>0</v>
      </c>
      <c r="Q941" s="11" t="s">
        <v>594</v>
      </c>
      <c r="R941" s="7"/>
      <c r="S941" s="7"/>
      <c r="T941" s="7"/>
      <c r="U941" s="7"/>
      <c r="V941" s="10">
        <v>7.5741092456127026</v>
      </c>
      <c r="W941" s="9">
        <v>44982</v>
      </c>
      <c r="X941" s="10">
        <v>7.5</v>
      </c>
      <c r="Y941" s="9">
        <v>44985</v>
      </c>
      <c r="Z941">
        <v>0</v>
      </c>
      <c r="AA941" s="11" t="s">
        <v>594</v>
      </c>
    </row>
    <row r="942" spans="2:27" ht="16" x14ac:dyDescent="0.2">
      <c r="B942" t="s">
        <v>35</v>
      </c>
      <c r="C942">
        <v>40357413</v>
      </c>
      <c r="D942" t="s">
        <v>389</v>
      </c>
      <c r="E942">
        <v>1022183</v>
      </c>
      <c r="F942" t="s">
        <v>165</v>
      </c>
      <c r="G942" s="9">
        <v>44977</v>
      </c>
      <c r="H942" s="7">
        <v>24453.9</v>
      </c>
      <c r="I942" s="7"/>
      <c r="J942" s="7"/>
      <c r="K942" s="7"/>
      <c r="L942" s="10">
        <v>5.5741092456127026</v>
      </c>
      <c r="M942" s="9">
        <v>44982</v>
      </c>
      <c r="N942" s="10">
        <v>5.5</v>
      </c>
      <c r="O942" s="9">
        <v>44987</v>
      </c>
      <c r="P942">
        <v>25</v>
      </c>
      <c r="Q942" s="11" t="s">
        <v>49</v>
      </c>
      <c r="R942" s="7">
        <v>24453.9</v>
      </c>
      <c r="S942" s="7"/>
      <c r="T942" s="7"/>
      <c r="U942" s="7"/>
      <c r="V942" s="10">
        <v>7.5741092456127026</v>
      </c>
      <c r="W942" s="9">
        <v>44984</v>
      </c>
      <c r="X942" s="10">
        <v>7.5</v>
      </c>
      <c r="Y942" s="9">
        <v>44987</v>
      </c>
      <c r="Z942">
        <v>25</v>
      </c>
      <c r="AA942" s="11" t="s">
        <v>49</v>
      </c>
    </row>
    <row r="943" spans="2:27" ht="16" x14ac:dyDescent="0.2">
      <c r="B943" t="s">
        <v>35</v>
      </c>
      <c r="C943">
        <v>40357412</v>
      </c>
      <c r="D943" t="s">
        <v>389</v>
      </c>
      <c r="E943">
        <v>1022183</v>
      </c>
      <c r="F943" t="s">
        <v>165</v>
      </c>
      <c r="G943" s="9">
        <v>44977</v>
      </c>
      <c r="H943" s="7">
        <v>24285.91</v>
      </c>
      <c r="I943" s="7"/>
      <c r="J943" s="7"/>
      <c r="K943" s="7"/>
      <c r="L943" s="10">
        <v>5.5741092456127026</v>
      </c>
      <c r="M943" s="9">
        <v>44982</v>
      </c>
      <c r="N943" s="10">
        <v>5.5</v>
      </c>
      <c r="O943" s="9">
        <v>44987</v>
      </c>
      <c r="P943">
        <v>25</v>
      </c>
      <c r="Q943" s="11" t="s">
        <v>49</v>
      </c>
      <c r="R943" s="7">
        <v>24285.91</v>
      </c>
      <c r="S943" s="7"/>
      <c r="T943" s="7"/>
      <c r="U943" s="7"/>
      <c r="V943" s="10">
        <v>7.5741092456127026</v>
      </c>
      <c r="W943" s="9">
        <v>44984</v>
      </c>
      <c r="X943" s="10">
        <v>7.5</v>
      </c>
      <c r="Y943" s="9">
        <v>44987</v>
      </c>
      <c r="Z943">
        <v>25</v>
      </c>
      <c r="AA943" s="11" t="s">
        <v>49</v>
      </c>
    </row>
    <row r="944" spans="2:27" ht="16" x14ac:dyDescent="0.2">
      <c r="B944" t="s">
        <v>35</v>
      </c>
      <c r="C944">
        <v>40357411</v>
      </c>
      <c r="D944" t="s">
        <v>389</v>
      </c>
      <c r="E944">
        <v>1022183</v>
      </c>
      <c r="F944" t="s">
        <v>165</v>
      </c>
      <c r="G944" s="9">
        <v>44975</v>
      </c>
      <c r="H944" s="7"/>
      <c r="I944" s="7"/>
      <c r="J944" s="7"/>
      <c r="K944" s="7"/>
      <c r="L944" s="10">
        <v>5.5741092456127026</v>
      </c>
      <c r="M944" s="9">
        <v>44980</v>
      </c>
      <c r="N944" s="10">
        <v>5.5</v>
      </c>
      <c r="O944" s="9">
        <v>44985</v>
      </c>
      <c r="P944">
        <v>0</v>
      </c>
      <c r="Q944" s="11" t="s">
        <v>594</v>
      </c>
      <c r="R944" s="7"/>
      <c r="S944" s="7"/>
      <c r="T944" s="7"/>
      <c r="U944" s="7"/>
      <c r="V944" s="10">
        <v>7.5741092456127026</v>
      </c>
      <c r="W944" s="9">
        <v>44982</v>
      </c>
      <c r="X944" s="10">
        <v>7.5</v>
      </c>
      <c r="Y944" s="9">
        <v>44985</v>
      </c>
      <c r="Z944">
        <v>0</v>
      </c>
      <c r="AA944" s="11" t="s">
        <v>594</v>
      </c>
    </row>
    <row r="945" spans="2:27" ht="16" x14ac:dyDescent="0.2">
      <c r="B945" t="s">
        <v>35</v>
      </c>
      <c r="C945">
        <v>40357410</v>
      </c>
      <c r="D945" t="s">
        <v>389</v>
      </c>
      <c r="E945">
        <v>1022183</v>
      </c>
      <c r="F945" t="s">
        <v>165</v>
      </c>
      <c r="G945" s="9">
        <v>44975</v>
      </c>
      <c r="H945" s="7"/>
      <c r="I945" s="7"/>
      <c r="J945" s="7"/>
      <c r="K945" s="7"/>
      <c r="L945" s="10">
        <v>5.5741092456127026</v>
      </c>
      <c r="M945" s="9">
        <v>44980</v>
      </c>
      <c r="N945" s="10">
        <v>5.5</v>
      </c>
      <c r="O945" s="9">
        <v>44985</v>
      </c>
      <c r="P945">
        <v>0</v>
      </c>
      <c r="Q945" s="11" t="s">
        <v>594</v>
      </c>
      <c r="R945" s="7"/>
      <c r="S945" s="7"/>
      <c r="T945" s="7"/>
      <c r="U945" s="7"/>
      <c r="V945" s="10">
        <v>7.5741092456127026</v>
      </c>
      <c r="W945" s="9">
        <v>44982</v>
      </c>
      <c r="X945" s="10">
        <v>7.5</v>
      </c>
      <c r="Y945" s="9">
        <v>44985</v>
      </c>
      <c r="Z945">
        <v>0</v>
      </c>
      <c r="AA945" s="11" t="s">
        <v>594</v>
      </c>
    </row>
    <row r="946" spans="2:27" ht="16" x14ac:dyDescent="0.2">
      <c r="B946" t="s">
        <v>35</v>
      </c>
      <c r="C946">
        <v>40357409</v>
      </c>
      <c r="D946" t="s">
        <v>389</v>
      </c>
      <c r="E946">
        <v>1022183</v>
      </c>
      <c r="F946" t="s">
        <v>165</v>
      </c>
      <c r="G946" s="9">
        <v>44977</v>
      </c>
      <c r="H946" s="7">
        <v>24308.21</v>
      </c>
      <c r="I946" s="7"/>
      <c r="J946" s="7"/>
      <c r="K946" s="7"/>
      <c r="L946" s="10">
        <v>5.5741092456127026</v>
      </c>
      <c r="M946" s="9">
        <v>44982</v>
      </c>
      <c r="N946" s="10">
        <v>5.5</v>
      </c>
      <c r="O946" s="9">
        <v>44987</v>
      </c>
      <c r="P946">
        <v>25</v>
      </c>
      <c r="Q946" s="11" t="s">
        <v>49</v>
      </c>
      <c r="R946" s="7">
        <v>24308.21</v>
      </c>
      <c r="S946" s="7"/>
      <c r="T946" s="7"/>
      <c r="U946" s="7"/>
      <c r="V946" s="10">
        <v>7.5741092456127026</v>
      </c>
      <c r="W946" s="9">
        <v>44984</v>
      </c>
      <c r="X946" s="10">
        <v>7.5</v>
      </c>
      <c r="Y946" s="9">
        <v>44987</v>
      </c>
      <c r="Z946">
        <v>25</v>
      </c>
      <c r="AA946" s="11" t="s">
        <v>49</v>
      </c>
    </row>
    <row r="947" spans="2:27" ht="16" x14ac:dyDescent="0.2">
      <c r="B947" t="s">
        <v>35</v>
      </c>
      <c r="C947">
        <v>40357408</v>
      </c>
      <c r="D947" t="s">
        <v>389</v>
      </c>
      <c r="E947">
        <v>1022183</v>
      </c>
      <c r="F947" t="s">
        <v>165</v>
      </c>
      <c r="G947" s="9">
        <v>44977</v>
      </c>
      <c r="H947" s="7">
        <v>24784.07</v>
      </c>
      <c r="I947" s="7"/>
      <c r="J947" s="7"/>
      <c r="K947" s="7"/>
      <c r="L947" s="10">
        <v>5.5741092456127026</v>
      </c>
      <c r="M947" s="9">
        <v>44982</v>
      </c>
      <c r="N947" s="10">
        <v>5.5</v>
      </c>
      <c r="O947" s="9">
        <v>44987</v>
      </c>
      <c r="P947">
        <v>25</v>
      </c>
      <c r="Q947" s="11" t="s">
        <v>49</v>
      </c>
      <c r="R947" s="7">
        <v>24784.07</v>
      </c>
      <c r="S947" s="7"/>
      <c r="T947" s="7"/>
      <c r="U947" s="7"/>
      <c r="V947" s="10">
        <v>7.5741092456127026</v>
      </c>
      <c r="W947" s="9">
        <v>44984</v>
      </c>
      <c r="X947" s="10">
        <v>7.5</v>
      </c>
      <c r="Y947" s="9">
        <v>44987</v>
      </c>
      <c r="Z947">
        <v>25</v>
      </c>
      <c r="AA947" s="11" t="s">
        <v>49</v>
      </c>
    </row>
    <row r="948" spans="2:27" ht="16" x14ac:dyDescent="0.2">
      <c r="B948" t="s">
        <v>35</v>
      </c>
      <c r="C948">
        <v>40357407</v>
      </c>
      <c r="D948" t="s">
        <v>389</v>
      </c>
      <c r="E948">
        <v>1022183</v>
      </c>
      <c r="F948" t="s">
        <v>165</v>
      </c>
      <c r="G948" s="9">
        <v>44973</v>
      </c>
      <c r="H948" s="7"/>
      <c r="I948" s="7"/>
      <c r="J948" s="7"/>
      <c r="K948" s="7"/>
      <c r="L948" s="10">
        <v>5.5741092456127026</v>
      </c>
      <c r="M948" s="9">
        <v>44978</v>
      </c>
      <c r="N948" s="10">
        <v>5.5</v>
      </c>
      <c r="O948" s="9">
        <v>44983</v>
      </c>
      <c r="P948">
        <v>2</v>
      </c>
      <c r="Q948" s="11" t="s">
        <v>594</v>
      </c>
      <c r="R948" s="7"/>
      <c r="S948" s="7"/>
      <c r="T948" s="7"/>
      <c r="U948" s="7"/>
      <c r="V948" s="10">
        <v>7.5741092456127026</v>
      </c>
      <c r="W948" s="9">
        <v>44980</v>
      </c>
      <c r="X948" s="10">
        <v>7.5</v>
      </c>
      <c r="Y948" s="9">
        <v>44983</v>
      </c>
      <c r="Z948">
        <v>2</v>
      </c>
      <c r="AA948" s="11" t="s">
        <v>594</v>
      </c>
    </row>
    <row r="949" spans="2:27" ht="16" x14ac:dyDescent="0.2">
      <c r="B949" t="s">
        <v>35</v>
      </c>
      <c r="C949">
        <v>40357382</v>
      </c>
      <c r="D949" t="s">
        <v>389</v>
      </c>
      <c r="E949">
        <v>1021735</v>
      </c>
      <c r="F949" t="s">
        <v>278</v>
      </c>
      <c r="G949" s="9">
        <v>44989</v>
      </c>
      <c r="H949" s="7">
        <v>24260</v>
      </c>
      <c r="I949" s="7"/>
      <c r="J949" s="7"/>
      <c r="K949" s="7"/>
      <c r="L949" s="10">
        <v>5.5741092456127026</v>
      </c>
      <c r="M949" s="9">
        <v>44994</v>
      </c>
      <c r="N949" s="10">
        <v>5.5</v>
      </c>
      <c r="O949" s="9">
        <v>44999</v>
      </c>
      <c r="P949">
        <v>15</v>
      </c>
      <c r="Q949" s="11" t="s">
        <v>49</v>
      </c>
      <c r="R949" s="7">
        <v>24260</v>
      </c>
      <c r="S949" s="7"/>
      <c r="T949" s="7"/>
      <c r="U949" s="7"/>
      <c r="V949" s="10">
        <v>7.5741092456127026</v>
      </c>
      <c r="W949" s="9">
        <v>44996</v>
      </c>
      <c r="X949" s="10">
        <v>7.5</v>
      </c>
      <c r="Y949" s="9">
        <v>44999</v>
      </c>
      <c r="Z949">
        <v>15</v>
      </c>
      <c r="AA949" s="11" t="s">
        <v>49</v>
      </c>
    </row>
    <row r="950" spans="2:27" ht="16" x14ac:dyDescent="0.2">
      <c r="B950" t="s">
        <v>35</v>
      </c>
      <c r="C950">
        <v>40357381</v>
      </c>
      <c r="D950" t="s">
        <v>389</v>
      </c>
      <c r="E950">
        <v>1021735</v>
      </c>
      <c r="F950" t="s">
        <v>278</v>
      </c>
      <c r="G950" s="9">
        <v>44987</v>
      </c>
      <c r="H950" s="7">
        <v>23080</v>
      </c>
      <c r="I950" s="7"/>
      <c r="J950" s="7"/>
      <c r="K950" s="7"/>
      <c r="L950" s="10">
        <v>5.5741092456127026</v>
      </c>
      <c r="M950" s="9">
        <v>44992</v>
      </c>
      <c r="N950" s="10">
        <v>5.5</v>
      </c>
      <c r="O950" s="9">
        <v>44997</v>
      </c>
      <c r="P950">
        <v>17</v>
      </c>
      <c r="Q950" s="11" t="s">
        <v>49</v>
      </c>
      <c r="R950" s="7">
        <v>23080</v>
      </c>
      <c r="S950" s="7"/>
      <c r="T950" s="7"/>
      <c r="U950" s="7"/>
      <c r="V950" s="10">
        <v>7.5741092456127026</v>
      </c>
      <c r="W950" s="9">
        <v>44994</v>
      </c>
      <c r="X950" s="10">
        <v>7.5</v>
      </c>
      <c r="Y950" s="9">
        <v>44997</v>
      </c>
      <c r="Z950">
        <v>17</v>
      </c>
      <c r="AA950" s="11" t="s">
        <v>49</v>
      </c>
    </row>
    <row r="951" spans="2:27" ht="16" x14ac:dyDescent="0.2">
      <c r="B951" t="s">
        <v>35</v>
      </c>
      <c r="C951">
        <v>40357381</v>
      </c>
      <c r="D951" t="s">
        <v>389</v>
      </c>
      <c r="E951">
        <v>1021735</v>
      </c>
      <c r="F951" t="s">
        <v>278</v>
      </c>
      <c r="G951" s="9">
        <v>44987</v>
      </c>
      <c r="H951" s="7">
        <v>24640</v>
      </c>
      <c r="I951" s="7"/>
      <c r="J951" s="7"/>
      <c r="K951" s="7"/>
      <c r="L951" s="10">
        <v>5.5741092456127026</v>
      </c>
      <c r="M951" s="9">
        <v>44992</v>
      </c>
      <c r="N951" s="10">
        <v>5.5</v>
      </c>
      <c r="O951" s="9">
        <v>44997</v>
      </c>
      <c r="P951">
        <v>17</v>
      </c>
      <c r="Q951" s="11" t="s">
        <v>49</v>
      </c>
      <c r="R951" s="7">
        <v>24640</v>
      </c>
      <c r="S951" s="7"/>
      <c r="T951" s="7"/>
      <c r="U951" s="7"/>
      <c r="V951" s="10">
        <v>7.5741092456127026</v>
      </c>
      <c r="W951" s="9">
        <v>44994</v>
      </c>
      <c r="X951" s="10">
        <v>7.5</v>
      </c>
      <c r="Y951" s="9">
        <v>44997</v>
      </c>
      <c r="Z951">
        <v>17</v>
      </c>
      <c r="AA951" s="11" t="s">
        <v>49</v>
      </c>
    </row>
    <row r="952" spans="2:27" ht="16" x14ac:dyDescent="0.2">
      <c r="B952" t="s">
        <v>35</v>
      </c>
      <c r="C952">
        <v>40357380</v>
      </c>
      <c r="D952" t="s">
        <v>389</v>
      </c>
      <c r="E952">
        <v>1021735</v>
      </c>
      <c r="F952" t="s">
        <v>278</v>
      </c>
      <c r="G952" s="9">
        <v>44984</v>
      </c>
      <c r="H952" s="7">
        <v>24040</v>
      </c>
      <c r="I952" s="7"/>
      <c r="J952" s="7"/>
      <c r="K952" s="7"/>
      <c r="L952" s="10">
        <v>5.5741092456127026</v>
      </c>
      <c r="M952" s="9">
        <v>44989</v>
      </c>
      <c r="N952" s="10">
        <v>5.5</v>
      </c>
      <c r="O952" s="9">
        <v>44994</v>
      </c>
      <c r="P952">
        <v>19</v>
      </c>
      <c r="Q952" s="11" t="s">
        <v>49</v>
      </c>
      <c r="R952" s="7">
        <v>24040</v>
      </c>
      <c r="S952" s="7"/>
      <c r="T952" s="7"/>
      <c r="U952" s="7"/>
      <c r="V952" s="10">
        <v>7.5741092456127026</v>
      </c>
      <c r="W952" s="9">
        <v>44991</v>
      </c>
      <c r="X952" s="10">
        <v>7.5</v>
      </c>
      <c r="Y952" s="9">
        <v>44994</v>
      </c>
      <c r="Z952">
        <v>19</v>
      </c>
      <c r="AA952" s="11" t="s">
        <v>49</v>
      </c>
    </row>
    <row r="953" spans="2:27" ht="16" x14ac:dyDescent="0.2">
      <c r="B953" t="s">
        <v>35</v>
      </c>
      <c r="C953">
        <v>40357379</v>
      </c>
      <c r="D953" t="s">
        <v>389</v>
      </c>
      <c r="E953">
        <v>1021735</v>
      </c>
      <c r="F953" t="s">
        <v>278</v>
      </c>
      <c r="G953" s="9">
        <v>44978</v>
      </c>
      <c r="H953" s="7">
        <v>24380</v>
      </c>
      <c r="I953" s="7"/>
      <c r="J953" s="7"/>
      <c r="K953" s="7"/>
      <c r="L953" s="10">
        <v>5.5741092456127026</v>
      </c>
      <c r="M953" s="9">
        <v>44983</v>
      </c>
      <c r="N953" s="10">
        <v>5.5</v>
      </c>
      <c r="O953" s="9">
        <v>44988</v>
      </c>
      <c r="P953">
        <v>24</v>
      </c>
      <c r="Q953" s="11" t="s">
        <v>49</v>
      </c>
      <c r="R953" s="7">
        <v>24380</v>
      </c>
      <c r="S953" s="7"/>
      <c r="T953" s="7"/>
      <c r="U953" s="7"/>
      <c r="V953" s="10">
        <v>7.5741092456127026</v>
      </c>
      <c r="W953" s="9">
        <v>44985</v>
      </c>
      <c r="X953" s="10">
        <v>7.5</v>
      </c>
      <c r="Y953" s="9">
        <v>44988</v>
      </c>
      <c r="Z953">
        <v>24</v>
      </c>
      <c r="AA953" s="11" t="s">
        <v>49</v>
      </c>
    </row>
    <row r="954" spans="2:27" ht="16" x14ac:dyDescent="0.2">
      <c r="B954" t="s">
        <v>35</v>
      </c>
      <c r="C954">
        <v>40357378</v>
      </c>
      <c r="D954" t="s">
        <v>389</v>
      </c>
      <c r="E954">
        <v>1021735</v>
      </c>
      <c r="F954" t="s">
        <v>278</v>
      </c>
      <c r="G954" s="9">
        <v>44976</v>
      </c>
      <c r="H954" s="7">
        <v>24000</v>
      </c>
      <c r="I954" s="7"/>
      <c r="J954" s="7"/>
      <c r="K954" s="7"/>
      <c r="L954" s="10">
        <v>5.5741092456127026</v>
      </c>
      <c r="M954" s="9">
        <v>44981</v>
      </c>
      <c r="N954" s="10">
        <v>5.5</v>
      </c>
      <c r="O954" s="9">
        <v>44986</v>
      </c>
      <c r="P954">
        <v>26</v>
      </c>
      <c r="Q954" s="11" t="s">
        <v>49</v>
      </c>
      <c r="R954" s="7">
        <v>24000</v>
      </c>
      <c r="S954" s="7"/>
      <c r="T954" s="7"/>
      <c r="U954" s="7"/>
      <c r="V954" s="10">
        <v>7.5741092456127026</v>
      </c>
      <c r="W954" s="9">
        <v>44983</v>
      </c>
      <c r="X954" s="10">
        <v>7.5</v>
      </c>
      <c r="Y954" s="9">
        <v>44986</v>
      </c>
      <c r="Z954">
        <v>26</v>
      </c>
      <c r="AA954" s="11" t="s">
        <v>49</v>
      </c>
    </row>
    <row r="955" spans="2:27" ht="16" x14ac:dyDescent="0.2">
      <c r="B955" t="s">
        <v>35</v>
      </c>
      <c r="C955">
        <v>40357370</v>
      </c>
      <c r="D955" t="s">
        <v>389</v>
      </c>
      <c r="E955">
        <v>1022748</v>
      </c>
      <c r="F955" t="s">
        <v>444</v>
      </c>
      <c r="G955" s="9">
        <v>45004</v>
      </c>
      <c r="H955" s="7">
        <v>24200</v>
      </c>
      <c r="I955" s="7"/>
      <c r="J955" s="7"/>
      <c r="K955" s="7"/>
      <c r="L955" s="10">
        <v>5.5741092456127026</v>
      </c>
      <c r="M955" s="9">
        <v>45009</v>
      </c>
      <c r="N955" s="10">
        <v>5.5</v>
      </c>
      <c r="O955" s="9">
        <v>45014</v>
      </c>
      <c r="P955">
        <v>2</v>
      </c>
      <c r="Q955" s="11" t="s">
        <v>598</v>
      </c>
      <c r="R955" s="7">
        <v>24200</v>
      </c>
      <c r="S955" s="7"/>
      <c r="T955" s="7"/>
      <c r="U955" s="7"/>
      <c r="V955" s="10">
        <v>7.5741092456127026</v>
      </c>
      <c r="W955" s="9">
        <v>45011</v>
      </c>
      <c r="X955" s="10">
        <v>7.5</v>
      </c>
      <c r="Y955" s="9">
        <v>45014</v>
      </c>
      <c r="Z955">
        <v>2</v>
      </c>
      <c r="AA955" s="11" t="s">
        <v>598</v>
      </c>
    </row>
    <row r="956" spans="2:27" ht="16" x14ac:dyDescent="0.2">
      <c r="B956" t="s">
        <v>35</v>
      </c>
      <c r="C956">
        <v>40357369</v>
      </c>
      <c r="D956" t="s">
        <v>389</v>
      </c>
      <c r="E956">
        <v>1022748</v>
      </c>
      <c r="F956" t="s">
        <v>444</v>
      </c>
      <c r="G956" s="9">
        <v>44995</v>
      </c>
      <c r="H956" s="7">
        <v>24030</v>
      </c>
      <c r="I956" s="7"/>
      <c r="J956" s="7"/>
      <c r="K956" s="7"/>
      <c r="L956" s="10">
        <v>5.5741092456127026</v>
      </c>
      <c r="M956" s="9">
        <v>45000</v>
      </c>
      <c r="N956" s="10">
        <v>5.5</v>
      </c>
      <c r="O956" s="9">
        <v>45005</v>
      </c>
      <c r="P956">
        <v>10</v>
      </c>
      <c r="Q956" s="11" t="s">
        <v>49</v>
      </c>
      <c r="R956" s="7">
        <v>24030</v>
      </c>
      <c r="S956" s="7"/>
      <c r="T956" s="7"/>
      <c r="U956" s="7"/>
      <c r="V956" s="10">
        <v>7.5741092456127026</v>
      </c>
      <c r="W956" s="9">
        <v>45002</v>
      </c>
      <c r="X956" s="10">
        <v>7.5</v>
      </c>
      <c r="Y956" s="9">
        <v>45005</v>
      </c>
      <c r="Z956">
        <v>10</v>
      </c>
      <c r="AA956" s="11" t="s">
        <v>49</v>
      </c>
    </row>
    <row r="957" spans="2:27" ht="16" x14ac:dyDescent="0.2">
      <c r="B957" t="s">
        <v>35</v>
      </c>
      <c r="C957">
        <v>40357368</v>
      </c>
      <c r="D957" t="s">
        <v>389</v>
      </c>
      <c r="E957">
        <v>1022748</v>
      </c>
      <c r="F957" t="s">
        <v>444</v>
      </c>
      <c r="G957" s="9">
        <v>44989</v>
      </c>
      <c r="H957" s="7">
        <v>24190</v>
      </c>
      <c r="I957" s="7"/>
      <c r="J957" s="7"/>
      <c r="K957" s="7"/>
      <c r="L957" s="10">
        <v>5.5741092456127026</v>
      </c>
      <c r="M957" s="9">
        <v>44994</v>
      </c>
      <c r="N957" s="10">
        <v>5.5</v>
      </c>
      <c r="O957" s="9">
        <v>44999</v>
      </c>
      <c r="P957">
        <v>15</v>
      </c>
      <c r="Q957" s="11" t="s">
        <v>49</v>
      </c>
      <c r="R957" s="7">
        <v>24190</v>
      </c>
      <c r="S957" s="7"/>
      <c r="T957" s="7"/>
      <c r="U957" s="7"/>
      <c r="V957" s="10">
        <v>7.5741092456127026</v>
      </c>
      <c r="W957" s="9">
        <v>44996</v>
      </c>
      <c r="X957" s="10">
        <v>7.5</v>
      </c>
      <c r="Y957" s="9">
        <v>44999</v>
      </c>
      <c r="Z957">
        <v>15</v>
      </c>
      <c r="AA957" s="11" t="s">
        <v>49</v>
      </c>
    </row>
    <row r="958" spans="2:27" ht="16" x14ac:dyDescent="0.2">
      <c r="B958" t="s">
        <v>35</v>
      </c>
      <c r="C958">
        <v>40357367</v>
      </c>
      <c r="D958" t="s">
        <v>389</v>
      </c>
      <c r="E958">
        <v>1022748</v>
      </c>
      <c r="F958" t="s">
        <v>444</v>
      </c>
      <c r="G958" s="9">
        <v>44987</v>
      </c>
      <c r="H958" s="7">
        <v>12460</v>
      </c>
      <c r="I958" s="7"/>
      <c r="J958" s="7"/>
      <c r="K958" s="7"/>
      <c r="L958" s="10">
        <v>5.5741092456127026</v>
      </c>
      <c r="M958" s="9">
        <v>44992</v>
      </c>
      <c r="N958" s="10">
        <v>5.5</v>
      </c>
      <c r="O958" s="9">
        <v>44997</v>
      </c>
      <c r="P958">
        <v>17</v>
      </c>
      <c r="Q958" s="11" t="s">
        <v>49</v>
      </c>
      <c r="R958" s="7">
        <v>12460</v>
      </c>
      <c r="S958" s="7"/>
      <c r="T958" s="7"/>
      <c r="U958" s="7"/>
      <c r="V958" s="10">
        <v>7.5741092456127026</v>
      </c>
      <c r="W958" s="9">
        <v>44994</v>
      </c>
      <c r="X958" s="10">
        <v>7.5</v>
      </c>
      <c r="Y958" s="9">
        <v>44997</v>
      </c>
      <c r="Z958">
        <v>17</v>
      </c>
      <c r="AA958" s="11" t="s">
        <v>49</v>
      </c>
    </row>
    <row r="959" spans="2:27" ht="16" x14ac:dyDescent="0.2">
      <c r="B959" t="s">
        <v>35</v>
      </c>
      <c r="C959">
        <v>40357367</v>
      </c>
      <c r="D959" t="s">
        <v>389</v>
      </c>
      <c r="E959">
        <v>1022748</v>
      </c>
      <c r="F959" t="s">
        <v>444</v>
      </c>
      <c r="G959" s="9">
        <v>44987</v>
      </c>
      <c r="H959" s="7">
        <v>21200</v>
      </c>
      <c r="I959" s="7"/>
      <c r="J959" s="7"/>
      <c r="K959" s="7"/>
      <c r="L959" s="10">
        <v>5.5741092456127026</v>
      </c>
      <c r="M959" s="9">
        <v>44992</v>
      </c>
      <c r="N959" s="10">
        <v>5.5</v>
      </c>
      <c r="O959" s="9">
        <v>44997</v>
      </c>
      <c r="P959">
        <v>17</v>
      </c>
      <c r="Q959" s="11" t="s">
        <v>49</v>
      </c>
      <c r="R959" s="7">
        <v>21200</v>
      </c>
      <c r="S959" s="7"/>
      <c r="T959" s="7"/>
      <c r="U959" s="7"/>
      <c r="V959" s="10">
        <v>7.5741092456127026</v>
      </c>
      <c r="W959" s="9">
        <v>44994</v>
      </c>
      <c r="X959" s="10">
        <v>7.5</v>
      </c>
      <c r="Y959" s="9">
        <v>44997</v>
      </c>
      <c r="Z959">
        <v>17</v>
      </c>
      <c r="AA959" s="11" t="s">
        <v>49</v>
      </c>
    </row>
    <row r="960" spans="2:27" ht="16" x14ac:dyDescent="0.2">
      <c r="B960" t="s">
        <v>35</v>
      </c>
      <c r="C960">
        <v>40357366</v>
      </c>
      <c r="D960" t="s">
        <v>389</v>
      </c>
      <c r="E960">
        <v>1022748</v>
      </c>
      <c r="F960" t="s">
        <v>444</v>
      </c>
      <c r="G960" s="9">
        <v>44989</v>
      </c>
      <c r="H960" s="7">
        <v>17070</v>
      </c>
      <c r="I960" s="7"/>
      <c r="J960" s="7"/>
      <c r="K960" s="7"/>
      <c r="L960" s="10">
        <v>5.5741092456127026</v>
      </c>
      <c r="M960" s="9">
        <v>44994</v>
      </c>
      <c r="N960" s="10">
        <v>5.5</v>
      </c>
      <c r="O960" s="9">
        <v>44999</v>
      </c>
      <c r="P960">
        <v>15</v>
      </c>
      <c r="Q960" s="11" t="s">
        <v>49</v>
      </c>
      <c r="R960" s="7">
        <v>17070</v>
      </c>
      <c r="S960" s="7"/>
      <c r="T960" s="7"/>
      <c r="U960" s="7"/>
      <c r="V960" s="10">
        <v>7.5741092456127026</v>
      </c>
      <c r="W960" s="9">
        <v>44996</v>
      </c>
      <c r="X960" s="10">
        <v>7.5</v>
      </c>
      <c r="Y960" s="9">
        <v>44999</v>
      </c>
      <c r="Z960">
        <v>15</v>
      </c>
      <c r="AA960" s="11" t="s">
        <v>49</v>
      </c>
    </row>
    <row r="961" spans="2:27" ht="16" x14ac:dyDescent="0.2">
      <c r="B961" t="s">
        <v>35</v>
      </c>
      <c r="C961">
        <v>40357366</v>
      </c>
      <c r="D961" t="s">
        <v>389</v>
      </c>
      <c r="E961">
        <v>1022748</v>
      </c>
      <c r="F961" t="s">
        <v>444</v>
      </c>
      <c r="G961" s="9">
        <v>44989</v>
      </c>
      <c r="H961" s="7">
        <v>24210</v>
      </c>
      <c r="I961" s="7"/>
      <c r="J961" s="7"/>
      <c r="K961" s="7"/>
      <c r="L961" s="10">
        <v>5.5741092456127026</v>
      </c>
      <c r="M961" s="9">
        <v>44994</v>
      </c>
      <c r="N961" s="10">
        <v>5.5</v>
      </c>
      <c r="O961" s="9">
        <v>44999</v>
      </c>
      <c r="P961">
        <v>15</v>
      </c>
      <c r="Q961" s="11" t="s">
        <v>49</v>
      </c>
      <c r="R961" s="7">
        <v>24210</v>
      </c>
      <c r="S961" s="7"/>
      <c r="T961" s="7"/>
      <c r="U961" s="7"/>
      <c r="V961" s="10">
        <v>7.5741092456127026</v>
      </c>
      <c r="W961" s="9">
        <v>44996</v>
      </c>
      <c r="X961" s="10">
        <v>7.5</v>
      </c>
      <c r="Y961" s="9">
        <v>44999</v>
      </c>
      <c r="Z961">
        <v>15</v>
      </c>
      <c r="AA961" s="11" t="s">
        <v>49</v>
      </c>
    </row>
    <row r="962" spans="2:27" ht="16" x14ac:dyDescent="0.2">
      <c r="B962" t="s">
        <v>35</v>
      </c>
      <c r="C962">
        <v>40357365</v>
      </c>
      <c r="D962" t="s">
        <v>389</v>
      </c>
      <c r="E962">
        <v>1022748</v>
      </c>
      <c r="F962" t="s">
        <v>444</v>
      </c>
      <c r="G962" s="9">
        <v>44975</v>
      </c>
      <c r="H962" s="7"/>
      <c r="I962" s="7"/>
      <c r="J962" s="7"/>
      <c r="K962" s="7"/>
      <c r="L962" s="10">
        <v>5.5741092456127026</v>
      </c>
      <c r="M962" s="9">
        <v>44980</v>
      </c>
      <c r="N962" s="10">
        <v>5.5</v>
      </c>
      <c r="O962" s="9">
        <v>44985</v>
      </c>
      <c r="P962">
        <v>0</v>
      </c>
      <c r="Q962" s="11" t="s">
        <v>594</v>
      </c>
      <c r="R962" s="7"/>
      <c r="S962" s="7"/>
      <c r="T962" s="7"/>
      <c r="U962" s="7"/>
      <c r="V962" s="10">
        <v>7.5741092456127026</v>
      </c>
      <c r="W962" s="9">
        <v>44982</v>
      </c>
      <c r="X962" s="10">
        <v>7.5</v>
      </c>
      <c r="Y962" s="9">
        <v>44985</v>
      </c>
      <c r="Z962">
        <v>0</v>
      </c>
      <c r="AA962" s="11" t="s">
        <v>594</v>
      </c>
    </row>
    <row r="963" spans="2:27" ht="16" x14ac:dyDescent="0.2">
      <c r="B963" t="s">
        <v>35</v>
      </c>
      <c r="C963">
        <v>40357363</v>
      </c>
      <c r="D963" t="s">
        <v>389</v>
      </c>
      <c r="E963">
        <v>1022748</v>
      </c>
      <c r="F963" t="s">
        <v>444</v>
      </c>
      <c r="G963" s="9">
        <v>44973</v>
      </c>
      <c r="H963" s="7"/>
      <c r="I963" s="7"/>
      <c r="J963" s="7"/>
      <c r="K963" s="7"/>
      <c r="L963" s="10">
        <v>5.5741092456127026</v>
      </c>
      <c r="M963" s="9">
        <v>44978</v>
      </c>
      <c r="N963" s="10">
        <v>5.5</v>
      </c>
      <c r="O963" s="9">
        <v>44983</v>
      </c>
      <c r="P963">
        <v>2</v>
      </c>
      <c r="Q963" s="11" t="s">
        <v>594</v>
      </c>
      <c r="R963" s="7"/>
      <c r="S963" s="7"/>
      <c r="T963" s="7"/>
      <c r="U963" s="7"/>
      <c r="V963" s="10">
        <v>7.5741092456127026</v>
      </c>
      <c r="W963" s="9">
        <v>44980</v>
      </c>
      <c r="X963" s="10">
        <v>7.5</v>
      </c>
      <c r="Y963" s="9">
        <v>44983</v>
      </c>
      <c r="Z963">
        <v>2</v>
      </c>
      <c r="AA963" s="11" t="s">
        <v>594</v>
      </c>
    </row>
    <row r="964" spans="2:27" ht="16" x14ac:dyDescent="0.2">
      <c r="B964" t="s">
        <v>35</v>
      </c>
      <c r="C964">
        <v>40357361</v>
      </c>
      <c r="D964" t="s">
        <v>389</v>
      </c>
      <c r="E964">
        <v>1022753</v>
      </c>
      <c r="F964" t="s">
        <v>320</v>
      </c>
      <c r="G964" s="9">
        <v>44989</v>
      </c>
      <c r="H964" s="7">
        <v>24020</v>
      </c>
      <c r="I964" s="7"/>
      <c r="J964" s="7"/>
      <c r="K964" s="7"/>
      <c r="L964" s="10">
        <v>5.5741092456127026</v>
      </c>
      <c r="M964" s="9">
        <v>44994</v>
      </c>
      <c r="N964" s="10">
        <v>5.5</v>
      </c>
      <c r="O964" s="9">
        <v>44999</v>
      </c>
      <c r="P964">
        <v>15</v>
      </c>
      <c r="Q964" s="11" t="s">
        <v>49</v>
      </c>
      <c r="R964" s="7">
        <v>24020</v>
      </c>
      <c r="S964" s="7"/>
      <c r="T964" s="7"/>
      <c r="U964" s="7"/>
      <c r="V964" s="10">
        <v>7.5741092456127026</v>
      </c>
      <c r="W964" s="9">
        <v>44996</v>
      </c>
      <c r="X964" s="10">
        <v>7.5</v>
      </c>
      <c r="Y964" s="9">
        <v>44999</v>
      </c>
      <c r="Z964">
        <v>15</v>
      </c>
      <c r="AA964" s="11" t="s">
        <v>49</v>
      </c>
    </row>
    <row r="965" spans="2:27" ht="16" x14ac:dyDescent="0.2">
      <c r="B965" t="s">
        <v>35</v>
      </c>
      <c r="C965">
        <v>40357360</v>
      </c>
      <c r="D965" t="s">
        <v>389</v>
      </c>
      <c r="E965">
        <v>1022753</v>
      </c>
      <c r="F965" t="s">
        <v>320</v>
      </c>
      <c r="G965" s="9">
        <v>44984</v>
      </c>
      <c r="H965" s="7">
        <v>24240</v>
      </c>
      <c r="I965" s="7"/>
      <c r="J965" s="7"/>
      <c r="K965" s="7"/>
      <c r="L965" s="10">
        <v>5.5741092456127026</v>
      </c>
      <c r="M965" s="9">
        <v>44989</v>
      </c>
      <c r="N965" s="10">
        <v>5.5</v>
      </c>
      <c r="O965" s="9">
        <v>44994</v>
      </c>
      <c r="P965">
        <v>19</v>
      </c>
      <c r="Q965" s="11" t="s">
        <v>49</v>
      </c>
      <c r="R965" s="7">
        <v>24240</v>
      </c>
      <c r="S965" s="7"/>
      <c r="T965" s="7"/>
      <c r="U965" s="7"/>
      <c r="V965" s="10">
        <v>7.5741092456127026</v>
      </c>
      <c r="W965" s="9">
        <v>44991</v>
      </c>
      <c r="X965" s="10">
        <v>7.5</v>
      </c>
      <c r="Y965" s="9">
        <v>44994</v>
      </c>
      <c r="Z965">
        <v>19</v>
      </c>
      <c r="AA965" s="11" t="s">
        <v>49</v>
      </c>
    </row>
    <row r="966" spans="2:27" ht="16" x14ac:dyDescent="0.2">
      <c r="B966" t="s">
        <v>35</v>
      </c>
      <c r="C966">
        <v>40357359</v>
      </c>
      <c r="D966" t="s">
        <v>389</v>
      </c>
      <c r="E966">
        <v>1022753</v>
      </c>
      <c r="F966" t="s">
        <v>320</v>
      </c>
      <c r="G966" s="9">
        <v>44977</v>
      </c>
      <c r="H966" s="7">
        <v>24180</v>
      </c>
      <c r="I966" s="7"/>
      <c r="J966" s="7"/>
      <c r="K966" s="7"/>
      <c r="L966" s="10">
        <v>5.5741092456127026</v>
      </c>
      <c r="M966" s="9">
        <v>44982</v>
      </c>
      <c r="N966" s="10">
        <v>5.5</v>
      </c>
      <c r="O966" s="9">
        <v>44987</v>
      </c>
      <c r="P966">
        <v>25</v>
      </c>
      <c r="Q966" s="11" t="s">
        <v>49</v>
      </c>
      <c r="R966" s="7">
        <v>24180</v>
      </c>
      <c r="S966" s="7"/>
      <c r="T966" s="7"/>
      <c r="U966" s="7"/>
      <c r="V966" s="10">
        <v>7.5741092456127026</v>
      </c>
      <c r="W966" s="9">
        <v>44984</v>
      </c>
      <c r="X966" s="10">
        <v>7.5</v>
      </c>
      <c r="Y966" s="9">
        <v>44987</v>
      </c>
      <c r="Z966">
        <v>25</v>
      </c>
      <c r="AA966" s="11" t="s">
        <v>49</v>
      </c>
    </row>
    <row r="967" spans="2:27" ht="16" x14ac:dyDescent="0.2">
      <c r="B967" t="s">
        <v>35</v>
      </c>
      <c r="C967">
        <v>40357358</v>
      </c>
      <c r="D967" t="s">
        <v>389</v>
      </c>
      <c r="E967">
        <v>1022753</v>
      </c>
      <c r="F967" t="s">
        <v>320</v>
      </c>
      <c r="G967" s="9">
        <v>44993</v>
      </c>
      <c r="H967" s="7">
        <v>12100</v>
      </c>
      <c r="I967" s="7"/>
      <c r="J967" s="7"/>
      <c r="K967" s="7"/>
      <c r="L967" s="10">
        <v>5.5741092456127026</v>
      </c>
      <c r="M967" s="9">
        <v>44998</v>
      </c>
      <c r="N967" s="10">
        <v>5.5</v>
      </c>
      <c r="O967" s="9">
        <v>45003</v>
      </c>
      <c r="P967">
        <v>11</v>
      </c>
      <c r="Q967" s="11" t="s">
        <v>49</v>
      </c>
      <c r="R967" s="7">
        <v>12100</v>
      </c>
      <c r="S967" s="7"/>
      <c r="T967" s="7"/>
      <c r="U967" s="7"/>
      <c r="V967" s="10">
        <v>7.5741092456127026</v>
      </c>
      <c r="W967" s="9">
        <v>45000</v>
      </c>
      <c r="X967" s="10">
        <v>7.5</v>
      </c>
      <c r="Y967" s="9">
        <v>45003</v>
      </c>
      <c r="Z967">
        <v>11</v>
      </c>
      <c r="AA967" s="11" t="s">
        <v>49</v>
      </c>
    </row>
    <row r="968" spans="2:27" ht="16" x14ac:dyDescent="0.2">
      <c r="B968" t="s">
        <v>35</v>
      </c>
      <c r="C968">
        <v>40357358</v>
      </c>
      <c r="D968" t="s">
        <v>389</v>
      </c>
      <c r="E968">
        <v>1022753</v>
      </c>
      <c r="F968" t="s">
        <v>320</v>
      </c>
      <c r="G968" s="9">
        <v>44993</v>
      </c>
      <c r="H968" s="7">
        <v>24940</v>
      </c>
      <c r="I968" s="7"/>
      <c r="J968" s="7"/>
      <c r="K968" s="7"/>
      <c r="L968" s="10">
        <v>5.5741092456127026</v>
      </c>
      <c r="M968" s="9">
        <v>44998</v>
      </c>
      <c r="N968" s="10">
        <v>5.5</v>
      </c>
      <c r="O968" s="9">
        <v>45003</v>
      </c>
      <c r="P968">
        <v>11</v>
      </c>
      <c r="Q968" s="11" t="s">
        <v>49</v>
      </c>
      <c r="R968" s="7">
        <v>24940</v>
      </c>
      <c r="S968" s="7"/>
      <c r="T968" s="7"/>
      <c r="U968" s="7"/>
      <c r="V968" s="10">
        <v>7.5741092456127026</v>
      </c>
      <c r="W968" s="9">
        <v>45000</v>
      </c>
      <c r="X968" s="10">
        <v>7.5</v>
      </c>
      <c r="Y968" s="9">
        <v>45003</v>
      </c>
      <c r="Z968">
        <v>11</v>
      </c>
      <c r="AA968" s="11" t="s">
        <v>49</v>
      </c>
    </row>
    <row r="969" spans="2:27" ht="16" x14ac:dyDescent="0.2">
      <c r="B969" t="s">
        <v>35</v>
      </c>
      <c r="C969">
        <v>40357357</v>
      </c>
      <c r="D969" t="s">
        <v>389</v>
      </c>
      <c r="E969">
        <v>1022753</v>
      </c>
      <c r="F969" t="s">
        <v>320</v>
      </c>
      <c r="G969" s="9">
        <v>44995</v>
      </c>
      <c r="H969" s="7">
        <v>25000</v>
      </c>
      <c r="I969" s="7"/>
      <c r="J969" s="7"/>
      <c r="K969" s="7"/>
      <c r="L969" s="10">
        <v>5.5741092456127026</v>
      </c>
      <c r="M969" s="9">
        <v>45000</v>
      </c>
      <c r="N969" s="10">
        <v>5.5</v>
      </c>
      <c r="O969" s="9">
        <v>45005</v>
      </c>
      <c r="P969">
        <v>10</v>
      </c>
      <c r="Q969" s="11" t="s">
        <v>49</v>
      </c>
      <c r="R969" s="7">
        <v>25000</v>
      </c>
      <c r="S969" s="7"/>
      <c r="T969" s="7"/>
      <c r="U969" s="7"/>
      <c r="V969" s="10">
        <v>7.5741092456127026</v>
      </c>
      <c r="W969" s="9">
        <v>45002</v>
      </c>
      <c r="X969" s="10">
        <v>7.5</v>
      </c>
      <c r="Y969" s="9">
        <v>45005</v>
      </c>
      <c r="Z969">
        <v>10</v>
      </c>
      <c r="AA969" s="11" t="s">
        <v>49</v>
      </c>
    </row>
    <row r="970" spans="2:27" ht="16" x14ac:dyDescent="0.2">
      <c r="B970" t="s">
        <v>35</v>
      </c>
      <c r="C970">
        <v>40357356</v>
      </c>
      <c r="D970" t="s">
        <v>389</v>
      </c>
      <c r="E970">
        <v>1022753</v>
      </c>
      <c r="F970" t="s">
        <v>320</v>
      </c>
      <c r="G970" s="9">
        <v>44990</v>
      </c>
      <c r="H970" s="7">
        <v>23780</v>
      </c>
      <c r="I970" s="7"/>
      <c r="J970" s="7"/>
      <c r="K970" s="7"/>
      <c r="L970" s="10">
        <v>5.5741092456127026</v>
      </c>
      <c r="M970" s="9">
        <v>44995</v>
      </c>
      <c r="N970" s="10">
        <v>5.5</v>
      </c>
      <c r="O970" s="9">
        <v>45000</v>
      </c>
      <c r="P970">
        <v>14</v>
      </c>
      <c r="Q970" s="11" t="s">
        <v>49</v>
      </c>
      <c r="R970" s="7">
        <v>23780</v>
      </c>
      <c r="S970" s="7"/>
      <c r="T970" s="7"/>
      <c r="U970" s="7"/>
      <c r="V970" s="10">
        <v>7.5741092456127026</v>
      </c>
      <c r="W970" s="9">
        <v>44997</v>
      </c>
      <c r="X970" s="10">
        <v>7.5</v>
      </c>
      <c r="Y970" s="9">
        <v>45000</v>
      </c>
      <c r="Z970">
        <v>14</v>
      </c>
      <c r="AA970" s="11" t="s">
        <v>49</v>
      </c>
    </row>
    <row r="971" spans="2:27" ht="16" x14ac:dyDescent="0.2">
      <c r="B971" t="s">
        <v>35</v>
      </c>
      <c r="C971">
        <v>40357354</v>
      </c>
      <c r="D971" t="s">
        <v>389</v>
      </c>
      <c r="E971">
        <v>1021731</v>
      </c>
      <c r="F971" t="s">
        <v>273</v>
      </c>
      <c r="G971" s="9">
        <v>45003</v>
      </c>
      <c r="H971" s="7">
        <v>24260</v>
      </c>
      <c r="I971" s="7"/>
      <c r="J971" s="7"/>
      <c r="K971" s="7"/>
      <c r="L971" s="10">
        <v>5.5741092456127026</v>
      </c>
      <c r="M971" s="9">
        <v>45008</v>
      </c>
      <c r="N971" s="10">
        <v>5.5</v>
      </c>
      <c r="O971" s="9">
        <v>45013</v>
      </c>
      <c r="P971">
        <v>3</v>
      </c>
      <c r="Q971" s="11" t="s">
        <v>49</v>
      </c>
      <c r="R971" s="7">
        <v>24260</v>
      </c>
      <c r="S971" s="7"/>
      <c r="T971" s="7"/>
      <c r="U971" s="7"/>
      <c r="V971" s="10">
        <v>7.5741092456127026</v>
      </c>
      <c r="W971" s="9">
        <v>45010</v>
      </c>
      <c r="X971" s="10">
        <v>7.5</v>
      </c>
      <c r="Y971" s="9">
        <v>45013</v>
      </c>
      <c r="Z971">
        <v>3</v>
      </c>
      <c r="AA971" s="11" t="s">
        <v>49</v>
      </c>
    </row>
    <row r="972" spans="2:27" ht="16" x14ac:dyDescent="0.2">
      <c r="B972" t="s">
        <v>35</v>
      </c>
      <c r="C972">
        <v>40357353</v>
      </c>
      <c r="D972" t="s">
        <v>389</v>
      </c>
      <c r="E972">
        <v>1021731</v>
      </c>
      <c r="F972" t="s">
        <v>273</v>
      </c>
      <c r="G972" s="9">
        <v>45000</v>
      </c>
      <c r="H972" s="7">
        <v>24460</v>
      </c>
      <c r="I972" s="7"/>
      <c r="J972" s="7"/>
      <c r="K972" s="7"/>
      <c r="L972" s="10">
        <v>5.5741092456127026</v>
      </c>
      <c r="M972" s="9">
        <v>45005</v>
      </c>
      <c r="N972" s="10">
        <v>5.5</v>
      </c>
      <c r="O972" s="9">
        <v>45010</v>
      </c>
      <c r="P972">
        <v>5</v>
      </c>
      <c r="Q972" s="11" t="s">
        <v>49</v>
      </c>
      <c r="R972" s="7">
        <v>24460</v>
      </c>
      <c r="S972" s="7"/>
      <c r="T972" s="7"/>
      <c r="U972" s="7"/>
      <c r="V972" s="10">
        <v>7.5741092456127026</v>
      </c>
      <c r="W972" s="9">
        <v>45007</v>
      </c>
      <c r="X972" s="10">
        <v>7.5</v>
      </c>
      <c r="Y972" s="9">
        <v>45010</v>
      </c>
      <c r="Z972">
        <v>5</v>
      </c>
      <c r="AA972" s="11" t="s">
        <v>49</v>
      </c>
    </row>
    <row r="973" spans="2:27" ht="16" x14ac:dyDescent="0.2">
      <c r="B973" t="s">
        <v>35</v>
      </c>
      <c r="C973">
        <v>40357351</v>
      </c>
      <c r="D973" t="s">
        <v>389</v>
      </c>
      <c r="E973">
        <v>1021731</v>
      </c>
      <c r="F973" t="s">
        <v>273</v>
      </c>
      <c r="G973" s="9">
        <v>44993</v>
      </c>
      <c r="H973" s="7">
        <v>24320</v>
      </c>
      <c r="I973" s="7"/>
      <c r="J973" s="7"/>
      <c r="K973" s="7"/>
      <c r="L973" s="10">
        <v>5.5741092456127026</v>
      </c>
      <c r="M973" s="9">
        <v>44998</v>
      </c>
      <c r="N973" s="10">
        <v>5.5</v>
      </c>
      <c r="O973" s="9">
        <v>45003</v>
      </c>
      <c r="P973">
        <v>11</v>
      </c>
      <c r="Q973" s="11" t="s">
        <v>49</v>
      </c>
      <c r="R973" s="7">
        <v>24320</v>
      </c>
      <c r="S973" s="7"/>
      <c r="T973" s="7"/>
      <c r="U973" s="7"/>
      <c r="V973" s="10">
        <v>7.5741092456127026</v>
      </c>
      <c r="W973" s="9">
        <v>45000</v>
      </c>
      <c r="X973" s="10">
        <v>7.5</v>
      </c>
      <c r="Y973" s="9">
        <v>45003</v>
      </c>
      <c r="Z973">
        <v>11</v>
      </c>
      <c r="AA973" s="11" t="s">
        <v>49</v>
      </c>
    </row>
    <row r="974" spans="2:27" ht="16" x14ac:dyDescent="0.2">
      <c r="B974" t="s">
        <v>35</v>
      </c>
      <c r="C974">
        <v>40357350</v>
      </c>
      <c r="D974" t="s">
        <v>389</v>
      </c>
      <c r="E974">
        <v>1021731</v>
      </c>
      <c r="F974" t="s">
        <v>273</v>
      </c>
      <c r="G974" s="9">
        <v>44993</v>
      </c>
      <c r="H974" s="7">
        <v>24240</v>
      </c>
      <c r="I974" s="7"/>
      <c r="J974" s="7"/>
      <c r="K974" s="7"/>
      <c r="L974" s="10">
        <v>5.5741092456127026</v>
      </c>
      <c r="M974" s="9">
        <v>44998</v>
      </c>
      <c r="N974" s="10">
        <v>5.5</v>
      </c>
      <c r="O974" s="9">
        <v>45003</v>
      </c>
      <c r="P974">
        <v>11</v>
      </c>
      <c r="Q974" s="11" t="s">
        <v>49</v>
      </c>
      <c r="R974" s="7">
        <v>24240</v>
      </c>
      <c r="S974" s="7"/>
      <c r="T974" s="7"/>
      <c r="U974" s="7"/>
      <c r="V974" s="10">
        <v>7.5741092456127026</v>
      </c>
      <c r="W974" s="9">
        <v>45000</v>
      </c>
      <c r="X974" s="10">
        <v>7.5</v>
      </c>
      <c r="Y974" s="9">
        <v>45003</v>
      </c>
      <c r="Z974">
        <v>11</v>
      </c>
      <c r="AA974" s="11" t="s">
        <v>49</v>
      </c>
    </row>
    <row r="975" spans="2:27" ht="16" x14ac:dyDescent="0.2">
      <c r="B975" t="s">
        <v>35</v>
      </c>
      <c r="C975">
        <v>40357349</v>
      </c>
      <c r="D975" t="s">
        <v>389</v>
      </c>
      <c r="E975">
        <v>1021731</v>
      </c>
      <c r="F975" t="s">
        <v>273</v>
      </c>
      <c r="G975" s="9">
        <v>44990</v>
      </c>
      <c r="H975" s="7">
        <v>22800</v>
      </c>
      <c r="I975" s="7"/>
      <c r="J975" s="7"/>
      <c r="K975" s="7"/>
      <c r="L975" s="10">
        <v>5.5741092456127026</v>
      </c>
      <c r="M975" s="9">
        <v>44995</v>
      </c>
      <c r="N975" s="10">
        <v>5.5</v>
      </c>
      <c r="O975" s="9">
        <v>45000</v>
      </c>
      <c r="P975">
        <v>14</v>
      </c>
      <c r="Q975" s="11" t="s">
        <v>49</v>
      </c>
      <c r="R975" s="7">
        <v>22800</v>
      </c>
      <c r="S975" s="7"/>
      <c r="T975" s="7"/>
      <c r="U975" s="7"/>
      <c r="V975" s="10">
        <v>7.5741092456127026</v>
      </c>
      <c r="W975" s="9">
        <v>44997</v>
      </c>
      <c r="X975" s="10">
        <v>7.5</v>
      </c>
      <c r="Y975" s="9">
        <v>45000</v>
      </c>
      <c r="Z975">
        <v>14</v>
      </c>
      <c r="AA975" s="11" t="s">
        <v>49</v>
      </c>
    </row>
    <row r="976" spans="2:27" ht="16" x14ac:dyDescent="0.2">
      <c r="B976" t="s">
        <v>35</v>
      </c>
      <c r="C976">
        <v>40357342</v>
      </c>
      <c r="D976" t="s">
        <v>389</v>
      </c>
      <c r="E976">
        <v>1022099</v>
      </c>
      <c r="F976" t="s">
        <v>294</v>
      </c>
      <c r="G976" s="9">
        <v>44978</v>
      </c>
      <c r="H976" s="7">
        <v>24480</v>
      </c>
      <c r="I976" s="7"/>
      <c r="J976" s="7"/>
      <c r="K976" s="7"/>
      <c r="L976" s="10">
        <v>5.5741092456127026</v>
      </c>
      <c r="M976" s="9">
        <v>44983</v>
      </c>
      <c r="N976" s="10">
        <v>5.5</v>
      </c>
      <c r="O976" s="9">
        <v>44988</v>
      </c>
      <c r="P976">
        <v>24</v>
      </c>
      <c r="Q976" s="11" t="s">
        <v>49</v>
      </c>
      <c r="R976" s="7">
        <v>24480</v>
      </c>
      <c r="S976" s="7"/>
      <c r="T976" s="7"/>
      <c r="U976" s="7"/>
      <c r="V976" s="10">
        <v>7.5741092456127026</v>
      </c>
      <c r="W976" s="9">
        <v>44985</v>
      </c>
      <c r="X976" s="10">
        <v>7.5</v>
      </c>
      <c r="Y976" s="9">
        <v>44988</v>
      </c>
      <c r="Z976">
        <v>24</v>
      </c>
      <c r="AA976" s="11" t="s">
        <v>49</v>
      </c>
    </row>
    <row r="977" spans="2:27" ht="16" x14ac:dyDescent="0.2">
      <c r="B977" t="s">
        <v>35</v>
      </c>
      <c r="C977">
        <v>40357341</v>
      </c>
      <c r="D977" t="s">
        <v>389</v>
      </c>
      <c r="E977">
        <v>1022099</v>
      </c>
      <c r="F977" t="s">
        <v>294</v>
      </c>
      <c r="G977" s="9">
        <v>44975</v>
      </c>
      <c r="H977" s="7"/>
      <c r="I977" s="7"/>
      <c r="J977" s="7"/>
      <c r="K977" s="7"/>
      <c r="L977" s="10">
        <v>5.5741092456127026</v>
      </c>
      <c r="M977" s="9">
        <v>44980</v>
      </c>
      <c r="N977" s="10">
        <v>5.5</v>
      </c>
      <c r="O977" s="9">
        <v>44985</v>
      </c>
      <c r="P977">
        <v>0</v>
      </c>
      <c r="Q977" s="11" t="s">
        <v>594</v>
      </c>
      <c r="R977" s="7"/>
      <c r="S977" s="7"/>
      <c r="T977" s="7"/>
      <c r="U977" s="7"/>
      <c r="V977" s="10">
        <v>7.5741092456127026</v>
      </c>
      <c r="W977" s="9">
        <v>44982</v>
      </c>
      <c r="X977" s="10">
        <v>7.5</v>
      </c>
      <c r="Y977" s="9">
        <v>44985</v>
      </c>
      <c r="Z977">
        <v>0</v>
      </c>
      <c r="AA977" s="11" t="s">
        <v>594</v>
      </c>
    </row>
    <row r="978" spans="2:27" ht="16" x14ac:dyDescent="0.2">
      <c r="B978" t="s">
        <v>35</v>
      </c>
      <c r="C978">
        <v>40357340</v>
      </c>
      <c r="D978" t="s">
        <v>389</v>
      </c>
      <c r="E978">
        <v>1022099</v>
      </c>
      <c r="F978" t="s">
        <v>294</v>
      </c>
      <c r="G978" s="9">
        <v>44975</v>
      </c>
      <c r="H978" s="7"/>
      <c r="I978" s="7"/>
      <c r="J978" s="7"/>
      <c r="K978" s="7"/>
      <c r="L978" s="10">
        <v>5.5741092456127026</v>
      </c>
      <c r="M978" s="9">
        <v>44980</v>
      </c>
      <c r="N978" s="10">
        <v>5.5</v>
      </c>
      <c r="O978" s="9">
        <v>44985</v>
      </c>
      <c r="P978">
        <v>0</v>
      </c>
      <c r="Q978" s="11" t="s">
        <v>594</v>
      </c>
      <c r="R978" s="7"/>
      <c r="S978" s="7"/>
      <c r="T978" s="7"/>
      <c r="U978" s="7"/>
      <c r="V978" s="10">
        <v>7.5741092456127026</v>
      </c>
      <c r="W978" s="9">
        <v>44982</v>
      </c>
      <c r="X978" s="10">
        <v>7.5</v>
      </c>
      <c r="Y978" s="9">
        <v>44985</v>
      </c>
      <c r="Z978">
        <v>0</v>
      </c>
      <c r="AA978" s="11" t="s">
        <v>594</v>
      </c>
    </row>
    <row r="979" spans="2:27" ht="16" x14ac:dyDescent="0.2">
      <c r="B979" t="s">
        <v>35</v>
      </c>
      <c r="C979">
        <v>40357339</v>
      </c>
      <c r="D979" t="s">
        <v>389</v>
      </c>
      <c r="E979">
        <v>1022099</v>
      </c>
      <c r="F979" t="s">
        <v>294</v>
      </c>
      <c r="G979" s="9">
        <v>44977</v>
      </c>
      <c r="H979" s="7">
        <v>24264</v>
      </c>
      <c r="I979" s="7"/>
      <c r="J979" s="7"/>
      <c r="K979" s="7"/>
      <c r="L979" s="10">
        <v>5.5741092456127026</v>
      </c>
      <c r="M979" s="9">
        <v>44982</v>
      </c>
      <c r="N979" s="10">
        <v>5.5</v>
      </c>
      <c r="O979" s="9">
        <v>44987</v>
      </c>
      <c r="P979">
        <v>25</v>
      </c>
      <c r="Q979" s="11" t="s">
        <v>49</v>
      </c>
      <c r="R979" s="7">
        <v>24264</v>
      </c>
      <c r="S979" s="7"/>
      <c r="T979" s="7"/>
      <c r="U979" s="7"/>
      <c r="V979" s="10">
        <v>7.5741092456127026</v>
      </c>
      <c r="W979" s="9">
        <v>44984</v>
      </c>
      <c r="X979" s="10">
        <v>7.5</v>
      </c>
      <c r="Y979" s="9">
        <v>44987</v>
      </c>
      <c r="Z979">
        <v>25</v>
      </c>
      <c r="AA979" s="11" t="s">
        <v>49</v>
      </c>
    </row>
    <row r="980" spans="2:27" ht="16" x14ac:dyDescent="0.2">
      <c r="B980" t="s">
        <v>35</v>
      </c>
      <c r="C980">
        <v>40357333</v>
      </c>
      <c r="D980" t="s">
        <v>389</v>
      </c>
      <c r="E980">
        <v>1021732</v>
      </c>
      <c r="F980" t="s">
        <v>275</v>
      </c>
      <c r="G980" s="9">
        <v>44988</v>
      </c>
      <c r="H980" s="7">
        <v>24000</v>
      </c>
      <c r="I980" s="7"/>
      <c r="J980" s="7"/>
      <c r="K980" s="7"/>
      <c r="L980" s="10">
        <v>5.5741092456127026</v>
      </c>
      <c r="M980" s="9">
        <v>44993</v>
      </c>
      <c r="N980" s="10">
        <v>5.5</v>
      </c>
      <c r="O980" s="9">
        <v>44998</v>
      </c>
      <c r="P980">
        <v>16</v>
      </c>
      <c r="Q980" s="11" t="s">
        <v>49</v>
      </c>
      <c r="R980" s="7">
        <v>24000</v>
      </c>
      <c r="S980" s="7"/>
      <c r="T980" s="7"/>
      <c r="U980" s="7"/>
      <c r="V980" s="10">
        <v>7.5741092456127026</v>
      </c>
      <c r="W980" s="9">
        <v>44995</v>
      </c>
      <c r="X980" s="10">
        <v>7.5</v>
      </c>
      <c r="Y980" s="9">
        <v>44998</v>
      </c>
      <c r="Z980">
        <v>16</v>
      </c>
      <c r="AA980" s="11" t="s">
        <v>49</v>
      </c>
    </row>
    <row r="981" spans="2:27" ht="16" x14ac:dyDescent="0.2">
      <c r="B981" t="s">
        <v>35</v>
      </c>
      <c r="C981">
        <v>40357332</v>
      </c>
      <c r="D981" t="s">
        <v>389</v>
      </c>
      <c r="E981">
        <v>1021732</v>
      </c>
      <c r="F981" t="s">
        <v>275</v>
      </c>
      <c r="G981" s="9">
        <v>44990</v>
      </c>
      <c r="H981" s="7">
        <v>24080</v>
      </c>
      <c r="I981" s="7"/>
      <c r="J981" s="7"/>
      <c r="K981" s="7"/>
      <c r="L981" s="10">
        <v>5.5741092456127026</v>
      </c>
      <c r="M981" s="9">
        <v>44995</v>
      </c>
      <c r="N981" s="10">
        <v>5.5</v>
      </c>
      <c r="O981" s="9">
        <v>45000</v>
      </c>
      <c r="P981">
        <v>14</v>
      </c>
      <c r="Q981" s="11" t="s">
        <v>49</v>
      </c>
      <c r="R981" s="7">
        <v>24080</v>
      </c>
      <c r="S981" s="7"/>
      <c r="T981" s="7"/>
      <c r="U981" s="7"/>
      <c r="V981" s="10">
        <v>7.5741092456127026</v>
      </c>
      <c r="W981" s="9">
        <v>44997</v>
      </c>
      <c r="X981" s="10">
        <v>7.5</v>
      </c>
      <c r="Y981" s="9">
        <v>45000</v>
      </c>
      <c r="Z981">
        <v>14</v>
      </c>
      <c r="AA981" s="11" t="s">
        <v>49</v>
      </c>
    </row>
    <row r="982" spans="2:27" ht="16" x14ac:dyDescent="0.2">
      <c r="B982" t="s">
        <v>35</v>
      </c>
      <c r="C982">
        <v>40357331</v>
      </c>
      <c r="D982" t="s">
        <v>389</v>
      </c>
      <c r="E982">
        <v>1021732</v>
      </c>
      <c r="F982" t="s">
        <v>275</v>
      </c>
      <c r="G982" s="9">
        <v>44990</v>
      </c>
      <c r="H982" s="7">
        <v>24080</v>
      </c>
      <c r="I982" s="7"/>
      <c r="J982" s="7"/>
      <c r="K982" s="7"/>
      <c r="L982" s="10">
        <v>5.5741092456127026</v>
      </c>
      <c r="M982" s="9">
        <v>44995</v>
      </c>
      <c r="N982" s="10">
        <v>5.5</v>
      </c>
      <c r="O982" s="9">
        <v>45000</v>
      </c>
      <c r="P982">
        <v>14</v>
      </c>
      <c r="Q982" s="11" t="s">
        <v>49</v>
      </c>
      <c r="R982" s="7">
        <v>24080</v>
      </c>
      <c r="S982" s="7"/>
      <c r="T982" s="7"/>
      <c r="U982" s="7"/>
      <c r="V982" s="10">
        <v>7.5741092456127026</v>
      </c>
      <c r="W982" s="9">
        <v>44997</v>
      </c>
      <c r="X982" s="10">
        <v>7.5</v>
      </c>
      <c r="Y982" s="9">
        <v>45000</v>
      </c>
      <c r="Z982">
        <v>14</v>
      </c>
      <c r="AA982" s="11" t="s">
        <v>49</v>
      </c>
    </row>
    <row r="983" spans="2:27" ht="16" x14ac:dyDescent="0.2">
      <c r="B983" t="s">
        <v>35</v>
      </c>
      <c r="C983">
        <v>40357330</v>
      </c>
      <c r="D983" t="s">
        <v>389</v>
      </c>
      <c r="E983">
        <v>1021732</v>
      </c>
      <c r="F983" t="s">
        <v>275</v>
      </c>
      <c r="G983" s="9">
        <v>44990</v>
      </c>
      <c r="H983" s="7">
        <v>24180</v>
      </c>
      <c r="I983" s="7"/>
      <c r="J983" s="7"/>
      <c r="K983" s="7"/>
      <c r="L983" s="10">
        <v>5.5741092456127026</v>
      </c>
      <c r="M983" s="9">
        <v>44995</v>
      </c>
      <c r="N983" s="10">
        <v>5.5</v>
      </c>
      <c r="O983" s="9">
        <v>45000</v>
      </c>
      <c r="P983">
        <v>14</v>
      </c>
      <c r="Q983" s="11" t="s">
        <v>49</v>
      </c>
      <c r="R983" s="7">
        <v>24180</v>
      </c>
      <c r="S983" s="7"/>
      <c r="T983" s="7"/>
      <c r="U983" s="7"/>
      <c r="V983" s="10">
        <v>7.5741092456127026</v>
      </c>
      <c r="W983" s="9">
        <v>44997</v>
      </c>
      <c r="X983" s="10">
        <v>7.5</v>
      </c>
      <c r="Y983" s="9">
        <v>45000</v>
      </c>
      <c r="Z983">
        <v>14</v>
      </c>
      <c r="AA983" s="11" t="s">
        <v>49</v>
      </c>
    </row>
    <row r="984" spans="2:27" ht="16" x14ac:dyDescent="0.2">
      <c r="B984" t="s">
        <v>35</v>
      </c>
      <c r="C984">
        <v>40357325</v>
      </c>
      <c r="D984" t="s">
        <v>389</v>
      </c>
      <c r="E984">
        <v>1021732</v>
      </c>
      <c r="F984" t="s">
        <v>275</v>
      </c>
      <c r="G984" s="9">
        <v>44990</v>
      </c>
      <c r="H984" s="7">
        <v>24240</v>
      </c>
      <c r="I984" s="7"/>
      <c r="J984" s="7"/>
      <c r="K984" s="7"/>
      <c r="L984" s="10">
        <v>5.5741092456127026</v>
      </c>
      <c r="M984" s="9">
        <v>44995</v>
      </c>
      <c r="N984" s="10">
        <v>5.5</v>
      </c>
      <c r="O984" s="9">
        <v>45000</v>
      </c>
      <c r="P984">
        <v>14</v>
      </c>
      <c r="Q984" s="11" t="s">
        <v>49</v>
      </c>
      <c r="R984" s="7">
        <v>24240</v>
      </c>
      <c r="S984" s="7"/>
      <c r="T984" s="7"/>
      <c r="U984" s="7"/>
      <c r="V984" s="10">
        <v>7.5741092456127026</v>
      </c>
      <c r="W984" s="9">
        <v>44997</v>
      </c>
      <c r="X984" s="10">
        <v>7.5</v>
      </c>
      <c r="Y984" s="9">
        <v>45000</v>
      </c>
      <c r="Z984">
        <v>14</v>
      </c>
      <c r="AA984" s="11" t="s">
        <v>49</v>
      </c>
    </row>
    <row r="985" spans="2:27" ht="16" x14ac:dyDescent="0.2">
      <c r="B985" t="s">
        <v>35</v>
      </c>
      <c r="C985">
        <v>40357318</v>
      </c>
      <c r="D985" t="s">
        <v>389</v>
      </c>
      <c r="E985">
        <v>1022541</v>
      </c>
      <c r="F985" t="s">
        <v>445</v>
      </c>
      <c r="G985" s="9">
        <v>44989</v>
      </c>
      <c r="H985" s="7">
        <v>24814.32</v>
      </c>
      <c r="I985" s="7"/>
      <c r="J985" s="7"/>
      <c r="K985" s="7"/>
      <c r="L985" s="10">
        <v>5.5741092456127026</v>
      </c>
      <c r="M985" s="9">
        <v>44994</v>
      </c>
      <c r="N985" s="10">
        <v>5.5</v>
      </c>
      <c r="O985" s="9">
        <v>44999</v>
      </c>
      <c r="P985">
        <v>15</v>
      </c>
      <c r="Q985" s="11" t="s">
        <v>49</v>
      </c>
      <c r="R985" s="7">
        <v>24814.32</v>
      </c>
      <c r="S985" s="7"/>
      <c r="T985" s="7"/>
      <c r="U985" s="7"/>
      <c r="V985" s="10">
        <v>7.5741092456127026</v>
      </c>
      <c r="W985" s="9">
        <v>44996</v>
      </c>
      <c r="X985" s="10">
        <v>7.5</v>
      </c>
      <c r="Y985" s="9">
        <v>44999</v>
      </c>
      <c r="Z985">
        <v>15</v>
      </c>
      <c r="AA985" s="11" t="s">
        <v>49</v>
      </c>
    </row>
    <row r="986" spans="2:27" ht="16" x14ac:dyDescent="0.2">
      <c r="B986" t="s">
        <v>35</v>
      </c>
      <c r="C986">
        <v>40357317</v>
      </c>
      <c r="D986" t="s">
        <v>389</v>
      </c>
      <c r="E986">
        <v>1022541</v>
      </c>
      <c r="F986" t="s">
        <v>445</v>
      </c>
      <c r="G986" s="9">
        <v>44984</v>
      </c>
      <c r="H986" s="7">
        <v>23983.85</v>
      </c>
      <c r="I986" s="7"/>
      <c r="J986" s="7"/>
      <c r="K986" s="7"/>
      <c r="L986" s="10">
        <v>5.5741092456127026</v>
      </c>
      <c r="M986" s="9">
        <v>44989</v>
      </c>
      <c r="N986" s="10">
        <v>5.5</v>
      </c>
      <c r="O986" s="9">
        <v>44994</v>
      </c>
      <c r="P986">
        <v>19</v>
      </c>
      <c r="Q986" s="11" t="s">
        <v>49</v>
      </c>
      <c r="R986" s="7">
        <v>23983.85</v>
      </c>
      <c r="S986" s="7"/>
      <c r="T986" s="7"/>
      <c r="U986" s="7"/>
      <c r="V986" s="10">
        <v>7.5741092456127026</v>
      </c>
      <c r="W986" s="9">
        <v>44991</v>
      </c>
      <c r="X986" s="10">
        <v>7.5</v>
      </c>
      <c r="Y986" s="9">
        <v>44994</v>
      </c>
      <c r="Z986">
        <v>19</v>
      </c>
      <c r="AA986" s="11" t="s">
        <v>49</v>
      </c>
    </row>
    <row r="987" spans="2:27" ht="16" x14ac:dyDescent="0.2">
      <c r="B987" t="s">
        <v>35</v>
      </c>
      <c r="C987">
        <v>40357316</v>
      </c>
      <c r="D987" t="s">
        <v>389</v>
      </c>
      <c r="E987">
        <v>1022541</v>
      </c>
      <c r="F987" t="s">
        <v>445</v>
      </c>
      <c r="G987" s="9">
        <v>44977</v>
      </c>
      <c r="H987" s="7">
        <v>8099.95</v>
      </c>
      <c r="I987" s="7"/>
      <c r="J987" s="7"/>
      <c r="K987" s="7"/>
      <c r="L987" s="10">
        <v>5.5741092456127026</v>
      </c>
      <c r="M987" s="9">
        <v>44982</v>
      </c>
      <c r="N987" s="10">
        <v>5.5</v>
      </c>
      <c r="O987" s="9">
        <v>44987</v>
      </c>
      <c r="P987">
        <v>25</v>
      </c>
      <c r="Q987" s="11" t="s">
        <v>49</v>
      </c>
      <c r="R987" s="7">
        <v>8099.95</v>
      </c>
      <c r="S987" s="7"/>
      <c r="T987" s="7"/>
      <c r="U987" s="7"/>
      <c r="V987" s="10">
        <v>7.5741092456127026</v>
      </c>
      <c r="W987" s="9">
        <v>44984</v>
      </c>
      <c r="X987" s="10">
        <v>7.5</v>
      </c>
      <c r="Y987" s="9">
        <v>44987</v>
      </c>
      <c r="Z987">
        <v>25</v>
      </c>
      <c r="AA987" s="11" t="s">
        <v>49</v>
      </c>
    </row>
    <row r="988" spans="2:27" ht="16" x14ac:dyDescent="0.2">
      <c r="B988" t="s">
        <v>35</v>
      </c>
      <c r="C988">
        <v>40357316</v>
      </c>
      <c r="D988" t="s">
        <v>389</v>
      </c>
      <c r="E988">
        <v>1022541</v>
      </c>
      <c r="F988" t="s">
        <v>445</v>
      </c>
      <c r="G988" s="9">
        <v>44977</v>
      </c>
      <c r="H988" s="7">
        <v>25002.35</v>
      </c>
      <c r="I988" s="7"/>
      <c r="J988" s="7"/>
      <c r="K988" s="7"/>
      <c r="L988" s="10">
        <v>5.5741092456127026</v>
      </c>
      <c r="M988" s="9">
        <v>44982</v>
      </c>
      <c r="N988" s="10">
        <v>5.5</v>
      </c>
      <c r="O988" s="9">
        <v>44987</v>
      </c>
      <c r="P988">
        <v>25</v>
      </c>
      <c r="Q988" s="11" t="s">
        <v>49</v>
      </c>
      <c r="R988" s="7">
        <v>25002.35</v>
      </c>
      <c r="S988" s="7"/>
      <c r="T988" s="7"/>
      <c r="U988" s="7"/>
      <c r="V988" s="10">
        <v>7.5741092456127026</v>
      </c>
      <c r="W988" s="9">
        <v>44984</v>
      </c>
      <c r="X988" s="10">
        <v>7.5</v>
      </c>
      <c r="Y988" s="9">
        <v>44987</v>
      </c>
      <c r="Z988">
        <v>25</v>
      </c>
      <c r="AA988" s="11" t="s">
        <v>49</v>
      </c>
    </row>
    <row r="989" spans="2:27" ht="16" x14ac:dyDescent="0.2">
      <c r="B989" t="s">
        <v>35</v>
      </c>
      <c r="C989">
        <v>40357315</v>
      </c>
      <c r="D989" t="s">
        <v>389</v>
      </c>
      <c r="E989">
        <v>1022541</v>
      </c>
      <c r="F989" t="s">
        <v>445</v>
      </c>
      <c r="G989" s="9">
        <v>44973</v>
      </c>
      <c r="H989" s="7"/>
      <c r="I989" s="7"/>
      <c r="J989" s="7"/>
      <c r="K989" s="7"/>
      <c r="L989" s="10">
        <v>5.5741092456127026</v>
      </c>
      <c r="M989" s="9">
        <v>44978</v>
      </c>
      <c r="N989" s="10">
        <v>5.5</v>
      </c>
      <c r="O989" s="9">
        <v>44983</v>
      </c>
      <c r="P989">
        <v>2</v>
      </c>
      <c r="Q989" s="11" t="s">
        <v>594</v>
      </c>
      <c r="R989" s="7"/>
      <c r="S989" s="7"/>
      <c r="T989" s="7"/>
      <c r="U989" s="7"/>
      <c r="V989" s="10">
        <v>7.5741092456127026</v>
      </c>
      <c r="W989" s="9">
        <v>44980</v>
      </c>
      <c r="X989" s="10">
        <v>7.5</v>
      </c>
      <c r="Y989" s="9">
        <v>44983</v>
      </c>
      <c r="Z989">
        <v>2</v>
      </c>
      <c r="AA989" s="11" t="s">
        <v>594</v>
      </c>
    </row>
    <row r="990" spans="2:27" ht="16" x14ac:dyDescent="0.2">
      <c r="B990" t="s">
        <v>35</v>
      </c>
      <c r="C990">
        <v>40357313</v>
      </c>
      <c r="D990" t="s">
        <v>389</v>
      </c>
      <c r="E990">
        <v>1022856</v>
      </c>
      <c r="F990" t="s">
        <v>446</v>
      </c>
      <c r="G990" s="9">
        <v>44985</v>
      </c>
      <c r="H990" s="7">
        <v>978.74</v>
      </c>
      <c r="I990" s="7"/>
      <c r="J990" s="7"/>
      <c r="K990" s="7"/>
      <c r="L990" s="10">
        <v>5.5741092456127026</v>
      </c>
      <c r="M990" s="9">
        <v>44990</v>
      </c>
      <c r="N990" s="10">
        <v>5.5</v>
      </c>
      <c r="O990" s="9">
        <v>44995</v>
      </c>
      <c r="P990">
        <v>18</v>
      </c>
      <c r="Q990" s="11" t="s">
        <v>49</v>
      </c>
      <c r="R990" s="7">
        <v>978.74</v>
      </c>
      <c r="S990" s="7"/>
      <c r="T990" s="7"/>
      <c r="U990" s="7"/>
      <c r="V990" s="10">
        <v>7.5741092456127026</v>
      </c>
      <c r="W990" s="9">
        <v>44992</v>
      </c>
      <c r="X990" s="10">
        <v>7.5</v>
      </c>
      <c r="Y990" s="9">
        <v>44995</v>
      </c>
      <c r="Z990">
        <v>18</v>
      </c>
      <c r="AA990" s="11" t="s">
        <v>49</v>
      </c>
    </row>
    <row r="991" spans="2:27" ht="16" x14ac:dyDescent="0.2">
      <c r="B991" t="s">
        <v>35</v>
      </c>
      <c r="C991">
        <v>40357313</v>
      </c>
      <c r="D991" t="s">
        <v>389</v>
      </c>
      <c r="E991">
        <v>1022856</v>
      </c>
      <c r="F991" t="s">
        <v>446</v>
      </c>
      <c r="G991" s="9">
        <v>44985</v>
      </c>
      <c r="H991" s="7">
        <v>23573</v>
      </c>
      <c r="I991" s="7"/>
      <c r="J991" s="7"/>
      <c r="K991" s="7"/>
      <c r="L991" s="10">
        <v>5.5741092456127026</v>
      </c>
      <c r="M991" s="9">
        <v>44990</v>
      </c>
      <c r="N991" s="10">
        <v>5.5</v>
      </c>
      <c r="O991" s="9">
        <v>44995</v>
      </c>
      <c r="P991">
        <v>18</v>
      </c>
      <c r="Q991" s="11" t="s">
        <v>49</v>
      </c>
      <c r="R991" s="7">
        <v>23573</v>
      </c>
      <c r="S991" s="7"/>
      <c r="T991" s="7"/>
      <c r="U991" s="7"/>
      <c r="V991" s="10">
        <v>7.5741092456127026</v>
      </c>
      <c r="W991" s="9">
        <v>44992</v>
      </c>
      <c r="X991" s="10">
        <v>7.5</v>
      </c>
      <c r="Y991" s="9">
        <v>44995</v>
      </c>
      <c r="Z991">
        <v>18</v>
      </c>
      <c r="AA991" s="11" t="s">
        <v>49</v>
      </c>
    </row>
    <row r="992" spans="2:27" ht="16" x14ac:dyDescent="0.2">
      <c r="B992" t="s">
        <v>35</v>
      </c>
      <c r="C992">
        <v>40357311</v>
      </c>
      <c r="D992" t="s">
        <v>389</v>
      </c>
      <c r="E992">
        <v>1022381</v>
      </c>
      <c r="F992" t="s">
        <v>447</v>
      </c>
      <c r="G992" s="9">
        <v>44976</v>
      </c>
      <c r="H992" s="7">
        <v>23900</v>
      </c>
      <c r="I992" s="7"/>
      <c r="J992" s="7"/>
      <c r="K992" s="7"/>
      <c r="L992" s="10">
        <v>5.5741092456127026</v>
      </c>
      <c r="M992" s="9">
        <v>44981</v>
      </c>
      <c r="N992" s="10">
        <v>5.5</v>
      </c>
      <c r="O992" s="9">
        <v>44986</v>
      </c>
      <c r="P992">
        <v>26</v>
      </c>
      <c r="Q992" s="11" t="s">
        <v>49</v>
      </c>
      <c r="R992" s="7">
        <v>23900</v>
      </c>
      <c r="S992" s="7"/>
      <c r="T992" s="7"/>
      <c r="U992" s="7"/>
      <c r="V992" s="10">
        <v>7.5741092456127026</v>
      </c>
      <c r="W992" s="9">
        <v>44983</v>
      </c>
      <c r="X992" s="10">
        <v>7.5</v>
      </c>
      <c r="Y992" s="9">
        <v>44986</v>
      </c>
      <c r="Z992">
        <v>26</v>
      </c>
      <c r="AA992" s="11" t="s">
        <v>49</v>
      </c>
    </row>
    <row r="993" spans="2:27" ht="16" x14ac:dyDescent="0.2">
      <c r="B993" t="s">
        <v>35</v>
      </c>
      <c r="C993">
        <v>40357308</v>
      </c>
      <c r="D993" t="s">
        <v>389</v>
      </c>
      <c r="E993">
        <v>1022379</v>
      </c>
      <c r="F993" t="s">
        <v>306</v>
      </c>
      <c r="G993" s="9">
        <v>44980</v>
      </c>
      <c r="H993" s="7">
        <v>2008.86</v>
      </c>
      <c r="I993" s="7"/>
      <c r="J993" s="7"/>
      <c r="K993" s="7"/>
      <c r="L993" s="10">
        <v>5.5741092456127026</v>
      </c>
      <c r="M993" s="9">
        <v>44985</v>
      </c>
      <c r="N993" s="10">
        <v>5.5</v>
      </c>
      <c r="O993" s="9">
        <v>44990</v>
      </c>
      <c r="P993">
        <v>23</v>
      </c>
      <c r="Q993" s="11" t="s">
        <v>49</v>
      </c>
      <c r="R993" s="7">
        <v>2008.86</v>
      </c>
      <c r="S993" s="7"/>
      <c r="T993" s="7"/>
      <c r="U993" s="7"/>
      <c r="V993" s="10">
        <v>7.5741092456127026</v>
      </c>
      <c r="W993" s="9">
        <v>44987</v>
      </c>
      <c r="X993" s="10">
        <v>7.5</v>
      </c>
      <c r="Y993" s="9">
        <v>44990</v>
      </c>
      <c r="Z993">
        <v>23</v>
      </c>
      <c r="AA993" s="11" t="s">
        <v>49</v>
      </c>
    </row>
    <row r="994" spans="2:27" ht="16" x14ac:dyDescent="0.2">
      <c r="B994" t="s">
        <v>35</v>
      </c>
      <c r="C994">
        <v>40357308</v>
      </c>
      <c r="D994" t="s">
        <v>389</v>
      </c>
      <c r="E994">
        <v>1022379</v>
      </c>
      <c r="F994" t="s">
        <v>306</v>
      </c>
      <c r="G994" s="9">
        <v>44980</v>
      </c>
      <c r="H994" s="7">
        <v>23354.31</v>
      </c>
      <c r="I994" s="7"/>
      <c r="J994" s="7"/>
      <c r="K994" s="7"/>
      <c r="L994" s="10">
        <v>5.5741092456127026</v>
      </c>
      <c r="M994" s="9">
        <v>44985</v>
      </c>
      <c r="N994" s="10">
        <v>5.5</v>
      </c>
      <c r="O994" s="9">
        <v>44990</v>
      </c>
      <c r="P994">
        <v>23</v>
      </c>
      <c r="Q994" s="11" t="s">
        <v>49</v>
      </c>
      <c r="R994" s="7">
        <v>23354.31</v>
      </c>
      <c r="S994" s="7"/>
      <c r="T994" s="7"/>
      <c r="U994" s="7"/>
      <c r="V994" s="10">
        <v>7.5741092456127026</v>
      </c>
      <c r="W994" s="9">
        <v>44987</v>
      </c>
      <c r="X994" s="10">
        <v>7.5</v>
      </c>
      <c r="Y994" s="9">
        <v>44990</v>
      </c>
      <c r="Z994">
        <v>23</v>
      </c>
      <c r="AA994" s="11" t="s">
        <v>49</v>
      </c>
    </row>
    <row r="995" spans="2:27" ht="16" x14ac:dyDescent="0.2">
      <c r="B995" t="s">
        <v>35</v>
      </c>
      <c r="C995">
        <v>40357293</v>
      </c>
      <c r="D995" t="s">
        <v>389</v>
      </c>
      <c r="E995">
        <v>1021767</v>
      </c>
      <c r="F995" t="s">
        <v>288</v>
      </c>
      <c r="G995" s="9">
        <v>44990</v>
      </c>
      <c r="H995" s="7">
        <v>24174</v>
      </c>
      <c r="I995" s="7"/>
      <c r="J995" s="7"/>
      <c r="K995" s="7"/>
      <c r="L995" s="10">
        <v>5.5741092456127026</v>
      </c>
      <c r="M995" s="9">
        <v>44995</v>
      </c>
      <c r="N995" s="10">
        <v>5.5</v>
      </c>
      <c r="O995" s="9">
        <v>45000</v>
      </c>
      <c r="P995">
        <v>14</v>
      </c>
      <c r="Q995" s="11" t="s">
        <v>49</v>
      </c>
      <c r="R995" s="7">
        <v>24174</v>
      </c>
      <c r="S995" s="7"/>
      <c r="T995" s="7"/>
      <c r="U995" s="7"/>
      <c r="V995" s="10">
        <v>7.5741092456127026</v>
      </c>
      <c r="W995" s="9">
        <v>44997</v>
      </c>
      <c r="X995" s="10">
        <v>7.5</v>
      </c>
      <c r="Y995" s="9">
        <v>45000</v>
      </c>
      <c r="Z995">
        <v>14</v>
      </c>
      <c r="AA995" s="11" t="s">
        <v>49</v>
      </c>
    </row>
    <row r="996" spans="2:27" ht="16" x14ac:dyDescent="0.2">
      <c r="B996" t="s">
        <v>35</v>
      </c>
      <c r="C996">
        <v>40357292</v>
      </c>
      <c r="D996" t="s">
        <v>389</v>
      </c>
      <c r="E996">
        <v>1021767</v>
      </c>
      <c r="F996" t="s">
        <v>288</v>
      </c>
      <c r="G996" s="9">
        <v>44990</v>
      </c>
      <c r="H996" s="7">
        <v>24264</v>
      </c>
      <c r="I996" s="7"/>
      <c r="J996" s="7"/>
      <c r="K996" s="7"/>
      <c r="L996" s="10">
        <v>5.5741092456127026</v>
      </c>
      <c r="M996" s="9">
        <v>44995</v>
      </c>
      <c r="N996" s="10">
        <v>5.5</v>
      </c>
      <c r="O996" s="9">
        <v>45000</v>
      </c>
      <c r="P996">
        <v>14</v>
      </c>
      <c r="Q996" s="11" t="s">
        <v>49</v>
      </c>
      <c r="R996" s="7">
        <v>24264</v>
      </c>
      <c r="S996" s="7"/>
      <c r="T996" s="7"/>
      <c r="U996" s="7"/>
      <c r="V996" s="10">
        <v>7.5741092456127026</v>
      </c>
      <c r="W996" s="9">
        <v>44997</v>
      </c>
      <c r="X996" s="10">
        <v>7.5</v>
      </c>
      <c r="Y996" s="9">
        <v>45000</v>
      </c>
      <c r="Z996">
        <v>14</v>
      </c>
      <c r="AA996" s="11" t="s">
        <v>49</v>
      </c>
    </row>
    <row r="997" spans="2:27" ht="16" x14ac:dyDescent="0.2">
      <c r="B997" t="s">
        <v>35</v>
      </c>
      <c r="C997">
        <v>40357291</v>
      </c>
      <c r="D997" t="s">
        <v>389</v>
      </c>
      <c r="E997">
        <v>1021767</v>
      </c>
      <c r="F997" t="s">
        <v>288</v>
      </c>
      <c r="G997" s="9">
        <v>44990</v>
      </c>
      <c r="H997" s="7">
        <v>24444</v>
      </c>
      <c r="I997" s="7"/>
      <c r="J997" s="7"/>
      <c r="K997" s="7"/>
      <c r="L997" s="10">
        <v>5.5741092456127026</v>
      </c>
      <c r="M997" s="9">
        <v>44995</v>
      </c>
      <c r="N997" s="10">
        <v>5.5</v>
      </c>
      <c r="O997" s="9">
        <v>45000</v>
      </c>
      <c r="P997">
        <v>14</v>
      </c>
      <c r="Q997" s="11" t="s">
        <v>49</v>
      </c>
      <c r="R997" s="7">
        <v>24444</v>
      </c>
      <c r="S997" s="7"/>
      <c r="T997" s="7"/>
      <c r="U997" s="7"/>
      <c r="V997" s="10">
        <v>7.5741092456127026</v>
      </c>
      <c r="W997" s="9">
        <v>44997</v>
      </c>
      <c r="X997" s="10">
        <v>7.5</v>
      </c>
      <c r="Y997" s="9">
        <v>45000</v>
      </c>
      <c r="Z997">
        <v>14</v>
      </c>
      <c r="AA997" s="11" t="s">
        <v>49</v>
      </c>
    </row>
    <row r="998" spans="2:27" ht="16" x14ac:dyDescent="0.2">
      <c r="B998" t="s">
        <v>35</v>
      </c>
      <c r="C998">
        <v>40357290</v>
      </c>
      <c r="D998" t="s">
        <v>389</v>
      </c>
      <c r="E998">
        <v>1021767</v>
      </c>
      <c r="F998" t="s">
        <v>288</v>
      </c>
      <c r="G998" s="9">
        <v>44990</v>
      </c>
      <c r="H998" s="7">
        <v>25002</v>
      </c>
      <c r="I998" s="7"/>
      <c r="J998" s="7"/>
      <c r="K998" s="7"/>
      <c r="L998" s="10">
        <v>5.5741092456127026</v>
      </c>
      <c r="M998" s="9">
        <v>44995</v>
      </c>
      <c r="N998" s="10">
        <v>5.5</v>
      </c>
      <c r="O998" s="9">
        <v>45000</v>
      </c>
      <c r="P998">
        <v>14</v>
      </c>
      <c r="Q998" s="11" t="s">
        <v>49</v>
      </c>
      <c r="R998" s="7">
        <v>25002</v>
      </c>
      <c r="S998" s="7"/>
      <c r="T998" s="7"/>
      <c r="U998" s="7"/>
      <c r="V998" s="10">
        <v>7.5741092456127026</v>
      </c>
      <c r="W998" s="9">
        <v>44997</v>
      </c>
      <c r="X998" s="10">
        <v>7.5</v>
      </c>
      <c r="Y998" s="9">
        <v>45000</v>
      </c>
      <c r="Z998">
        <v>14</v>
      </c>
      <c r="AA998" s="11" t="s">
        <v>49</v>
      </c>
    </row>
    <row r="999" spans="2:27" ht="16" x14ac:dyDescent="0.2">
      <c r="B999" t="s">
        <v>35</v>
      </c>
      <c r="C999">
        <v>40357289</v>
      </c>
      <c r="D999" t="s">
        <v>389</v>
      </c>
      <c r="E999">
        <v>1021767</v>
      </c>
      <c r="F999" t="s">
        <v>288</v>
      </c>
      <c r="G999" s="9">
        <v>44990</v>
      </c>
      <c r="H999" s="7">
        <v>24156</v>
      </c>
      <c r="I999" s="7"/>
      <c r="J999" s="7"/>
      <c r="K999" s="7"/>
      <c r="L999" s="10">
        <v>5.5741092456127026</v>
      </c>
      <c r="M999" s="9">
        <v>44995</v>
      </c>
      <c r="N999" s="10">
        <v>5.5</v>
      </c>
      <c r="O999" s="9">
        <v>45000</v>
      </c>
      <c r="P999">
        <v>14</v>
      </c>
      <c r="Q999" s="11" t="s">
        <v>49</v>
      </c>
      <c r="R999" s="7">
        <v>24156</v>
      </c>
      <c r="S999" s="7"/>
      <c r="T999" s="7"/>
      <c r="U999" s="7"/>
      <c r="V999" s="10">
        <v>7.5741092456127026</v>
      </c>
      <c r="W999" s="9">
        <v>44997</v>
      </c>
      <c r="X999" s="10">
        <v>7.5</v>
      </c>
      <c r="Y999" s="9">
        <v>45000</v>
      </c>
      <c r="Z999">
        <v>14</v>
      </c>
      <c r="AA999" s="11" t="s">
        <v>49</v>
      </c>
    </row>
    <row r="1000" spans="2:27" ht="16" x14ac:dyDescent="0.2">
      <c r="B1000" t="s">
        <v>35</v>
      </c>
      <c r="C1000">
        <v>40357273</v>
      </c>
      <c r="D1000" t="s">
        <v>389</v>
      </c>
      <c r="E1000">
        <v>1012503</v>
      </c>
      <c r="F1000" t="s">
        <v>448</v>
      </c>
      <c r="G1000" s="9">
        <v>44983</v>
      </c>
      <c r="H1000" s="7">
        <v>24000</v>
      </c>
      <c r="I1000" s="7"/>
      <c r="J1000" s="7"/>
      <c r="K1000" s="7"/>
      <c r="L1000" s="10">
        <v>5.5741092456127026</v>
      </c>
      <c r="M1000" s="9">
        <v>44988</v>
      </c>
      <c r="N1000" s="10">
        <v>5.5</v>
      </c>
      <c r="O1000" s="9">
        <v>44993</v>
      </c>
      <c r="P1000">
        <v>20</v>
      </c>
      <c r="Q1000" s="11" t="s">
        <v>49</v>
      </c>
      <c r="R1000" s="7">
        <v>24000</v>
      </c>
      <c r="S1000" s="7"/>
      <c r="T1000" s="7"/>
      <c r="U1000" s="7"/>
      <c r="V1000" s="10">
        <v>7.5741092456127026</v>
      </c>
      <c r="W1000" s="9">
        <v>44990</v>
      </c>
      <c r="X1000" s="10">
        <v>7.5</v>
      </c>
      <c r="Y1000" s="9">
        <v>44993</v>
      </c>
      <c r="Z1000">
        <v>20</v>
      </c>
      <c r="AA1000" s="11" t="s">
        <v>49</v>
      </c>
    </row>
    <row r="1001" spans="2:27" ht="16" x14ac:dyDescent="0.2">
      <c r="B1001" t="s">
        <v>35</v>
      </c>
      <c r="C1001">
        <v>40357272</v>
      </c>
      <c r="D1001" t="s">
        <v>389</v>
      </c>
      <c r="E1001">
        <v>1012503</v>
      </c>
      <c r="F1001" t="s">
        <v>448</v>
      </c>
      <c r="G1001" s="9">
        <v>44977</v>
      </c>
      <c r="H1001" s="7">
        <v>9520</v>
      </c>
      <c r="I1001" s="7"/>
      <c r="J1001" s="7"/>
      <c r="K1001" s="7"/>
      <c r="L1001" s="10">
        <v>5.5741092456127026</v>
      </c>
      <c r="M1001" s="9">
        <v>44982</v>
      </c>
      <c r="N1001" s="10">
        <v>5.5</v>
      </c>
      <c r="O1001" s="9">
        <v>44987</v>
      </c>
      <c r="P1001">
        <v>25</v>
      </c>
      <c r="Q1001" s="11" t="s">
        <v>49</v>
      </c>
      <c r="R1001" s="7">
        <v>9520</v>
      </c>
      <c r="S1001" s="7"/>
      <c r="T1001" s="7"/>
      <c r="U1001" s="7"/>
      <c r="V1001" s="10">
        <v>7.5741092456127026</v>
      </c>
      <c r="W1001" s="9">
        <v>44984</v>
      </c>
      <c r="X1001" s="10">
        <v>7.5</v>
      </c>
      <c r="Y1001" s="9">
        <v>44987</v>
      </c>
      <c r="Z1001">
        <v>25</v>
      </c>
      <c r="AA1001" s="11" t="s">
        <v>49</v>
      </c>
    </row>
    <row r="1002" spans="2:27" ht="16" x14ac:dyDescent="0.2">
      <c r="B1002" t="s">
        <v>35</v>
      </c>
      <c r="C1002">
        <v>40357272</v>
      </c>
      <c r="D1002" t="s">
        <v>389</v>
      </c>
      <c r="E1002">
        <v>1012503</v>
      </c>
      <c r="F1002" t="s">
        <v>448</v>
      </c>
      <c r="G1002" s="9">
        <v>44977</v>
      </c>
      <c r="H1002" s="7">
        <v>24000</v>
      </c>
      <c r="I1002" s="7"/>
      <c r="J1002" s="7"/>
      <c r="K1002" s="7"/>
      <c r="L1002" s="10">
        <v>5.5741092456127026</v>
      </c>
      <c r="M1002" s="9">
        <v>44982</v>
      </c>
      <c r="N1002" s="10">
        <v>5.5</v>
      </c>
      <c r="O1002" s="9">
        <v>44987</v>
      </c>
      <c r="P1002">
        <v>25</v>
      </c>
      <c r="Q1002" s="11" t="s">
        <v>49</v>
      </c>
      <c r="R1002" s="7">
        <v>24000</v>
      </c>
      <c r="S1002" s="7"/>
      <c r="T1002" s="7"/>
      <c r="U1002" s="7"/>
      <c r="V1002" s="10">
        <v>7.5741092456127026</v>
      </c>
      <c r="W1002" s="9">
        <v>44984</v>
      </c>
      <c r="X1002" s="10">
        <v>7.5</v>
      </c>
      <c r="Y1002" s="9">
        <v>44987</v>
      </c>
      <c r="Z1002">
        <v>25</v>
      </c>
      <c r="AA1002" s="11" t="s">
        <v>49</v>
      </c>
    </row>
    <row r="1003" spans="2:27" ht="16" x14ac:dyDescent="0.2">
      <c r="B1003" t="s">
        <v>35</v>
      </c>
      <c r="C1003">
        <v>40357271</v>
      </c>
      <c r="D1003" t="s">
        <v>389</v>
      </c>
      <c r="E1003">
        <v>1012503</v>
      </c>
      <c r="F1003" t="s">
        <v>448</v>
      </c>
      <c r="G1003" s="9">
        <v>44977</v>
      </c>
      <c r="H1003" s="7">
        <v>24000</v>
      </c>
      <c r="I1003" s="7"/>
      <c r="J1003" s="7"/>
      <c r="K1003" s="7"/>
      <c r="L1003" s="10">
        <v>5.5741092456127026</v>
      </c>
      <c r="M1003" s="9">
        <v>44982</v>
      </c>
      <c r="N1003" s="10">
        <v>5.5</v>
      </c>
      <c r="O1003" s="9">
        <v>44987</v>
      </c>
      <c r="P1003">
        <v>25</v>
      </c>
      <c r="Q1003" s="11" t="s">
        <v>49</v>
      </c>
      <c r="R1003" s="7">
        <v>24000</v>
      </c>
      <c r="S1003" s="7"/>
      <c r="T1003" s="7"/>
      <c r="U1003" s="7"/>
      <c r="V1003" s="10">
        <v>7.5741092456127026</v>
      </c>
      <c r="W1003" s="9">
        <v>44984</v>
      </c>
      <c r="X1003" s="10">
        <v>7.5</v>
      </c>
      <c r="Y1003" s="9">
        <v>44987</v>
      </c>
      <c r="Z1003">
        <v>25</v>
      </c>
      <c r="AA1003" s="11" t="s">
        <v>49</v>
      </c>
    </row>
    <row r="1004" spans="2:27" ht="16" x14ac:dyDescent="0.2">
      <c r="B1004" t="s">
        <v>35</v>
      </c>
      <c r="C1004">
        <v>40357270</v>
      </c>
      <c r="D1004" t="s">
        <v>389</v>
      </c>
      <c r="E1004">
        <v>1012503</v>
      </c>
      <c r="F1004" t="s">
        <v>448</v>
      </c>
      <c r="G1004" s="9">
        <v>44976</v>
      </c>
      <c r="H1004" s="7">
        <v>24000</v>
      </c>
      <c r="I1004" s="7"/>
      <c r="J1004" s="7"/>
      <c r="K1004" s="7"/>
      <c r="L1004" s="10">
        <v>5.5741092456127026</v>
      </c>
      <c r="M1004" s="9">
        <v>44981</v>
      </c>
      <c r="N1004" s="10">
        <v>5.5</v>
      </c>
      <c r="O1004" s="9">
        <v>44986</v>
      </c>
      <c r="P1004">
        <v>26</v>
      </c>
      <c r="Q1004" s="11" t="s">
        <v>49</v>
      </c>
      <c r="R1004" s="7">
        <v>24000</v>
      </c>
      <c r="S1004" s="7"/>
      <c r="T1004" s="7"/>
      <c r="U1004" s="7"/>
      <c r="V1004" s="10">
        <v>7.5741092456127026</v>
      </c>
      <c r="W1004" s="9">
        <v>44983</v>
      </c>
      <c r="X1004" s="10">
        <v>7.5</v>
      </c>
      <c r="Y1004" s="9">
        <v>44986</v>
      </c>
      <c r="Z1004">
        <v>26</v>
      </c>
      <c r="AA1004" s="11" t="s">
        <v>49</v>
      </c>
    </row>
    <row r="1005" spans="2:27" ht="16" x14ac:dyDescent="0.2">
      <c r="B1005" t="s">
        <v>35</v>
      </c>
      <c r="C1005">
        <v>40357269</v>
      </c>
      <c r="D1005" t="s">
        <v>389</v>
      </c>
      <c r="E1005">
        <v>1012503</v>
      </c>
      <c r="F1005" t="s">
        <v>448</v>
      </c>
      <c r="G1005" s="9">
        <v>44977</v>
      </c>
      <c r="H1005" s="7">
        <v>24000</v>
      </c>
      <c r="I1005" s="7"/>
      <c r="J1005" s="7"/>
      <c r="K1005" s="7"/>
      <c r="L1005" s="10">
        <v>5.5741092456127026</v>
      </c>
      <c r="M1005" s="9">
        <v>44982</v>
      </c>
      <c r="N1005" s="10">
        <v>5.5</v>
      </c>
      <c r="O1005" s="9">
        <v>44987</v>
      </c>
      <c r="P1005">
        <v>25</v>
      </c>
      <c r="Q1005" s="11" t="s">
        <v>49</v>
      </c>
      <c r="R1005" s="7">
        <v>24000</v>
      </c>
      <c r="S1005" s="7"/>
      <c r="T1005" s="7"/>
      <c r="U1005" s="7"/>
      <c r="V1005" s="10">
        <v>7.5741092456127026</v>
      </c>
      <c r="W1005" s="9">
        <v>44984</v>
      </c>
      <c r="X1005" s="10">
        <v>7.5</v>
      </c>
      <c r="Y1005" s="9">
        <v>44987</v>
      </c>
      <c r="Z1005">
        <v>25</v>
      </c>
      <c r="AA1005" s="11" t="s">
        <v>49</v>
      </c>
    </row>
    <row r="1006" spans="2:27" ht="16" x14ac:dyDescent="0.2">
      <c r="B1006" t="s">
        <v>35</v>
      </c>
      <c r="C1006">
        <v>40357268</v>
      </c>
      <c r="D1006" t="s">
        <v>389</v>
      </c>
      <c r="E1006">
        <v>1012503</v>
      </c>
      <c r="F1006" t="s">
        <v>448</v>
      </c>
      <c r="G1006" s="9">
        <v>44971</v>
      </c>
      <c r="H1006" s="7"/>
      <c r="I1006" s="7"/>
      <c r="J1006" s="7"/>
      <c r="K1006" s="7"/>
      <c r="L1006" s="10">
        <v>5.5741092456127026</v>
      </c>
      <c r="M1006" s="9">
        <v>44976</v>
      </c>
      <c r="N1006" s="10">
        <v>5.5</v>
      </c>
      <c r="O1006" s="9">
        <v>44981</v>
      </c>
      <c r="P1006">
        <v>3</v>
      </c>
      <c r="Q1006" s="11" t="s">
        <v>49</v>
      </c>
      <c r="R1006" s="7"/>
      <c r="S1006" s="7"/>
      <c r="T1006" s="7"/>
      <c r="U1006" s="7"/>
      <c r="V1006" s="10">
        <v>7.5741092456127026</v>
      </c>
      <c r="W1006" s="9">
        <v>44978</v>
      </c>
      <c r="X1006" s="10">
        <v>7.5</v>
      </c>
      <c r="Y1006" s="9">
        <v>44981</v>
      </c>
      <c r="Z1006">
        <v>3</v>
      </c>
      <c r="AA1006" s="11" t="s">
        <v>49</v>
      </c>
    </row>
    <row r="1007" spans="2:27" ht="16" x14ac:dyDescent="0.2">
      <c r="B1007" t="s">
        <v>35</v>
      </c>
      <c r="C1007">
        <v>40357266</v>
      </c>
      <c r="D1007" t="s">
        <v>389</v>
      </c>
      <c r="E1007">
        <v>1012681</v>
      </c>
      <c r="F1007" t="s">
        <v>449</v>
      </c>
      <c r="G1007" s="9">
        <v>44989</v>
      </c>
      <c r="H1007" s="7">
        <v>24000</v>
      </c>
      <c r="I1007" s="7"/>
      <c r="J1007" s="7"/>
      <c r="K1007" s="7"/>
      <c r="L1007" s="10">
        <v>5.5741092456127026</v>
      </c>
      <c r="M1007" s="9">
        <v>44994</v>
      </c>
      <c r="N1007" s="10">
        <v>5.5</v>
      </c>
      <c r="O1007" s="9">
        <v>44999</v>
      </c>
      <c r="P1007">
        <v>15</v>
      </c>
      <c r="Q1007" s="11" t="s">
        <v>49</v>
      </c>
      <c r="R1007" s="7">
        <v>24000</v>
      </c>
      <c r="S1007" s="7"/>
      <c r="T1007" s="7"/>
      <c r="U1007" s="7"/>
      <c r="V1007" s="10">
        <v>7.5741092456127026</v>
      </c>
      <c r="W1007" s="9">
        <v>44996</v>
      </c>
      <c r="X1007" s="10">
        <v>7.5</v>
      </c>
      <c r="Y1007" s="9">
        <v>44999</v>
      </c>
      <c r="Z1007">
        <v>15</v>
      </c>
      <c r="AA1007" s="11" t="s">
        <v>49</v>
      </c>
    </row>
    <row r="1008" spans="2:27" ht="16" x14ac:dyDescent="0.2">
      <c r="B1008" t="s">
        <v>35</v>
      </c>
      <c r="C1008">
        <v>40357265</v>
      </c>
      <c r="D1008" t="s">
        <v>389</v>
      </c>
      <c r="E1008">
        <v>1012681</v>
      </c>
      <c r="F1008" t="s">
        <v>449</v>
      </c>
      <c r="G1008" s="9">
        <v>44973</v>
      </c>
      <c r="H1008" s="7"/>
      <c r="I1008" s="7"/>
      <c r="J1008" s="7"/>
      <c r="K1008" s="7"/>
      <c r="L1008" s="10">
        <v>5.5741092456127026</v>
      </c>
      <c r="M1008" s="9">
        <v>44978</v>
      </c>
      <c r="N1008" s="10">
        <v>5.5</v>
      </c>
      <c r="O1008" s="9">
        <v>44983</v>
      </c>
      <c r="P1008">
        <v>2</v>
      </c>
      <c r="Q1008" s="11" t="s">
        <v>594</v>
      </c>
      <c r="R1008" s="7"/>
      <c r="S1008" s="7"/>
      <c r="T1008" s="7"/>
      <c r="U1008" s="7"/>
      <c r="V1008" s="10">
        <v>7.5741092456127026</v>
      </c>
      <c r="W1008" s="9">
        <v>44980</v>
      </c>
      <c r="X1008" s="10">
        <v>7.5</v>
      </c>
      <c r="Y1008" s="9">
        <v>44983</v>
      </c>
      <c r="Z1008">
        <v>2</v>
      </c>
      <c r="AA1008" s="11" t="s">
        <v>594</v>
      </c>
    </row>
    <row r="1009" spans="2:27" ht="16" x14ac:dyDescent="0.2">
      <c r="B1009" t="s">
        <v>35</v>
      </c>
      <c r="C1009">
        <v>40357264</v>
      </c>
      <c r="D1009" t="s">
        <v>389</v>
      </c>
      <c r="E1009">
        <v>1012434</v>
      </c>
      <c r="F1009" t="s">
        <v>239</v>
      </c>
      <c r="G1009" s="9">
        <v>44989</v>
      </c>
      <c r="H1009" s="7">
        <v>24000</v>
      </c>
      <c r="I1009" s="7"/>
      <c r="J1009" s="7"/>
      <c r="K1009" s="7"/>
      <c r="L1009" s="10">
        <v>5.5741092456127026</v>
      </c>
      <c r="M1009" s="9">
        <v>44994</v>
      </c>
      <c r="N1009" s="10">
        <v>5.5</v>
      </c>
      <c r="O1009" s="9">
        <v>44999</v>
      </c>
      <c r="P1009">
        <v>15</v>
      </c>
      <c r="Q1009" s="11" t="s">
        <v>49</v>
      </c>
      <c r="R1009" s="7">
        <v>24000</v>
      </c>
      <c r="S1009" s="7"/>
      <c r="T1009" s="7"/>
      <c r="U1009" s="7"/>
      <c r="V1009" s="10">
        <v>7.5741092456127026</v>
      </c>
      <c r="W1009" s="9">
        <v>44996</v>
      </c>
      <c r="X1009" s="10">
        <v>7.5</v>
      </c>
      <c r="Y1009" s="9">
        <v>44999</v>
      </c>
      <c r="Z1009">
        <v>15</v>
      </c>
      <c r="AA1009" s="11" t="s">
        <v>49</v>
      </c>
    </row>
    <row r="1010" spans="2:27" ht="16" x14ac:dyDescent="0.2">
      <c r="B1010" t="s">
        <v>35</v>
      </c>
      <c r="C1010">
        <v>40357263</v>
      </c>
      <c r="D1010" t="s">
        <v>389</v>
      </c>
      <c r="E1010">
        <v>1012434</v>
      </c>
      <c r="F1010" t="s">
        <v>239</v>
      </c>
      <c r="G1010" s="9">
        <v>44977</v>
      </c>
      <c r="H1010" s="7">
        <v>24000</v>
      </c>
      <c r="I1010" s="7"/>
      <c r="J1010" s="7"/>
      <c r="K1010" s="7"/>
      <c r="L1010" s="10">
        <v>5.5741092456127026</v>
      </c>
      <c r="M1010" s="9">
        <v>44982</v>
      </c>
      <c r="N1010" s="10">
        <v>5.5</v>
      </c>
      <c r="O1010" s="9">
        <v>44987</v>
      </c>
      <c r="P1010">
        <v>25</v>
      </c>
      <c r="Q1010" s="11" t="s">
        <v>49</v>
      </c>
      <c r="R1010" s="7">
        <v>24000</v>
      </c>
      <c r="S1010" s="7"/>
      <c r="T1010" s="7"/>
      <c r="U1010" s="7"/>
      <c r="V1010" s="10">
        <v>7.5741092456127026</v>
      </c>
      <c r="W1010" s="9">
        <v>44984</v>
      </c>
      <c r="X1010" s="10">
        <v>7.5</v>
      </c>
      <c r="Y1010" s="9">
        <v>44987</v>
      </c>
      <c r="Z1010">
        <v>25</v>
      </c>
      <c r="AA1010" s="11" t="s">
        <v>49</v>
      </c>
    </row>
    <row r="1011" spans="2:27" ht="16" x14ac:dyDescent="0.2">
      <c r="B1011" t="s">
        <v>35</v>
      </c>
      <c r="C1011">
        <v>40357262</v>
      </c>
      <c r="D1011" t="s">
        <v>389</v>
      </c>
      <c r="E1011">
        <v>1012434</v>
      </c>
      <c r="F1011" t="s">
        <v>239</v>
      </c>
      <c r="G1011" s="9">
        <v>44973</v>
      </c>
      <c r="H1011" s="7"/>
      <c r="I1011" s="7"/>
      <c r="J1011" s="7"/>
      <c r="K1011" s="7"/>
      <c r="L1011" s="10">
        <v>5.5741092456127026</v>
      </c>
      <c r="M1011" s="9">
        <v>44978</v>
      </c>
      <c r="N1011" s="10">
        <v>5.5</v>
      </c>
      <c r="O1011" s="9">
        <v>44983</v>
      </c>
      <c r="P1011">
        <v>2</v>
      </c>
      <c r="Q1011" s="11" t="s">
        <v>594</v>
      </c>
      <c r="R1011" s="7"/>
      <c r="S1011" s="7"/>
      <c r="T1011" s="7"/>
      <c r="U1011" s="7"/>
      <c r="V1011" s="10">
        <v>7.5741092456127026</v>
      </c>
      <c r="W1011" s="9">
        <v>44980</v>
      </c>
      <c r="X1011" s="10">
        <v>7.5</v>
      </c>
      <c r="Y1011" s="9">
        <v>44983</v>
      </c>
      <c r="Z1011">
        <v>2</v>
      </c>
      <c r="AA1011" s="11" t="s">
        <v>594</v>
      </c>
    </row>
    <row r="1012" spans="2:27" ht="16" x14ac:dyDescent="0.2">
      <c r="B1012" t="s">
        <v>35</v>
      </c>
      <c r="C1012">
        <v>40357261</v>
      </c>
      <c r="D1012" t="s">
        <v>389</v>
      </c>
      <c r="E1012">
        <v>1011969</v>
      </c>
      <c r="F1012" t="s">
        <v>417</v>
      </c>
      <c r="G1012" s="9">
        <v>44973</v>
      </c>
      <c r="H1012" s="7"/>
      <c r="I1012" s="7"/>
      <c r="J1012" s="7"/>
      <c r="K1012" s="7"/>
      <c r="L1012" s="10">
        <v>5.5741092456127026</v>
      </c>
      <c r="M1012" s="9">
        <v>44978</v>
      </c>
      <c r="N1012" s="10">
        <v>5.5</v>
      </c>
      <c r="O1012" s="9">
        <v>44983</v>
      </c>
      <c r="P1012">
        <v>2</v>
      </c>
      <c r="Q1012" s="11" t="s">
        <v>594</v>
      </c>
      <c r="R1012" s="7"/>
      <c r="S1012" s="7"/>
      <c r="T1012" s="7"/>
      <c r="U1012" s="7"/>
      <c r="V1012" s="10">
        <v>7.5741092456127026</v>
      </c>
      <c r="W1012" s="9">
        <v>44980</v>
      </c>
      <c r="X1012" s="10">
        <v>7.5</v>
      </c>
      <c r="Y1012" s="9">
        <v>44983</v>
      </c>
      <c r="Z1012">
        <v>2</v>
      </c>
      <c r="AA1012" s="11" t="s">
        <v>594</v>
      </c>
    </row>
    <row r="1013" spans="2:27" ht="16" x14ac:dyDescent="0.2">
      <c r="B1013" t="s">
        <v>35</v>
      </c>
      <c r="C1013">
        <v>40357249</v>
      </c>
      <c r="D1013" t="s">
        <v>389</v>
      </c>
      <c r="E1013">
        <v>1012452</v>
      </c>
      <c r="F1013" t="s">
        <v>419</v>
      </c>
      <c r="G1013" s="9">
        <v>44977</v>
      </c>
      <c r="H1013" s="7">
        <v>19976</v>
      </c>
      <c r="I1013" s="7"/>
      <c r="J1013" s="7"/>
      <c r="K1013" s="7"/>
      <c r="L1013" s="10">
        <v>5.5741092456127026</v>
      </c>
      <c r="M1013" s="9">
        <v>44982</v>
      </c>
      <c r="N1013" s="10">
        <v>5.5</v>
      </c>
      <c r="O1013" s="9">
        <v>44987</v>
      </c>
      <c r="P1013">
        <v>25</v>
      </c>
      <c r="Q1013" s="11" t="s">
        <v>49</v>
      </c>
      <c r="R1013" s="7">
        <v>19976</v>
      </c>
      <c r="S1013" s="7"/>
      <c r="T1013" s="7"/>
      <c r="U1013" s="7"/>
      <c r="V1013" s="10">
        <v>7.5741092456127026</v>
      </c>
      <c r="W1013" s="9">
        <v>44984</v>
      </c>
      <c r="X1013" s="10">
        <v>7.5</v>
      </c>
      <c r="Y1013" s="9">
        <v>44987</v>
      </c>
      <c r="Z1013">
        <v>25</v>
      </c>
      <c r="AA1013" s="11" t="s">
        <v>49</v>
      </c>
    </row>
    <row r="1014" spans="2:27" ht="16" x14ac:dyDescent="0.2">
      <c r="B1014" t="s">
        <v>35</v>
      </c>
      <c r="C1014">
        <v>40357245</v>
      </c>
      <c r="D1014" t="s">
        <v>389</v>
      </c>
      <c r="E1014">
        <v>1012218</v>
      </c>
      <c r="F1014" t="s">
        <v>235</v>
      </c>
      <c r="G1014" s="9">
        <v>44977</v>
      </c>
      <c r="H1014" s="7">
        <v>21000</v>
      </c>
      <c r="I1014" s="7"/>
      <c r="J1014" s="7"/>
      <c r="K1014" s="7"/>
      <c r="L1014" s="10">
        <v>5.5741092456127026</v>
      </c>
      <c r="M1014" s="9">
        <v>44982</v>
      </c>
      <c r="N1014" s="10">
        <v>5.5</v>
      </c>
      <c r="O1014" s="9">
        <v>44987</v>
      </c>
      <c r="P1014">
        <v>25</v>
      </c>
      <c r="Q1014" s="11" t="s">
        <v>49</v>
      </c>
      <c r="R1014" s="7">
        <v>21000</v>
      </c>
      <c r="S1014" s="7"/>
      <c r="T1014" s="7"/>
      <c r="U1014" s="7"/>
      <c r="V1014" s="10">
        <v>7.5741092456127026</v>
      </c>
      <c r="W1014" s="9">
        <v>44984</v>
      </c>
      <c r="X1014" s="10">
        <v>7.5</v>
      </c>
      <c r="Y1014" s="9">
        <v>44987</v>
      </c>
      <c r="Z1014">
        <v>25</v>
      </c>
      <c r="AA1014" s="11" t="s">
        <v>49</v>
      </c>
    </row>
    <row r="1015" spans="2:27" ht="16" x14ac:dyDescent="0.2">
      <c r="B1015" t="s">
        <v>35</v>
      </c>
      <c r="C1015">
        <v>40357231</v>
      </c>
      <c r="D1015" t="s">
        <v>389</v>
      </c>
      <c r="E1015">
        <v>1012455</v>
      </c>
      <c r="F1015" t="s">
        <v>450</v>
      </c>
      <c r="G1015" s="9">
        <v>44990</v>
      </c>
      <c r="H1015" s="7">
        <v>24000</v>
      </c>
      <c r="I1015" s="7"/>
      <c r="J1015" s="7"/>
      <c r="K1015" s="7"/>
      <c r="L1015" s="10">
        <v>5.5741092456127026</v>
      </c>
      <c r="M1015" s="9">
        <v>44995</v>
      </c>
      <c r="N1015" s="10">
        <v>5.5</v>
      </c>
      <c r="O1015" s="9">
        <v>45000</v>
      </c>
      <c r="P1015">
        <v>14</v>
      </c>
      <c r="Q1015" s="11" t="s">
        <v>49</v>
      </c>
      <c r="R1015" s="7">
        <v>24000</v>
      </c>
      <c r="S1015" s="7"/>
      <c r="T1015" s="7"/>
      <c r="U1015" s="7"/>
      <c r="V1015" s="10">
        <v>7.5741092456127026</v>
      </c>
      <c r="W1015" s="9">
        <v>44997</v>
      </c>
      <c r="X1015" s="10">
        <v>7.5</v>
      </c>
      <c r="Y1015" s="9">
        <v>45000</v>
      </c>
      <c r="Z1015">
        <v>14</v>
      </c>
      <c r="AA1015" s="11" t="s">
        <v>49</v>
      </c>
    </row>
    <row r="1016" spans="2:27" ht="16" x14ac:dyDescent="0.2">
      <c r="B1016" t="s">
        <v>35</v>
      </c>
      <c r="C1016">
        <v>40357230</v>
      </c>
      <c r="D1016" t="s">
        <v>389</v>
      </c>
      <c r="E1016">
        <v>1012455</v>
      </c>
      <c r="F1016" t="s">
        <v>450</v>
      </c>
      <c r="G1016" s="9">
        <v>44989</v>
      </c>
      <c r="H1016" s="7">
        <v>24000</v>
      </c>
      <c r="I1016" s="7"/>
      <c r="J1016" s="7"/>
      <c r="K1016" s="7"/>
      <c r="L1016" s="10">
        <v>5.5741092456127026</v>
      </c>
      <c r="M1016" s="9">
        <v>44994</v>
      </c>
      <c r="N1016" s="10">
        <v>5.5</v>
      </c>
      <c r="O1016" s="9">
        <v>44999</v>
      </c>
      <c r="P1016">
        <v>15</v>
      </c>
      <c r="Q1016" s="11" t="s">
        <v>49</v>
      </c>
      <c r="R1016" s="7">
        <v>24000</v>
      </c>
      <c r="S1016" s="7"/>
      <c r="T1016" s="7"/>
      <c r="U1016" s="7"/>
      <c r="V1016" s="10">
        <v>7.5741092456127026</v>
      </c>
      <c r="W1016" s="9">
        <v>44996</v>
      </c>
      <c r="X1016" s="10">
        <v>7.5</v>
      </c>
      <c r="Y1016" s="9">
        <v>44999</v>
      </c>
      <c r="Z1016">
        <v>15</v>
      </c>
      <c r="AA1016" s="11" t="s">
        <v>49</v>
      </c>
    </row>
    <row r="1017" spans="2:27" ht="16" x14ac:dyDescent="0.2">
      <c r="B1017" t="s">
        <v>35</v>
      </c>
      <c r="C1017">
        <v>40357229</v>
      </c>
      <c r="D1017" t="s">
        <v>389</v>
      </c>
      <c r="E1017">
        <v>1012455</v>
      </c>
      <c r="F1017" t="s">
        <v>450</v>
      </c>
      <c r="G1017" s="9">
        <v>44987</v>
      </c>
      <c r="H1017" s="7">
        <v>11780</v>
      </c>
      <c r="I1017" s="7"/>
      <c r="J1017" s="7"/>
      <c r="K1017" s="7"/>
      <c r="L1017" s="10">
        <v>5.5741092456127026</v>
      </c>
      <c r="M1017" s="9">
        <v>44992</v>
      </c>
      <c r="N1017" s="10">
        <v>5.5</v>
      </c>
      <c r="O1017" s="9">
        <v>44997</v>
      </c>
      <c r="P1017">
        <v>17</v>
      </c>
      <c r="Q1017" s="11" t="s">
        <v>49</v>
      </c>
      <c r="R1017" s="7">
        <v>11780</v>
      </c>
      <c r="S1017" s="7"/>
      <c r="T1017" s="7"/>
      <c r="U1017" s="7"/>
      <c r="V1017" s="10">
        <v>7.5741092456127026</v>
      </c>
      <c r="W1017" s="9">
        <v>44994</v>
      </c>
      <c r="X1017" s="10">
        <v>7.5</v>
      </c>
      <c r="Y1017" s="9">
        <v>44997</v>
      </c>
      <c r="Z1017">
        <v>17</v>
      </c>
      <c r="AA1017" s="11" t="s">
        <v>49</v>
      </c>
    </row>
    <row r="1018" spans="2:27" ht="16" x14ac:dyDescent="0.2">
      <c r="B1018" t="s">
        <v>35</v>
      </c>
      <c r="C1018">
        <v>40357229</v>
      </c>
      <c r="D1018" t="s">
        <v>389</v>
      </c>
      <c r="E1018">
        <v>1012455</v>
      </c>
      <c r="F1018" t="s">
        <v>450</v>
      </c>
      <c r="G1018" s="9">
        <v>44987</v>
      </c>
      <c r="H1018" s="7">
        <v>23780</v>
      </c>
      <c r="I1018" s="7"/>
      <c r="J1018" s="7"/>
      <c r="K1018" s="7"/>
      <c r="L1018" s="10">
        <v>5.5741092456127026</v>
      </c>
      <c r="M1018" s="9">
        <v>44992</v>
      </c>
      <c r="N1018" s="10">
        <v>5.5</v>
      </c>
      <c r="O1018" s="9">
        <v>44997</v>
      </c>
      <c r="P1018">
        <v>17</v>
      </c>
      <c r="Q1018" s="11" t="s">
        <v>49</v>
      </c>
      <c r="R1018" s="7">
        <v>23780</v>
      </c>
      <c r="S1018" s="7"/>
      <c r="T1018" s="7"/>
      <c r="U1018" s="7"/>
      <c r="V1018" s="10">
        <v>7.5741092456127026</v>
      </c>
      <c r="W1018" s="9">
        <v>44994</v>
      </c>
      <c r="X1018" s="10">
        <v>7.5</v>
      </c>
      <c r="Y1018" s="9">
        <v>44997</v>
      </c>
      <c r="Z1018">
        <v>17</v>
      </c>
      <c r="AA1018" s="11" t="s">
        <v>49</v>
      </c>
    </row>
    <row r="1019" spans="2:27" ht="16" x14ac:dyDescent="0.2">
      <c r="B1019" t="s">
        <v>35</v>
      </c>
      <c r="C1019">
        <v>40357227</v>
      </c>
      <c r="D1019" t="s">
        <v>389</v>
      </c>
      <c r="E1019">
        <v>1012455</v>
      </c>
      <c r="F1019" t="s">
        <v>450</v>
      </c>
      <c r="G1019" s="9">
        <v>44975</v>
      </c>
      <c r="H1019" s="7"/>
      <c r="I1019" s="7"/>
      <c r="J1019" s="7"/>
      <c r="K1019" s="7"/>
      <c r="L1019" s="10">
        <v>5.5741092456127026</v>
      </c>
      <c r="M1019" s="9">
        <v>44980</v>
      </c>
      <c r="N1019" s="10">
        <v>5.5</v>
      </c>
      <c r="O1019" s="9">
        <v>44985</v>
      </c>
      <c r="P1019">
        <v>0</v>
      </c>
      <c r="Q1019" s="11" t="s">
        <v>594</v>
      </c>
      <c r="R1019" s="7"/>
      <c r="S1019" s="7"/>
      <c r="T1019" s="7"/>
      <c r="U1019" s="7"/>
      <c r="V1019" s="10">
        <v>7.5741092456127026</v>
      </c>
      <c r="W1019" s="9">
        <v>44982</v>
      </c>
      <c r="X1019" s="10">
        <v>7.5</v>
      </c>
      <c r="Y1019" s="9">
        <v>44985</v>
      </c>
      <c r="Z1019">
        <v>0</v>
      </c>
      <c r="AA1019" s="11" t="s">
        <v>594</v>
      </c>
    </row>
    <row r="1020" spans="2:27" ht="16" x14ac:dyDescent="0.2">
      <c r="B1020" t="s">
        <v>35</v>
      </c>
      <c r="C1020">
        <v>40357225</v>
      </c>
      <c r="D1020" t="s">
        <v>389</v>
      </c>
      <c r="E1020">
        <v>1012448</v>
      </c>
      <c r="F1020" t="s">
        <v>451</v>
      </c>
      <c r="G1020" s="9">
        <v>44985</v>
      </c>
      <c r="H1020" s="7">
        <v>24000</v>
      </c>
      <c r="I1020" s="7"/>
      <c r="J1020" s="7"/>
      <c r="K1020" s="7"/>
      <c r="L1020" s="10">
        <v>5.5741092456127026</v>
      </c>
      <c r="M1020" s="9">
        <v>44990</v>
      </c>
      <c r="N1020" s="10">
        <v>5.5</v>
      </c>
      <c r="O1020" s="9">
        <v>44995</v>
      </c>
      <c r="P1020">
        <v>18</v>
      </c>
      <c r="Q1020" s="11" t="s">
        <v>49</v>
      </c>
      <c r="R1020" s="7">
        <v>24000</v>
      </c>
      <c r="S1020" s="7"/>
      <c r="T1020" s="7"/>
      <c r="U1020" s="7"/>
      <c r="V1020" s="10">
        <v>7.5741092456127026</v>
      </c>
      <c r="W1020" s="9">
        <v>44992</v>
      </c>
      <c r="X1020" s="10">
        <v>7.5</v>
      </c>
      <c r="Y1020" s="9">
        <v>44995</v>
      </c>
      <c r="Z1020">
        <v>18</v>
      </c>
      <c r="AA1020" s="11" t="s">
        <v>49</v>
      </c>
    </row>
    <row r="1021" spans="2:27" ht="16" x14ac:dyDescent="0.2">
      <c r="B1021" t="s">
        <v>35</v>
      </c>
      <c r="C1021">
        <v>40357224</v>
      </c>
      <c r="D1021" t="s">
        <v>389</v>
      </c>
      <c r="E1021">
        <v>1012448</v>
      </c>
      <c r="F1021" t="s">
        <v>451</v>
      </c>
      <c r="G1021" s="9">
        <v>44985</v>
      </c>
      <c r="H1021" s="7">
        <v>24000</v>
      </c>
      <c r="I1021" s="7"/>
      <c r="J1021" s="7"/>
      <c r="K1021" s="7"/>
      <c r="L1021" s="10">
        <v>5.5741092456127026</v>
      </c>
      <c r="M1021" s="9">
        <v>44990</v>
      </c>
      <c r="N1021" s="10">
        <v>5.5</v>
      </c>
      <c r="O1021" s="9">
        <v>44995</v>
      </c>
      <c r="P1021">
        <v>18</v>
      </c>
      <c r="Q1021" s="11" t="s">
        <v>49</v>
      </c>
      <c r="R1021" s="7">
        <v>24000</v>
      </c>
      <c r="S1021" s="7"/>
      <c r="T1021" s="7"/>
      <c r="U1021" s="7"/>
      <c r="V1021" s="10">
        <v>7.5741092456127026</v>
      </c>
      <c r="W1021" s="9">
        <v>44992</v>
      </c>
      <c r="X1021" s="10">
        <v>7.5</v>
      </c>
      <c r="Y1021" s="9">
        <v>44995</v>
      </c>
      <c r="Z1021">
        <v>18</v>
      </c>
      <c r="AA1021" s="11" t="s">
        <v>49</v>
      </c>
    </row>
    <row r="1022" spans="2:27" ht="16" x14ac:dyDescent="0.2">
      <c r="B1022" t="s">
        <v>35</v>
      </c>
      <c r="C1022">
        <v>40357223</v>
      </c>
      <c r="D1022" t="s">
        <v>389</v>
      </c>
      <c r="E1022">
        <v>1012448</v>
      </c>
      <c r="F1022" t="s">
        <v>451</v>
      </c>
      <c r="G1022" s="9">
        <v>44985</v>
      </c>
      <c r="H1022" s="7">
        <v>24000</v>
      </c>
      <c r="I1022" s="7"/>
      <c r="J1022" s="7"/>
      <c r="K1022" s="7"/>
      <c r="L1022" s="10">
        <v>5.5741092456127026</v>
      </c>
      <c r="M1022" s="9">
        <v>44990</v>
      </c>
      <c r="N1022" s="10">
        <v>5.5</v>
      </c>
      <c r="O1022" s="9">
        <v>44995</v>
      </c>
      <c r="P1022">
        <v>18</v>
      </c>
      <c r="Q1022" s="11" t="s">
        <v>49</v>
      </c>
      <c r="R1022" s="7">
        <v>24000</v>
      </c>
      <c r="S1022" s="7"/>
      <c r="T1022" s="7"/>
      <c r="U1022" s="7"/>
      <c r="V1022" s="10">
        <v>7.5741092456127026</v>
      </c>
      <c r="W1022" s="9">
        <v>44992</v>
      </c>
      <c r="X1022" s="10">
        <v>7.5</v>
      </c>
      <c r="Y1022" s="9">
        <v>44995</v>
      </c>
      <c r="Z1022">
        <v>18</v>
      </c>
      <c r="AA1022" s="11" t="s">
        <v>49</v>
      </c>
    </row>
    <row r="1023" spans="2:27" ht="16" x14ac:dyDescent="0.2">
      <c r="B1023" t="s">
        <v>35</v>
      </c>
      <c r="C1023">
        <v>40357222</v>
      </c>
      <c r="D1023" t="s">
        <v>389</v>
      </c>
      <c r="E1023">
        <v>1012448</v>
      </c>
      <c r="F1023" t="s">
        <v>451</v>
      </c>
      <c r="G1023" s="9">
        <v>44977</v>
      </c>
      <c r="H1023" s="7">
        <v>24000</v>
      </c>
      <c r="I1023" s="7"/>
      <c r="J1023" s="7"/>
      <c r="K1023" s="7"/>
      <c r="L1023" s="10">
        <v>5.5741092456127026</v>
      </c>
      <c r="M1023" s="9">
        <v>44982</v>
      </c>
      <c r="N1023" s="10">
        <v>5.5</v>
      </c>
      <c r="O1023" s="9">
        <v>44987</v>
      </c>
      <c r="P1023">
        <v>25</v>
      </c>
      <c r="Q1023" s="11" t="s">
        <v>49</v>
      </c>
      <c r="R1023" s="7">
        <v>24000</v>
      </c>
      <c r="S1023" s="7"/>
      <c r="T1023" s="7"/>
      <c r="U1023" s="7"/>
      <c r="V1023" s="10">
        <v>7.5741092456127026</v>
      </c>
      <c r="W1023" s="9">
        <v>44984</v>
      </c>
      <c r="X1023" s="10">
        <v>7.5</v>
      </c>
      <c r="Y1023" s="9">
        <v>44987</v>
      </c>
      <c r="Z1023">
        <v>25</v>
      </c>
      <c r="AA1023" s="11" t="s">
        <v>49</v>
      </c>
    </row>
    <row r="1024" spans="2:27" ht="16" x14ac:dyDescent="0.2">
      <c r="B1024" t="s">
        <v>35</v>
      </c>
      <c r="C1024">
        <v>40357221</v>
      </c>
      <c r="D1024" t="s">
        <v>389</v>
      </c>
      <c r="E1024">
        <v>1012448</v>
      </c>
      <c r="F1024" t="s">
        <v>451</v>
      </c>
      <c r="G1024" s="9">
        <v>44976</v>
      </c>
      <c r="H1024" s="7">
        <v>24000</v>
      </c>
      <c r="I1024" s="7"/>
      <c r="J1024" s="7"/>
      <c r="K1024" s="7"/>
      <c r="L1024" s="10">
        <v>5.5741092456127026</v>
      </c>
      <c r="M1024" s="9">
        <v>44981</v>
      </c>
      <c r="N1024" s="10">
        <v>5.5</v>
      </c>
      <c r="O1024" s="9">
        <v>44986</v>
      </c>
      <c r="P1024">
        <v>26</v>
      </c>
      <c r="Q1024" s="11" t="s">
        <v>49</v>
      </c>
      <c r="R1024" s="7">
        <v>24000</v>
      </c>
      <c r="S1024" s="7"/>
      <c r="T1024" s="7"/>
      <c r="U1024" s="7"/>
      <c r="V1024" s="10">
        <v>7.5741092456127026</v>
      </c>
      <c r="W1024" s="9">
        <v>44983</v>
      </c>
      <c r="X1024" s="10">
        <v>7.5</v>
      </c>
      <c r="Y1024" s="9">
        <v>44986</v>
      </c>
      <c r="Z1024">
        <v>26</v>
      </c>
      <c r="AA1024" s="11" t="s">
        <v>49</v>
      </c>
    </row>
    <row r="1025" spans="2:27" ht="16" x14ac:dyDescent="0.2">
      <c r="B1025" t="s">
        <v>35</v>
      </c>
      <c r="C1025">
        <v>40357220</v>
      </c>
      <c r="D1025" t="s">
        <v>389</v>
      </c>
      <c r="E1025">
        <v>1012448</v>
      </c>
      <c r="F1025" t="s">
        <v>451</v>
      </c>
      <c r="G1025" s="9">
        <v>44971</v>
      </c>
      <c r="H1025" s="7"/>
      <c r="I1025" s="7"/>
      <c r="J1025" s="7"/>
      <c r="K1025" s="7"/>
      <c r="L1025" s="10">
        <v>5.5741092456127026</v>
      </c>
      <c r="M1025" s="9">
        <v>44976</v>
      </c>
      <c r="N1025" s="10">
        <v>5.5</v>
      </c>
      <c r="O1025" s="9">
        <v>44981</v>
      </c>
      <c r="P1025">
        <v>3</v>
      </c>
      <c r="Q1025" s="11" t="s">
        <v>49</v>
      </c>
      <c r="R1025" s="7"/>
      <c r="S1025" s="7"/>
      <c r="T1025" s="7"/>
      <c r="U1025" s="7"/>
      <c r="V1025" s="10">
        <v>7.5741092456127026</v>
      </c>
      <c r="W1025" s="9">
        <v>44978</v>
      </c>
      <c r="X1025" s="10">
        <v>7.5</v>
      </c>
      <c r="Y1025" s="9">
        <v>44981</v>
      </c>
      <c r="Z1025">
        <v>3</v>
      </c>
      <c r="AA1025" s="11" t="s">
        <v>49</v>
      </c>
    </row>
    <row r="1026" spans="2:27" ht="16" x14ac:dyDescent="0.2">
      <c r="B1026" t="s">
        <v>35</v>
      </c>
      <c r="C1026">
        <v>40357219</v>
      </c>
      <c r="D1026" t="s">
        <v>389</v>
      </c>
      <c r="E1026">
        <v>1012448</v>
      </c>
      <c r="F1026" t="s">
        <v>451</v>
      </c>
      <c r="G1026" s="9">
        <v>44971</v>
      </c>
      <c r="H1026" s="7"/>
      <c r="I1026" s="7"/>
      <c r="J1026" s="7"/>
      <c r="K1026" s="7"/>
      <c r="L1026" s="10">
        <v>5.5741092456127026</v>
      </c>
      <c r="M1026" s="9">
        <v>44976</v>
      </c>
      <c r="N1026" s="10">
        <v>5.5</v>
      </c>
      <c r="O1026" s="9">
        <v>44981</v>
      </c>
      <c r="P1026">
        <v>3</v>
      </c>
      <c r="Q1026" s="11" t="s">
        <v>49</v>
      </c>
      <c r="R1026" s="7"/>
      <c r="S1026" s="7"/>
      <c r="T1026" s="7"/>
      <c r="U1026" s="7"/>
      <c r="V1026" s="10">
        <v>7.5741092456127026</v>
      </c>
      <c r="W1026" s="9">
        <v>44978</v>
      </c>
      <c r="X1026" s="10">
        <v>7.5</v>
      </c>
      <c r="Y1026" s="9">
        <v>44981</v>
      </c>
      <c r="Z1026">
        <v>3</v>
      </c>
      <c r="AA1026" s="11" t="s">
        <v>49</v>
      </c>
    </row>
    <row r="1027" spans="2:27" x14ac:dyDescent="0.2">
      <c r="B1027" t="s">
        <v>394</v>
      </c>
      <c r="C1027">
        <v>40357215</v>
      </c>
      <c r="D1027" t="s">
        <v>396</v>
      </c>
      <c r="E1027">
        <v>1021156</v>
      </c>
      <c r="F1027" t="s">
        <v>515</v>
      </c>
      <c r="G1027" s="9">
        <v>44980</v>
      </c>
      <c r="H1027" s="7"/>
      <c r="I1027" s="7"/>
      <c r="J1027" s="7"/>
      <c r="K1027" s="7"/>
      <c r="L1027" s="10"/>
      <c r="N1027" s="10"/>
      <c r="Q1027" s="11"/>
      <c r="R1027" s="7"/>
      <c r="S1027" s="7"/>
      <c r="T1027" s="7"/>
      <c r="U1027" s="7"/>
      <c r="V1027" s="10"/>
      <c r="X1027" s="10"/>
      <c r="AA1027" s="11"/>
    </row>
    <row r="1028" spans="2:27" x14ac:dyDescent="0.2">
      <c r="B1028" t="s">
        <v>394</v>
      </c>
      <c r="C1028">
        <v>40357215</v>
      </c>
      <c r="D1028" t="s">
        <v>396</v>
      </c>
      <c r="E1028">
        <v>1021156</v>
      </c>
      <c r="F1028" t="s">
        <v>515</v>
      </c>
      <c r="G1028" s="9">
        <v>44980</v>
      </c>
      <c r="H1028" s="7"/>
      <c r="I1028" s="7"/>
      <c r="J1028" s="7"/>
      <c r="K1028" s="7"/>
      <c r="L1028" s="10"/>
      <c r="N1028" s="10"/>
      <c r="Q1028" s="11"/>
      <c r="R1028" s="7"/>
      <c r="S1028" s="7"/>
      <c r="T1028" s="7"/>
      <c r="U1028" s="7"/>
      <c r="V1028" s="10"/>
      <c r="X1028" s="10"/>
      <c r="AA1028" s="11"/>
    </row>
    <row r="1029" spans="2:27" x14ac:dyDescent="0.2">
      <c r="B1029" t="s">
        <v>394</v>
      </c>
      <c r="C1029">
        <v>40357200</v>
      </c>
      <c r="D1029" t="s">
        <v>485</v>
      </c>
      <c r="E1029">
        <v>1021092</v>
      </c>
      <c r="F1029" t="s">
        <v>525</v>
      </c>
      <c r="G1029" s="9">
        <v>44960</v>
      </c>
      <c r="H1029" s="7"/>
      <c r="I1029" s="7"/>
      <c r="J1029" s="7"/>
      <c r="K1029" s="7"/>
      <c r="L1029" s="10"/>
      <c r="N1029" s="10"/>
      <c r="Q1029" s="11"/>
      <c r="R1029" s="7"/>
      <c r="S1029" s="7"/>
      <c r="T1029" s="7"/>
      <c r="U1029" s="7"/>
      <c r="V1029" s="10"/>
      <c r="X1029" s="10"/>
      <c r="AA1029" s="11"/>
    </row>
    <row r="1030" spans="2:27" x14ac:dyDescent="0.2">
      <c r="B1030" t="s">
        <v>394</v>
      </c>
      <c r="C1030">
        <v>40357200</v>
      </c>
      <c r="D1030" t="s">
        <v>485</v>
      </c>
      <c r="E1030">
        <v>1021092</v>
      </c>
      <c r="F1030" t="s">
        <v>525</v>
      </c>
      <c r="G1030" s="9">
        <v>44960</v>
      </c>
      <c r="H1030" s="7"/>
      <c r="I1030" s="7"/>
      <c r="J1030" s="7"/>
      <c r="K1030" s="7"/>
      <c r="L1030" s="10"/>
      <c r="N1030" s="10"/>
      <c r="Q1030" s="11"/>
      <c r="R1030" s="7"/>
      <c r="S1030" s="7"/>
      <c r="T1030" s="7"/>
      <c r="U1030" s="7"/>
      <c r="V1030" s="10"/>
      <c r="X1030" s="10"/>
      <c r="AA1030" s="11"/>
    </row>
    <row r="1031" spans="2:27" x14ac:dyDescent="0.2">
      <c r="B1031" t="s">
        <v>394</v>
      </c>
      <c r="C1031">
        <v>40357199</v>
      </c>
      <c r="D1031" t="s">
        <v>485</v>
      </c>
      <c r="E1031">
        <v>1021092</v>
      </c>
      <c r="F1031" t="s">
        <v>525</v>
      </c>
      <c r="G1031" s="9">
        <v>44960</v>
      </c>
      <c r="H1031" s="7"/>
      <c r="I1031" s="7"/>
      <c r="J1031" s="7"/>
      <c r="K1031" s="7"/>
      <c r="L1031" s="10"/>
      <c r="N1031" s="10"/>
      <c r="Q1031" s="11"/>
      <c r="R1031" s="7"/>
      <c r="S1031" s="7"/>
      <c r="T1031" s="7"/>
      <c r="U1031" s="7"/>
      <c r="V1031" s="10"/>
      <c r="X1031" s="10"/>
      <c r="AA1031" s="11"/>
    </row>
    <row r="1032" spans="2:27" x14ac:dyDescent="0.2">
      <c r="B1032" t="s">
        <v>394</v>
      </c>
      <c r="C1032">
        <v>40357199</v>
      </c>
      <c r="D1032" t="s">
        <v>485</v>
      </c>
      <c r="E1032">
        <v>1021092</v>
      </c>
      <c r="F1032" t="s">
        <v>525</v>
      </c>
      <c r="G1032" s="9">
        <v>44960</v>
      </c>
      <c r="H1032" s="7"/>
      <c r="I1032" s="7"/>
      <c r="J1032" s="7"/>
      <c r="K1032" s="7"/>
      <c r="L1032" s="10"/>
      <c r="N1032" s="10"/>
      <c r="Q1032" s="11"/>
      <c r="R1032" s="7"/>
      <c r="S1032" s="7"/>
      <c r="T1032" s="7"/>
      <c r="U1032" s="7"/>
      <c r="V1032" s="10"/>
      <c r="X1032" s="10"/>
      <c r="AA1032" s="11"/>
    </row>
    <row r="1033" spans="2:27" x14ac:dyDescent="0.2">
      <c r="B1033" t="s">
        <v>394</v>
      </c>
      <c r="C1033">
        <v>40357198</v>
      </c>
      <c r="D1033" t="s">
        <v>485</v>
      </c>
      <c r="E1033">
        <v>1021092</v>
      </c>
      <c r="F1033" t="s">
        <v>525</v>
      </c>
      <c r="G1033" s="9">
        <v>44961</v>
      </c>
      <c r="H1033" s="7"/>
      <c r="I1033" s="7"/>
      <c r="J1033" s="7"/>
      <c r="K1033" s="7"/>
      <c r="L1033" s="10"/>
      <c r="N1033" s="10"/>
      <c r="Q1033" s="11"/>
      <c r="R1033" s="7"/>
      <c r="S1033" s="7"/>
      <c r="T1033" s="7"/>
      <c r="U1033" s="7"/>
      <c r="V1033" s="10"/>
      <c r="X1033" s="10"/>
      <c r="AA1033" s="11"/>
    </row>
    <row r="1034" spans="2:27" x14ac:dyDescent="0.2">
      <c r="B1034" t="s">
        <v>394</v>
      </c>
      <c r="C1034">
        <v>40357198</v>
      </c>
      <c r="D1034" t="s">
        <v>485</v>
      </c>
      <c r="E1034">
        <v>1021092</v>
      </c>
      <c r="F1034" t="s">
        <v>525</v>
      </c>
      <c r="G1034" s="9">
        <v>44961</v>
      </c>
      <c r="H1034" s="7"/>
      <c r="I1034" s="7"/>
      <c r="J1034" s="7"/>
      <c r="K1034" s="7"/>
      <c r="L1034" s="10"/>
      <c r="N1034" s="10"/>
      <c r="Q1034" s="11"/>
      <c r="R1034" s="7"/>
      <c r="S1034" s="7"/>
      <c r="T1034" s="7"/>
      <c r="U1034" s="7"/>
      <c r="V1034" s="10"/>
      <c r="X1034" s="10"/>
      <c r="AA1034" s="11"/>
    </row>
    <row r="1035" spans="2:27" x14ac:dyDescent="0.2">
      <c r="B1035" t="s">
        <v>394</v>
      </c>
      <c r="C1035">
        <v>40357196</v>
      </c>
      <c r="D1035" t="s">
        <v>485</v>
      </c>
      <c r="E1035">
        <v>1020869</v>
      </c>
      <c r="F1035" t="s">
        <v>610</v>
      </c>
      <c r="G1035" s="9">
        <v>44966</v>
      </c>
      <c r="H1035" s="7"/>
      <c r="I1035" s="7"/>
      <c r="J1035" s="7"/>
      <c r="K1035" s="7"/>
      <c r="L1035" s="10"/>
      <c r="N1035" s="10"/>
      <c r="Q1035" s="11"/>
      <c r="R1035" s="7"/>
      <c r="S1035" s="7"/>
      <c r="T1035" s="7"/>
      <c r="U1035" s="7"/>
      <c r="V1035" s="10"/>
      <c r="X1035" s="10"/>
      <c r="AA1035" s="11"/>
    </row>
    <row r="1036" spans="2:27" x14ac:dyDescent="0.2">
      <c r="B1036" t="s">
        <v>394</v>
      </c>
      <c r="C1036">
        <v>40357196</v>
      </c>
      <c r="D1036" t="s">
        <v>485</v>
      </c>
      <c r="E1036">
        <v>1020869</v>
      </c>
      <c r="F1036" t="s">
        <v>610</v>
      </c>
      <c r="G1036" s="9">
        <v>44966</v>
      </c>
      <c r="H1036" s="7"/>
      <c r="I1036" s="7"/>
      <c r="J1036" s="7"/>
      <c r="K1036" s="7"/>
      <c r="L1036" s="10"/>
      <c r="N1036" s="10"/>
      <c r="Q1036" s="11"/>
      <c r="R1036" s="7"/>
      <c r="S1036" s="7"/>
      <c r="T1036" s="7"/>
      <c r="U1036" s="7"/>
      <c r="V1036" s="10"/>
      <c r="X1036" s="10"/>
      <c r="AA1036" s="11"/>
    </row>
    <row r="1037" spans="2:27" x14ac:dyDescent="0.2">
      <c r="B1037" t="s">
        <v>394</v>
      </c>
      <c r="C1037">
        <v>40357195</v>
      </c>
      <c r="D1037" t="s">
        <v>485</v>
      </c>
      <c r="E1037">
        <v>1020869</v>
      </c>
      <c r="F1037" t="s">
        <v>610</v>
      </c>
      <c r="G1037" s="9">
        <v>44962</v>
      </c>
      <c r="H1037" s="7"/>
      <c r="I1037" s="7"/>
      <c r="J1037" s="7"/>
      <c r="K1037" s="7"/>
      <c r="L1037" s="10"/>
      <c r="N1037" s="10"/>
      <c r="Q1037" s="11"/>
      <c r="R1037" s="7"/>
      <c r="S1037" s="7"/>
      <c r="T1037" s="7"/>
      <c r="U1037" s="7"/>
      <c r="V1037" s="10"/>
      <c r="X1037" s="10"/>
      <c r="AA1037" s="11"/>
    </row>
    <row r="1038" spans="2:27" x14ac:dyDescent="0.2">
      <c r="B1038" t="s">
        <v>394</v>
      </c>
      <c r="C1038">
        <v>40357183</v>
      </c>
      <c r="D1038" t="s">
        <v>485</v>
      </c>
      <c r="E1038">
        <v>1021023</v>
      </c>
      <c r="F1038" t="s">
        <v>508</v>
      </c>
      <c r="G1038" s="9">
        <v>44969</v>
      </c>
      <c r="H1038" s="7"/>
      <c r="I1038" s="7"/>
      <c r="J1038" s="7"/>
      <c r="K1038" s="7"/>
      <c r="L1038" s="10"/>
      <c r="N1038" s="10"/>
      <c r="Q1038" s="11"/>
      <c r="R1038" s="7"/>
      <c r="S1038" s="7"/>
      <c r="T1038" s="7"/>
      <c r="U1038" s="7"/>
      <c r="V1038" s="10"/>
      <c r="X1038" s="10"/>
      <c r="AA1038" s="11"/>
    </row>
    <row r="1039" spans="2:27" x14ac:dyDescent="0.2">
      <c r="B1039" t="s">
        <v>394</v>
      </c>
      <c r="C1039">
        <v>40357183</v>
      </c>
      <c r="D1039" t="s">
        <v>485</v>
      </c>
      <c r="E1039">
        <v>1021023</v>
      </c>
      <c r="F1039" t="s">
        <v>508</v>
      </c>
      <c r="G1039" s="9">
        <v>44969</v>
      </c>
      <c r="H1039" s="7"/>
      <c r="I1039" s="7"/>
      <c r="J1039" s="7"/>
      <c r="K1039" s="7"/>
      <c r="L1039" s="10"/>
      <c r="N1039" s="10"/>
      <c r="Q1039" s="11"/>
      <c r="R1039" s="7"/>
      <c r="S1039" s="7"/>
      <c r="T1039" s="7"/>
      <c r="U1039" s="7"/>
      <c r="V1039" s="10"/>
      <c r="X1039" s="10"/>
      <c r="AA1039" s="11"/>
    </row>
    <row r="1040" spans="2:27" x14ac:dyDescent="0.2">
      <c r="B1040" t="s">
        <v>394</v>
      </c>
      <c r="C1040">
        <v>40357182</v>
      </c>
      <c r="D1040" t="s">
        <v>485</v>
      </c>
      <c r="E1040">
        <v>1021023</v>
      </c>
      <c r="F1040" t="s">
        <v>508</v>
      </c>
      <c r="G1040" s="9">
        <v>44962</v>
      </c>
      <c r="H1040" s="7"/>
      <c r="I1040" s="7"/>
      <c r="J1040" s="7"/>
      <c r="K1040" s="7"/>
      <c r="L1040" s="10"/>
      <c r="N1040" s="10"/>
      <c r="Q1040" s="11"/>
      <c r="R1040" s="7"/>
      <c r="S1040" s="7"/>
      <c r="T1040" s="7"/>
      <c r="U1040" s="7"/>
      <c r="V1040" s="10"/>
      <c r="X1040" s="10"/>
      <c r="AA1040" s="11"/>
    </row>
    <row r="1041" spans="2:27" x14ac:dyDescent="0.2">
      <c r="B1041" t="s">
        <v>394</v>
      </c>
      <c r="C1041">
        <v>40357181</v>
      </c>
      <c r="D1041" t="s">
        <v>485</v>
      </c>
      <c r="E1041">
        <v>1021023</v>
      </c>
      <c r="F1041" t="s">
        <v>508</v>
      </c>
      <c r="G1041" s="9">
        <v>44954</v>
      </c>
      <c r="H1041" s="7"/>
      <c r="I1041" s="7"/>
      <c r="J1041" s="7"/>
      <c r="K1041" s="7"/>
      <c r="L1041" s="10"/>
      <c r="N1041" s="10"/>
      <c r="Q1041" s="11"/>
      <c r="R1041" s="7"/>
      <c r="S1041" s="7"/>
      <c r="T1041" s="7"/>
      <c r="U1041" s="7"/>
      <c r="V1041" s="10"/>
      <c r="X1041" s="10"/>
      <c r="AA1041" s="11"/>
    </row>
    <row r="1042" spans="2:27" x14ac:dyDescent="0.2">
      <c r="B1042" t="s">
        <v>394</v>
      </c>
      <c r="C1042">
        <v>40357181</v>
      </c>
      <c r="D1042" t="s">
        <v>485</v>
      </c>
      <c r="E1042">
        <v>1021023</v>
      </c>
      <c r="F1042" t="s">
        <v>508</v>
      </c>
      <c r="G1042" s="9">
        <v>44954</v>
      </c>
      <c r="H1042" s="7"/>
      <c r="I1042" s="7"/>
      <c r="J1042" s="7"/>
      <c r="K1042" s="7"/>
      <c r="L1042" s="10"/>
      <c r="N1042" s="10"/>
      <c r="Q1042" s="11"/>
      <c r="R1042" s="7"/>
      <c r="S1042" s="7"/>
      <c r="T1042" s="7"/>
      <c r="U1042" s="7"/>
      <c r="V1042" s="10"/>
      <c r="X1042" s="10"/>
      <c r="AA1042" s="11"/>
    </row>
    <row r="1043" spans="2:27" ht="16" x14ac:dyDescent="0.2">
      <c r="B1043" t="s">
        <v>35</v>
      </c>
      <c r="C1043">
        <v>40357167</v>
      </c>
      <c r="D1043" t="s">
        <v>386</v>
      </c>
      <c r="E1043">
        <v>1011906</v>
      </c>
      <c r="F1043" t="s">
        <v>540</v>
      </c>
      <c r="G1043" s="9">
        <v>44968</v>
      </c>
      <c r="H1043" s="7"/>
      <c r="I1043" s="7"/>
      <c r="J1043" s="7"/>
      <c r="K1043" s="7"/>
      <c r="L1043" s="10">
        <v>5.1420118343195256</v>
      </c>
      <c r="M1043" s="9">
        <v>44973</v>
      </c>
      <c r="N1043" s="10">
        <v>7.5</v>
      </c>
      <c r="O1043" s="9">
        <v>44980</v>
      </c>
      <c r="P1043">
        <v>4</v>
      </c>
      <c r="Q1043" s="11" t="s">
        <v>49</v>
      </c>
      <c r="R1043" s="7"/>
      <c r="S1043" s="7"/>
      <c r="T1043" s="7"/>
      <c r="U1043" s="7"/>
      <c r="V1043" s="10">
        <v>7.1420118343195256</v>
      </c>
      <c r="W1043" s="9">
        <v>44975</v>
      </c>
      <c r="X1043" s="10">
        <v>9.5</v>
      </c>
      <c r="Y1043" s="9">
        <v>44980</v>
      </c>
      <c r="Z1043">
        <v>4</v>
      </c>
      <c r="AA1043" s="11" t="s">
        <v>49</v>
      </c>
    </row>
    <row r="1044" spans="2:27" ht="16" x14ac:dyDescent="0.2">
      <c r="B1044" t="s">
        <v>35</v>
      </c>
      <c r="C1044">
        <v>40357157</v>
      </c>
      <c r="D1044" t="s">
        <v>391</v>
      </c>
      <c r="E1044">
        <v>1021936</v>
      </c>
      <c r="F1044" t="s">
        <v>411</v>
      </c>
      <c r="G1044" s="9">
        <v>44977</v>
      </c>
      <c r="H1044" s="7">
        <v>24000</v>
      </c>
      <c r="I1044" s="7"/>
      <c r="J1044" s="7"/>
      <c r="K1044" s="7"/>
      <c r="L1044" s="10">
        <v>4.830303030303031</v>
      </c>
      <c r="M1044" s="9">
        <v>44981</v>
      </c>
      <c r="N1044" s="10">
        <v>15</v>
      </c>
      <c r="O1044" s="9">
        <v>44996</v>
      </c>
      <c r="P1044">
        <v>17</v>
      </c>
      <c r="Q1044" s="11" t="s">
        <v>49</v>
      </c>
      <c r="R1044" s="7">
        <v>24000</v>
      </c>
      <c r="S1044" s="7"/>
      <c r="T1044" s="7"/>
      <c r="U1044" s="7"/>
      <c r="V1044" s="10">
        <v>6.830303030303031</v>
      </c>
      <c r="W1044" s="9">
        <v>44983</v>
      </c>
      <c r="X1044" s="10">
        <v>17</v>
      </c>
      <c r="Y1044" s="9">
        <v>44996</v>
      </c>
      <c r="Z1044">
        <v>17</v>
      </c>
      <c r="AA1044" s="11" t="s">
        <v>49</v>
      </c>
    </row>
    <row r="1045" spans="2:27" ht="16" x14ac:dyDescent="0.2">
      <c r="B1045" t="s">
        <v>35</v>
      </c>
      <c r="C1045">
        <v>40357156</v>
      </c>
      <c r="D1045" t="s">
        <v>391</v>
      </c>
      <c r="E1045">
        <v>1021936</v>
      </c>
      <c r="F1045" t="s">
        <v>411</v>
      </c>
      <c r="G1045" s="9">
        <v>44977</v>
      </c>
      <c r="H1045" s="7">
        <v>24000</v>
      </c>
      <c r="I1045" s="7"/>
      <c r="J1045" s="7"/>
      <c r="K1045" s="7"/>
      <c r="L1045" s="10">
        <v>4.830303030303031</v>
      </c>
      <c r="M1045" s="9">
        <v>44981</v>
      </c>
      <c r="N1045" s="10">
        <v>15</v>
      </c>
      <c r="O1045" s="9">
        <v>44996</v>
      </c>
      <c r="P1045">
        <v>17</v>
      </c>
      <c r="Q1045" s="11" t="s">
        <v>49</v>
      </c>
      <c r="R1045" s="7">
        <v>24000</v>
      </c>
      <c r="S1045" s="7"/>
      <c r="T1045" s="7"/>
      <c r="U1045" s="7"/>
      <c r="V1045" s="10">
        <v>6.830303030303031</v>
      </c>
      <c r="W1045" s="9">
        <v>44983</v>
      </c>
      <c r="X1045" s="10">
        <v>17</v>
      </c>
      <c r="Y1045" s="9">
        <v>44996</v>
      </c>
      <c r="Z1045">
        <v>17</v>
      </c>
      <c r="AA1045" s="11" t="s">
        <v>49</v>
      </c>
    </row>
    <row r="1046" spans="2:27" ht="16" x14ac:dyDescent="0.2">
      <c r="B1046" t="s">
        <v>35</v>
      </c>
      <c r="C1046">
        <v>40357155</v>
      </c>
      <c r="D1046" t="s">
        <v>391</v>
      </c>
      <c r="E1046">
        <v>1021936</v>
      </c>
      <c r="F1046" t="s">
        <v>411</v>
      </c>
      <c r="G1046" s="9">
        <v>44980</v>
      </c>
      <c r="H1046" s="7">
        <v>24000</v>
      </c>
      <c r="I1046" s="7"/>
      <c r="J1046" s="7"/>
      <c r="K1046" s="7"/>
      <c r="L1046" s="10">
        <v>4.830303030303031</v>
      </c>
      <c r="M1046" s="9">
        <v>44984</v>
      </c>
      <c r="N1046" s="10">
        <v>15</v>
      </c>
      <c r="O1046" s="9">
        <v>44999</v>
      </c>
      <c r="P1046">
        <v>15</v>
      </c>
      <c r="Q1046" s="11" t="s">
        <v>49</v>
      </c>
      <c r="R1046" s="7">
        <v>24000</v>
      </c>
      <c r="S1046" s="7"/>
      <c r="T1046" s="7"/>
      <c r="U1046" s="7"/>
      <c r="V1046" s="10">
        <v>6.830303030303031</v>
      </c>
      <c r="W1046" s="9">
        <v>44986</v>
      </c>
      <c r="X1046" s="10">
        <v>17</v>
      </c>
      <c r="Y1046" s="9">
        <v>44999</v>
      </c>
      <c r="Z1046">
        <v>15</v>
      </c>
      <c r="AA1046" s="11" t="s">
        <v>49</v>
      </c>
    </row>
    <row r="1047" spans="2:27" ht="16" x14ac:dyDescent="0.2">
      <c r="B1047" t="s">
        <v>35</v>
      </c>
      <c r="C1047">
        <v>40357152</v>
      </c>
      <c r="D1047" t="s">
        <v>391</v>
      </c>
      <c r="E1047">
        <v>1022918</v>
      </c>
      <c r="F1047" t="s">
        <v>410</v>
      </c>
      <c r="G1047" s="9">
        <v>44977</v>
      </c>
      <c r="H1047" s="7">
        <v>24000</v>
      </c>
      <c r="I1047" s="7"/>
      <c r="J1047" s="7"/>
      <c r="K1047" s="7"/>
      <c r="L1047" s="10">
        <v>4.830303030303031</v>
      </c>
      <c r="M1047" s="9">
        <v>44981</v>
      </c>
      <c r="N1047" s="10">
        <v>15</v>
      </c>
      <c r="O1047" s="9">
        <v>44996</v>
      </c>
      <c r="P1047">
        <v>17</v>
      </c>
      <c r="Q1047" s="11" t="s">
        <v>49</v>
      </c>
      <c r="R1047" s="7">
        <v>24000</v>
      </c>
      <c r="S1047" s="7"/>
      <c r="T1047" s="7"/>
      <c r="U1047" s="7"/>
      <c r="V1047" s="10">
        <v>6.830303030303031</v>
      </c>
      <c r="W1047" s="9">
        <v>44983</v>
      </c>
      <c r="X1047" s="10">
        <v>17</v>
      </c>
      <c r="Y1047" s="9">
        <v>44996</v>
      </c>
      <c r="Z1047">
        <v>17</v>
      </c>
      <c r="AA1047" s="11" t="s">
        <v>49</v>
      </c>
    </row>
    <row r="1048" spans="2:27" ht="16" x14ac:dyDescent="0.2">
      <c r="B1048" t="s">
        <v>35</v>
      </c>
      <c r="C1048">
        <v>40357147</v>
      </c>
      <c r="D1048" t="s">
        <v>391</v>
      </c>
      <c r="E1048">
        <v>1022918</v>
      </c>
      <c r="F1048" t="s">
        <v>410</v>
      </c>
      <c r="G1048" s="9">
        <v>44977</v>
      </c>
      <c r="H1048" s="7">
        <v>24000</v>
      </c>
      <c r="I1048" s="7"/>
      <c r="J1048" s="7"/>
      <c r="K1048" s="7"/>
      <c r="L1048" s="10">
        <v>4.830303030303031</v>
      </c>
      <c r="M1048" s="9">
        <v>44981</v>
      </c>
      <c r="N1048" s="10">
        <v>15</v>
      </c>
      <c r="O1048" s="9">
        <v>44996</v>
      </c>
      <c r="P1048">
        <v>17</v>
      </c>
      <c r="Q1048" s="11" t="s">
        <v>49</v>
      </c>
      <c r="R1048" s="7">
        <v>24000</v>
      </c>
      <c r="S1048" s="7"/>
      <c r="T1048" s="7"/>
      <c r="U1048" s="7"/>
      <c r="V1048" s="10">
        <v>6.830303030303031</v>
      </c>
      <c r="W1048" s="9">
        <v>44983</v>
      </c>
      <c r="X1048" s="10">
        <v>17</v>
      </c>
      <c r="Y1048" s="9">
        <v>44996</v>
      </c>
      <c r="Z1048">
        <v>17</v>
      </c>
      <c r="AA1048" s="11" t="s">
        <v>49</v>
      </c>
    </row>
    <row r="1049" spans="2:27" x14ac:dyDescent="0.2">
      <c r="B1049" t="s">
        <v>394</v>
      </c>
      <c r="C1049">
        <v>40357133</v>
      </c>
      <c r="D1049" t="s">
        <v>396</v>
      </c>
      <c r="E1049">
        <v>1021664</v>
      </c>
      <c r="F1049" t="s">
        <v>452</v>
      </c>
      <c r="G1049" s="9">
        <v>44994</v>
      </c>
      <c r="H1049" s="7">
        <v>22187.03</v>
      </c>
      <c r="I1049" s="7"/>
      <c r="J1049" s="7"/>
      <c r="K1049" s="7"/>
      <c r="L1049" s="10"/>
      <c r="N1049" s="10"/>
      <c r="Q1049" s="11"/>
      <c r="R1049" s="7">
        <v>22187.03</v>
      </c>
      <c r="S1049" s="7"/>
      <c r="T1049" s="7"/>
      <c r="U1049" s="7"/>
      <c r="V1049" s="10"/>
      <c r="X1049" s="10"/>
      <c r="AA1049" s="11"/>
    </row>
    <row r="1050" spans="2:27" x14ac:dyDescent="0.2">
      <c r="B1050" t="s">
        <v>394</v>
      </c>
      <c r="C1050">
        <v>40357132</v>
      </c>
      <c r="D1050" t="s">
        <v>396</v>
      </c>
      <c r="E1050">
        <v>1021664</v>
      </c>
      <c r="F1050" t="s">
        <v>452</v>
      </c>
      <c r="G1050" s="9">
        <v>44987</v>
      </c>
      <c r="H1050" s="7">
        <v>22100.639999999999</v>
      </c>
      <c r="I1050" s="7"/>
      <c r="J1050" s="7"/>
      <c r="K1050" s="7"/>
      <c r="L1050" s="10"/>
      <c r="N1050" s="10"/>
      <c r="Q1050" s="11"/>
      <c r="R1050" s="7">
        <v>22100.639999999999</v>
      </c>
      <c r="S1050" s="7"/>
      <c r="T1050" s="7"/>
      <c r="U1050" s="7"/>
      <c r="V1050" s="10"/>
      <c r="X1050" s="10"/>
      <c r="AA1050" s="11"/>
    </row>
    <row r="1051" spans="2:27" x14ac:dyDescent="0.2">
      <c r="B1051" t="s">
        <v>394</v>
      </c>
      <c r="C1051">
        <v>40357129</v>
      </c>
      <c r="D1051" t="s">
        <v>396</v>
      </c>
      <c r="E1051">
        <v>1021046</v>
      </c>
      <c r="F1051" t="s">
        <v>611</v>
      </c>
      <c r="G1051" s="9">
        <v>44980</v>
      </c>
      <c r="H1051" s="7"/>
      <c r="I1051" s="7"/>
      <c r="J1051" s="7"/>
      <c r="K1051" s="7"/>
      <c r="L1051" s="10"/>
      <c r="N1051" s="10"/>
      <c r="Q1051" s="11"/>
      <c r="R1051" s="7"/>
      <c r="S1051" s="7"/>
      <c r="T1051" s="7"/>
      <c r="U1051" s="7"/>
      <c r="V1051" s="10"/>
      <c r="X1051" s="10"/>
      <c r="AA1051" s="11"/>
    </row>
    <row r="1052" spans="2:27" x14ac:dyDescent="0.2">
      <c r="B1052" t="s">
        <v>394</v>
      </c>
      <c r="C1052">
        <v>40357127</v>
      </c>
      <c r="D1052" t="s">
        <v>396</v>
      </c>
      <c r="E1052">
        <v>1022885</v>
      </c>
      <c r="F1052" t="s">
        <v>401</v>
      </c>
      <c r="G1052" s="9">
        <v>44980</v>
      </c>
      <c r="H1052" s="7"/>
      <c r="I1052" s="7"/>
      <c r="J1052" s="7"/>
      <c r="K1052" s="7"/>
      <c r="L1052" s="10"/>
      <c r="N1052" s="10"/>
      <c r="Q1052" s="11"/>
      <c r="R1052" s="7"/>
      <c r="S1052" s="7"/>
      <c r="T1052" s="7"/>
      <c r="U1052" s="7"/>
      <c r="V1052" s="10"/>
      <c r="X1052" s="10"/>
      <c r="AA1052" s="11"/>
    </row>
    <row r="1053" spans="2:27" x14ac:dyDescent="0.2">
      <c r="B1053" t="s">
        <v>394</v>
      </c>
      <c r="C1053">
        <v>40357125</v>
      </c>
      <c r="D1053" t="s">
        <v>396</v>
      </c>
      <c r="E1053">
        <v>1021470</v>
      </c>
      <c r="F1053" t="s">
        <v>398</v>
      </c>
      <c r="G1053" s="9">
        <v>44981</v>
      </c>
      <c r="H1053" s="7"/>
      <c r="I1053" s="7"/>
      <c r="J1053" s="7"/>
      <c r="K1053" s="7"/>
      <c r="L1053" s="10"/>
      <c r="N1053" s="10"/>
      <c r="Q1053" s="11"/>
      <c r="R1053" s="7"/>
      <c r="S1053" s="7"/>
      <c r="T1053" s="7"/>
      <c r="U1053" s="7"/>
      <c r="V1053" s="10"/>
      <c r="X1053" s="10"/>
      <c r="AA1053" s="11"/>
    </row>
    <row r="1054" spans="2:27" x14ac:dyDescent="0.2">
      <c r="B1054" t="s">
        <v>394</v>
      </c>
      <c r="C1054">
        <v>40357123</v>
      </c>
      <c r="D1054" t="s">
        <v>396</v>
      </c>
      <c r="E1054">
        <v>1021665</v>
      </c>
      <c r="F1054" t="s">
        <v>453</v>
      </c>
      <c r="G1054" s="9">
        <v>44993</v>
      </c>
      <c r="H1054" s="7">
        <v>22015.05</v>
      </c>
      <c r="I1054" s="7"/>
      <c r="J1054" s="7"/>
      <c r="K1054" s="7"/>
      <c r="L1054" s="10"/>
      <c r="N1054" s="10"/>
      <c r="Q1054" s="11"/>
      <c r="R1054" s="7">
        <v>22015.05</v>
      </c>
      <c r="S1054" s="7"/>
      <c r="T1054" s="7"/>
      <c r="U1054" s="7"/>
      <c r="V1054" s="10"/>
      <c r="X1054" s="10"/>
      <c r="AA1054" s="11"/>
    </row>
    <row r="1055" spans="2:27" x14ac:dyDescent="0.2">
      <c r="B1055" t="s">
        <v>394</v>
      </c>
      <c r="C1055">
        <v>40357122</v>
      </c>
      <c r="D1055" t="s">
        <v>396</v>
      </c>
      <c r="E1055">
        <v>1021665</v>
      </c>
      <c r="F1055" t="s">
        <v>453</v>
      </c>
      <c r="G1055" s="9">
        <v>44985</v>
      </c>
      <c r="H1055" s="7"/>
      <c r="I1055" s="7"/>
      <c r="J1055" s="7"/>
      <c r="K1055" s="7"/>
      <c r="L1055" s="10"/>
      <c r="N1055" s="10"/>
      <c r="Q1055" s="11"/>
      <c r="R1055" s="7"/>
      <c r="S1055" s="7"/>
      <c r="T1055" s="7"/>
      <c r="U1055" s="7"/>
      <c r="V1055" s="10"/>
      <c r="X1055" s="10"/>
      <c r="AA1055" s="11"/>
    </row>
    <row r="1056" spans="2:27" x14ac:dyDescent="0.2">
      <c r="B1056" t="s">
        <v>394</v>
      </c>
      <c r="C1056">
        <v>40357118</v>
      </c>
      <c r="D1056" t="s">
        <v>396</v>
      </c>
      <c r="E1056">
        <v>1022887</v>
      </c>
      <c r="F1056" t="s">
        <v>404</v>
      </c>
      <c r="G1056" s="9">
        <v>44985</v>
      </c>
      <c r="H1056" s="7"/>
      <c r="I1056" s="7"/>
      <c r="J1056" s="7"/>
      <c r="K1056" s="7"/>
      <c r="L1056" s="10"/>
      <c r="N1056" s="10"/>
      <c r="Q1056" s="11"/>
      <c r="R1056" s="7"/>
      <c r="S1056" s="7"/>
      <c r="T1056" s="7"/>
      <c r="U1056" s="7"/>
      <c r="V1056" s="10"/>
      <c r="X1056" s="10"/>
      <c r="AA1056" s="11"/>
    </row>
    <row r="1057" spans="2:27" ht="16" x14ac:dyDescent="0.2">
      <c r="B1057" t="s">
        <v>35</v>
      </c>
      <c r="C1057">
        <v>40357102</v>
      </c>
      <c r="D1057" t="s">
        <v>409</v>
      </c>
      <c r="E1057">
        <v>1030379</v>
      </c>
      <c r="F1057" t="s">
        <v>97</v>
      </c>
      <c r="G1057" s="9">
        <v>44977</v>
      </c>
      <c r="H1057" s="7">
        <v>24022.232319999999</v>
      </c>
      <c r="I1057" s="7"/>
      <c r="J1057" s="7"/>
      <c r="K1057" s="7"/>
      <c r="L1057" s="10">
        <v>7.5</v>
      </c>
      <c r="M1057" s="9">
        <v>44984</v>
      </c>
      <c r="N1057" s="10">
        <v>9.5</v>
      </c>
      <c r="O1057" s="9">
        <v>44993</v>
      </c>
      <c r="P1057">
        <v>20</v>
      </c>
      <c r="Q1057" s="11" t="s">
        <v>49</v>
      </c>
      <c r="R1057" s="7">
        <v>24022.232319999999</v>
      </c>
      <c r="S1057" s="7"/>
      <c r="T1057" s="7"/>
      <c r="U1057" s="7"/>
      <c r="V1057" s="10">
        <v>9.5</v>
      </c>
      <c r="W1057" s="9">
        <v>44986</v>
      </c>
      <c r="X1057" s="10">
        <v>11.5</v>
      </c>
      <c r="Y1057" s="9">
        <v>44993</v>
      </c>
      <c r="Z1057">
        <v>20</v>
      </c>
      <c r="AA1057" s="11" t="s">
        <v>49</v>
      </c>
    </row>
    <row r="1058" spans="2:27" ht="16" x14ac:dyDescent="0.2">
      <c r="B1058" t="s">
        <v>35</v>
      </c>
      <c r="C1058">
        <v>40357101</v>
      </c>
      <c r="D1058" t="s">
        <v>409</v>
      </c>
      <c r="E1058">
        <v>1030379</v>
      </c>
      <c r="F1058" t="s">
        <v>97</v>
      </c>
      <c r="G1058" s="9">
        <v>44969</v>
      </c>
      <c r="H1058" s="7"/>
      <c r="I1058" s="7"/>
      <c r="J1058" s="7"/>
      <c r="K1058" s="7"/>
      <c r="L1058" s="10">
        <v>7.5</v>
      </c>
      <c r="M1058" s="9">
        <v>44976</v>
      </c>
      <c r="N1058" s="10">
        <v>9.5</v>
      </c>
      <c r="O1058" s="9">
        <v>44985</v>
      </c>
      <c r="P1058">
        <v>0</v>
      </c>
      <c r="Q1058" s="11" t="s">
        <v>594</v>
      </c>
      <c r="R1058" s="7"/>
      <c r="S1058" s="7"/>
      <c r="T1058" s="7"/>
      <c r="U1058" s="7"/>
      <c r="V1058" s="10">
        <v>9.5</v>
      </c>
      <c r="W1058" s="9">
        <v>44978</v>
      </c>
      <c r="X1058" s="10">
        <v>11.5</v>
      </c>
      <c r="Y1058" s="9">
        <v>44985</v>
      </c>
      <c r="Z1058">
        <v>0</v>
      </c>
      <c r="AA1058" s="11" t="s">
        <v>594</v>
      </c>
    </row>
    <row r="1059" spans="2:27" ht="16" x14ac:dyDescent="0.2">
      <c r="B1059" t="s">
        <v>35</v>
      </c>
      <c r="C1059">
        <v>40357100</v>
      </c>
      <c r="D1059" t="s">
        <v>409</v>
      </c>
      <c r="E1059">
        <v>1030379</v>
      </c>
      <c r="F1059" t="s">
        <v>97</v>
      </c>
      <c r="G1059" s="9">
        <v>44969</v>
      </c>
      <c r="H1059" s="7"/>
      <c r="I1059" s="7"/>
      <c r="J1059" s="7"/>
      <c r="K1059" s="7"/>
      <c r="L1059" s="10">
        <v>7.5</v>
      </c>
      <c r="M1059" s="9">
        <v>44976</v>
      </c>
      <c r="N1059" s="10">
        <v>9.5</v>
      </c>
      <c r="O1059" s="9">
        <v>44985</v>
      </c>
      <c r="P1059">
        <v>0</v>
      </c>
      <c r="Q1059" s="11" t="s">
        <v>594</v>
      </c>
      <c r="R1059" s="7"/>
      <c r="S1059" s="7"/>
      <c r="T1059" s="7"/>
      <c r="U1059" s="7"/>
      <c r="V1059" s="10">
        <v>9.5</v>
      </c>
      <c r="W1059" s="9">
        <v>44978</v>
      </c>
      <c r="X1059" s="10">
        <v>11.5</v>
      </c>
      <c r="Y1059" s="9">
        <v>44985</v>
      </c>
      <c r="Z1059">
        <v>0</v>
      </c>
      <c r="AA1059" s="11" t="s">
        <v>594</v>
      </c>
    </row>
    <row r="1060" spans="2:27" ht="16" x14ac:dyDescent="0.2">
      <c r="B1060" t="s">
        <v>35</v>
      </c>
      <c r="C1060">
        <v>40357099</v>
      </c>
      <c r="D1060" t="s">
        <v>409</v>
      </c>
      <c r="E1060">
        <v>1030379</v>
      </c>
      <c r="F1060" t="s">
        <v>97</v>
      </c>
      <c r="G1060" s="9">
        <v>44964</v>
      </c>
      <c r="H1060" s="7"/>
      <c r="I1060" s="7"/>
      <c r="J1060" s="7"/>
      <c r="K1060" s="7"/>
      <c r="L1060" s="10">
        <v>7.5</v>
      </c>
      <c r="M1060" s="9">
        <v>44971</v>
      </c>
      <c r="N1060" s="10">
        <v>9.5</v>
      </c>
      <c r="O1060" s="9">
        <v>44980</v>
      </c>
      <c r="P1060">
        <v>4</v>
      </c>
      <c r="Q1060" s="11" t="s">
        <v>49</v>
      </c>
      <c r="R1060" s="7"/>
      <c r="S1060" s="7"/>
      <c r="T1060" s="7"/>
      <c r="U1060" s="7"/>
      <c r="V1060" s="10">
        <v>9.5</v>
      </c>
      <c r="W1060" s="9">
        <v>44973</v>
      </c>
      <c r="X1060" s="10">
        <v>11.5</v>
      </c>
      <c r="Y1060" s="9">
        <v>44980</v>
      </c>
      <c r="Z1060">
        <v>4</v>
      </c>
      <c r="AA1060" s="11" t="s">
        <v>49</v>
      </c>
    </row>
    <row r="1061" spans="2:27" ht="16" x14ac:dyDescent="0.2">
      <c r="B1061" t="s">
        <v>35</v>
      </c>
      <c r="C1061">
        <v>40357098</v>
      </c>
      <c r="D1061" t="s">
        <v>409</v>
      </c>
      <c r="E1061">
        <v>1030379</v>
      </c>
      <c r="F1061" t="s">
        <v>97</v>
      </c>
      <c r="G1061" s="9">
        <v>44956</v>
      </c>
      <c r="H1061" s="7"/>
      <c r="I1061" s="7"/>
      <c r="J1061" s="7"/>
      <c r="K1061" s="7"/>
      <c r="L1061" s="10">
        <v>7.5</v>
      </c>
      <c r="M1061" s="9">
        <v>44963</v>
      </c>
      <c r="N1061" s="10">
        <v>9.5</v>
      </c>
      <c r="O1061" s="9">
        <v>44972</v>
      </c>
      <c r="P1061">
        <v>10</v>
      </c>
      <c r="Q1061" s="11" t="s">
        <v>49</v>
      </c>
      <c r="R1061" s="7"/>
      <c r="S1061" s="7"/>
      <c r="T1061" s="7"/>
      <c r="U1061" s="7"/>
      <c r="V1061" s="10">
        <v>9.5</v>
      </c>
      <c r="W1061" s="9">
        <v>44965</v>
      </c>
      <c r="X1061" s="10">
        <v>11.5</v>
      </c>
      <c r="Y1061" s="9">
        <v>44972</v>
      </c>
      <c r="Z1061">
        <v>10</v>
      </c>
      <c r="AA1061" s="11" t="s">
        <v>49</v>
      </c>
    </row>
    <row r="1062" spans="2:27" ht="16" x14ac:dyDescent="0.2">
      <c r="B1062" t="s">
        <v>35</v>
      </c>
      <c r="C1062">
        <v>40357097</v>
      </c>
      <c r="D1062" t="s">
        <v>409</v>
      </c>
      <c r="E1062">
        <v>1030379</v>
      </c>
      <c r="F1062" t="s">
        <v>97</v>
      </c>
      <c r="G1062" s="9">
        <v>44964</v>
      </c>
      <c r="H1062" s="7"/>
      <c r="I1062" s="7"/>
      <c r="J1062" s="7"/>
      <c r="K1062" s="7"/>
      <c r="L1062" s="10">
        <v>7.5</v>
      </c>
      <c r="M1062" s="9">
        <v>44971</v>
      </c>
      <c r="N1062" s="10">
        <v>9.5</v>
      </c>
      <c r="O1062" s="9">
        <v>44980</v>
      </c>
      <c r="P1062">
        <v>4</v>
      </c>
      <c r="Q1062" s="11" t="s">
        <v>49</v>
      </c>
      <c r="R1062" s="7"/>
      <c r="S1062" s="7"/>
      <c r="T1062" s="7"/>
      <c r="U1062" s="7"/>
      <c r="V1062" s="10">
        <v>9.5</v>
      </c>
      <c r="W1062" s="9">
        <v>44973</v>
      </c>
      <c r="X1062" s="10">
        <v>11.5</v>
      </c>
      <c r="Y1062" s="9">
        <v>44980</v>
      </c>
      <c r="Z1062">
        <v>4</v>
      </c>
      <c r="AA1062" s="11" t="s">
        <v>49</v>
      </c>
    </row>
    <row r="1063" spans="2:27" ht="16" x14ac:dyDescent="0.2">
      <c r="B1063" t="s">
        <v>35</v>
      </c>
      <c r="C1063">
        <v>40357090</v>
      </c>
      <c r="D1063" t="s">
        <v>409</v>
      </c>
      <c r="E1063">
        <v>1012110</v>
      </c>
      <c r="F1063" t="s">
        <v>109</v>
      </c>
      <c r="G1063" s="9">
        <v>44979</v>
      </c>
      <c r="H1063" s="7">
        <v>18143.68</v>
      </c>
      <c r="I1063" s="7"/>
      <c r="J1063" s="7"/>
      <c r="K1063" s="7"/>
      <c r="L1063" s="10">
        <v>7.5</v>
      </c>
      <c r="M1063" s="9">
        <v>44986</v>
      </c>
      <c r="N1063" s="10">
        <v>9.5</v>
      </c>
      <c r="O1063" s="9">
        <v>44995</v>
      </c>
      <c r="P1063">
        <v>18</v>
      </c>
      <c r="Q1063" s="11" t="s">
        <v>49</v>
      </c>
      <c r="R1063" s="7">
        <v>18143.68</v>
      </c>
      <c r="S1063" s="7"/>
      <c r="T1063" s="7"/>
      <c r="U1063" s="7"/>
      <c r="V1063" s="10">
        <v>9.5</v>
      </c>
      <c r="W1063" s="9">
        <v>44988</v>
      </c>
      <c r="X1063" s="10">
        <v>11.5</v>
      </c>
      <c r="Y1063" s="9">
        <v>44995</v>
      </c>
      <c r="Z1063">
        <v>18</v>
      </c>
      <c r="AA1063" s="11" t="s">
        <v>49</v>
      </c>
    </row>
    <row r="1064" spans="2:27" ht="16" x14ac:dyDescent="0.2">
      <c r="B1064" t="s">
        <v>35</v>
      </c>
      <c r="C1064">
        <v>40357088</v>
      </c>
      <c r="D1064" t="s">
        <v>409</v>
      </c>
      <c r="E1064">
        <v>1012110</v>
      </c>
      <c r="F1064" t="s">
        <v>109</v>
      </c>
      <c r="G1064" s="9">
        <v>44979</v>
      </c>
      <c r="H1064" s="7">
        <v>18143.68</v>
      </c>
      <c r="I1064" s="7"/>
      <c r="J1064" s="7"/>
      <c r="K1064" s="7"/>
      <c r="L1064" s="10">
        <v>7.5</v>
      </c>
      <c r="M1064" s="9">
        <v>44986</v>
      </c>
      <c r="N1064" s="10">
        <v>9.5</v>
      </c>
      <c r="O1064" s="9">
        <v>44995</v>
      </c>
      <c r="P1064">
        <v>18</v>
      </c>
      <c r="Q1064" s="11" t="s">
        <v>49</v>
      </c>
      <c r="R1064" s="7">
        <v>18143.68</v>
      </c>
      <c r="S1064" s="7"/>
      <c r="T1064" s="7"/>
      <c r="U1064" s="7"/>
      <c r="V1064" s="10">
        <v>9.5</v>
      </c>
      <c r="W1064" s="9">
        <v>44988</v>
      </c>
      <c r="X1064" s="10">
        <v>11.5</v>
      </c>
      <c r="Y1064" s="9">
        <v>44995</v>
      </c>
      <c r="Z1064">
        <v>18</v>
      </c>
      <c r="AA1064" s="11" t="s">
        <v>49</v>
      </c>
    </row>
    <row r="1065" spans="2:27" ht="16" x14ac:dyDescent="0.2">
      <c r="B1065" t="s">
        <v>35</v>
      </c>
      <c r="C1065">
        <v>40357087</v>
      </c>
      <c r="D1065" t="s">
        <v>409</v>
      </c>
      <c r="E1065">
        <v>1012110</v>
      </c>
      <c r="F1065" t="s">
        <v>109</v>
      </c>
      <c r="G1065" s="9">
        <v>44971</v>
      </c>
      <c r="H1065" s="7">
        <v>18143.68</v>
      </c>
      <c r="I1065" s="7"/>
      <c r="J1065" s="7"/>
      <c r="K1065" s="7"/>
      <c r="L1065" s="10">
        <v>7.5</v>
      </c>
      <c r="M1065" s="9">
        <v>44978</v>
      </c>
      <c r="N1065" s="10">
        <v>9.5</v>
      </c>
      <c r="O1065" s="9">
        <v>44987</v>
      </c>
      <c r="P1065">
        <v>25</v>
      </c>
      <c r="Q1065" s="11" t="s">
        <v>49</v>
      </c>
      <c r="R1065" s="7">
        <v>18143.68</v>
      </c>
      <c r="S1065" s="7"/>
      <c r="T1065" s="7"/>
      <c r="U1065" s="7"/>
      <c r="V1065" s="10">
        <v>9.5</v>
      </c>
      <c r="W1065" s="9">
        <v>44980</v>
      </c>
      <c r="X1065" s="10">
        <v>11.5</v>
      </c>
      <c r="Y1065" s="9">
        <v>44987</v>
      </c>
      <c r="Z1065">
        <v>25</v>
      </c>
      <c r="AA1065" s="11" t="s">
        <v>49</v>
      </c>
    </row>
    <row r="1066" spans="2:27" ht="16" x14ac:dyDescent="0.2">
      <c r="B1066" t="s">
        <v>35</v>
      </c>
      <c r="C1066">
        <v>40357086</v>
      </c>
      <c r="D1066" t="s">
        <v>409</v>
      </c>
      <c r="E1066">
        <v>1012110</v>
      </c>
      <c r="F1066" t="s">
        <v>109</v>
      </c>
      <c r="G1066" s="9">
        <v>44977</v>
      </c>
      <c r="H1066" s="7">
        <v>18143.68</v>
      </c>
      <c r="I1066" s="7"/>
      <c r="J1066" s="7"/>
      <c r="K1066" s="7"/>
      <c r="L1066" s="10">
        <v>7.5</v>
      </c>
      <c r="M1066" s="9">
        <v>44984</v>
      </c>
      <c r="N1066" s="10">
        <v>9.5</v>
      </c>
      <c r="O1066" s="9">
        <v>44993</v>
      </c>
      <c r="P1066">
        <v>20</v>
      </c>
      <c r="Q1066" s="11" t="s">
        <v>49</v>
      </c>
      <c r="R1066" s="7">
        <v>18143.68</v>
      </c>
      <c r="S1066" s="7"/>
      <c r="T1066" s="7"/>
      <c r="U1066" s="7"/>
      <c r="V1066" s="10">
        <v>9.5</v>
      </c>
      <c r="W1066" s="9">
        <v>44986</v>
      </c>
      <c r="X1066" s="10">
        <v>11.5</v>
      </c>
      <c r="Y1066" s="9">
        <v>44993</v>
      </c>
      <c r="Z1066">
        <v>20</v>
      </c>
      <c r="AA1066" s="11" t="s">
        <v>49</v>
      </c>
    </row>
    <row r="1067" spans="2:27" ht="16" x14ac:dyDescent="0.2">
      <c r="B1067" t="s">
        <v>35</v>
      </c>
      <c r="C1067">
        <v>40357084</v>
      </c>
      <c r="D1067" t="s">
        <v>409</v>
      </c>
      <c r="E1067">
        <v>1012109</v>
      </c>
      <c r="F1067" t="s">
        <v>68</v>
      </c>
      <c r="G1067" s="9">
        <v>44956</v>
      </c>
      <c r="H1067" s="7"/>
      <c r="I1067" s="7"/>
      <c r="J1067" s="7"/>
      <c r="K1067" s="7"/>
      <c r="L1067" s="10">
        <v>7.5</v>
      </c>
      <c r="M1067" s="9">
        <v>44963</v>
      </c>
      <c r="N1067" s="10">
        <v>9.5</v>
      </c>
      <c r="O1067" s="9">
        <v>44972</v>
      </c>
      <c r="P1067">
        <v>10</v>
      </c>
      <c r="Q1067" s="11" t="s">
        <v>49</v>
      </c>
      <c r="R1067" s="7"/>
      <c r="S1067" s="7"/>
      <c r="T1067" s="7"/>
      <c r="U1067" s="7"/>
      <c r="V1067" s="10">
        <v>9.5</v>
      </c>
      <c r="W1067" s="9">
        <v>44965</v>
      </c>
      <c r="X1067" s="10">
        <v>11.5</v>
      </c>
      <c r="Y1067" s="9">
        <v>44972</v>
      </c>
      <c r="Z1067">
        <v>10</v>
      </c>
      <c r="AA1067" s="11" t="s">
        <v>49</v>
      </c>
    </row>
    <row r="1068" spans="2:27" ht="16" x14ac:dyDescent="0.2">
      <c r="B1068" t="s">
        <v>35</v>
      </c>
      <c r="C1068">
        <v>40357067</v>
      </c>
      <c r="D1068" t="s">
        <v>409</v>
      </c>
      <c r="E1068">
        <v>1012164</v>
      </c>
      <c r="F1068" t="s">
        <v>142</v>
      </c>
      <c r="G1068" s="9">
        <v>44962</v>
      </c>
      <c r="H1068" s="7"/>
      <c r="I1068" s="7"/>
      <c r="J1068" s="7"/>
      <c r="K1068" s="7"/>
      <c r="L1068" s="10">
        <v>7.5</v>
      </c>
      <c r="M1068" s="9">
        <v>44969</v>
      </c>
      <c r="N1068" s="10">
        <v>9.5</v>
      </c>
      <c r="O1068" s="9">
        <v>44978</v>
      </c>
      <c r="P1068">
        <v>6</v>
      </c>
      <c r="Q1068" s="11" t="s">
        <v>49</v>
      </c>
      <c r="R1068" s="7"/>
      <c r="S1068" s="7"/>
      <c r="T1068" s="7"/>
      <c r="U1068" s="7"/>
      <c r="V1068" s="10">
        <v>9.5</v>
      </c>
      <c r="W1068" s="9">
        <v>44971</v>
      </c>
      <c r="X1068" s="10">
        <v>11.5</v>
      </c>
      <c r="Y1068" s="9">
        <v>44978</v>
      </c>
      <c r="Z1068">
        <v>6</v>
      </c>
      <c r="AA1068" s="11" t="s">
        <v>49</v>
      </c>
    </row>
    <row r="1069" spans="2:27" ht="16" x14ac:dyDescent="0.2">
      <c r="B1069" t="s">
        <v>35</v>
      </c>
      <c r="C1069">
        <v>40357067</v>
      </c>
      <c r="D1069" t="s">
        <v>409</v>
      </c>
      <c r="E1069">
        <v>1012157</v>
      </c>
      <c r="F1069" t="s">
        <v>99</v>
      </c>
      <c r="G1069" s="9">
        <v>44962</v>
      </c>
      <c r="H1069" s="7"/>
      <c r="I1069" s="7"/>
      <c r="J1069" s="7"/>
      <c r="K1069" s="7"/>
      <c r="L1069" s="10">
        <v>7.5</v>
      </c>
      <c r="M1069" s="9">
        <v>44969</v>
      </c>
      <c r="N1069" s="10">
        <v>9.5</v>
      </c>
      <c r="O1069" s="9">
        <v>44978</v>
      </c>
      <c r="P1069">
        <v>6</v>
      </c>
      <c r="Q1069" s="11" t="s">
        <v>49</v>
      </c>
      <c r="R1069" s="7"/>
      <c r="S1069" s="7"/>
      <c r="T1069" s="7"/>
      <c r="U1069" s="7"/>
      <c r="V1069" s="10">
        <v>9.5</v>
      </c>
      <c r="W1069" s="9">
        <v>44971</v>
      </c>
      <c r="X1069" s="10">
        <v>11.5</v>
      </c>
      <c r="Y1069" s="9">
        <v>44978</v>
      </c>
      <c r="Z1069">
        <v>6</v>
      </c>
      <c r="AA1069" s="11" t="s">
        <v>49</v>
      </c>
    </row>
    <row r="1070" spans="2:27" ht="16" x14ac:dyDescent="0.2">
      <c r="B1070" t="s">
        <v>35</v>
      </c>
      <c r="C1070">
        <v>40357065</v>
      </c>
      <c r="D1070" t="s">
        <v>409</v>
      </c>
      <c r="E1070">
        <v>1012108</v>
      </c>
      <c r="F1070" t="s">
        <v>57</v>
      </c>
      <c r="G1070" s="9">
        <v>44964</v>
      </c>
      <c r="H1070" s="7"/>
      <c r="I1070" s="7"/>
      <c r="J1070" s="7"/>
      <c r="K1070" s="7"/>
      <c r="L1070" s="10">
        <v>7.5</v>
      </c>
      <c r="M1070" s="9">
        <v>44971</v>
      </c>
      <c r="N1070" s="10">
        <v>9.5</v>
      </c>
      <c r="O1070" s="9">
        <v>44980</v>
      </c>
      <c r="P1070">
        <v>4</v>
      </c>
      <c r="Q1070" s="11" t="s">
        <v>49</v>
      </c>
      <c r="R1070" s="7"/>
      <c r="S1070" s="7"/>
      <c r="T1070" s="7"/>
      <c r="U1070" s="7"/>
      <c r="V1070" s="10">
        <v>9.5</v>
      </c>
      <c r="W1070" s="9">
        <v>44973</v>
      </c>
      <c r="X1070" s="10">
        <v>11.5</v>
      </c>
      <c r="Y1070" s="9">
        <v>44980</v>
      </c>
      <c r="Z1070">
        <v>4</v>
      </c>
      <c r="AA1070" s="11" t="s">
        <v>49</v>
      </c>
    </row>
    <row r="1071" spans="2:27" ht="16" x14ac:dyDescent="0.2">
      <c r="B1071" t="s">
        <v>35</v>
      </c>
      <c r="C1071">
        <v>40357064</v>
      </c>
      <c r="D1071" t="s">
        <v>409</v>
      </c>
      <c r="E1071">
        <v>1012107</v>
      </c>
      <c r="F1071" t="s">
        <v>215</v>
      </c>
      <c r="G1071" s="9">
        <v>44977</v>
      </c>
      <c r="H1071" s="7">
        <v>1814.3679999999999</v>
      </c>
      <c r="I1071" s="7"/>
      <c r="J1071" s="7"/>
      <c r="K1071" s="7"/>
      <c r="L1071" s="10">
        <v>7.5</v>
      </c>
      <c r="M1071" s="9">
        <v>44984</v>
      </c>
      <c r="N1071" s="10">
        <v>9.5</v>
      </c>
      <c r="O1071" s="9">
        <v>44993</v>
      </c>
      <c r="P1071">
        <v>20</v>
      </c>
      <c r="Q1071" s="11" t="s">
        <v>49</v>
      </c>
      <c r="R1071" s="7">
        <v>1814.3679999999999</v>
      </c>
      <c r="S1071" s="7"/>
      <c r="T1071" s="7"/>
      <c r="U1071" s="7"/>
      <c r="V1071" s="10">
        <v>9.5</v>
      </c>
      <c r="W1071" s="9">
        <v>44986</v>
      </c>
      <c r="X1071" s="10">
        <v>11.5</v>
      </c>
      <c r="Y1071" s="9">
        <v>44993</v>
      </c>
      <c r="Z1071">
        <v>20</v>
      </c>
      <c r="AA1071" s="11" t="s">
        <v>49</v>
      </c>
    </row>
    <row r="1072" spans="2:27" ht="16" x14ac:dyDescent="0.2">
      <c r="B1072" t="s">
        <v>35</v>
      </c>
      <c r="C1072">
        <v>40357064</v>
      </c>
      <c r="D1072" t="s">
        <v>409</v>
      </c>
      <c r="E1072">
        <v>1012520</v>
      </c>
      <c r="F1072" t="s">
        <v>113</v>
      </c>
      <c r="G1072" s="9">
        <v>44977</v>
      </c>
      <c r="H1072" s="7">
        <v>16329.312</v>
      </c>
      <c r="I1072" s="7"/>
      <c r="J1072" s="7"/>
      <c r="K1072" s="7"/>
      <c r="L1072" s="10">
        <v>7.5</v>
      </c>
      <c r="M1072" s="9">
        <v>44984</v>
      </c>
      <c r="N1072" s="10">
        <v>9.5</v>
      </c>
      <c r="O1072" s="9">
        <v>44993</v>
      </c>
      <c r="P1072">
        <v>20</v>
      </c>
      <c r="Q1072" s="11" t="s">
        <v>49</v>
      </c>
      <c r="R1072" s="7">
        <v>16329.312</v>
      </c>
      <c r="S1072" s="7"/>
      <c r="T1072" s="7"/>
      <c r="U1072" s="7"/>
      <c r="V1072" s="10">
        <v>9.5</v>
      </c>
      <c r="W1072" s="9">
        <v>44986</v>
      </c>
      <c r="X1072" s="10">
        <v>11.5</v>
      </c>
      <c r="Y1072" s="9">
        <v>44993</v>
      </c>
      <c r="Z1072">
        <v>20</v>
      </c>
      <c r="AA1072" s="11" t="s">
        <v>49</v>
      </c>
    </row>
    <row r="1073" spans="2:27" ht="16" x14ac:dyDescent="0.2">
      <c r="B1073" t="s">
        <v>35</v>
      </c>
      <c r="C1073">
        <v>40356968</v>
      </c>
      <c r="D1073" t="s">
        <v>386</v>
      </c>
      <c r="E1073">
        <v>1012745</v>
      </c>
      <c r="F1073" t="s">
        <v>425</v>
      </c>
      <c r="G1073" s="9">
        <v>44967</v>
      </c>
      <c r="H1073" s="7"/>
      <c r="I1073" s="7"/>
      <c r="J1073" s="7"/>
      <c r="K1073" s="7"/>
      <c r="L1073" s="10">
        <v>5.1420118343195256</v>
      </c>
      <c r="M1073" s="9">
        <v>44972</v>
      </c>
      <c r="N1073" s="10">
        <v>7.5</v>
      </c>
      <c r="O1073" s="9">
        <v>44979</v>
      </c>
      <c r="P1073">
        <v>5</v>
      </c>
      <c r="Q1073" s="11" t="s">
        <v>49</v>
      </c>
      <c r="R1073" s="7"/>
      <c r="S1073" s="7"/>
      <c r="T1073" s="7"/>
      <c r="U1073" s="7"/>
      <c r="V1073" s="10">
        <v>7.1420118343195256</v>
      </c>
      <c r="W1073" s="9">
        <v>44974</v>
      </c>
      <c r="X1073" s="10">
        <v>9.5</v>
      </c>
      <c r="Y1073" s="9">
        <v>44979</v>
      </c>
      <c r="Z1073">
        <v>5</v>
      </c>
      <c r="AA1073" s="11" t="s">
        <v>49</v>
      </c>
    </row>
    <row r="1074" spans="2:27" ht="16" x14ac:dyDescent="0.2">
      <c r="B1074" t="s">
        <v>35</v>
      </c>
      <c r="C1074">
        <v>40356968</v>
      </c>
      <c r="D1074" t="s">
        <v>386</v>
      </c>
      <c r="E1074">
        <v>1012730</v>
      </c>
      <c r="F1074" t="s">
        <v>426</v>
      </c>
      <c r="G1074" s="9">
        <v>44967</v>
      </c>
      <c r="H1074" s="7"/>
      <c r="I1074" s="7"/>
      <c r="J1074" s="7"/>
      <c r="K1074" s="7"/>
      <c r="L1074" s="10">
        <v>5.1420118343195256</v>
      </c>
      <c r="M1074" s="9">
        <v>44972</v>
      </c>
      <c r="N1074" s="10">
        <v>7.5</v>
      </c>
      <c r="O1074" s="9">
        <v>44979</v>
      </c>
      <c r="P1074">
        <v>5</v>
      </c>
      <c r="Q1074" s="11" t="s">
        <v>49</v>
      </c>
      <c r="R1074" s="7"/>
      <c r="S1074" s="7"/>
      <c r="T1074" s="7"/>
      <c r="U1074" s="7"/>
      <c r="V1074" s="10">
        <v>7.1420118343195256</v>
      </c>
      <c r="W1074" s="9">
        <v>44974</v>
      </c>
      <c r="X1074" s="10">
        <v>9.5</v>
      </c>
      <c r="Y1074" s="9">
        <v>44979</v>
      </c>
      <c r="Z1074">
        <v>5</v>
      </c>
      <c r="AA1074" s="11" t="s">
        <v>49</v>
      </c>
    </row>
    <row r="1075" spans="2:27" ht="16" x14ac:dyDescent="0.2">
      <c r="B1075" t="s">
        <v>35</v>
      </c>
      <c r="C1075">
        <v>40356968</v>
      </c>
      <c r="D1075" t="s">
        <v>386</v>
      </c>
      <c r="E1075">
        <v>1012724</v>
      </c>
      <c r="F1075" t="s">
        <v>427</v>
      </c>
      <c r="G1075" s="9">
        <v>44967</v>
      </c>
      <c r="H1075" s="7"/>
      <c r="I1075" s="7"/>
      <c r="J1075" s="7"/>
      <c r="K1075" s="7"/>
      <c r="L1075" s="10">
        <v>5.1420118343195256</v>
      </c>
      <c r="M1075" s="9">
        <v>44972</v>
      </c>
      <c r="N1075" s="10">
        <v>7.5</v>
      </c>
      <c r="O1075" s="9">
        <v>44979</v>
      </c>
      <c r="P1075">
        <v>5</v>
      </c>
      <c r="Q1075" s="11" t="s">
        <v>49</v>
      </c>
      <c r="R1075" s="7"/>
      <c r="S1075" s="7"/>
      <c r="T1075" s="7"/>
      <c r="U1075" s="7"/>
      <c r="V1075" s="10">
        <v>7.1420118343195256</v>
      </c>
      <c r="W1075" s="9">
        <v>44974</v>
      </c>
      <c r="X1075" s="10">
        <v>9.5</v>
      </c>
      <c r="Y1075" s="9">
        <v>44979</v>
      </c>
      <c r="Z1075">
        <v>5</v>
      </c>
      <c r="AA1075" s="11" t="s">
        <v>49</v>
      </c>
    </row>
    <row r="1076" spans="2:27" ht="16" x14ac:dyDescent="0.2">
      <c r="B1076" t="s">
        <v>35</v>
      </c>
      <c r="C1076">
        <v>40356963</v>
      </c>
      <c r="D1076" t="s">
        <v>386</v>
      </c>
      <c r="E1076">
        <v>1020853</v>
      </c>
      <c r="F1076" t="s">
        <v>262</v>
      </c>
      <c r="G1076" s="9">
        <v>44970</v>
      </c>
      <c r="H1076" s="7"/>
      <c r="I1076" s="7"/>
      <c r="J1076" s="7"/>
      <c r="K1076" s="7"/>
      <c r="L1076" s="10">
        <v>5.1420118343195256</v>
      </c>
      <c r="M1076" s="9">
        <v>44975</v>
      </c>
      <c r="N1076" s="10">
        <v>7.5</v>
      </c>
      <c r="O1076" s="9">
        <v>44982</v>
      </c>
      <c r="P1076">
        <v>2</v>
      </c>
      <c r="Q1076" s="11" t="s">
        <v>594</v>
      </c>
      <c r="R1076" s="7"/>
      <c r="S1076" s="7"/>
      <c r="T1076" s="7"/>
      <c r="U1076" s="7"/>
      <c r="V1076" s="10">
        <v>7.1420118343195256</v>
      </c>
      <c r="W1076" s="9">
        <v>44977</v>
      </c>
      <c r="X1076" s="10">
        <v>9.5</v>
      </c>
      <c r="Y1076" s="9">
        <v>44982</v>
      </c>
      <c r="Z1076">
        <v>2</v>
      </c>
      <c r="AA1076" s="11" t="s">
        <v>594</v>
      </c>
    </row>
    <row r="1077" spans="2:27" ht="16" x14ac:dyDescent="0.2">
      <c r="B1077" t="s">
        <v>35</v>
      </c>
      <c r="C1077">
        <v>40356961</v>
      </c>
      <c r="D1077" t="s">
        <v>386</v>
      </c>
      <c r="E1077">
        <v>1020853</v>
      </c>
      <c r="F1077" t="s">
        <v>262</v>
      </c>
      <c r="G1077" s="9">
        <v>44981</v>
      </c>
      <c r="H1077" s="7">
        <v>20000</v>
      </c>
      <c r="I1077" s="7"/>
      <c r="J1077" s="7"/>
      <c r="K1077" s="7"/>
      <c r="L1077" s="10">
        <v>5.1420118343195256</v>
      </c>
      <c r="M1077" s="9">
        <v>44986</v>
      </c>
      <c r="N1077" s="10">
        <v>7.5</v>
      </c>
      <c r="O1077" s="9">
        <v>44993</v>
      </c>
      <c r="P1077">
        <v>20</v>
      </c>
      <c r="Q1077" s="11" t="s">
        <v>49</v>
      </c>
      <c r="R1077" s="7">
        <v>20000</v>
      </c>
      <c r="S1077" s="7"/>
      <c r="T1077" s="7"/>
      <c r="U1077" s="7"/>
      <c r="V1077" s="10">
        <v>7.1420118343195256</v>
      </c>
      <c r="W1077" s="9">
        <v>44988</v>
      </c>
      <c r="X1077" s="10">
        <v>9.5</v>
      </c>
      <c r="Y1077" s="9">
        <v>44993</v>
      </c>
      <c r="Z1077">
        <v>20</v>
      </c>
      <c r="AA1077" s="11" t="s">
        <v>49</v>
      </c>
    </row>
    <row r="1078" spans="2:27" ht="16" x14ac:dyDescent="0.2">
      <c r="B1078" t="s">
        <v>35</v>
      </c>
      <c r="C1078">
        <v>40356959</v>
      </c>
      <c r="D1078" t="s">
        <v>386</v>
      </c>
      <c r="E1078">
        <v>1020853</v>
      </c>
      <c r="F1078" t="s">
        <v>262</v>
      </c>
      <c r="G1078" s="9">
        <v>44981</v>
      </c>
      <c r="H1078" s="7">
        <v>20000</v>
      </c>
      <c r="I1078" s="7"/>
      <c r="J1078" s="7"/>
      <c r="K1078" s="7"/>
      <c r="L1078" s="10">
        <v>5.1420118343195256</v>
      </c>
      <c r="M1078" s="9">
        <v>44986</v>
      </c>
      <c r="N1078" s="10">
        <v>7.5</v>
      </c>
      <c r="O1078" s="9">
        <v>44993</v>
      </c>
      <c r="P1078">
        <v>20</v>
      </c>
      <c r="Q1078" s="11" t="s">
        <v>49</v>
      </c>
      <c r="R1078" s="7">
        <v>20000</v>
      </c>
      <c r="S1078" s="7"/>
      <c r="T1078" s="7"/>
      <c r="U1078" s="7"/>
      <c r="V1078" s="10">
        <v>7.1420118343195256</v>
      </c>
      <c r="W1078" s="9">
        <v>44988</v>
      </c>
      <c r="X1078" s="10">
        <v>9.5</v>
      </c>
      <c r="Y1078" s="9">
        <v>44993</v>
      </c>
      <c r="Z1078">
        <v>20</v>
      </c>
      <c r="AA1078" s="11" t="s">
        <v>49</v>
      </c>
    </row>
    <row r="1079" spans="2:27" ht="16" x14ac:dyDescent="0.2">
      <c r="B1079" t="s">
        <v>35</v>
      </c>
      <c r="C1079">
        <v>40356958</v>
      </c>
      <c r="D1079" t="s">
        <v>386</v>
      </c>
      <c r="E1079">
        <v>1020853</v>
      </c>
      <c r="F1079" t="s">
        <v>262</v>
      </c>
      <c r="G1079" s="9">
        <v>44967</v>
      </c>
      <c r="H1079" s="7"/>
      <c r="I1079" s="7"/>
      <c r="J1079" s="7"/>
      <c r="K1079" s="7"/>
      <c r="L1079" s="10">
        <v>5.1420118343195256</v>
      </c>
      <c r="M1079" s="9">
        <v>44972</v>
      </c>
      <c r="N1079" s="10">
        <v>7.5</v>
      </c>
      <c r="O1079" s="9">
        <v>44979</v>
      </c>
      <c r="P1079">
        <v>5</v>
      </c>
      <c r="Q1079" s="11" t="s">
        <v>49</v>
      </c>
      <c r="R1079" s="7"/>
      <c r="S1079" s="7"/>
      <c r="T1079" s="7"/>
      <c r="U1079" s="7"/>
      <c r="V1079" s="10">
        <v>7.1420118343195256</v>
      </c>
      <c r="W1079" s="9">
        <v>44974</v>
      </c>
      <c r="X1079" s="10">
        <v>9.5</v>
      </c>
      <c r="Y1079" s="9">
        <v>44979</v>
      </c>
      <c r="Z1079">
        <v>5</v>
      </c>
      <c r="AA1079" s="11" t="s">
        <v>49</v>
      </c>
    </row>
    <row r="1080" spans="2:27" ht="16" x14ac:dyDescent="0.2">
      <c r="B1080" t="s">
        <v>35</v>
      </c>
      <c r="C1080">
        <v>40356957</v>
      </c>
      <c r="D1080" t="s">
        <v>386</v>
      </c>
      <c r="E1080">
        <v>1020853</v>
      </c>
      <c r="F1080" t="s">
        <v>262</v>
      </c>
      <c r="G1080" s="9">
        <v>44967</v>
      </c>
      <c r="H1080" s="7"/>
      <c r="I1080" s="7"/>
      <c r="J1080" s="7"/>
      <c r="K1080" s="7"/>
      <c r="L1080" s="10">
        <v>5.1420118343195256</v>
      </c>
      <c r="M1080" s="9">
        <v>44972</v>
      </c>
      <c r="N1080" s="10">
        <v>7.5</v>
      </c>
      <c r="O1080" s="9">
        <v>44979</v>
      </c>
      <c r="P1080">
        <v>5</v>
      </c>
      <c r="Q1080" s="11" t="s">
        <v>49</v>
      </c>
      <c r="R1080" s="7"/>
      <c r="S1080" s="7"/>
      <c r="T1080" s="7"/>
      <c r="U1080" s="7"/>
      <c r="V1080" s="10">
        <v>7.1420118343195256</v>
      </c>
      <c r="W1080" s="9">
        <v>44974</v>
      </c>
      <c r="X1080" s="10">
        <v>9.5</v>
      </c>
      <c r="Y1080" s="9">
        <v>44979</v>
      </c>
      <c r="Z1080">
        <v>5</v>
      </c>
      <c r="AA1080" s="11" t="s">
        <v>49</v>
      </c>
    </row>
    <row r="1081" spans="2:27" ht="16" x14ac:dyDescent="0.2">
      <c r="B1081" t="s">
        <v>35</v>
      </c>
      <c r="C1081">
        <v>40356957</v>
      </c>
      <c r="D1081" t="s">
        <v>386</v>
      </c>
      <c r="E1081">
        <v>1020853</v>
      </c>
      <c r="F1081" t="s">
        <v>262</v>
      </c>
      <c r="G1081" s="9">
        <v>44967</v>
      </c>
      <c r="H1081" s="7"/>
      <c r="I1081" s="7"/>
      <c r="J1081" s="7"/>
      <c r="K1081" s="7"/>
      <c r="L1081" s="10">
        <v>5.1420118343195256</v>
      </c>
      <c r="M1081" s="9">
        <v>44972</v>
      </c>
      <c r="N1081" s="10">
        <v>7.5</v>
      </c>
      <c r="O1081" s="9">
        <v>44979</v>
      </c>
      <c r="P1081">
        <v>5</v>
      </c>
      <c r="Q1081" s="11" t="s">
        <v>49</v>
      </c>
      <c r="R1081" s="7"/>
      <c r="S1081" s="7"/>
      <c r="T1081" s="7"/>
      <c r="U1081" s="7"/>
      <c r="V1081" s="10">
        <v>7.1420118343195256</v>
      </c>
      <c r="W1081" s="9">
        <v>44974</v>
      </c>
      <c r="X1081" s="10">
        <v>9.5</v>
      </c>
      <c r="Y1081" s="9">
        <v>44979</v>
      </c>
      <c r="Z1081">
        <v>5</v>
      </c>
      <c r="AA1081" s="11" t="s">
        <v>49</v>
      </c>
    </row>
    <row r="1082" spans="2:27" ht="16" x14ac:dyDescent="0.2">
      <c r="B1082" t="s">
        <v>35</v>
      </c>
      <c r="C1082">
        <v>40356943</v>
      </c>
      <c r="D1082" t="s">
        <v>386</v>
      </c>
      <c r="E1082">
        <v>1012432</v>
      </c>
      <c r="F1082" t="s">
        <v>454</v>
      </c>
      <c r="G1082" s="9">
        <v>44974</v>
      </c>
      <c r="H1082" s="7">
        <v>21600</v>
      </c>
      <c r="I1082" s="7"/>
      <c r="J1082" s="7"/>
      <c r="K1082" s="7"/>
      <c r="L1082" s="10">
        <v>5.1420118343195256</v>
      </c>
      <c r="M1082" s="9">
        <v>44979</v>
      </c>
      <c r="N1082" s="10">
        <v>7.5</v>
      </c>
      <c r="O1082" s="9">
        <v>44986</v>
      </c>
      <c r="P1082">
        <v>26</v>
      </c>
      <c r="Q1082" s="11" t="s">
        <v>49</v>
      </c>
      <c r="R1082" s="7">
        <v>21600</v>
      </c>
      <c r="S1082" s="7"/>
      <c r="T1082" s="7"/>
      <c r="U1082" s="7"/>
      <c r="V1082" s="10">
        <v>7.1420118343195256</v>
      </c>
      <c r="W1082" s="9">
        <v>44981</v>
      </c>
      <c r="X1082" s="10">
        <v>9.5</v>
      </c>
      <c r="Y1082" s="9">
        <v>44986</v>
      </c>
      <c r="Z1082">
        <v>26</v>
      </c>
      <c r="AA1082" s="11" t="s">
        <v>49</v>
      </c>
    </row>
    <row r="1083" spans="2:27" ht="16" x14ac:dyDescent="0.2">
      <c r="B1083" t="s">
        <v>35</v>
      </c>
      <c r="C1083">
        <v>40356925</v>
      </c>
      <c r="D1083" t="s">
        <v>386</v>
      </c>
      <c r="E1083">
        <v>1011748</v>
      </c>
      <c r="F1083" t="s">
        <v>225</v>
      </c>
      <c r="G1083" s="9">
        <v>44983</v>
      </c>
      <c r="H1083" s="7">
        <v>22800</v>
      </c>
      <c r="I1083" s="7"/>
      <c r="J1083" s="7"/>
      <c r="K1083" s="7"/>
      <c r="L1083" s="10">
        <v>5.1420118343195256</v>
      </c>
      <c r="M1083" s="9">
        <v>44988</v>
      </c>
      <c r="N1083" s="10">
        <v>7.5</v>
      </c>
      <c r="O1083" s="9">
        <v>44995</v>
      </c>
      <c r="P1083">
        <v>18</v>
      </c>
      <c r="Q1083" s="11" t="s">
        <v>49</v>
      </c>
      <c r="R1083" s="7">
        <v>22800</v>
      </c>
      <c r="S1083" s="7"/>
      <c r="T1083" s="7"/>
      <c r="U1083" s="7"/>
      <c r="V1083" s="10">
        <v>7.1420118343195256</v>
      </c>
      <c r="W1083" s="9">
        <v>44990</v>
      </c>
      <c r="X1083" s="10">
        <v>9.5</v>
      </c>
      <c r="Y1083" s="9">
        <v>44995</v>
      </c>
      <c r="Z1083">
        <v>18</v>
      </c>
      <c r="AA1083" s="11" t="s">
        <v>49</v>
      </c>
    </row>
    <row r="1084" spans="2:27" ht="16" x14ac:dyDescent="0.2">
      <c r="B1084" t="s">
        <v>35</v>
      </c>
      <c r="C1084">
        <v>40356924</v>
      </c>
      <c r="D1084" t="s">
        <v>386</v>
      </c>
      <c r="E1084">
        <v>1011748</v>
      </c>
      <c r="F1084" t="s">
        <v>225</v>
      </c>
      <c r="G1084" s="9">
        <v>44988</v>
      </c>
      <c r="H1084" s="7">
        <v>22800</v>
      </c>
      <c r="I1084" s="7"/>
      <c r="J1084" s="7"/>
      <c r="K1084" s="7"/>
      <c r="L1084" s="10">
        <v>5.1420118343195256</v>
      </c>
      <c r="M1084" s="9">
        <v>44993</v>
      </c>
      <c r="N1084" s="10">
        <v>7.5</v>
      </c>
      <c r="O1084" s="9">
        <v>45000</v>
      </c>
      <c r="P1084">
        <v>14</v>
      </c>
      <c r="Q1084" s="11" t="s">
        <v>49</v>
      </c>
      <c r="R1084" s="7">
        <v>22800</v>
      </c>
      <c r="S1084" s="7"/>
      <c r="T1084" s="7"/>
      <c r="U1084" s="7"/>
      <c r="V1084" s="10">
        <v>7.1420118343195256</v>
      </c>
      <c r="W1084" s="9">
        <v>44995</v>
      </c>
      <c r="X1084" s="10">
        <v>9.5</v>
      </c>
      <c r="Y1084" s="9">
        <v>45000</v>
      </c>
      <c r="Z1084">
        <v>14</v>
      </c>
      <c r="AA1084" s="11" t="s">
        <v>49</v>
      </c>
    </row>
    <row r="1085" spans="2:27" ht="16" x14ac:dyDescent="0.2">
      <c r="B1085" t="s">
        <v>35</v>
      </c>
      <c r="C1085">
        <v>40356921</v>
      </c>
      <c r="D1085" t="s">
        <v>409</v>
      </c>
      <c r="E1085">
        <v>1023190</v>
      </c>
      <c r="F1085" t="s">
        <v>257</v>
      </c>
      <c r="G1085" s="9">
        <v>44974</v>
      </c>
      <c r="H1085" s="7">
        <v>23718.679479999999</v>
      </c>
      <c r="I1085" s="7"/>
      <c r="J1085" s="7"/>
      <c r="K1085" s="7"/>
      <c r="L1085" s="10">
        <v>7.5</v>
      </c>
      <c r="M1085" s="9">
        <v>44981</v>
      </c>
      <c r="N1085" s="10">
        <v>9.5</v>
      </c>
      <c r="O1085" s="9">
        <v>44990</v>
      </c>
      <c r="P1085">
        <v>23</v>
      </c>
      <c r="Q1085" s="11" t="s">
        <v>49</v>
      </c>
      <c r="R1085" s="7">
        <v>23718.679479999999</v>
      </c>
      <c r="S1085" s="7"/>
      <c r="T1085" s="7"/>
      <c r="U1085" s="7"/>
      <c r="V1085" s="10">
        <v>9.5</v>
      </c>
      <c r="W1085" s="9">
        <v>44983</v>
      </c>
      <c r="X1085" s="10">
        <v>11.5</v>
      </c>
      <c r="Y1085" s="9">
        <v>44990</v>
      </c>
      <c r="Z1085">
        <v>23</v>
      </c>
      <c r="AA1085" s="11" t="s">
        <v>49</v>
      </c>
    </row>
    <row r="1086" spans="2:27" ht="16" x14ac:dyDescent="0.2">
      <c r="B1086" t="s">
        <v>35</v>
      </c>
      <c r="C1086">
        <v>40356920</v>
      </c>
      <c r="D1086" t="s">
        <v>409</v>
      </c>
      <c r="E1086">
        <v>1023190</v>
      </c>
      <c r="F1086" t="s">
        <v>257</v>
      </c>
      <c r="G1086" s="9">
        <v>44976</v>
      </c>
      <c r="H1086" s="7">
        <v>23712.08425</v>
      </c>
      <c r="I1086" s="7"/>
      <c r="J1086" s="7"/>
      <c r="K1086" s="7"/>
      <c r="L1086" s="10">
        <v>7.5</v>
      </c>
      <c r="M1086" s="9">
        <v>44983</v>
      </c>
      <c r="N1086" s="10">
        <v>9.5</v>
      </c>
      <c r="O1086" s="9">
        <v>44992</v>
      </c>
      <c r="P1086">
        <v>21</v>
      </c>
      <c r="Q1086" s="11" t="s">
        <v>49</v>
      </c>
      <c r="R1086" s="7">
        <v>23712.08425</v>
      </c>
      <c r="S1086" s="7"/>
      <c r="T1086" s="7"/>
      <c r="U1086" s="7"/>
      <c r="V1086" s="10">
        <v>9.5</v>
      </c>
      <c r="W1086" s="9">
        <v>44985</v>
      </c>
      <c r="X1086" s="10">
        <v>11.5</v>
      </c>
      <c r="Y1086" s="9">
        <v>44992</v>
      </c>
      <c r="Z1086">
        <v>21</v>
      </c>
      <c r="AA1086" s="11" t="s">
        <v>49</v>
      </c>
    </row>
    <row r="1087" spans="2:27" ht="16" x14ac:dyDescent="0.2">
      <c r="B1087" t="s">
        <v>35</v>
      </c>
      <c r="C1087">
        <v>40356327</v>
      </c>
      <c r="D1087" t="s">
        <v>386</v>
      </c>
      <c r="E1087">
        <v>1030388</v>
      </c>
      <c r="F1087" t="s">
        <v>455</v>
      </c>
      <c r="G1087" s="9">
        <v>45035</v>
      </c>
      <c r="H1087" s="7"/>
      <c r="I1087" s="7"/>
      <c r="J1087" s="7">
        <v>23250</v>
      </c>
      <c r="K1087" s="7"/>
      <c r="L1087" s="10">
        <v>5.1420118343195256</v>
      </c>
      <c r="M1087" s="9">
        <v>45040</v>
      </c>
      <c r="N1087" s="10">
        <v>7.5</v>
      </c>
      <c r="O1087" s="9">
        <v>45047</v>
      </c>
      <c r="P1087">
        <v>26</v>
      </c>
      <c r="Q1087" s="11" t="s">
        <v>49</v>
      </c>
      <c r="R1087" s="7"/>
      <c r="S1087" s="7"/>
      <c r="T1087" s="7">
        <v>23250</v>
      </c>
      <c r="U1087" s="7"/>
      <c r="V1087" s="10">
        <v>7.1420118343195256</v>
      </c>
      <c r="W1087" s="9">
        <v>45042</v>
      </c>
      <c r="X1087" s="10">
        <v>9.5</v>
      </c>
      <c r="Y1087" s="9">
        <v>45047</v>
      </c>
      <c r="Z1087">
        <v>26</v>
      </c>
      <c r="AA1087" s="11" t="s">
        <v>49</v>
      </c>
    </row>
    <row r="1088" spans="2:27" x14ac:dyDescent="0.2">
      <c r="B1088" t="s">
        <v>394</v>
      </c>
      <c r="C1088">
        <v>40356325</v>
      </c>
      <c r="D1088" t="s">
        <v>396</v>
      </c>
      <c r="E1088">
        <v>1012612</v>
      </c>
      <c r="F1088" t="s">
        <v>429</v>
      </c>
      <c r="G1088" s="9">
        <v>45001</v>
      </c>
      <c r="H1088" s="7">
        <v>24500.799999999999</v>
      </c>
      <c r="I1088" s="7"/>
      <c r="J1088" s="7"/>
      <c r="K1088" s="7"/>
      <c r="L1088" s="10"/>
      <c r="N1088" s="10"/>
      <c r="Q1088" s="11"/>
      <c r="R1088" s="7">
        <v>24500.799999999999</v>
      </c>
      <c r="S1088" s="7"/>
      <c r="T1088" s="7"/>
      <c r="U1088" s="7"/>
      <c r="V1088" s="10"/>
      <c r="X1088" s="10"/>
      <c r="AA1088" s="11"/>
    </row>
    <row r="1089" spans="2:27" x14ac:dyDescent="0.2">
      <c r="B1089" t="s">
        <v>394</v>
      </c>
      <c r="C1089">
        <v>40356305</v>
      </c>
      <c r="D1089" t="s">
        <v>396</v>
      </c>
      <c r="E1089">
        <v>1012612</v>
      </c>
      <c r="F1089" t="s">
        <v>429</v>
      </c>
      <c r="G1089" s="9">
        <v>45001</v>
      </c>
      <c r="H1089" s="7">
        <v>24874.7</v>
      </c>
      <c r="I1089" s="7"/>
      <c r="J1089" s="7"/>
      <c r="K1089" s="7"/>
      <c r="L1089" s="10"/>
      <c r="N1089" s="10"/>
      <c r="Q1089" s="11"/>
      <c r="R1089" s="7">
        <v>24874.7</v>
      </c>
      <c r="S1089" s="7"/>
      <c r="T1089" s="7"/>
      <c r="U1089" s="7"/>
      <c r="V1089" s="10"/>
      <c r="X1089" s="10"/>
      <c r="AA1089" s="11"/>
    </row>
    <row r="1090" spans="2:27" x14ac:dyDescent="0.2">
      <c r="B1090" t="s">
        <v>394</v>
      </c>
      <c r="C1090">
        <v>40356304</v>
      </c>
      <c r="D1090" t="s">
        <v>396</v>
      </c>
      <c r="E1090">
        <v>1012612</v>
      </c>
      <c r="F1090" t="s">
        <v>429</v>
      </c>
      <c r="G1090" s="9">
        <v>45001</v>
      </c>
      <c r="H1090" s="7">
        <v>24500.74</v>
      </c>
      <c r="I1090" s="7"/>
      <c r="J1090" s="7"/>
      <c r="K1090" s="7"/>
      <c r="L1090" s="10"/>
      <c r="N1090" s="10"/>
      <c r="Q1090" s="11"/>
      <c r="R1090" s="7">
        <v>24500.74</v>
      </c>
      <c r="S1090" s="7"/>
      <c r="T1090" s="7"/>
      <c r="U1090" s="7"/>
      <c r="V1090" s="10"/>
      <c r="X1090" s="10"/>
      <c r="AA1090" s="11"/>
    </row>
    <row r="1091" spans="2:27" x14ac:dyDescent="0.2">
      <c r="B1091" t="s">
        <v>394</v>
      </c>
      <c r="C1091">
        <v>40356303</v>
      </c>
      <c r="D1091" t="s">
        <v>396</v>
      </c>
      <c r="E1091">
        <v>1012612</v>
      </c>
      <c r="F1091" t="s">
        <v>429</v>
      </c>
      <c r="G1091" s="9">
        <v>44995</v>
      </c>
      <c r="H1091" s="7">
        <v>24499.279999999999</v>
      </c>
      <c r="I1091" s="7"/>
      <c r="J1091" s="7"/>
      <c r="K1091" s="7"/>
      <c r="L1091" s="10"/>
      <c r="N1091" s="10"/>
      <c r="Q1091" s="11"/>
      <c r="R1091" s="7">
        <v>24499.279999999999</v>
      </c>
      <c r="S1091" s="7"/>
      <c r="T1091" s="7"/>
      <c r="U1091" s="7"/>
      <c r="V1091" s="10"/>
      <c r="X1091" s="10"/>
      <c r="AA1091" s="11"/>
    </row>
    <row r="1092" spans="2:27" x14ac:dyDescent="0.2">
      <c r="B1092" t="s">
        <v>394</v>
      </c>
      <c r="C1092">
        <v>40356302</v>
      </c>
      <c r="D1092" t="s">
        <v>396</v>
      </c>
      <c r="E1092">
        <v>1012612</v>
      </c>
      <c r="F1092" t="s">
        <v>429</v>
      </c>
      <c r="G1092" s="9">
        <v>44995</v>
      </c>
      <c r="H1092" s="7">
        <v>24430.1</v>
      </c>
      <c r="I1092" s="7"/>
      <c r="J1092" s="7"/>
      <c r="K1092" s="7"/>
      <c r="L1092" s="10"/>
      <c r="N1092" s="10"/>
      <c r="Q1092" s="11"/>
      <c r="R1092" s="7">
        <v>24430.1</v>
      </c>
      <c r="S1092" s="7"/>
      <c r="T1092" s="7"/>
      <c r="U1092" s="7"/>
      <c r="V1092" s="10"/>
      <c r="X1092" s="10"/>
      <c r="AA1092" s="11"/>
    </row>
    <row r="1093" spans="2:27" x14ac:dyDescent="0.2">
      <c r="B1093" t="s">
        <v>394</v>
      </c>
      <c r="C1093">
        <v>40356284</v>
      </c>
      <c r="D1093" t="s">
        <v>396</v>
      </c>
      <c r="E1093">
        <v>1021665</v>
      </c>
      <c r="F1093" t="s">
        <v>453</v>
      </c>
      <c r="G1093" s="9">
        <v>44987</v>
      </c>
      <c r="H1093" s="7">
        <v>22173.27</v>
      </c>
      <c r="I1093" s="7"/>
      <c r="J1093" s="7"/>
      <c r="K1093" s="7"/>
      <c r="L1093" s="10"/>
      <c r="N1093" s="10"/>
      <c r="Q1093" s="11"/>
      <c r="R1093" s="7">
        <v>22173.27</v>
      </c>
      <c r="S1093" s="7"/>
      <c r="T1093" s="7"/>
      <c r="U1093" s="7"/>
      <c r="V1093" s="10"/>
      <c r="X1093" s="10"/>
      <c r="AA1093" s="11"/>
    </row>
    <row r="1094" spans="2:27" x14ac:dyDescent="0.2">
      <c r="B1094" t="s">
        <v>394</v>
      </c>
      <c r="C1094">
        <v>40356283</v>
      </c>
      <c r="D1094" t="s">
        <v>396</v>
      </c>
      <c r="E1094">
        <v>1022887</v>
      </c>
      <c r="F1094" t="s">
        <v>404</v>
      </c>
      <c r="G1094" s="9">
        <v>44987</v>
      </c>
      <c r="H1094" s="7">
        <v>22015.39</v>
      </c>
      <c r="I1094" s="7"/>
      <c r="J1094" s="7"/>
      <c r="K1094" s="7"/>
      <c r="L1094" s="10"/>
      <c r="N1094" s="10"/>
      <c r="Q1094" s="11"/>
      <c r="R1094" s="7">
        <v>22015.39</v>
      </c>
      <c r="S1094" s="7"/>
      <c r="T1094" s="7"/>
      <c r="U1094" s="7"/>
      <c r="V1094" s="10"/>
      <c r="X1094" s="10"/>
      <c r="AA1094" s="11"/>
    </row>
    <row r="1095" spans="2:27" x14ac:dyDescent="0.2">
      <c r="B1095" t="s">
        <v>394</v>
      </c>
      <c r="C1095">
        <v>40356278</v>
      </c>
      <c r="D1095" t="s">
        <v>396</v>
      </c>
      <c r="E1095">
        <v>1021012</v>
      </c>
      <c r="F1095" t="s">
        <v>612</v>
      </c>
      <c r="G1095" s="9">
        <v>44978</v>
      </c>
      <c r="H1095" s="7"/>
      <c r="I1095" s="7"/>
      <c r="J1095" s="7"/>
      <c r="K1095" s="7"/>
      <c r="L1095" s="10"/>
      <c r="N1095" s="10"/>
      <c r="Q1095" s="11"/>
      <c r="R1095" s="7"/>
      <c r="S1095" s="7"/>
      <c r="T1095" s="7"/>
      <c r="U1095" s="7"/>
      <c r="V1095" s="10"/>
      <c r="X1095" s="10"/>
      <c r="AA1095" s="11"/>
    </row>
    <row r="1096" spans="2:27" x14ac:dyDescent="0.2">
      <c r="B1096" t="s">
        <v>394</v>
      </c>
      <c r="C1096">
        <v>40356271</v>
      </c>
      <c r="D1096" t="s">
        <v>396</v>
      </c>
      <c r="E1096">
        <v>1021665</v>
      </c>
      <c r="F1096" t="s">
        <v>453</v>
      </c>
      <c r="G1096" s="9">
        <v>44981</v>
      </c>
      <c r="H1096" s="7"/>
      <c r="I1096" s="7"/>
      <c r="J1096" s="7"/>
      <c r="K1096" s="7"/>
      <c r="L1096" s="10"/>
      <c r="N1096" s="10"/>
      <c r="Q1096" s="11"/>
      <c r="R1096" s="7"/>
      <c r="S1096" s="7"/>
      <c r="T1096" s="7"/>
      <c r="U1096" s="7"/>
      <c r="V1096" s="10"/>
      <c r="X1096" s="10"/>
      <c r="AA1096" s="11"/>
    </row>
    <row r="1097" spans="2:27" x14ac:dyDescent="0.2">
      <c r="B1097" t="s">
        <v>394</v>
      </c>
      <c r="C1097">
        <v>40356262</v>
      </c>
      <c r="D1097" t="s">
        <v>396</v>
      </c>
      <c r="E1097">
        <v>1021664</v>
      </c>
      <c r="F1097" t="s">
        <v>452</v>
      </c>
      <c r="G1097" s="9">
        <v>44980</v>
      </c>
      <c r="H1097" s="7"/>
      <c r="I1097" s="7"/>
      <c r="J1097" s="7"/>
      <c r="K1097" s="7"/>
      <c r="L1097" s="10"/>
      <c r="N1097" s="10"/>
      <c r="Q1097" s="11"/>
      <c r="R1097" s="7"/>
      <c r="S1097" s="7"/>
      <c r="T1097" s="7"/>
      <c r="U1097" s="7"/>
      <c r="V1097" s="10"/>
      <c r="X1097" s="10"/>
      <c r="AA1097" s="11"/>
    </row>
    <row r="1098" spans="2:27" x14ac:dyDescent="0.2">
      <c r="B1098" t="s">
        <v>394</v>
      </c>
      <c r="C1098">
        <v>40356261</v>
      </c>
      <c r="D1098" t="s">
        <v>396</v>
      </c>
      <c r="E1098">
        <v>1021664</v>
      </c>
      <c r="F1098" t="s">
        <v>452</v>
      </c>
      <c r="G1098" s="9">
        <v>44980</v>
      </c>
      <c r="H1098" s="7"/>
      <c r="I1098" s="7"/>
      <c r="J1098" s="7"/>
      <c r="K1098" s="7"/>
      <c r="L1098" s="10"/>
      <c r="N1098" s="10"/>
      <c r="Q1098" s="11"/>
      <c r="R1098" s="7"/>
      <c r="S1098" s="7"/>
      <c r="T1098" s="7"/>
      <c r="U1098" s="7"/>
      <c r="V1098" s="10"/>
      <c r="X1098" s="10"/>
      <c r="AA1098" s="11"/>
    </row>
    <row r="1099" spans="2:27" x14ac:dyDescent="0.2">
      <c r="B1099" t="s">
        <v>394</v>
      </c>
      <c r="C1099">
        <v>40356255</v>
      </c>
      <c r="D1099" t="s">
        <v>396</v>
      </c>
      <c r="E1099">
        <v>1020861</v>
      </c>
      <c r="F1099" t="s">
        <v>400</v>
      </c>
      <c r="G1099" s="9">
        <v>44980</v>
      </c>
      <c r="H1099" s="7"/>
      <c r="I1099" s="7"/>
      <c r="J1099" s="7"/>
      <c r="K1099" s="7"/>
      <c r="L1099" s="10"/>
      <c r="N1099" s="10"/>
      <c r="Q1099" s="11"/>
      <c r="R1099" s="7"/>
      <c r="S1099" s="7"/>
      <c r="T1099" s="7"/>
      <c r="U1099" s="7"/>
      <c r="V1099" s="10"/>
      <c r="X1099" s="10"/>
      <c r="AA1099" s="11"/>
    </row>
    <row r="1100" spans="2:27" x14ac:dyDescent="0.2">
      <c r="B1100" t="s">
        <v>394</v>
      </c>
      <c r="C1100">
        <v>40356255</v>
      </c>
      <c r="D1100" t="s">
        <v>396</v>
      </c>
      <c r="E1100">
        <v>1020861</v>
      </c>
      <c r="F1100" t="s">
        <v>400</v>
      </c>
      <c r="G1100" s="9">
        <v>44980</v>
      </c>
      <c r="H1100" s="7"/>
      <c r="I1100" s="7"/>
      <c r="J1100" s="7"/>
      <c r="K1100" s="7"/>
      <c r="L1100" s="10"/>
      <c r="N1100" s="10"/>
      <c r="Q1100" s="11"/>
      <c r="R1100" s="7"/>
      <c r="S1100" s="7"/>
      <c r="T1100" s="7"/>
      <c r="U1100" s="7"/>
      <c r="V1100" s="10"/>
      <c r="X1100" s="10"/>
      <c r="AA1100" s="11"/>
    </row>
    <row r="1101" spans="2:27" x14ac:dyDescent="0.2">
      <c r="B1101" t="s">
        <v>394</v>
      </c>
      <c r="C1101">
        <v>40356252</v>
      </c>
      <c r="D1101" t="s">
        <v>396</v>
      </c>
      <c r="E1101">
        <v>1022885</v>
      </c>
      <c r="F1101" t="s">
        <v>401</v>
      </c>
      <c r="G1101" s="9">
        <v>44980</v>
      </c>
      <c r="H1101" s="7"/>
      <c r="I1101" s="7"/>
      <c r="J1101" s="7"/>
      <c r="K1101" s="7"/>
      <c r="L1101" s="10"/>
      <c r="N1101" s="10"/>
      <c r="Q1101" s="11"/>
      <c r="R1101" s="7"/>
      <c r="S1101" s="7"/>
      <c r="T1101" s="7"/>
      <c r="U1101" s="7"/>
      <c r="V1101" s="10"/>
      <c r="X1101" s="10"/>
      <c r="AA1101" s="11"/>
    </row>
    <row r="1102" spans="2:27" x14ac:dyDescent="0.2">
      <c r="B1102" t="s">
        <v>394</v>
      </c>
      <c r="C1102">
        <v>40356223</v>
      </c>
      <c r="D1102" t="s">
        <v>396</v>
      </c>
      <c r="E1102">
        <v>1022930</v>
      </c>
      <c r="F1102" t="s">
        <v>456</v>
      </c>
      <c r="G1102" s="9">
        <v>44993</v>
      </c>
      <c r="H1102" s="7">
        <v>22004.71</v>
      </c>
      <c r="I1102" s="7"/>
      <c r="J1102" s="7"/>
      <c r="K1102" s="7"/>
      <c r="L1102" s="10"/>
      <c r="N1102" s="10"/>
      <c r="Q1102" s="11"/>
      <c r="R1102" s="7">
        <v>22004.71</v>
      </c>
      <c r="S1102" s="7"/>
      <c r="T1102" s="7"/>
      <c r="U1102" s="7"/>
      <c r="V1102" s="10"/>
      <c r="X1102" s="10"/>
      <c r="AA1102" s="11"/>
    </row>
    <row r="1103" spans="2:27" x14ac:dyDescent="0.2">
      <c r="B1103" t="s">
        <v>394</v>
      </c>
      <c r="C1103">
        <v>40356222</v>
      </c>
      <c r="D1103" t="s">
        <v>396</v>
      </c>
      <c r="E1103">
        <v>1022930</v>
      </c>
      <c r="F1103" t="s">
        <v>456</v>
      </c>
      <c r="G1103" s="9">
        <v>44993</v>
      </c>
      <c r="H1103" s="7">
        <v>22005.66</v>
      </c>
      <c r="I1103" s="7"/>
      <c r="J1103" s="7"/>
      <c r="K1103" s="7"/>
      <c r="L1103" s="10"/>
      <c r="N1103" s="10"/>
      <c r="Q1103" s="11"/>
      <c r="R1103" s="7">
        <v>22005.66</v>
      </c>
      <c r="S1103" s="7"/>
      <c r="T1103" s="7"/>
      <c r="U1103" s="7"/>
      <c r="V1103" s="10"/>
      <c r="X1103" s="10"/>
      <c r="AA1103" s="11"/>
    </row>
    <row r="1104" spans="2:27" x14ac:dyDescent="0.2">
      <c r="B1104" t="s">
        <v>394</v>
      </c>
      <c r="C1104">
        <v>40356221</v>
      </c>
      <c r="D1104" t="s">
        <v>396</v>
      </c>
      <c r="E1104">
        <v>1022930</v>
      </c>
      <c r="F1104" t="s">
        <v>456</v>
      </c>
      <c r="G1104" s="9">
        <v>44985</v>
      </c>
      <c r="H1104" s="7"/>
      <c r="I1104" s="7"/>
      <c r="J1104" s="7"/>
      <c r="K1104" s="7"/>
      <c r="L1104" s="10"/>
      <c r="N1104" s="10"/>
      <c r="Q1104" s="11"/>
      <c r="R1104" s="7"/>
      <c r="S1104" s="7"/>
      <c r="T1104" s="7"/>
      <c r="U1104" s="7"/>
      <c r="V1104" s="10"/>
      <c r="X1104" s="10"/>
      <c r="AA1104" s="11"/>
    </row>
    <row r="1105" spans="2:27" x14ac:dyDescent="0.2">
      <c r="B1105" t="s">
        <v>394</v>
      </c>
      <c r="C1105">
        <v>40356220</v>
      </c>
      <c r="D1105" t="s">
        <v>396</v>
      </c>
      <c r="E1105">
        <v>1022930</v>
      </c>
      <c r="F1105" t="s">
        <v>456</v>
      </c>
      <c r="G1105" s="9">
        <v>44978</v>
      </c>
      <c r="H1105" s="7"/>
      <c r="I1105" s="7"/>
      <c r="J1105" s="7"/>
      <c r="K1105" s="7"/>
      <c r="L1105" s="10"/>
      <c r="N1105" s="10"/>
      <c r="Q1105" s="11"/>
      <c r="R1105" s="7"/>
      <c r="S1105" s="7"/>
      <c r="T1105" s="7"/>
      <c r="U1105" s="7"/>
      <c r="V1105" s="10"/>
      <c r="X1105" s="10"/>
      <c r="AA1105" s="11"/>
    </row>
    <row r="1106" spans="2:27" x14ac:dyDescent="0.2">
      <c r="B1106" t="s">
        <v>394</v>
      </c>
      <c r="C1106">
        <v>40356218</v>
      </c>
      <c r="D1106" t="s">
        <v>396</v>
      </c>
      <c r="E1106">
        <v>1023038</v>
      </c>
      <c r="F1106" t="s">
        <v>397</v>
      </c>
      <c r="G1106" s="9">
        <v>44978</v>
      </c>
      <c r="H1106" s="7"/>
      <c r="I1106" s="7"/>
      <c r="J1106" s="7"/>
      <c r="K1106" s="7"/>
      <c r="L1106" s="10"/>
      <c r="N1106" s="10"/>
      <c r="Q1106" s="11"/>
      <c r="R1106" s="7"/>
      <c r="S1106" s="7"/>
      <c r="T1106" s="7"/>
      <c r="U1106" s="7"/>
      <c r="V1106" s="10"/>
      <c r="X1106" s="10"/>
      <c r="AA1106" s="11"/>
    </row>
    <row r="1107" spans="2:27" x14ac:dyDescent="0.2">
      <c r="B1107" t="s">
        <v>394</v>
      </c>
      <c r="C1107">
        <v>40356217</v>
      </c>
      <c r="D1107" t="s">
        <v>396</v>
      </c>
      <c r="E1107">
        <v>1023037</v>
      </c>
      <c r="F1107" t="s">
        <v>555</v>
      </c>
      <c r="G1107" s="9">
        <v>44985</v>
      </c>
      <c r="H1107" s="7"/>
      <c r="I1107" s="7"/>
      <c r="J1107" s="7"/>
      <c r="K1107" s="7"/>
      <c r="L1107" s="10"/>
      <c r="N1107" s="10"/>
      <c r="Q1107" s="11"/>
      <c r="R1107" s="7"/>
      <c r="S1107" s="7"/>
      <c r="T1107" s="7"/>
      <c r="U1107" s="7"/>
      <c r="V1107" s="10"/>
      <c r="X1107" s="10"/>
      <c r="AA1107" s="11"/>
    </row>
    <row r="1108" spans="2:27" x14ac:dyDescent="0.2">
      <c r="B1108" t="s">
        <v>394</v>
      </c>
      <c r="C1108">
        <v>40356214</v>
      </c>
      <c r="D1108" t="s">
        <v>396</v>
      </c>
      <c r="E1108">
        <v>1021152</v>
      </c>
      <c r="F1108" t="s">
        <v>406</v>
      </c>
      <c r="G1108" s="9">
        <v>44980</v>
      </c>
      <c r="H1108" s="7"/>
      <c r="I1108" s="7"/>
      <c r="J1108" s="7"/>
      <c r="K1108" s="7"/>
      <c r="L1108" s="10"/>
      <c r="N1108" s="10"/>
      <c r="Q1108" s="11"/>
      <c r="R1108" s="7"/>
      <c r="S1108" s="7"/>
      <c r="T1108" s="7"/>
      <c r="U1108" s="7"/>
      <c r="V1108" s="10"/>
      <c r="X1108" s="10"/>
      <c r="AA1108" s="11"/>
    </row>
    <row r="1109" spans="2:27" x14ac:dyDescent="0.2">
      <c r="B1109" t="s">
        <v>394</v>
      </c>
      <c r="C1109">
        <v>40356214</v>
      </c>
      <c r="D1109" t="s">
        <v>396</v>
      </c>
      <c r="E1109">
        <v>1021152</v>
      </c>
      <c r="F1109" t="s">
        <v>406</v>
      </c>
      <c r="G1109" s="9">
        <v>44980</v>
      </c>
      <c r="H1109" s="7"/>
      <c r="I1109" s="7"/>
      <c r="J1109" s="7"/>
      <c r="K1109" s="7"/>
      <c r="L1109" s="10"/>
      <c r="N1109" s="10"/>
      <c r="Q1109" s="11"/>
      <c r="R1109" s="7"/>
      <c r="S1109" s="7"/>
      <c r="T1109" s="7"/>
      <c r="U1109" s="7"/>
      <c r="V1109" s="10"/>
      <c r="X1109" s="10"/>
      <c r="AA1109" s="11"/>
    </row>
    <row r="1110" spans="2:27" x14ac:dyDescent="0.2">
      <c r="B1110" t="s">
        <v>394</v>
      </c>
      <c r="C1110">
        <v>40356158</v>
      </c>
      <c r="D1110" t="s">
        <v>485</v>
      </c>
      <c r="E1110">
        <v>1012719</v>
      </c>
      <c r="F1110" t="s">
        <v>545</v>
      </c>
      <c r="G1110" s="9">
        <v>44962</v>
      </c>
      <c r="H1110" s="7"/>
      <c r="I1110" s="7"/>
      <c r="J1110" s="7"/>
      <c r="K1110" s="7"/>
      <c r="L1110" s="10"/>
      <c r="N1110" s="10"/>
      <c r="Q1110" s="11"/>
      <c r="R1110" s="7"/>
      <c r="S1110" s="7"/>
      <c r="T1110" s="7"/>
      <c r="U1110" s="7"/>
      <c r="V1110" s="10"/>
      <c r="X1110" s="10"/>
      <c r="AA1110" s="11"/>
    </row>
    <row r="1111" spans="2:27" x14ac:dyDescent="0.2">
      <c r="B1111" t="s">
        <v>394</v>
      </c>
      <c r="C1111">
        <v>40356157</v>
      </c>
      <c r="D1111" t="s">
        <v>485</v>
      </c>
      <c r="E1111">
        <v>1012719</v>
      </c>
      <c r="F1111" t="s">
        <v>545</v>
      </c>
      <c r="G1111" s="9">
        <v>44962</v>
      </c>
      <c r="H1111" s="7"/>
      <c r="I1111" s="7"/>
      <c r="J1111" s="7"/>
      <c r="K1111" s="7"/>
      <c r="L1111" s="10"/>
      <c r="N1111" s="10"/>
      <c r="Q1111" s="11"/>
      <c r="R1111" s="7"/>
      <c r="S1111" s="7"/>
      <c r="T1111" s="7"/>
      <c r="U1111" s="7"/>
      <c r="V1111" s="10"/>
      <c r="X1111" s="10"/>
      <c r="AA1111" s="11"/>
    </row>
    <row r="1112" spans="2:27" x14ac:dyDescent="0.2">
      <c r="B1112" t="s">
        <v>394</v>
      </c>
      <c r="C1112">
        <v>40356156</v>
      </c>
      <c r="D1112" t="s">
        <v>485</v>
      </c>
      <c r="E1112">
        <v>1012719</v>
      </c>
      <c r="F1112" t="s">
        <v>545</v>
      </c>
      <c r="G1112" s="9">
        <v>44960</v>
      </c>
      <c r="H1112" s="7"/>
      <c r="I1112" s="7"/>
      <c r="J1112" s="7"/>
      <c r="K1112" s="7"/>
      <c r="L1112" s="10"/>
      <c r="N1112" s="10"/>
      <c r="Q1112" s="11"/>
      <c r="R1112" s="7"/>
      <c r="S1112" s="7"/>
      <c r="T1112" s="7"/>
      <c r="U1112" s="7"/>
      <c r="V1112" s="10"/>
      <c r="X1112" s="10"/>
      <c r="AA1112" s="11"/>
    </row>
    <row r="1113" spans="2:27" x14ac:dyDescent="0.2">
      <c r="B1113" t="s">
        <v>394</v>
      </c>
      <c r="C1113">
        <v>40356155</v>
      </c>
      <c r="D1113" t="s">
        <v>485</v>
      </c>
      <c r="E1113">
        <v>1012719</v>
      </c>
      <c r="F1113" t="s">
        <v>545</v>
      </c>
      <c r="G1113" s="9">
        <v>44960</v>
      </c>
      <c r="H1113" s="7"/>
      <c r="I1113" s="7"/>
      <c r="J1113" s="7"/>
      <c r="K1113" s="7"/>
      <c r="L1113" s="10"/>
      <c r="N1113" s="10"/>
      <c r="Q1113" s="11"/>
      <c r="R1113" s="7"/>
      <c r="S1113" s="7"/>
      <c r="T1113" s="7"/>
      <c r="U1113" s="7"/>
      <c r="V1113" s="10"/>
      <c r="X1113" s="10"/>
      <c r="AA1113" s="11"/>
    </row>
    <row r="1114" spans="2:27" x14ac:dyDescent="0.2">
      <c r="B1114" t="s">
        <v>394</v>
      </c>
      <c r="C1114">
        <v>40356154</v>
      </c>
      <c r="D1114" t="s">
        <v>485</v>
      </c>
      <c r="E1114">
        <v>1012719</v>
      </c>
      <c r="F1114" t="s">
        <v>545</v>
      </c>
      <c r="G1114" s="9">
        <v>44954</v>
      </c>
      <c r="H1114" s="7"/>
      <c r="I1114" s="7"/>
      <c r="J1114" s="7"/>
      <c r="K1114" s="7"/>
      <c r="L1114" s="10"/>
      <c r="N1114" s="10"/>
      <c r="Q1114" s="11"/>
      <c r="R1114" s="7"/>
      <c r="S1114" s="7"/>
      <c r="T1114" s="7"/>
      <c r="U1114" s="7"/>
      <c r="V1114" s="10"/>
      <c r="X1114" s="10"/>
      <c r="AA1114" s="11"/>
    </row>
    <row r="1115" spans="2:27" x14ac:dyDescent="0.2">
      <c r="B1115" t="s">
        <v>394</v>
      </c>
      <c r="C1115">
        <v>40356149</v>
      </c>
      <c r="D1115" t="s">
        <v>485</v>
      </c>
      <c r="E1115">
        <v>1011421</v>
      </c>
      <c r="F1115" t="s">
        <v>484</v>
      </c>
      <c r="G1115" s="9">
        <v>44962</v>
      </c>
      <c r="H1115" s="7"/>
      <c r="I1115" s="7"/>
      <c r="J1115" s="7"/>
      <c r="K1115" s="7"/>
      <c r="L1115" s="10"/>
      <c r="N1115" s="10"/>
      <c r="Q1115" s="11"/>
      <c r="R1115" s="7"/>
      <c r="S1115" s="7"/>
      <c r="T1115" s="7"/>
      <c r="U1115" s="7"/>
      <c r="V1115" s="10"/>
      <c r="X1115" s="10"/>
      <c r="AA1115" s="11"/>
    </row>
    <row r="1116" spans="2:27" x14ac:dyDescent="0.2">
      <c r="B1116" t="s">
        <v>394</v>
      </c>
      <c r="C1116">
        <v>40355795</v>
      </c>
      <c r="D1116" t="s">
        <v>458</v>
      </c>
      <c r="E1116">
        <v>1010877</v>
      </c>
      <c r="F1116" t="s">
        <v>457</v>
      </c>
      <c r="G1116" s="9">
        <v>45010</v>
      </c>
      <c r="H1116" s="7">
        <v>24000</v>
      </c>
      <c r="I1116" s="7"/>
      <c r="J1116" s="7"/>
      <c r="K1116" s="7"/>
      <c r="L1116" s="10"/>
      <c r="N1116" s="10"/>
      <c r="Q1116" s="11"/>
      <c r="R1116" s="7">
        <v>24000</v>
      </c>
      <c r="S1116" s="7"/>
      <c r="T1116" s="7"/>
      <c r="U1116" s="7"/>
      <c r="V1116" s="10"/>
      <c r="X1116" s="10"/>
      <c r="AA1116" s="11"/>
    </row>
    <row r="1117" spans="2:27" x14ac:dyDescent="0.2">
      <c r="B1117" t="s">
        <v>394</v>
      </c>
      <c r="C1117">
        <v>40355794</v>
      </c>
      <c r="D1117" t="s">
        <v>458</v>
      </c>
      <c r="E1117">
        <v>1010877</v>
      </c>
      <c r="F1117" t="s">
        <v>457</v>
      </c>
      <c r="G1117" s="9">
        <v>45024</v>
      </c>
      <c r="H1117" s="7"/>
      <c r="I1117" s="7">
        <v>24000</v>
      </c>
      <c r="J1117" s="7"/>
      <c r="K1117" s="7"/>
      <c r="L1117" s="10"/>
      <c r="N1117" s="10"/>
      <c r="Q1117" s="11"/>
      <c r="R1117" s="7"/>
      <c r="S1117" s="7">
        <v>24000</v>
      </c>
      <c r="T1117" s="7"/>
      <c r="U1117" s="7"/>
      <c r="V1117" s="10"/>
      <c r="X1117" s="10"/>
      <c r="AA1117" s="11"/>
    </row>
    <row r="1118" spans="2:27" ht="16" x14ac:dyDescent="0.2">
      <c r="B1118" t="s">
        <v>35</v>
      </c>
      <c r="C1118">
        <v>40355788</v>
      </c>
      <c r="D1118" t="s">
        <v>389</v>
      </c>
      <c r="E1118">
        <v>1023373</v>
      </c>
      <c r="F1118" t="s">
        <v>459</v>
      </c>
      <c r="G1118" s="9">
        <v>44981</v>
      </c>
      <c r="H1118" s="7">
        <v>24030</v>
      </c>
      <c r="I1118" s="7"/>
      <c r="J1118" s="7"/>
      <c r="K1118" s="7"/>
      <c r="L1118" s="10">
        <v>5.5741092456127026</v>
      </c>
      <c r="M1118" s="9">
        <v>44986</v>
      </c>
      <c r="N1118" s="10">
        <v>5.5</v>
      </c>
      <c r="O1118" s="9">
        <v>44991</v>
      </c>
      <c r="P1118">
        <v>22</v>
      </c>
      <c r="Q1118" s="11" t="s">
        <v>49</v>
      </c>
      <c r="R1118" s="7">
        <v>24030</v>
      </c>
      <c r="S1118" s="7"/>
      <c r="T1118" s="7"/>
      <c r="U1118" s="7"/>
      <c r="V1118" s="10">
        <v>7.5741092456127026</v>
      </c>
      <c r="W1118" s="9">
        <v>44988</v>
      </c>
      <c r="X1118" s="10">
        <v>7.5</v>
      </c>
      <c r="Y1118" s="9">
        <v>44991</v>
      </c>
      <c r="Z1118">
        <v>22</v>
      </c>
      <c r="AA1118" s="11" t="s">
        <v>49</v>
      </c>
    </row>
    <row r="1119" spans="2:27" ht="16" x14ac:dyDescent="0.2">
      <c r="B1119" t="s">
        <v>35</v>
      </c>
      <c r="C1119">
        <v>40355742</v>
      </c>
      <c r="D1119" t="s">
        <v>386</v>
      </c>
      <c r="E1119">
        <v>1011748</v>
      </c>
      <c r="F1119" t="s">
        <v>225</v>
      </c>
      <c r="G1119" s="9">
        <v>44988</v>
      </c>
      <c r="H1119" s="7">
        <v>22800</v>
      </c>
      <c r="I1119" s="7"/>
      <c r="J1119" s="7"/>
      <c r="K1119" s="7"/>
      <c r="L1119" s="10">
        <v>5.1420118343195256</v>
      </c>
      <c r="M1119" s="9">
        <v>44993</v>
      </c>
      <c r="N1119" s="10">
        <v>7.5</v>
      </c>
      <c r="O1119" s="9">
        <v>45000</v>
      </c>
      <c r="P1119">
        <v>14</v>
      </c>
      <c r="Q1119" s="11" t="s">
        <v>49</v>
      </c>
      <c r="R1119" s="7">
        <v>22800</v>
      </c>
      <c r="S1119" s="7"/>
      <c r="T1119" s="7"/>
      <c r="U1119" s="7"/>
      <c r="V1119" s="10">
        <v>7.1420118343195256</v>
      </c>
      <c r="W1119" s="9">
        <v>44995</v>
      </c>
      <c r="X1119" s="10">
        <v>9.5</v>
      </c>
      <c r="Y1119" s="9">
        <v>45000</v>
      </c>
      <c r="Z1119">
        <v>14</v>
      </c>
      <c r="AA1119" s="11" t="s">
        <v>49</v>
      </c>
    </row>
    <row r="1120" spans="2:27" ht="16" x14ac:dyDescent="0.2">
      <c r="B1120" t="s">
        <v>35</v>
      </c>
      <c r="C1120">
        <v>40355622</v>
      </c>
      <c r="D1120" t="s">
        <v>389</v>
      </c>
      <c r="E1120">
        <v>1023411</v>
      </c>
      <c r="F1120" t="s">
        <v>331</v>
      </c>
      <c r="G1120" s="9">
        <v>44995</v>
      </c>
      <c r="H1120" s="7">
        <v>24000.89</v>
      </c>
      <c r="I1120" s="7"/>
      <c r="J1120" s="7"/>
      <c r="K1120" s="7"/>
      <c r="L1120" s="10">
        <v>5.5741092456127026</v>
      </c>
      <c r="M1120" s="9">
        <v>45000</v>
      </c>
      <c r="N1120" s="10">
        <v>5.5</v>
      </c>
      <c r="O1120" s="9">
        <v>45005</v>
      </c>
      <c r="P1120">
        <v>10</v>
      </c>
      <c r="Q1120" s="11" t="s">
        <v>49</v>
      </c>
      <c r="R1120" s="7">
        <v>24000.89</v>
      </c>
      <c r="S1120" s="7"/>
      <c r="T1120" s="7"/>
      <c r="U1120" s="7"/>
      <c r="V1120" s="10">
        <v>7.5741092456127026</v>
      </c>
      <c r="W1120" s="9">
        <v>45002</v>
      </c>
      <c r="X1120" s="10">
        <v>7.5</v>
      </c>
      <c r="Y1120" s="9">
        <v>45005</v>
      </c>
      <c r="Z1120">
        <v>10</v>
      </c>
      <c r="AA1120" s="11" t="s">
        <v>49</v>
      </c>
    </row>
    <row r="1121" spans="2:27" x14ac:dyDescent="0.2">
      <c r="B1121" t="s">
        <v>394</v>
      </c>
      <c r="C1121">
        <v>40355357</v>
      </c>
      <c r="D1121" t="s">
        <v>485</v>
      </c>
      <c r="E1121">
        <v>1011421</v>
      </c>
      <c r="F1121" t="s">
        <v>484</v>
      </c>
      <c r="G1121" s="9">
        <v>44969</v>
      </c>
      <c r="H1121" s="7"/>
      <c r="I1121" s="7"/>
      <c r="J1121" s="7"/>
      <c r="K1121" s="7"/>
      <c r="L1121" s="10"/>
      <c r="N1121" s="10"/>
      <c r="Q1121" s="11"/>
      <c r="R1121" s="7"/>
      <c r="S1121" s="7"/>
      <c r="T1121" s="7"/>
      <c r="U1121" s="7"/>
      <c r="V1121" s="10"/>
      <c r="X1121" s="10"/>
      <c r="AA1121" s="11"/>
    </row>
    <row r="1122" spans="2:27" x14ac:dyDescent="0.2">
      <c r="B1122" t="s">
        <v>394</v>
      </c>
      <c r="C1122">
        <v>40355356</v>
      </c>
      <c r="D1122" t="s">
        <v>485</v>
      </c>
      <c r="E1122">
        <v>1011421</v>
      </c>
      <c r="F1122" t="s">
        <v>484</v>
      </c>
      <c r="G1122" s="9">
        <v>44969</v>
      </c>
      <c r="H1122" s="7"/>
      <c r="I1122" s="7"/>
      <c r="J1122" s="7"/>
      <c r="K1122" s="7"/>
      <c r="L1122" s="10"/>
      <c r="N1122" s="10"/>
      <c r="Q1122" s="11"/>
      <c r="R1122" s="7"/>
      <c r="S1122" s="7"/>
      <c r="T1122" s="7"/>
      <c r="U1122" s="7"/>
      <c r="V1122" s="10"/>
      <c r="X1122" s="10"/>
      <c r="AA1122" s="11"/>
    </row>
    <row r="1123" spans="2:27" x14ac:dyDescent="0.2">
      <c r="B1123" t="s">
        <v>394</v>
      </c>
      <c r="C1123">
        <v>40355355</v>
      </c>
      <c r="D1123" t="s">
        <v>485</v>
      </c>
      <c r="E1123">
        <v>1011421</v>
      </c>
      <c r="F1123" t="s">
        <v>484</v>
      </c>
      <c r="G1123" s="9">
        <v>44969</v>
      </c>
      <c r="H1123" s="7"/>
      <c r="I1123" s="7"/>
      <c r="J1123" s="7"/>
      <c r="K1123" s="7"/>
      <c r="L1123" s="10"/>
      <c r="N1123" s="10"/>
      <c r="Q1123" s="11"/>
      <c r="R1123" s="7"/>
      <c r="S1123" s="7"/>
      <c r="T1123" s="7"/>
      <c r="U1123" s="7"/>
      <c r="V1123" s="10"/>
      <c r="X1123" s="10"/>
      <c r="AA1123" s="11"/>
    </row>
    <row r="1124" spans="2:27" x14ac:dyDescent="0.2">
      <c r="B1124" t="s">
        <v>394</v>
      </c>
      <c r="C1124">
        <v>40355354</v>
      </c>
      <c r="D1124" t="s">
        <v>485</v>
      </c>
      <c r="E1124">
        <v>1011421</v>
      </c>
      <c r="F1124" t="s">
        <v>484</v>
      </c>
      <c r="G1124" s="9">
        <v>44968</v>
      </c>
      <c r="H1124" s="7"/>
      <c r="I1124" s="7"/>
      <c r="J1124" s="7"/>
      <c r="K1124" s="7"/>
      <c r="L1124" s="10"/>
      <c r="N1124" s="10"/>
      <c r="Q1124" s="11"/>
      <c r="R1124" s="7"/>
      <c r="S1124" s="7"/>
      <c r="T1124" s="7"/>
      <c r="U1124" s="7"/>
      <c r="V1124" s="10"/>
      <c r="X1124" s="10"/>
      <c r="AA1124" s="11"/>
    </row>
    <row r="1125" spans="2:27" x14ac:dyDescent="0.2">
      <c r="B1125" t="s">
        <v>394</v>
      </c>
      <c r="C1125">
        <v>40355353</v>
      </c>
      <c r="D1125" t="s">
        <v>485</v>
      </c>
      <c r="E1125">
        <v>1011421</v>
      </c>
      <c r="F1125" t="s">
        <v>484</v>
      </c>
      <c r="G1125" s="9">
        <v>44962</v>
      </c>
      <c r="H1125" s="7"/>
      <c r="I1125" s="7"/>
      <c r="J1125" s="7"/>
      <c r="K1125" s="7"/>
      <c r="L1125" s="10"/>
      <c r="N1125" s="10"/>
      <c r="Q1125" s="11"/>
      <c r="R1125" s="7"/>
      <c r="S1125" s="7"/>
      <c r="T1125" s="7"/>
      <c r="U1125" s="7"/>
      <c r="V1125" s="10"/>
      <c r="X1125" s="10"/>
      <c r="AA1125" s="11"/>
    </row>
    <row r="1126" spans="2:27" x14ac:dyDescent="0.2">
      <c r="B1126" t="s">
        <v>394</v>
      </c>
      <c r="C1126">
        <v>40355352</v>
      </c>
      <c r="D1126" t="s">
        <v>485</v>
      </c>
      <c r="E1126">
        <v>1011421</v>
      </c>
      <c r="F1126" t="s">
        <v>484</v>
      </c>
      <c r="G1126" s="9">
        <v>44962</v>
      </c>
      <c r="H1126" s="7"/>
      <c r="I1126" s="7"/>
      <c r="J1126" s="7"/>
      <c r="K1126" s="7"/>
      <c r="L1126" s="10"/>
      <c r="N1126" s="10"/>
      <c r="Q1126" s="11"/>
      <c r="R1126" s="7"/>
      <c r="S1126" s="7"/>
      <c r="T1126" s="7"/>
      <c r="U1126" s="7"/>
      <c r="V1126" s="10"/>
      <c r="X1126" s="10"/>
      <c r="AA1126" s="11"/>
    </row>
    <row r="1127" spans="2:27" x14ac:dyDescent="0.2">
      <c r="B1127" t="s">
        <v>394</v>
      </c>
      <c r="C1127">
        <v>40355351</v>
      </c>
      <c r="D1127" t="s">
        <v>485</v>
      </c>
      <c r="E1127">
        <v>1011421</v>
      </c>
      <c r="F1127" t="s">
        <v>484</v>
      </c>
      <c r="G1127" s="9">
        <v>44948</v>
      </c>
      <c r="H1127" s="7"/>
      <c r="I1127" s="7"/>
      <c r="J1127" s="7"/>
      <c r="K1127" s="7"/>
      <c r="L1127" s="10"/>
      <c r="N1127" s="10"/>
      <c r="Q1127" s="11"/>
      <c r="R1127" s="7"/>
      <c r="S1127" s="7"/>
      <c r="T1127" s="7"/>
      <c r="U1127" s="7"/>
      <c r="V1127" s="10"/>
      <c r="X1127" s="10"/>
      <c r="AA1127" s="11"/>
    </row>
    <row r="1128" spans="2:27" x14ac:dyDescent="0.2">
      <c r="B1128" t="s">
        <v>394</v>
      </c>
      <c r="C1128">
        <v>40355282</v>
      </c>
      <c r="D1128" t="s">
        <v>485</v>
      </c>
      <c r="E1128">
        <v>1012719</v>
      </c>
      <c r="F1128" t="s">
        <v>545</v>
      </c>
      <c r="G1128" s="9">
        <v>44954</v>
      </c>
      <c r="H1128" s="7"/>
      <c r="I1128" s="7"/>
      <c r="J1128" s="7"/>
      <c r="K1128" s="7"/>
      <c r="L1128" s="10"/>
      <c r="N1128" s="10"/>
      <c r="Q1128" s="11"/>
      <c r="R1128" s="7"/>
      <c r="S1128" s="7"/>
      <c r="T1128" s="7"/>
      <c r="U1128" s="7"/>
      <c r="V1128" s="10"/>
      <c r="X1128" s="10"/>
      <c r="AA1128" s="11"/>
    </row>
    <row r="1129" spans="2:27" ht="16" x14ac:dyDescent="0.2">
      <c r="B1129" t="s">
        <v>35</v>
      </c>
      <c r="C1129">
        <v>40355237</v>
      </c>
      <c r="D1129" t="s">
        <v>391</v>
      </c>
      <c r="E1129">
        <v>1022914</v>
      </c>
      <c r="F1129" t="s">
        <v>460</v>
      </c>
      <c r="G1129" s="9">
        <v>44990</v>
      </c>
      <c r="H1129" s="7">
        <v>24000</v>
      </c>
      <c r="I1129" s="7"/>
      <c r="J1129" s="7"/>
      <c r="K1129" s="7"/>
      <c r="L1129" s="10">
        <v>4.830303030303031</v>
      </c>
      <c r="M1129" s="9">
        <v>44994</v>
      </c>
      <c r="N1129" s="10">
        <v>15</v>
      </c>
      <c r="O1129" s="9">
        <v>45009</v>
      </c>
      <c r="P1129">
        <v>6</v>
      </c>
      <c r="Q1129" s="11" t="s">
        <v>49</v>
      </c>
      <c r="R1129" s="7">
        <v>24000</v>
      </c>
      <c r="S1129" s="7"/>
      <c r="T1129" s="7"/>
      <c r="U1129" s="7"/>
      <c r="V1129" s="10">
        <v>6.830303030303031</v>
      </c>
      <c r="W1129" s="9">
        <v>44996</v>
      </c>
      <c r="X1129" s="10">
        <v>17</v>
      </c>
      <c r="Y1129" s="9">
        <v>45009</v>
      </c>
      <c r="Z1129">
        <v>6</v>
      </c>
      <c r="AA1129" s="11" t="s">
        <v>49</v>
      </c>
    </row>
    <row r="1130" spans="2:27" ht="16" x14ac:dyDescent="0.2">
      <c r="B1130" t="s">
        <v>35</v>
      </c>
      <c r="C1130">
        <v>40355159</v>
      </c>
      <c r="D1130" t="s">
        <v>409</v>
      </c>
      <c r="E1130">
        <v>1021538</v>
      </c>
      <c r="F1130" t="s">
        <v>256</v>
      </c>
      <c r="G1130" s="9">
        <v>44966</v>
      </c>
      <c r="H1130" s="7"/>
      <c r="I1130" s="7"/>
      <c r="J1130" s="7"/>
      <c r="K1130" s="7"/>
      <c r="L1130" s="10">
        <v>7.5</v>
      </c>
      <c r="M1130" s="9">
        <v>44973</v>
      </c>
      <c r="N1130" s="10">
        <v>9.5</v>
      </c>
      <c r="O1130" s="9">
        <v>44982</v>
      </c>
      <c r="P1130">
        <v>2</v>
      </c>
      <c r="Q1130" s="11" t="s">
        <v>594</v>
      </c>
      <c r="R1130" s="7"/>
      <c r="S1130" s="7"/>
      <c r="T1130" s="7"/>
      <c r="U1130" s="7"/>
      <c r="V1130" s="10">
        <v>9.5</v>
      </c>
      <c r="W1130" s="9">
        <v>44975</v>
      </c>
      <c r="X1130" s="10">
        <v>11.5</v>
      </c>
      <c r="Y1130" s="9">
        <v>44982</v>
      </c>
      <c r="Z1130">
        <v>2</v>
      </c>
      <c r="AA1130" s="11" t="s">
        <v>594</v>
      </c>
    </row>
    <row r="1131" spans="2:27" x14ac:dyDescent="0.2">
      <c r="B1131" t="s">
        <v>394</v>
      </c>
      <c r="C1131">
        <v>40355142</v>
      </c>
      <c r="D1131" t="s">
        <v>396</v>
      </c>
      <c r="E1131">
        <v>1012612</v>
      </c>
      <c r="F1131" t="s">
        <v>429</v>
      </c>
      <c r="G1131" s="9">
        <v>44998</v>
      </c>
      <c r="H1131" s="7">
        <v>24303.040000000001</v>
      </c>
      <c r="I1131" s="7"/>
      <c r="J1131" s="7"/>
      <c r="K1131" s="7"/>
      <c r="L1131" s="10"/>
      <c r="N1131" s="10"/>
      <c r="Q1131" s="11"/>
      <c r="R1131" s="7">
        <v>24303.040000000001</v>
      </c>
      <c r="S1131" s="7"/>
      <c r="T1131" s="7"/>
      <c r="U1131" s="7"/>
      <c r="V1131" s="10"/>
      <c r="X1131" s="10"/>
      <c r="AA1131" s="11"/>
    </row>
    <row r="1132" spans="2:27" ht="16" x14ac:dyDescent="0.2">
      <c r="B1132" t="s">
        <v>35</v>
      </c>
      <c r="C1132">
        <v>40354724</v>
      </c>
      <c r="D1132" t="s">
        <v>409</v>
      </c>
      <c r="E1132">
        <v>1012806</v>
      </c>
      <c r="F1132" t="s">
        <v>222</v>
      </c>
      <c r="G1132" s="9">
        <v>44964</v>
      </c>
      <c r="H1132" s="7"/>
      <c r="I1132" s="7"/>
      <c r="J1132" s="7"/>
      <c r="K1132" s="7"/>
      <c r="L1132" s="10">
        <v>7.5</v>
      </c>
      <c r="M1132" s="9">
        <v>44971</v>
      </c>
      <c r="N1132" s="10">
        <v>9.5</v>
      </c>
      <c r="O1132" s="9">
        <v>44980</v>
      </c>
      <c r="P1132">
        <v>4</v>
      </c>
      <c r="Q1132" s="11" t="s">
        <v>49</v>
      </c>
      <c r="R1132" s="7"/>
      <c r="S1132" s="7"/>
      <c r="T1132" s="7"/>
      <c r="U1132" s="7"/>
      <c r="V1132" s="10">
        <v>9.5</v>
      </c>
      <c r="W1132" s="9">
        <v>44973</v>
      </c>
      <c r="X1132" s="10">
        <v>11.5</v>
      </c>
      <c r="Y1132" s="9">
        <v>44980</v>
      </c>
      <c r="Z1132">
        <v>4</v>
      </c>
      <c r="AA1132" s="11" t="s">
        <v>49</v>
      </c>
    </row>
    <row r="1133" spans="2:27" ht="16" x14ac:dyDescent="0.2">
      <c r="B1133" t="s">
        <v>35</v>
      </c>
      <c r="C1133">
        <v>40354724</v>
      </c>
      <c r="D1133" t="s">
        <v>409</v>
      </c>
      <c r="E1133">
        <v>1012164</v>
      </c>
      <c r="F1133" t="s">
        <v>142</v>
      </c>
      <c r="G1133" s="9">
        <v>44964</v>
      </c>
      <c r="H1133" s="7"/>
      <c r="I1133" s="7"/>
      <c r="J1133" s="7"/>
      <c r="K1133" s="7"/>
      <c r="L1133" s="10">
        <v>7.5</v>
      </c>
      <c r="M1133" s="9">
        <v>44971</v>
      </c>
      <c r="N1133" s="10">
        <v>9.5</v>
      </c>
      <c r="O1133" s="9">
        <v>44980</v>
      </c>
      <c r="P1133">
        <v>4</v>
      </c>
      <c r="Q1133" s="11" t="s">
        <v>49</v>
      </c>
      <c r="R1133" s="7"/>
      <c r="S1133" s="7"/>
      <c r="T1133" s="7"/>
      <c r="U1133" s="7"/>
      <c r="V1133" s="10">
        <v>9.5</v>
      </c>
      <c r="W1133" s="9">
        <v>44973</v>
      </c>
      <c r="X1133" s="10">
        <v>11.5</v>
      </c>
      <c r="Y1133" s="9">
        <v>44980</v>
      </c>
      <c r="Z1133">
        <v>4</v>
      </c>
      <c r="AA1133" s="11" t="s">
        <v>49</v>
      </c>
    </row>
    <row r="1134" spans="2:27" ht="16" x14ac:dyDescent="0.2">
      <c r="B1134" t="s">
        <v>35</v>
      </c>
      <c r="C1134">
        <v>40354724</v>
      </c>
      <c r="D1134" t="s">
        <v>409</v>
      </c>
      <c r="E1134">
        <v>1012157</v>
      </c>
      <c r="F1134" t="s">
        <v>99</v>
      </c>
      <c r="G1134" s="9">
        <v>44964</v>
      </c>
      <c r="H1134" s="7"/>
      <c r="I1134" s="7"/>
      <c r="J1134" s="7"/>
      <c r="K1134" s="7"/>
      <c r="L1134" s="10">
        <v>7.5</v>
      </c>
      <c r="M1134" s="9">
        <v>44971</v>
      </c>
      <c r="N1134" s="10">
        <v>9.5</v>
      </c>
      <c r="O1134" s="9">
        <v>44980</v>
      </c>
      <c r="P1134">
        <v>4</v>
      </c>
      <c r="Q1134" s="11" t="s">
        <v>49</v>
      </c>
      <c r="R1134" s="7"/>
      <c r="S1134" s="7"/>
      <c r="T1134" s="7"/>
      <c r="U1134" s="7"/>
      <c r="V1134" s="10">
        <v>9.5</v>
      </c>
      <c r="W1134" s="9">
        <v>44973</v>
      </c>
      <c r="X1134" s="10">
        <v>11.5</v>
      </c>
      <c r="Y1134" s="9">
        <v>44980</v>
      </c>
      <c r="Z1134">
        <v>4</v>
      </c>
      <c r="AA1134" s="11" t="s">
        <v>49</v>
      </c>
    </row>
    <row r="1135" spans="2:27" ht="16" x14ac:dyDescent="0.2">
      <c r="B1135" t="s">
        <v>35</v>
      </c>
      <c r="C1135">
        <v>40354724</v>
      </c>
      <c r="D1135" t="s">
        <v>409</v>
      </c>
      <c r="E1135">
        <v>1012167</v>
      </c>
      <c r="F1135" t="s">
        <v>70</v>
      </c>
      <c r="G1135" s="9">
        <v>44964</v>
      </c>
      <c r="H1135" s="7"/>
      <c r="I1135" s="7"/>
      <c r="J1135" s="7"/>
      <c r="K1135" s="7"/>
      <c r="L1135" s="10">
        <v>7.5</v>
      </c>
      <c r="M1135" s="9">
        <v>44971</v>
      </c>
      <c r="N1135" s="10">
        <v>9.5</v>
      </c>
      <c r="O1135" s="9">
        <v>44980</v>
      </c>
      <c r="P1135">
        <v>4</v>
      </c>
      <c r="Q1135" s="11" t="s">
        <v>49</v>
      </c>
      <c r="R1135" s="7"/>
      <c r="S1135" s="7"/>
      <c r="T1135" s="7"/>
      <c r="U1135" s="7"/>
      <c r="V1135" s="10">
        <v>9.5</v>
      </c>
      <c r="W1135" s="9">
        <v>44973</v>
      </c>
      <c r="X1135" s="10">
        <v>11.5</v>
      </c>
      <c r="Y1135" s="9">
        <v>44980</v>
      </c>
      <c r="Z1135">
        <v>4</v>
      </c>
      <c r="AA1135" s="11" t="s">
        <v>49</v>
      </c>
    </row>
    <row r="1136" spans="2:27" ht="16" x14ac:dyDescent="0.2">
      <c r="B1136" t="s">
        <v>35</v>
      </c>
      <c r="C1136">
        <v>40354724</v>
      </c>
      <c r="D1136" t="s">
        <v>409</v>
      </c>
      <c r="E1136">
        <v>1012159</v>
      </c>
      <c r="F1136" t="s">
        <v>88</v>
      </c>
      <c r="G1136" s="9">
        <v>44964</v>
      </c>
      <c r="H1136" s="7"/>
      <c r="I1136" s="7"/>
      <c r="J1136" s="7"/>
      <c r="K1136" s="7"/>
      <c r="L1136" s="10">
        <v>7.5</v>
      </c>
      <c r="M1136" s="9">
        <v>44971</v>
      </c>
      <c r="N1136" s="10">
        <v>9.5</v>
      </c>
      <c r="O1136" s="9">
        <v>44980</v>
      </c>
      <c r="P1136">
        <v>4</v>
      </c>
      <c r="Q1136" s="11" t="s">
        <v>49</v>
      </c>
      <c r="R1136" s="7"/>
      <c r="S1136" s="7"/>
      <c r="T1136" s="7"/>
      <c r="U1136" s="7"/>
      <c r="V1136" s="10">
        <v>9.5</v>
      </c>
      <c r="W1136" s="9">
        <v>44973</v>
      </c>
      <c r="X1136" s="10">
        <v>11.5</v>
      </c>
      <c r="Y1136" s="9">
        <v>44980</v>
      </c>
      <c r="Z1136">
        <v>4</v>
      </c>
      <c r="AA1136" s="11" t="s">
        <v>49</v>
      </c>
    </row>
    <row r="1137" spans="2:27" ht="16" x14ac:dyDescent="0.2">
      <c r="B1137" t="s">
        <v>35</v>
      </c>
      <c r="C1137">
        <v>40354724</v>
      </c>
      <c r="D1137" t="s">
        <v>409</v>
      </c>
      <c r="E1137">
        <v>1012158</v>
      </c>
      <c r="F1137" t="s">
        <v>86</v>
      </c>
      <c r="G1137" s="9">
        <v>44964</v>
      </c>
      <c r="H1137" s="7"/>
      <c r="I1137" s="7"/>
      <c r="J1137" s="7"/>
      <c r="K1137" s="7"/>
      <c r="L1137" s="10">
        <v>7.5</v>
      </c>
      <c r="M1137" s="9">
        <v>44971</v>
      </c>
      <c r="N1137" s="10">
        <v>9.5</v>
      </c>
      <c r="O1137" s="9">
        <v>44980</v>
      </c>
      <c r="P1137">
        <v>4</v>
      </c>
      <c r="Q1137" s="11" t="s">
        <v>49</v>
      </c>
      <c r="R1137" s="7"/>
      <c r="S1137" s="7"/>
      <c r="T1137" s="7"/>
      <c r="U1137" s="7"/>
      <c r="V1137" s="10">
        <v>9.5</v>
      </c>
      <c r="W1137" s="9">
        <v>44973</v>
      </c>
      <c r="X1137" s="10">
        <v>11.5</v>
      </c>
      <c r="Y1137" s="9">
        <v>44980</v>
      </c>
      <c r="Z1137">
        <v>4</v>
      </c>
      <c r="AA1137" s="11" t="s">
        <v>49</v>
      </c>
    </row>
    <row r="1138" spans="2:27" ht="16" x14ac:dyDescent="0.2">
      <c r="B1138" t="s">
        <v>35</v>
      </c>
      <c r="C1138">
        <v>40354724</v>
      </c>
      <c r="D1138" t="s">
        <v>409</v>
      </c>
      <c r="E1138">
        <v>1012160</v>
      </c>
      <c r="F1138" t="s">
        <v>72</v>
      </c>
      <c r="G1138" s="9">
        <v>44964</v>
      </c>
      <c r="H1138" s="7"/>
      <c r="I1138" s="7"/>
      <c r="J1138" s="7"/>
      <c r="K1138" s="7"/>
      <c r="L1138" s="10">
        <v>7.5</v>
      </c>
      <c r="M1138" s="9">
        <v>44971</v>
      </c>
      <c r="N1138" s="10">
        <v>9.5</v>
      </c>
      <c r="O1138" s="9">
        <v>44980</v>
      </c>
      <c r="P1138">
        <v>4</v>
      </c>
      <c r="Q1138" s="11" t="s">
        <v>49</v>
      </c>
      <c r="R1138" s="7"/>
      <c r="S1138" s="7"/>
      <c r="T1138" s="7"/>
      <c r="U1138" s="7"/>
      <c r="V1138" s="10">
        <v>9.5</v>
      </c>
      <c r="W1138" s="9">
        <v>44973</v>
      </c>
      <c r="X1138" s="10">
        <v>11.5</v>
      </c>
      <c r="Y1138" s="9">
        <v>44980</v>
      </c>
      <c r="Z1138">
        <v>4</v>
      </c>
      <c r="AA1138" s="11" t="s">
        <v>49</v>
      </c>
    </row>
    <row r="1139" spans="2:27" ht="16" x14ac:dyDescent="0.2">
      <c r="B1139" t="s">
        <v>35</v>
      </c>
      <c r="C1139">
        <v>40354678</v>
      </c>
      <c r="D1139" t="s">
        <v>386</v>
      </c>
      <c r="E1139">
        <v>1030279</v>
      </c>
      <c r="F1139" t="s">
        <v>461</v>
      </c>
      <c r="G1139" s="9">
        <v>44981</v>
      </c>
      <c r="H1139" s="7">
        <v>21600</v>
      </c>
      <c r="I1139" s="7"/>
      <c r="J1139" s="7"/>
      <c r="K1139" s="7"/>
      <c r="L1139" s="10">
        <v>5.1420118343195256</v>
      </c>
      <c r="M1139" s="9">
        <v>44986</v>
      </c>
      <c r="N1139" s="10">
        <v>7.5</v>
      </c>
      <c r="O1139" s="9">
        <v>44993</v>
      </c>
      <c r="P1139">
        <v>20</v>
      </c>
      <c r="Q1139" s="11" t="s">
        <v>49</v>
      </c>
      <c r="R1139" s="7">
        <v>21600</v>
      </c>
      <c r="S1139" s="7"/>
      <c r="T1139" s="7"/>
      <c r="U1139" s="7"/>
      <c r="V1139" s="10">
        <v>7.1420118343195256</v>
      </c>
      <c r="W1139" s="9">
        <v>44988</v>
      </c>
      <c r="X1139" s="10">
        <v>9.5</v>
      </c>
      <c r="Y1139" s="9">
        <v>44993</v>
      </c>
      <c r="Z1139">
        <v>20</v>
      </c>
      <c r="AA1139" s="11" t="s">
        <v>49</v>
      </c>
    </row>
    <row r="1140" spans="2:27" ht="16" x14ac:dyDescent="0.2">
      <c r="B1140" t="s">
        <v>35</v>
      </c>
      <c r="C1140">
        <v>40354676</v>
      </c>
      <c r="D1140" t="s">
        <v>386</v>
      </c>
      <c r="E1140">
        <v>1030265</v>
      </c>
      <c r="F1140" t="s">
        <v>367</v>
      </c>
      <c r="G1140" s="9">
        <v>44981</v>
      </c>
      <c r="H1140" s="7">
        <v>21600</v>
      </c>
      <c r="I1140" s="7"/>
      <c r="J1140" s="7"/>
      <c r="K1140" s="7"/>
      <c r="L1140" s="10">
        <v>5.1420118343195256</v>
      </c>
      <c r="M1140" s="9">
        <v>44986</v>
      </c>
      <c r="N1140" s="10">
        <v>7.5</v>
      </c>
      <c r="O1140" s="9">
        <v>44993</v>
      </c>
      <c r="P1140">
        <v>20</v>
      </c>
      <c r="Q1140" s="11" t="s">
        <v>49</v>
      </c>
      <c r="R1140" s="7">
        <v>21600</v>
      </c>
      <c r="S1140" s="7"/>
      <c r="T1140" s="7"/>
      <c r="U1140" s="7"/>
      <c r="V1140" s="10">
        <v>7.1420118343195256</v>
      </c>
      <c r="W1140" s="9">
        <v>44988</v>
      </c>
      <c r="X1140" s="10">
        <v>9.5</v>
      </c>
      <c r="Y1140" s="9">
        <v>44993</v>
      </c>
      <c r="Z1140">
        <v>20</v>
      </c>
      <c r="AA1140" s="11" t="s">
        <v>49</v>
      </c>
    </row>
    <row r="1141" spans="2:27" ht="16" x14ac:dyDescent="0.2">
      <c r="B1141" t="s">
        <v>35</v>
      </c>
      <c r="C1141">
        <v>40354675</v>
      </c>
      <c r="D1141" t="s">
        <v>386</v>
      </c>
      <c r="E1141">
        <v>1030265</v>
      </c>
      <c r="F1141" t="s">
        <v>367</v>
      </c>
      <c r="G1141" s="9">
        <v>44981</v>
      </c>
      <c r="H1141" s="7">
        <v>21600</v>
      </c>
      <c r="I1141" s="7"/>
      <c r="J1141" s="7"/>
      <c r="K1141" s="7"/>
      <c r="L1141" s="10">
        <v>5.1420118343195256</v>
      </c>
      <c r="M1141" s="9">
        <v>44986</v>
      </c>
      <c r="N1141" s="10">
        <v>7.5</v>
      </c>
      <c r="O1141" s="9">
        <v>44993</v>
      </c>
      <c r="P1141">
        <v>20</v>
      </c>
      <c r="Q1141" s="11" t="s">
        <v>49</v>
      </c>
      <c r="R1141" s="7">
        <v>21600</v>
      </c>
      <c r="S1141" s="7"/>
      <c r="T1141" s="7"/>
      <c r="U1141" s="7"/>
      <c r="V1141" s="10">
        <v>7.1420118343195256</v>
      </c>
      <c r="W1141" s="9">
        <v>44988</v>
      </c>
      <c r="X1141" s="10">
        <v>9.5</v>
      </c>
      <c r="Y1141" s="9">
        <v>44993</v>
      </c>
      <c r="Z1141">
        <v>20</v>
      </c>
      <c r="AA1141" s="11" t="s">
        <v>49</v>
      </c>
    </row>
    <row r="1142" spans="2:27" x14ac:dyDescent="0.2">
      <c r="B1142" t="s">
        <v>394</v>
      </c>
      <c r="C1142">
        <v>40354672</v>
      </c>
      <c r="D1142" t="s">
        <v>485</v>
      </c>
      <c r="E1142">
        <v>1012778</v>
      </c>
      <c r="F1142" t="s">
        <v>613</v>
      </c>
      <c r="G1142" s="9">
        <v>44960</v>
      </c>
      <c r="H1142" s="7"/>
      <c r="I1142" s="7"/>
      <c r="J1142" s="7"/>
      <c r="K1142" s="7"/>
      <c r="L1142" s="10"/>
      <c r="N1142" s="10"/>
      <c r="Q1142" s="11"/>
      <c r="R1142" s="7"/>
      <c r="S1142" s="7"/>
      <c r="T1142" s="7"/>
      <c r="U1142" s="7"/>
      <c r="V1142" s="10"/>
      <c r="X1142" s="10"/>
      <c r="AA1142" s="11"/>
    </row>
    <row r="1143" spans="2:27" ht="16" x14ac:dyDescent="0.2">
      <c r="B1143" t="s">
        <v>35</v>
      </c>
      <c r="C1143">
        <v>40354654</v>
      </c>
      <c r="D1143" t="s">
        <v>391</v>
      </c>
      <c r="E1143">
        <v>1012326</v>
      </c>
      <c r="F1143" t="s">
        <v>252</v>
      </c>
      <c r="G1143" s="9">
        <v>44977</v>
      </c>
      <c r="H1143" s="7">
        <v>1392</v>
      </c>
      <c r="I1143" s="7"/>
      <c r="J1143" s="7"/>
      <c r="K1143" s="7"/>
      <c r="L1143" s="10">
        <v>4.830303030303031</v>
      </c>
      <c r="M1143" s="9">
        <v>44981</v>
      </c>
      <c r="N1143" s="10">
        <v>15</v>
      </c>
      <c r="O1143" s="9">
        <v>44996</v>
      </c>
      <c r="P1143">
        <v>17</v>
      </c>
      <c r="Q1143" s="11" t="s">
        <v>49</v>
      </c>
      <c r="R1143" s="7">
        <v>1392</v>
      </c>
      <c r="S1143" s="7"/>
      <c r="T1143" s="7"/>
      <c r="U1143" s="7"/>
      <c r="V1143" s="10">
        <v>6.830303030303031</v>
      </c>
      <c r="W1143" s="9">
        <v>44983</v>
      </c>
      <c r="X1143" s="10">
        <v>17</v>
      </c>
      <c r="Y1143" s="9">
        <v>44996</v>
      </c>
      <c r="Z1143">
        <v>17</v>
      </c>
      <c r="AA1143" s="11" t="s">
        <v>49</v>
      </c>
    </row>
    <row r="1144" spans="2:27" ht="16" x14ac:dyDescent="0.2">
      <c r="B1144" t="s">
        <v>35</v>
      </c>
      <c r="C1144">
        <v>40354654</v>
      </c>
      <c r="D1144" t="s">
        <v>391</v>
      </c>
      <c r="E1144">
        <v>1011948</v>
      </c>
      <c r="F1144" t="s">
        <v>462</v>
      </c>
      <c r="G1144" s="9">
        <v>44977</v>
      </c>
      <c r="H1144" s="7">
        <v>1008</v>
      </c>
      <c r="I1144" s="7"/>
      <c r="J1144" s="7"/>
      <c r="K1144" s="7"/>
      <c r="L1144" s="10">
        <v>4.830303030303031</v>
      </c>
      <c r="M1144" s="9">
        <v>44981</v>
      </c>
      <c r="N1144" s="10">
        <v>15</v>
      </c>
      <c r="O1144" s="9">
        <v>44996</v>
      </c>
      <c r="P1144">
        <v>17</v>
      </c>
      <c r="Q1144" s="11" t="s">
        <v>49</v>
      </c>
      <c r="R1144" s="7">
        <v>1008</v>
      </c>
      <c r="S1144" s="7"/>
      <c r="T1144" s="7"/>
      <c r="U1144" s="7"/>
      <c r="V1144" s="10">
        <v>6.830303030303031</v>
      </c>
      <c r="W1144" s="9">
        <v>44983</v>
      </c>
      <c r="X1144" s="10">
        <v>17</v>
      </c>
      <c r="Y1144" s="9">
        <v>44996</v>
      </c>
      <c r="Z1144">
        <v>17</v>
      </c>
      <c r="AA1144" s="11" t="s">
        <v>49</v>
      </c>
    </row>
    <row r="1145" spans="2:27" ht="16" x14ac:dyDescent="0.2">
      <c r="B1145" t="s">
        <v>35</v>
      </c>
      <c r="C1145">
        <v>40354653</v>
      </c>
      <c r="D1145" t="s">
        <v>391</v>
      </c>
      <c r="E1145">
        <v>1022864</v>
      </c>
      <c r="F1145" t="s">
        <v>41</v>
      </c>
      <c r="G1145" s="9">
        <v>44977</v>
      </c>
      <c r="H1145" s="7">
        <v>9010.43</v>
      </c>
      <c r="I1145" s="7"/>
      <c r="J1145" s="7"/>
      <c r="K1145" s="7"/>
      <c r="L1145" s="10">
        <v>4.830303030303031</v>
      </c>
      <c r="M1145" s="9">
        <v>44981</v>
      </c>
      <c r="N1145" s="10">
        <v>15</v>
      </c>
      <c r="O1145" s="9">
        <v>44996</v>
      </c>
      <c r="P1145">
        <v>17</v>
      </c>
      <c r="Q1145" s="11" t="s">
        <v>49</v>
      </c>
      <c r="R1145" s="7">
        <v>9010.43</v>
      </c>
      <c r="S1145" s="7"/>
      <c r="T1145" s="7"/>
      <c r="U1145" s="7"/>
      <c r="V1145" s="10">
        <v>6.830303030303031</v>
      </c>
      <c r="W1145" s="9">
        <v>44983</v>
      </c>
      <c r="X1145" s="10">
        <v>17</v>
      </c>
      <c r="Y1145" s="9">
        <v>44996</v>
      </c>
      <c r="Z1145">
        <v>17</v>
      </c>
      <c r="AA1145" s="11" t="s">
        <v>49</v>
      </c>
    </row>
    <row r="1146" spans="2:27" ht="16" x14ac:dyDescent="0.2">
      <c r="B1146" t="s">
        <v>35</v>
      </c>
      <c r="C1146">
        <v>40354653</v>
      </c>
      <c r="D1146" t="s">
        <v>391</v>
      </c>
      <c r="E1146">
        <v>1022863</v>
      </c>
      <c r="F1146" t="s">
        <v>201</v>
      </c>
      <c r="G1146" s="9">
        <v>44977</v>
      </c>
      <c r="H1146" s="7">
        <v>4507.75</v>
      </c>
      <c r="I1146" s="7"/>
      <c r="J1146" s="7"/>
      <c r="K1146" s="7"/>
      <c r="L1146" s="10">
        <v>4.830303030303031</v>
      </c>
      <c r="M1146" s="9">
        <v>44981</v>
      </c>
      <c r="N1146" s="10">
        <v>15</v>
      </c>
      <c r="O1146" s="9">
        <v>44996</v>
      </c>
      <c r="P1146">
        <v>17</v>
      </c>
      <c r="Q1146" s="11" t="s">
        <v>49</v>
      </c>
      <c r="R1146" s="7">
        <v>4507.75</v>
      </c>
      <c r="S1146" s="7"/>
      <c r="T1146" s="7"/>
      <c r="U1146" s="7"/>
      <c r="V1146" s="10">
        <v>6.830303030303031</v>
      </c>
      <c r="W1146" s="9">
        <v>44983</v>
      </c>
      <c r="X1146" s="10">
        <v>17</v>
      </c>
      <c r="Y1146" s="9">
        <v>44996</v>
      </c>
      <c r="Z1146">
        <v>17</v>
      </c>
      <c r="AA1146" s="11" t="s">
        <v>49</v>
      </c>
    </row>
    <row r="1147" spans="2:27" ht="16" x14ac:dyDescent="0.2">
      <c r="B1147" t="s">
        <v>35</v>
      </c>
      <c r="C1147">
        <v>40354653</v>
      </c>
      <c r="D1147" t="s">
        <v>391</v>
      </c>
      <c r="E1147">
        <v>1022398</v>
      </c>
      <c r="F1147" t="s">
        <v>431</v>
      </c>
      <c r="G1147" s="9">
        <v>44977</v>
      </c>
      <c r="H1147" s="7">
        <v>5014.3</v>
      </c>
      <c r="I1147" s="7"/>
      <c r="J1147" s="7"/>
      <c r="K1147" s="7"/>
      <c r="L1147" s="10">
        <v>4.830303030303031</v>
      </c>
      <c r="M1147" s="9">
        <v>44981</v>
      </c>
      <c r="N1147" s="10">
        <v>15</v>
      </c>
      <c r="O1147" s="9">
        <v>44996</v>
      </c>
      <c r="P1147">
        <v>17</v>
      </c>
      <c r="Q1147" s="11" t="s">
        <v>49</v>
      </c>
      <c r="R1147" s="7">
        <v>5014.3</v>
      </c>
      <c r="S1147" s="7"/>
      <c r="T1147" s="7"/>
      <c r="U1147" s="7"/>
      <c r="V1147" s="10">
        <v>6.830303030303031</v>
      </c>
      <c r="W1147" s="9">
        <v>44983</v>
      </c>
      <c r="X1147" s="10">
        <v>17</v>
      </c>
      <c r="Y1147" s="9">
        <v>44996</v>
      </c>
      <c r="Z1147">
        <v>17</v>
      </c>
      <c r="AA1147" s="11" t="s">
        <v>49</v>
      </c>
    </row>
    <row r="1148" spans="2:27" ht="16" x14ac:dyDescent="0.2">
      <c r="B1148" t="s">
        <v>35</v>
      </c>
      <c r="C1148">
        <v>40354653</v>
      </c>
      <c r="D1148" t="s">
        <v>391</v>
      </c>
      <c r="E1148">
        <v>1022293</v>
      </c>
      <c r="F1148" t="s">
        <v>339</v>
      </c>
      <c r="G1148" s="9">
        <v>44977</v>
      </c>
      <c r="H1148" s="7">
        <v>1000</v>
      </c>
      <c r="I1148" s="7"/>
      <c r="J1148" s="7"/>
      <c r="K1148" s="7"/>
      <c r="L1148" s="10">
        <v>4.830303030303031</v>
      </c>
      <c r="M1148" s="9">
        <v>44981</v>
      </c>
      <c r="N1148" s="10">
        <v>15</v>
      </c>
      <c r="O1148" s="9">
        <v>44996</v>
      </c>
      <c r="P1148">
        <v>17</v>
      </c>
      <c r="Q1148" s="11" t="s">
        <v>49</v>
      </c>
      <c r="R1148" s="7">
        <v>1000</v>
      </c>
      <c r="S1148" s="7"/>
      <c r="T1148" s="7"/>
      <c r="U1148" s="7"/>
      <c r="V1148" s="10">
        <v>6.830303030303031</v>
      </c>
      <c r="W1148" s="9">
        <v>44983</v>
      </c>
      <c r="X1148" s="10">
        <v>17</v>
      </c>
      <c r="Y1148" s="9">
        <v>44996</v>
      </c>
      <c r="Z1148">
        <v>17</v>
      </c>
      <c r="AA1148" s="11" t="s">
        <v>49</v>
      </c>
    </row>
    <row r="1149" spans="2:27" ht="16" x14ac:dyDescent="0.2">
      <c r="B1149" t="s">
        <v>35</v>
      </c>
      <c r="C1149">
        <v>40354653</v>
      </c>
      <c r="D1149" t="s">
        <v>391</v>
      </c>
      <c r="E1149">
        <v>1021952</v>
      </c>
      <c r="F1149" t="s">
        <v>125</v>
      </c>
      <c r="G1149" s="9">
        <v>44977</v>
      </c>
      <c r="H1149" s="7">
        <v>1500</v>
      </c>
      <c r="I1149" s="7"/>
      <c r="J1149" s="7"/>
      <c r="K1149" s="7"/>
      <c r="L1149" s="10">
        <v>4.830303030303031</v>
      </c>
      <c r="M1149" s="9">
        <v>44981</v>
      </c>
      <c r="N1149" s="10">
        <v>15</v>
      </c>
      <c r="O1149" s="9">
        <v>44996</v>
      </c>
      <c r="P1149">
        <v>17</v>
      </c>
      <c r="Q1149" s="11" t="s">
        <v>49</v>
      </c>
      <c r="R1149" s="7">
        <v>1500</v>
      </c>
      <c r="S1149" s="7"/>
      <c r="T1149" s="7"/>
      <c r="U1149" s="7"/>
      <c r="V1149" s="10">
        <v>6.830303030303031</v>
      </c>
      <c r="W1149" s="9">
        <v>44983</v>
      </c>
      <c r="X1149" s="10">
        <v>17</v>
      </c>
      <c r="Y1149" s="9">
        <v>44996</v>
      </c>
      <c r="Z1149">
        <v>17</v>
      </c>
      <c r="AA1149" s="11" t="s">
        <v>49</v>
      </c>
    </row>
    <row r="1150" spans="2:27" ht="16" x14ac:dyDescent="0.2">
      <c r="B1150" t="s">
        <v>35</v>
      </c>
      <c r="C1150">
        <v>40354621</v>
      </c>
      <c r="D1150" t="s">
        <v>391</v>
      </c>
      <c r="E1150">
        <v>1021931</v>
      </c>
      <c r="F1150" t="s">
        <v>189</v>
      </c>
      <c r="G1150" s="9">
        <v>44982</v>
      </c>
      <c r="H1150" s="7">
        <v>1945.62</v>
      </c>
      <c r="I1150" s="7"/>
      <c r="J1150" s="7"/>
      <c r="K1150" s="7"/>
      <c r="L1150" s="10">
        <v>4.830303030303031</v>
      </c>
      <c r="M1150" s="9">
        <v>44986</v>
      </c>
      <c r="N1150" s="10">
        <v>15</v>
      </c>
      <c r="O1150" s="9">
        <v>45001</v>
      </c>
      <c r="P1150">
        <v>13</v>
      </c>
      <c r="Q1150" s="11" t="s">
        <v>49</v>
      </c>
      <c r="R1150" s="7">
        <v>1945.62</v>
      </c>
      <c r="S1150" s="7"/>
      <c r="T1150" s="7"/>
      <c r="U1150" s="7"/>
      <c r="V1150" s="10">
        <v>6.830303030303031</v>
      </c>
      <c r="W1150" s="9">
        <v>44988</v>
      </c>
      <c r="X1150" s="10">
        <v>17</v>
      </c>
      <c r="Y1150" s="9">
        <v>45001</v>
      </c>
      <c r="Z1150">
        <v>13</v>
      </c>
      <c r="AA1150" s="11" t="s">
        <v>49</v>
      </c>
    </row>
    <row r="1151" spans="2:27" ht="16" x14ac:dyDescent="0.2">
      <c r="B1151" t="s">
        <v>35</v>
      </c>
      <c r="C1151">
        <v>40354620</v>
      </c>
      <c r="D1151" t="s">
        <v>391</v>
      </c>
      <c r="E1151">
        <v>1022975</v>
      </c>
      <c r="F1151" t="s">
        <v>433</v>
      </c>
      <c r="G1151" s="9">
        <v>44982</v>
      </c>
      <c r="H1151" s="7">
        <v>4970</v>
      </c>
      <c r="I1151" s="7"/>
      <c r="J1151" s="7"/>
      <c r="K1151" s="7"/>
      <c r="L1151" s="10">
        <v>4.830303030303031</v>
      </c>
      <c r="M1151" s="9">
        <v>44986</v>
      </c>
      <c r="N1151" s="10">
        <v>15</v>
      </c>
      <c r="O1151" s="9">
        <v>45001</v>
      </c>
      <c r="P1151">
        <v>13</v>
      </c>
      <c r="Q1151" s="11" t="s">
        <v>49</v>
      </c>
      <c r="R1151" s="7">
        <v>4970</v>
      </c>
      <c r="S1151" s="7"/>
      <c r="T1151" s="7"/>
      <c r="U1151" s="7"/>
      <c r="V1151" s="10">
        <v>6.830303030303031</v>
      </c>
      <c r="W1151" s="9">
        <v>44988</v>
      </c>
      <c r="X1151" s="10">
        <v>17</v>
      </c>
      <c r="Y1151" s="9">
        <v>45001</v>
      </c>
      <c r="Z1151">
        <v>13</v>
      </c>
      <c r="AA1151" s="11" t="s">
        <v>49</v>
      </c>
    </row>
    <row r="1152" spans="2:27" ht="16" x14ac:dyDescent="0.2">
      <c r="B1152" t="s">
        <v>35</v>
      </c>
      <c r="C1152">
        <v>40354620</v>
      </c>
      <c r="D1152" t="s">
        <v>391</v>
      </c>
      <c r="E1152">
        <v>1022865</v>
      </c>
      <c r="F1152" t="s">
        <v>343</v>
      </c>
      <c r="G1152" s="9">
        <v>44982</v>
      </c>
      <c r="H1152" s="7">
        <v>4968.38</v>
      </c>
      <c r="I1152" s="7"/>
      <c r="J1152" s="7"/>
      <c r="K1152" s="7"/>
      <c r="L1152" s="10">
        <v>4.830303030303031</v>
      </c>
      <c r="M1152" s="9">
        <v>44986</v>
      </c>
      <c r="N1152" s="10">
        <v>15</v>
      </c>
      <c r="O1152" s="9">
        <v>45001</v>
      </c>
      <c r="P1152">
        <v>13</v>
      </c>
      <c r="Q1152" s="11" t="s">
        <v>49</v>
      </c>
      <c r="R1152" s="7">
        <v>4968.38</v>
      </c>
      <c r="S1152" s="7"/>
      <c r="T1152" s="7"/>
      <c r="U1152" s="7"/>
      <c r="V1152" s="10">
        <v>6.830303030303031</v>
      </c>
      <c r="W1152" s="9">
        <v>44988</v>
      </c>
      <c r="X1152" s="10">
        <v>17</v>
      </c>
      <c r="Y1152" s="9">
        <v>45001</v>
      </c>
      <c r="Z1152">
        <v>13</v>
      </c>
      <c r="AA1152" s="11" t="s">
        <v>49</v>
      </c>
    </row>
    <row r="1153" spans="2:27" ht="16" x14ac:dyDescent="0.2">
      <c r="B1153" t="s">
        <v>35</v>
      </c>
      <c r="C1153">
        <v>40354620</v>
      </c>
      <c r="D1153" t="s">
        <v>391</v>
      </c>
      <c r="E1153">
        <v>1022863</v>
      </c>
      <c r="F1153" t="s">
        <v>201</v>
      </c>
      <c r="G1153" s="9">
        <v>44982</v>
      </c>
      <c r="H1153" s="7">
        <v>3015.54</v>
      </c>
      <c r="I1153" s="7"/>
      <c r="J1153" s="7"/>
      <c r="K1153" s="7"/>
      <c r="L1153" s="10">
        <v>4.830303030303031</v>
      </c>
      <c r="M1153" s="9">
        <v>44986</v>
      </c>
      <c r="N1153" s="10">
        <v>15</v>
      </c>
      <c r="O1153" s="9">
        <v>45001</v>
      </c>
      <c r="P1153">
        <v>13</v>
      </c>
      <c r="Q1153" s="11" t="s">
        <v>49</v>
      </c>
      <c r="R1153" s="7">
        <v>3015.54</v>
      </c>
      <c r="S1153" s="7"/>
      <c r="T1153" s="7"/>
      <c r="U1153" s="7"/>
      <c r="V1153" s="10">
        <v>6.830303030303031</v>
      </c>
      <c r="W1153" s="9">
        <v>44988</v>
      </c>
      <c r="X1153" s="10">
        <v>17</v>
      </c>
      <c r="Y1153" s="9">
        <v>45001</v>
      </c>
      <c r="Z1153">
        <v>13</v>
      </c>
      <c r="AA1153" s="11" t="s">
        <v>49</v>
      </c>
    </row>
    <row r="1154" spans="2:27" ht="16" x14ac:dyDescent="0.2">
      <c r="B1154" t="s">
        <v>35</v>
      </c>
      <c r="C1154">
        <v>40354620</v>
      </c>
      <c r="D1154" t="s">
        <v>391</v>
      </c>
      <c r="E1154">
        <v>1022621</v>
      </c>
      <c r="F1154" t="s">
        <v>199</v>
      </c>
      <c r="G1154" s="9">
        <v>44982</v>
      </c>
      <c r="H1154" s="7">
        <v>4003.03</v>
      </c>
      <c r="I1154" s="7"/>
      <c r="J1154" s="7"/>
      <c r="K1154" s="7"/>
      <c r="L1154" s="10">
        <v>4.830303030303031</v>
      </c>
      <c r="M1154" s="9">
        <v>44986</v>
      </c>
      <c r="N1154" s="10">
        <v>15</v>
      </c>
      <c r="O1154" s="9">
        <v>45001</v>
      </c>
      <c r="P1154">
        <v>13</v>
      </c>
      <c r="Q1154" s="11" t="s">
        <v>49</v>
      </c>
      <c r="R1154" s="7">
        <v>4003.03</v>
      </c>
      <c r="S1154" s="7"/>
      <c r="T1154" s="7"/>
      <c r="U1154" s="7"/>
      <c r="V1154" s="10">
        <v>6.830303030303031</v>
      </c>
      <c r="W1154" s="9">
        <v>44988</v>
      </c>
      <c r="X1154" s="10">
        <v>17</v>
      </c>
      <c r="Y1154" s="9">
        <v>45001</v>
      </c>
      <c r="Z1154">
        <v>13</v>
      </c>
      <c r="AA1154" s="11" t="s">
        <v>49</v>
      </c>
    </row>
    <row r="1155" spans="2:27" ht="16" x14ac:dyDescent="0.2">
      <c r="B1155" t="s">
        <v>35</v>
      </c>
      <c r="C1155">
        <v>40354620</v>
      </c>
      <c r="D1155" t="s">
        <v>391</v>
      </c>
      <c r="E1155">
        <v>1021924</v>
      </c>
      <c r="F1155" t="s">
        <v>187</v>
      </c>
      <c r="G1155" s="9">
        <v>44982</v>
      </c>
      <c r="H1155" s="7">
        <v>5083.53</v>
      </c>
      <c r="I1155" s="7"/>
      <c r="J1155" s="7"/>
      <c r="K1155" s="7"/>
      <c r="L1155" s="10">
        <v>4.830303030303031</v>
      </c>
      <c r="M1155" s="9">
        <v>44986</v>
      </c>
      <c r="N1155" s="10">
        <v>15</v>
      </c>
      <c r="O1155" s="9">
        <v>45001</v>
      </c>
      <c r="P1155">
        <v>13</v>
      </c>
      <c r="Q1155" s="11" t="s">
        <v>49</v>
      </c>
      <c r="R1155" s="7">
        <v>5083.53</v>
      </c>
      <c r="S1155" s="7"/>
      <c r="T1155" s="7"/>
      <c r="U1155" s="7"/>
      <c r="V1155" s="10">
        <v>6.830303030303031</v>
      </c>
      <c r="W1155" s="9">
        <v>44988</v>
      </c>
      <c r="X1155" s="10">
        <v>17</v>
      </c>
      <c r="Y1155" s="9">
        <v>45001</v>
      </c>
      <c r="Z1155">
        <v>13</v>
      </c>
      <c r="AA1155" s="11" t="s">
        <v>49</v>
      </c>
    </row>
    <row r="1156" spans="2:27" ht="16" x14ac:dyDescent="0.2">
      <c r="B1156" t="s">
        <v>35</v>
      </c>
      <c r="C1156">
        <v>40354619</v>
      </c>
      <c r="D1156" t="s">
        <v>391</v>
      </c>
      <c r="E1156">
        <v>1021931</v>
      </c>
      <c r="F1156" t="s">
        <v>189</v>
      </c>
      <c r="G1156" s="9">
        <v>44977</v>
      </c>
      <c r="H1156" s="7">
        <v>2002.38</v>
      </c>
      <c r="I1156" s="7"/>
      <c r="J1156" s="7"/>
      <c r="K1156" s="7"/>
      <c r="L1156" s="10">
        <v>4.830303030303031</v>
      </c>
      <c r="M1156" s="9">
        <v>44981</v>
      </c>
      <c r="N1156" s="10">
        <v>15</v>
      </c>
      <c r="O1156" s="9">
        <v>44996</v>
      </c>
      <c r="P1156">
        <v>17</v>
      </c>
      <c r="Q1156" s="11" t="s">
        <v>49</v>
      </c>
      <c r="R1156" s="7">
        <v>2002.38</v>
      </c>
      <c r="S1156" s="7"/>
      <c r="T1156" s="7"/>
      <c r="U1156" s="7"/>
      <c r="V1156" s="10">
        <v>6.830303030303031</v>
      </c>
      <c r="W1156" s="9">
        <v>44983</v>
      </c>
      <c r="X1156" s="10">
        <v>17</v>
      </c>
      <c r="Y1156" s="9">
        <v>44996</v>
      </c>
      <c r="Z1156">
        <v>17</v>
      </c>
      <c r="AA1156" s="11" t="s">
        <v>49</v>
      </c>
    </row>
    <row r="1157" spans="2:27" ht="16" x14ac:dyDescent="0.2">
      <c r="B1157" t="s">
        <v>35</v>
      </c>
      <c r="C1157">
        <v>40354618</v>
      </c>
      <c r="D1157" t="s">
        <v>391</v>
      </c>
      <c r="E1157">
        <v>1021924</v>
      </c>
      <c r="F1157" t="s">
        <v>187</v>
      </c>
      <c r="G1157" s="9">
        <v>44977</v>
      </c>
      <c r="H1157" s="7">
        <v>5005.91</v>
      </c>
      <c r="I1157" s="7"/>
      <c r="J1157" s="7"/>
      <c r="K1157" s="7"/>
      <c r="L1157" s="10">
        <v>4.830303030303031</v>
      </c>
      <c r="M1157" s="9">
        <v>44981</v>
      </c>
      <c r="N1157" s="10">
        <v>15</v>
      </c>
      <c r="O1157" s="9">
        <v>44996</v>
      </c>
      <c r="P1157">
        <v>17</v>
      </c>
      <c r="Q1157" s="11" t="s">
        <v>49</v>
      </c>
      <c r="R1157" s="7">
        <v>5005.91</v>
      </c>
      <c r="S1157" s="7"/>
      <c r="T1157" s="7"/>
      <c r="U1157" s="7"/>
      <c r="V1157" s="10">
        <v>6.830303030303031</v>
      </c>
      <c r="W1157" s="9">
        <v>44983</v>
      </c>
      <c r="X1157" s="10">
        <v>17</v>
      </c>
      <c r="Y1157" s="9">
        <v>44996</v>
      </c>
      <c r="Z1157">
        <v>17</v>
      </c>
      <c r="AA1157" s="11" t="s">
        <v>49</v>
      </c>
    </row>
    <row r="1158" spans="2:27" ht="16" x14ac:dyDescent="0.2">
      <c r="B1158" t="s">
        <v>35</v>
      </c>
      <c r="C1158">
        <v>40354618</v>
      </c>
      <c r="D1158" t="s">
        <v>391</v>
      </c>
      <c r="E1158">
        <v>1022621</v>
      </c>
      <c r="F1158" t="s">
        <v>199</v>
      </c>
      <c r="G1158" s="9">
        <v>44977</v>
      </c>
      <c r="H1158" s="7">
        <v>4007.33</v>
      </c>
      <c r="I1158" s="7"/>
      <c r="J1158" s="7"/>
      <c r="K1158" s="7"/>
      <c r="L1158" s="10">
        <v>4.830303030303031</v>
      </c>
      <c r="M1158" s="9">
        <v>44981</v>
      </c>
      <c r="N1158" s="10">
        <v>15</v>
      </c>
      <c r="O1158" s="9">
        <v>44996</v>
      </c>
      <c r="P1158">
        <v>17</v>
      </c>
      <c r="Q1158" s="11" t="s">
        <v>49</v>
      </c>
      <c r="R1158" s="7">
        <v>4007.33</v>
      </c>
      <c r="S1158" s="7"/>
      <c r="T1158" s="7"/>
      <c r="U1158" s="7"/>
      <c r="V1158" s="10">
        <v>6.830303030303031</v>
      </c>
      <c r="W1158" s="9">
        <v>44983</v>
      </c>
      <c r="X1158" s="10">
        <v>17</v>
      </c>
      <c r="Y1158" s="9">
        <v>44996</v>
      </c>
      <c r="Z1158">
        <v>17</v>
      </c>
      <c r="AA1158" s="11" t="s">
        <v>49</v>
      </c>
    </row>
    <row r="1159" spans="2:27" ht="16" x14ac:dyDescent="0.2">
      <c r="B1159" t="s">
        <v>35</v>
      </c>
      <c r="C1159">
        <v>40354618</v>
      </c>
      <c r="D1159" t="s">
        <v>391</v>
      </c>
      <c r="E1159">
        <v>1022863</v>
      </c>
      <c r="F1159" t="s">
        <v>201</v>
      </c>
      <c r="G1159" s="9">
        <v>44977</v>
      </c>
      <c r="H1159" s="7">
        <v>3008.77</v>
      </c>
      <c r="I1159" s="7"/>
      <c r="J1159" s="7"/>
      <c r="K1159" s="7"/>
      <c r="L1159" s="10">
        <v>4.830303030303031</v>
      </c>
      <c r="M1159" s="9">
        <v>44981</v>
      </c>
      <c r="N1159" s="10">
        <v>15</v>
      </c>
      <c r="O1159" s="9">
        <v>44996</v>
      </c>
      <c r="P1159">
        <v>17</v>
      </c>
      <c r="Q1159" s="11" t="s">
        <v>49</v>
      </c>
      <c r="R1159" s="7">
        <v>3008.77</v>
      </c>
      <c r="S1159" s="7"/>
      <c r="T1159" s="7"/>
      <c r="U1159" s="7"/>
      <c r="V1159" s="10">
        <v>6.830303030303031</v>
      </c>
      <c r="W1159" s="9">
        <v>44983</v>
      </c>
      <c r="X1159" s="10">
        <v>17</v>
      </c>
      <c r="Y1159" s="9">
        <v>44996</v>
      </c>
      <c r="Z1159">
        <v>17</v>
      </c>
      <c r="AA1159" s="11" t="s">
        <v>49</v>
      </c>
    </row>
    <row r="1160" spans="2:27" ht="16" x14ac:dyDescent="0.2">
      <c r="B1160" t="s">
        <v>35</v>
      </c>
      <c r="C1160">
        <v>40354618</v>
      </c>
      <c r="D1160" t="s">
        <v>391</v>
      </c>
      <c r="E1160">
        <v>1022865</v>
      </c>
      <c r="F1160" t="s">
        <v>343</v>
      </c>
      <c r="G1160" s="9">
        <v>44977</v>
      </c>
      <c r="H1160" s="7">
        <v>5004.3</v>
      </c>
      <c r="I1160" s="7"/>
      <c r="J1160" s="7"/>
      <c r="K1160" s="7"/>
      <c r="L1160" s="10">
        <v>4.830303030303031</v>
      </c>
      <c r="M1160" s="9">
        <v>44981</v>
      </c>
      <c r="N1160" s="10">
        <v>15</v>
      </c>
      <c r="O1160" s="9">
        <v>44996</v>
      </c>
      <c r="P1160">
        <v>17</v>
      </c>
      <c r="Q1160" s="11" t="s">
        <v>49</v>
      </c>
      <c r="R1160" s="7">
        <v>5004.3</v>
      </c>
      <c r="S1160" s="7"/>
      <c r="T1160" s="7"/>
      <c r="U1160" s="7"/>
      <c r="V1160" s="10">
        <v>6.830303030303031</v>
      </c>
      <c r="W1160" s="9">
        <v>44983</v>
      </c>
      <c r="X1160" s="10">
        <v>17</v>
      </c>
      <c r="Y1160" s="9">
        <v>44996</v>
      </c>
      <c r="Z1160">
        <v>17</v>
      </c>
      <c r="AA1160" s="11" t="s">
        <v>49</v>
      </c>
    </row>
    <row r="1161" spans="2:27" ht="16" x14ac:dyDescent="0.2">
      <c r="B1161" t="s">
        <v>35</v>
      </c>
      <c r="C1161">
        <v>40354618</v>
      </c>
      <c r="D1161" t="s">
        <v>391</v>
      </c>
      <c r="E1161">
        <v>1022975</v>
      </c>
      <c r="F1161" t="s">
        <v>433</v>
      </c>
      <c r="G1161" s="9">
        <v>44977</v>
      </c>
      <c r="H1161" s="7">
        <v>5020</v>
      </c>
      <c r="I1161" s="7"/>
      <c r="J1161" s="7"/>
      <c r="K1161" s="7"/>
      <c r="L1161" s="10">
        <v>4.830303030303031</v>
      </c>
      <c r="M1161" s="9">
        <v>44981</v>
      </c>
      <c r="N1161" s="10">
        <v>15</v>
      </c>
      <c r="O1161" s="9">
        <v>44996</v>
      </c>
      <c r="P1161">
        <v>17</v>
      </c>
      <c r="Q1161" s="11" t="s">
        <v>49</v>
      </c>
      <c r="R1161" s="7">
        <v>5020</v>
      </c>
      <c r="S1161" s="7"/>
      <c r="T1161" s="7"/>
      <c r="U1161" s="7"/>
      <c r="V1161" s="10">
        <v>6.830303030303031</v>
      </c>
      <c r="W1161" s="9">
        <v>44983</v>
      </c>
      <c r="X1161" s="10">
        <v>17</v>
      </c>
      <c r="Y1161" s="9">
        <v>44996</v>
      </c>
      <c r="Z1161">
        <v>17</v>
      </c>
      <c r="AA1161" s="11" t="s">
        <v>49</v>
      </c>
    </row>
    <row r="1162" spans="2:27" x14ac:dyDescent="0.2">
      <c r="B1162" t="s">
        <v>394</v>
      </c>
      <c r="C1162">
        <v>40354567</v>
      </c>
      <c r="D1162" t="s">
        <v>396</v>
      </c>
      <c r="E1162">
        <v>1023397</v>
      </c>
      <c r="F1162" t="s">
        <v>463</v>
      </c>
      <c r="G1162" s="9">
        <v>45004</v>
      </c>
      <c r="H1162" s="7">
        <v>10015.459999999999</v>
      </c>
      <c r="I1162" s="7"/>
      <c r="J1162" s="7"/>
      <c r="K1162" s="7"/>
      <c r="L1162" s="10"/>
      <c r="N1162" s="10"/>
      <c r="Q1162" s="11"/>
      <c r="R1162" s="7">
        <v>10015.459999999999</v>
      </c>
      <c r="S1162" s="7"/>
      <c r="T1162" s="7"/>
      <c r="U1162" s="7"/>
      <c r="V1162" s="10"/>
      <c r="X1162" s="10"/>
      <c r="AA1162" s="11"/>
    </row>
    <row r="1163" spans="2:27" x14ac:dyDescent="0.2">
      <c r="B1163" t="s">
        <v>394</v>
      </c>
      <c r="C1163">
        <v>40354567</v>
      </c>
      <c r="D1163" t="s">
        <v>396</v>
      </c>
      <c r="E1163">
        <v>1023397</v>
      </c>
      <c r="F1163" t="s">
        <v>463</v>
      </c>
      <c r="G1163" s="9">
        <v>45004</v>
      </c>
      <c r="H1163" s="7">
        <v>24001.33</v>
      </c>
      <c r="I1163" s="7"/>
      <c r="J1163" s="7"/>
      <c r="K1163" s="7"/>
      <c r="L1163" s="10"/>
      <c r="N1163" s="10"/>
      <c r="Q1163" s="11"/>
      <c r="R1163" s="7">
        <v>24001.33</v>
      </c>
      <c r="S1163" s="7"/>
      <c r="T1163" s="7"/>
      <c r="U1163" s="7"/>
      <c r="V1163" s="10"/>
      <c r="X1163" s="10"/>
      <c r="AA1163" s="11"/>
    </row>
    <row r="1164" spans="2:27" ht="16" x14ac:dyDescent="0.2">
      <c r="B1164" t="s">
        <v>35</v>
      </c>
      <c r="C1164">
        <v>40354556</v>
      </c>
      <c r="D1164" t="s">
        <v>423</v>
      </c>
      <c r="E1164">
        <v>1023318</v>
      </c>
      <c r="F1164" t="s">
        <v>560</v>
      </c>
      <c r="G1164" s="9">
        <v>44969</v>
      </c>
      <c r="H1164" s="7"/>
      <c r="I1164" s="7"/>
      <c r="J1164" s="7"/>
      <c r="K1164" s="7"/>
      <c r="L1164" s="10">
        <v>5.4496124031007751</v>
      </c>
      <c r="M1164" s="9">
        <v>44974</v>
      </c>
      <c r="N1164" s="10">
        <v>10</v>
      </c>
      <c r="O1164" s="9">
        <v>44984</v>
      </c>
      <c r="P1164">
        <v>1</v>
      </c>
      <c r="Q1164" s="11" t="s">
        <v>594</v>
      </c>
      <c r="R1164" s="7"/>
      <c r="S1164" s="7"/>
      <c r="T1164" s="7"/>
      <c r="U1164" s="7"/>
      <c r="V1164" s="10">
        <v>7.4496124031007751</v>
      </c>
      <c r="W1164" s="9">
        <v>44976</v>
      </c>
      <c r="X1164" s="10">
        <v>12</v>
      </c>
      <c r="Y1164" s="9">
        <v>44984</v>
      </c>
      <c r="Z1164">
        <v>1</v>
      </c>
      <c r="AA1164" s="11" t="s">
        <v>594</v>
      </c>
    </row>
    <row r="1165" spans="2:27" ht="16" x14ac:dyDescent="0.2">
      <c r="B1165" t="s">
        <v>35</v>
      </c>
      <c r="C1165">
        <v>40354556</v>
      </c>
      <c r="D1165" t="s">
        <v>423</v>
      </c>
      <c r="E1165">
        <v>1023318</v>
      </c>
      <c r="F1165" t="s">
        <v>560</v>
      </c>
      <c r="G1165" s="9">
        <v>44969</v>
      </c>
      <c r="H1165" s="7"/>
      <c r="I1165" s="7"/>
      <c r="J1165" s="7"/>
      <c r="K1165" s="7"/>
      <c r="L1165" s="10">
        <v>5.4496124031007751</v>
      </c>
      <c r="M1165" s="9">
        <v>44974</v>
      </c>
      <c r="N1165" s="10">
        <v>10</v>
      </c>
      <c r="O1165" s="9">
        <v>44984</v>
      </c>
      <c r="P1165">
        <v>1</v>
      </c>
      <c r="Q1165" s="11" t="s">
        <v>594</v>
      </c>
      <c r="R1165" s="7"/>
      <c r="S1165" s="7"/>
      <c r="T1165" s="7"/>
      <c r="U1165" s="7"/>
      <c r="V1165" s="10">
        <v>7.4496124031007751</v>
      </c>
      <c r="W1165" s="9">
        <v>44976</v>
      </c>
      <c r="X1165" s="10">
        <v>12</v>
      </c>
      <c r="Y1165" s="9">
        <v>44984</v>
      </c>
      <c r="Z1165">
        <v>1</v>
      </c>
      <c r="AA1165" s="11" t="s">
        <v>594</v>
      </c>
    </row>
    <row r="1166" spans="2:27" x14ac:dyDescent="0.2">
      <c r="B1166" t="s">
        <v>394</v>
      </c>
      <c r="C1166">
        <v>40354522</v>
      </c>
      <c r="D1166" t="s">
        <v>485</v>
      </c>
      <c r="E1166">
        <v>1011558</v>
      </c>
      <c r="F1166" t="s">
        <v>603</v>
      </c>
      <c r="G1166" s="9">
        <v>44969</v>
      </c>
      <c r="H1166" s="7"/>
      <c r="I1166" s="7"/>
      <c r="J1166" s="7"/>
      <c r="K1166" s="7"/>
      <c r="L1166" s="10"/>
      <c r="N1166" s="10"/>
      <c r="Q1166" s="11"/>
      <c r="R1166" s="7"/>
      <c r="S1166" s="7"/>
      <c r="T1166" s="7"/>
      <c r="U1166" s="7"/>
      <c r="V1166" s="10"/>
      <c r="X1166" s="10"/>
      <c r="AA1166" s="11"/>
    </row>
    <row r="1167" spans="2:27" x14ac:dyDescent="0.2">
      <c r="B1167" t="s">
        <v>394</v>
      </c>
      <c r="C1167">
        <v>40354521</v>
      </c>
      <c r="D1167" t="s">
        <v>485</v>
      </c>
      <c r="E1167">
        <v>1011558</v>
      </c>
      <c r="F1167" t="s">
        <v>603</v>
      </c>
      <c r="G1167" s="9">
        <v>44969</v>
      </c>
      <c r="H1167" s="7"/>
      <c r="I1167" s="7"/>
      <c r="J1167" s="7"/>
      <c r="K1167" s="7"/>
      <c r="L1167" s="10"/>
      <c r="N1167" s="10"/>
      <c r="Q1167" s="11"/>
      <c r="R1167" s="7"/>
      <c r="S1167" s="7"/>
      <c r="T1167" s="7"/>
      <c r="U1167" s="7"/>
      <c r="V1167" s="10"/>
      <c r="X1167" s="10"/>
      <c r="AA1167" s="11"/>
    </row>
    <row r="1168" spans="2:27" x14ac:dyDescent="0.2">
      <c r="B1168" t="s">
        <v>394</v>
      </c>
      <c r="C1168">
        <v>40354520</v>
      </c>
      <c r="D1168" t="s">
        <v>485</v>
      </c>
      <c r="E1168">
        <v>1011558</v>
      </c>
      <c r="F1168" t="s">
        <v>603</v>
      </c>
      <c r="G1168" s="9">
        <v>44973</v>
      </c>
      <c r="H1168" s="7"/>
      <c r="I1168" s="7"/>
      <c r="J1168" s="7"/>
      <c r="K1168" s="7"/>
      <c r="L1168" s="10"/>
      <c r="N1168" s="10"/>
      <c r="Q1168" s="11"/>
      <c r="R1168" s="7"/>
      <c r="S1168" s="7"/>
      <c r="T1168" s="7"/>
      <c r="U1168" s="7"/>
      <c r="V1168" s="10"/>
      <c r="X1168" s="10"/>
      <c r="AA1168" s="11"/>
    </row>
    <row r="1169" spans="2:27" x14ac:dyDescent="0.2">
      <c r="B1169" t="s">
        <v>394</v>
      </c>
      <c r="C1169">
        <v>40354519</v>
      </c>
      <c r="D1169" t="s">
        <v>485</v>
      </c>
      <c r="E1169">
        <v>1011558</v>
      </c>
      <c r="F1169" t="s">
        <v>603</v>
      </c>
      <c r="G1169" s="9">
        <v>44975</v>
      </c>
      <c r="H1169" s="7"/>
      <c r="I1169" s="7"/>
      <c r="J1169" s="7"/>
      <c r="K1169" s="7"/>
      <c r="L1169" s="10"/>
      <c r="N1169" s="10"/>
      <c r="Q1169" s="11"/>
      <c r="R1169" s="7"/>
      <c r="S1169" s="7"/>
      <c r="T1169" s="7"/>
      <c r="U1169" s="7"/>
      <c r="V1169" s="10"/>
      <c r="X1169" s="10"/>
      <c r="AA1169" s="11"/>
    </row>
    <row r="1170" spans="2:27" x14ac:dyDescent="0.2">
      <c r="B1170" t="s">
        <v>394</v>
      </c>
      <c r="C1170">
        <v>40354518</v>
      </c>
      <c r="D1170" t="s">
        <v>485</v>
      </c>
      <c r="E1170">
        <v>1011558</v>
      </c>
      <c r="F1170" t="s">
        <v>603</v>
      </c>
      <c r="G1170" s="9">
        <v>44960</v>
      </c>
      <c r="H1170" s="7"/>
      <c r="I1170" s="7"/>
      <c r="J1170" s="7"/>
      <c r="K1170" s="7"/>
      <c r="L1170" s="10"/>
      <c r="N1170" s="10"/>
      <c r="Q1170" s="11"/>
      <c r="R1170" s="7"/>
      <c r="S1170" s="7"/>
      <c r="T1170" s="7"/>
      <c r="U1170" s="7"/>
      <c r="V1170" s="10"/>
      <c r="X1170" s="10"/>
      <c r="AA1170" s="11"/>
    </row>
    <row r="1171" spans="2:27" x14ac:dyDescent="0.2">
      <c r="B1171" t="s">
        <v>394</v>
      </c>
      <c r="C1171">
        <v>40354517</v>
      </c>
      <c r="D1171" t="s">
        <v>485</v>
      </c>
      <c r="E1171">
        <v>1011558</v>
      </c>
      <c r="F1171" t="s">
        <v>603</v>
      </c>
      <c r="G1171" s="9">
        <v>44960</v>
      </c>
      <c r="H1171" s="7"/>
      <c r="I1171" s="7"/>
      <c r="J1171" s="7"/>
      <c r="K1171" s="7"/>
      <c r="L1171" s="10"/>
      <c r="N1171" s="10"/>
      <c r="Q1171" s="11"/>
      <c r="R1171" s="7"/>
      <c r="S1171" s="7"/>
      <c r="T1171" s="7"/>
      <c r="U1171" s="7"/>
      <c r="V1171" s="10"/>
      <c r="X1171" s="10"/>
      <c r="AA1171" s="11"/>
    </row>
    <row r="1172" spans="2:27" x14ac:dyDescent="0.2">
      <c r="B1172" t="s">
        <v>394</v>
      </c>
      <c r="C1172">
        <v>40354516</v>
      </c>
      <c r="D1172" t="s">
        <v>485</v>
      </c>
      <c r="E1172">
        <v>1011558</v>
      </c>
      <c r="F1172" t="s">
        <v>603</v>
      </c>
      <c r="G1172" s="9">
        <v>44960</v>
      </c>
      <c r="H1172" s="7"/>
      <c r="I1172" s="7"/>
      <c r="J1172" s="7"/>
      <c r="K1172" s="7"/>
      <c r="L1172" s="10"/>
      <c r="N1172" s="10"/>
      <c r="Q1172" s="11"/>
      <c r="R1172" s="7"/>
      <c r="S1172" s="7"/>
      <c r="T1172" s="7"/>
      <c r="U1172" s="7"/>
      <c r="V1172" s="10"/>
      <c r="X1172" s="10"/>
      <c r="AA1172" s="11"/>
    </row>
    <row r="1173" spans="2:27" x14ac:dyDescent="0.2">
      <c r="B1173" t="s">
        <v>394</v>
      </c>
      <c r="C1173">
        <v>40354515</v>
      </c>
      <c r="D1173" t="s">
        <v>485</v>
      </c>
      <c r="E1173">
        <v>1011558</v>
      </c>
      <c r="F1173" t="s">
        <v>603</v>
      </c>
      <c r="G1173" s="9">
        <v>44960</v>
      </c>
      <c r="H1173" s="7"/>
      <c r="I1173" s="7"/>
      <c r="J1173" s="7"/>
      <c r="K1173" s="7"/>
      <c r="L1173" s="10"/>
      <c r="N1173" s="10"/>
      <c r="Q1173" s="11"/>
      <c r="R1173" s="7"/>
      <c r="S1173" s="7"/>
      <c r="T1173" s="7"/>
      <c r="U1173" s="7"/>
      <c r="V1173" s="10"/>
      <c r="X1173" s="10"/>
      <c r="AA1173" s="11"/>
    </row>
    <row r="1174" spans="2:27" x14ac:dyDescent="0.2">
      <c r="B1174" t="s">
        <v>394</v>
      </c>
      <c r="C1174">
        <v>40354514</v>
      </c>
      <c r="D1174" t="s">
        <v>485</v>
      </c>
      <c r="E1174">
        <v>1011558</v>
      </c>
      <c r="F1174" t="s">
        <v>603</v>
      </c>
      <c r="G1174" s="9">
        <v>44959</v>
      </c>
      <c r="H1174" s="7"/>
      <c r="I1174" s="7"/>
      <c r="J1174" s="7"/>
      <c r="K1174" s="7"/>
      <c r="L1174" s="10"/>
      <c r="N1174" s="10"/>
      <c r="Q1174" s="11"/>
      <c r="R1174" s="7"/>
      <c r="S1174" s="7"/>
      <c r="T1174" s="7"/>
      <c r="U1174" s="7"/>
      <c r="V1174" s="10"/>
      <c r="X1174" s="10"/>
      <c r="AA1174" s="11"/>
    </row>
    <row r="1175" spans="2:27" x14ac:dyDescent="0.2">
      <c r="B1175" t="s">
        <v>394</v>
      </c>
      <c r="C1175">
        <v>40354513</v>
      </c>
      <c r="D1175" t="s">
        <v>485</v>
      </c>
      <c r="E1175">
        <v>1011558</v>
      </c>
      <c r="F1175" t="s">
        <v>603</v>
      </c>
      <c r="G1175" s="9">
        <v>44959</v>
      </c>
      <c r="H1175" s="7"/>
      <c r="I1175" s="7"/>
      <c r="J1175" s="7"/>
      <c r="K1175" s="7"/>
      <c r="L1175" s="10"/>
      <c r="N1175" s="10"/>
      <c r="Q1175" s="11"/>
      <c r="R1175" s="7"/>
      <c r="S1175" s="7"/>
      <c r="T1175" s="7"/>
      <c r="U1175" s="7"/>
      <c r="V1175" s="10"/>
      <c r="X1175" s="10"/>
      <c r="AA1175" s="11"/>
    </row>
    <row r="1176" spans="2:27" x14ac:dyDescent="0.2">
      <c r="B1176" t="s">
        <v>394</v>
      </c>
      <c r="C1176">
        <v>40354510</v>
      </c>
      <c r="D1176" t="s">
        <v>485</v>
      </c>
      <c r="E1176">
        <v>1011558</v>
      </c>
      <c r="F1176" t="s">
        <v>603</v>
      </c>
      <c r="G1176" s="9">
        <v>44963</v>
      </c>
      <c r="H1176" s="7"/>
      <c r="I1176" s="7"/>
      <c r="J1176" s="7"/>
      <c r="K1176" s="7"/>
      <c r="L1176" s="10"/>
      <c r="N1176" s="10"/>
      <c r="Q1176" s="11"/>
      <c r="R1176" s="7"/>
      <c r="S1176" s="7"/>
      <c r="T1176" s="7"/>
      <c r="U1176" s="7"/>
      <c r="V1176" s="10"/>
      <c r="X1176" s="10"/>
      <c r="AA1176" s="11"/>
    </row>
    <row r="1177" spans="2:27" x14ac:dyDescent="0.2">
      <c r="B1177" t="s">
        <v>394</v>
      </c>
      <c r="C1177">
        <v>40354509</v>
      </c>
      <c r="D1177" t="s">
        <v>485</v>
      </c>
      <c r="E1177">
        <v>1011558</v>
      </c>
      <c r="F1177" t="s">
        <v>603</v>
      </c>
      <c r="G1177" s="9">
        <v>44963</v>
      </c>
      <c r="H1177" s="7"/>
      <c r="I1177" s="7"/>
      <c r="J1177" s="7"/>
      <c r="K1177" s="7"/>
      <c r="L1177" s="10"/>
      <c r="N1177" s="10"/>
      <c r="Q1177" s="11"/>
      <c r="R1177" s="7"/>
      <c r="S1177" s="7"/>
      <c r="T1177" s="7"/>
      <c r="U1177" s="7"/>
      <c r="V1177" s="10"/>
      <c r="X1177" s="10"/>
      <c r="AA1177" s="11"/>
    </row>
    <row r="1178" spans="2:27" x14ac:dyDescent="0.2">
      <c r="B1178" t="s">
        <v>394</v>
      </c>
      <c r="C1178">
        <v>40354508</v>
      </c>
      <c r="D1178" t="s">
        <v>485</v>
      </c>
      <c r="E1178">
        <v>1011558</v>
      </c>
      <c r="F1178" t="s">
        <v>603</v>
      </c>
      <c r="G1178" s="9">
        <v>44963</v>
      </c>
      <c r="H1178" s="7"/>
      <c r="I1178" s="7"/>
      <c r="J1178" s="7"/>
      <c r="K1178" s="7"/>
      <c r="L1178" s="10"/>
      <c r="N1178" s="10"/>
      <c r="Q1178" s="11"/>
      <c r="R1178" s="7"/>
      <c r="S1178" s="7"/>
      <c r="T1178" s="7"/>
      <c r="U1178" s="7"/>
      <c r="V1178" s="10"/>
      <c r="X1178" s="10"/>
      <c r="AA1178" s="11"/>
    </row>
    <row r="1179" spans="2:27" x14ac:dyDescent="0.2">
      <c r="B1179" t="s">
        <v>394</v>
      </c>
      <c r="C1179">
        <v>40354507</v>
      </c>
      <c r="D1179" t="s">
        <v>485</v>
      </c>
      <c r="E1179">
        <v>1011558</v>
      </c>
      <c r="F1179" t="s">
        <v>603</v>
      </c>
      <c r="G1179" s="9">
        <v>44953</v>
      </c>
      <c r="H1179" s="7"/>
      <c r="I1179" s="7"/>
      <c r="J1179" s="7"/>
      <c r="K1179" s="7"/>
      <c r="L1179" s="10"/>
      <c r="N1179" s="10"/>
      <c r="Q1179" s="11"/>
      <c r="R1179" s="7"/>
      <c r="S1179" s="7"/>
      <c r="T1179" s="7"/>
      <c r="U1179" s="7"/>
      <c r="V1179" s="10"/>
      <c r="X1179" s="10"/>
      <c r="AA1179" s="11"/>
    </row>
    <row r="1180" spans="2:27" x14ac:dyDescent="0.2">
      <c r="B1180" t="s">
        <v>394</v>
      </c>
      <c r="C1180">
        <v>40354506</v>
      </c>
      <c r="D1180" t="s">
        <v>485</v>
      </c>
      <c r="E1180">
        <v>1011558</v>
      </c>
      <c r="F1180" t="s">
        <v>603</v>
      </c>
      <c r="G1180" s="9">
        <v>44962</v>
      </c>
      <c r="H1180" s="7"/>
      <c r="I1180" s="7"/>
      <c r="J1180" s="7"/>
      <c r="K1180" s="7"/>
      <c r="L1180" s="10"/>
      <c r="N1180" s="10"/>
      <c r="Q1180" s="11"/>
      <c r="R1180" s="7"/>
      <c r="S1180" s="7"/>
      <c r="T1180" s="7"/>
      <c r="U1180" s="7"/>
      <c r="V1180" s="10"/>
      <c r="X1180" s="10"/>
      <c r="AA1180" s="11"/>
    </row>
    <row r="1181" spans="2:27" ht="16" x14ac:dyDescent="0.2">
      <c r="B1181" t="s">
        <v>35</v>
      </c>
      <c r="C1181">
        <v>40354458</v>
      </c>
      <c r="D1181" t="s">
        <v>386</v>
      </c>
      <c r="E1181">
        <v>1012432</v>
      </c>
      <c r="F1181" t="s">
        <v>454</v>
      </c>
      <c r="G1181" s="9">
        <v>44965</v>
      </c>
      <c r="H1181" s="7"/>
      <c r="I1181" s="7"/>
      <c r="J1181" s="7"/>
      <c r="K1181" s="7"/>
      <c r="L1181" s="10">
        <v>5.1420118343195256</v>
      </c>
      <c r="M1181" s="9">
        <v>44970</v>
      </c>
      <c r="N1181" s="10">
        <v>7.5</v>
      </c>
      <c r="O1181" s="9">
        <v>44977</v>
      </c>
      <c r="P1181">
        <v>7</v>
      </c>
      <c r="Q1181" s="11" t="s">
        <v>49</v>
      </c>
      <c r="R1181" s="7"/>
      <c r="S1181" s="7"/>
      <c r="T1181" s="7"/>
      <c r="U1181" s="7"/>
      <c r="V1181" s="10">
        <v>7.1420118343195256</v>
      </c>
      <c r="W1181" s="9">
        <v>44972</v>
      </c>
      <c r="X1181" s="10">
        <v>9.5</v>
      </c>
      <c r="Y1181" s="9">
        <v>44977</v>
      </c>
      <c r="Z1181">
        <v>7</v>
      </c>
      <c r="AA1181" s="11" t="s">
        <v>49</v>
      </c>
    </row>
    <row r="1182" spans="2:27" ht="16" x14ac:dyDescent="0.2">
      <c r="B1182" t="s">
        <v>35</v>
      </c>
      <c r="C1182">
        <v>40354457</v>
      </c>
      <c r="D1182" t="s">
        <v>386</v>
      </c>
      <c r="E1182">
        <v>1012432</v>
      </c>
      <c r="F1182" t="s">
        <v>454</v>
      </c>
      <c r="G1182" s="9">
        <v>44965</v>
      </c>
      <c r="H1182" s="7"/>
      <c r="I1182" s="7"/>
      <c r="J1182" s="7"/>
      <c r="K1182" s="7"/>
      <c r="L1182" s="10">
        <v>5.1420118343195256</v>
      </c>
      <c r="M1182" s="9">
        <v>44970</v>
      </c>
      <c r="N1182" s="10">
        <v>7.5</v>
      </c>
      <c r="O1182" s="9">
        <v>44977</v>
      </c>
      <c r="P1182">
        <v>7</v>
      </c>
      <c r="Q1182" s="11" t="s">
        <v>49</v>
      </c>
      <c r="R1182" s="7"/>
      <c r="S1182" s="7"/>
      <c r="T1182" s="7"/>
      <c r="U1182" s="7"/>
      <c r="V1182" s="10">
        <v>7.1420118343195256</v>
      </c>
      <c r="W1182" s="9">
        <v>44972</v>
      </c>
      <c r="X1182" s="10">
        <v>9.5</v>
      </c>
      <c r="Y1182" s="9">
        <v>44977</v>
      </c>
      <c r="Z1182">
        <v>7</v>
      </c>
      <c r="AA1182" s="11" t="s">
        <v>49</v>
      </c>
    </row>
    <row r="1183" spans="2:27" ht="16" x14ac:dyDescent="0.2">
      <c r="B1183" t="s">
        <v>35</v>
      </c>
      <c r="C1183">
        <v>40354453</v>
      </c>
      <c r="D1183" t="s">
        <v>386</v>
      </c>
      <c r="E1183">
        <v>1011748</v>
      </c>
      <c r="F1183" t="s">
        <v>225</v>
      </c>
      <c r="G1183" s="9">
        <v>44988</v>
      </c>
      <c r="H1183" s="7">
        <v>22800</v>
      </c>
      <c r="I1183" s="7"/>
      <c r="J1183" s="7"/>
      <c r="K1183" s="7"/>
      <c r="L1183" s="10">
        <v>5.1420118343195256</v>
      </c>
      <c r="M1183" s="9">
        <v>44993</v>
      </c>
      <c r="N1183" s="10">
        <v>7.5</v>
      </c>
      <c r="O1183" s="9">
        <v>45000</v>
      </c>
      <c r="P1183">
        <v>14</v>
      </c>
      <c r="Q1183" s="11" t="s">
        <v>49</v>
      </c>
      <c r="R1183" s="7">
        <v>22800</v>
      </c>
      <c r="S1183" s="7"/>
      <c r="T1183" s="7"/>
      <c r="U1183" s="7"/>
      <c r="V1183" s="10">
        <v>7.1420118343195256</v>
      </c>
      <c r="W1183" s="9">
        <v>44995</v>
      </c>
      <c r="X1183" s="10">
        <v>9.5</v>
      </c>
      <c r="Y1183" s="9">
        <v>45000</v>
      </c>
      <c r="Z1183">
        <v>14</v>
      </c>
      <c r="AA1183" s="11" t="s">
        <v>49</v>
      </c>
    </row>
    <row r="1184" spans="2:27" ht="16" x14ac:dyDescent="0.2">
      <c r="B1184" t="s">
        <v>35</v>
      </c>
      <c r="C1184">
        <v>40354452</v>
      </c>
      <c r="D1184" t="s">
        <v>386</v>
      </c>
      <c r="E1184">
        <v>1011748</v>
      </c>
      <c r="F1184" t="s">
        <v>225</v>
      </c>
      <c r="G1184" s="9">
        <v>44974</v>
      </c>
      <c r="H1184" s="7">
        <v>22800</v>
      </c>
      <c r="I1184" s="7"/>
      <c r="J1184" s="7"/>
      <c r="K1184" s="7"/>
      <c r="L1184" s="10">
        <v>5.1420118343195256</v>
      </c>
      <c r="M1184" s="9">
        <v>44979</v>
      </c>
      <c r="N1184" s="10">
        <v>7.5</v>
      </c>
      <c r="O1184" s="9">
        <v>44986</v>
      </c>
      <c r="P1184">
        <v>26</v>
      </c>
      <c r="Q1184" s="11" t="s">
        <v>49</v>
      </c>
      <c r="R1184" s="7">
        <v>22800</v>
      </c>
      <c r="S1184" s="7"/>
      <c r="T1184" s="7"/>
      <c r="U1184" s="7"/>
      <c r="V1184" s="10">
        <v>7.1420118343195256</v>
      </c>
      <c r="W1184" s="9">
        <v>44981</v>
      </c>
      <c r="X1184" s="10">
        <v>9.5</v>
      </c>
      <c r="Y1184" s="9">
        <v>44986</v>
      </c>
      <c r="Z1184">
        <v>26</v>
      </c>
      <c r="AA1184" s="11" t="s">
        <v>49</v>
      </c>
    </row>
    <row r="1185" spans="2:27" ht="16" x14ac:dyDescent="0.2">
      <c r="B1185" t="s">
        <v>35</v>
      </c>
      <c r="C1185">
        <v>40354451</v>
      </c>
      <c r="D1185" t="s">
        <v>386</v>
      </c>
      <c r="E1185">
        <v>1011748</v>
      </c>
      <c r="F1185" t="s">
        <v>225</v>
      </c>
      <c r="G1185" s="9">
        <v>44974</v>
      </c>
      <c r="H1185" s="7">
        <v>22800</v>
      </c>
      <c r="I1185" s="7"/>
      <c r="J1185" s="7"/>
      <c r="K1185" s="7"/>
      <c r="L1185" s="10">
        <v>5.1420118343195256</v>
      </c>
      <c r="M1185" s="9">
        <v>44979</v>
      </c>
      <c r="N1185" s="10">
        <v>7.5</v>
      </c>
      <c r="O1185" s="9">
        <v>44986</v>
      </c>
      <c r="P1185">
        <v>26</v>
      </c>
      <c r="Q1185" s="11" t="s">
        <v>49</v>
      </c>
      <c r="R1185" s="7">
        <v>22800</v>
      </c>
      <c r="S1185" s="7"/>
      <c r="T1185" s="7"/>
      <c r="U1185" s="7"/>
      <c r="V1185" s="10">
        <v>7.1420118343195256</v>
      </c>
      <c r="W1185" s="9">
        <v>44981</v>
      </c>
      <c r="X1185" s="10">
        <v>9.5</v>
      </c>
      <c r="Y1185" s="9">
        <v>44986</v>
      </c>
      <c r="Z1185">
        <v>26</v>
      </c>
      <c r="AA1185" s="11" t="s">
        <v>49</v>
      </c>
    </row>
    <row r="1186" spans="2:27" ht="16" x14ac:dyDescent="0.2">
      <c r="B1186" t="s">
        <v>35</v>
      </c>
      <c r="C1186">
        <v>40354450</v>
      </c>
      <c r="D1186" t="s">
        <v>386</v>
      </c>
      <c r="E1186">
        <v>1011748</v>
      </c>
      <c r="F1186" t="s">
        <v>225</v>
      </c>
      <c r="G1186" s="9">
        <v>44974</v>
      </c>
      <c r="H1186" s="7">
        <v>22800</v>
      </c>
      <c r="I1186" s="7"/>
      <c r="J1186" s="7"/>
      <c r="K1186" s="7"/>
      <c r="L1186" s="10">
        <v>5.1420118343195256</v>
      </c>
      <c r="M1186" s="9">
        <v>44979</v>
      </c>
      <c r="N1186" s="10">
        <v>7.5</v>
      </c>
      <c r="O1186" s="9">
        <v>44986</v>
      </c>
      <c r="P1186">
        <v>26</v>
      </c>
      <c r="Q1186" s="11" t="s">
        <v>49</v>
      </c>
      <c r="R1186" s="7">
        <v>22800</v>
      </c>
      <c r="S1186" s="7"/>
      <c r="T1186" s="7"/>
      <c r="U1186" s="7"/>
      <c r="V1186" s="10">
        <v>7.1420118343195256</v>
      </c>
      <c r="W1186" s="9">
        <v>44981</v>
      </c>
      <c r="X1186" s="10">
        <v>9.5</v>
      </c>
      <c r="Y1186" s="9">
        <v>44986</v>
      </c>
      <c r="Z1186">
        <v>26</v>
      </c>
      <c r="AA1186" s="11" t="s">
        <v>49</v>
      </c>
    </row>
    <row r="1187" spans="2:27" x14ac:dyDescent="0.2">
      <c r="B1187" t="s">
        <v>394</v>
      </c>
      <c r="C1187">
        <v>40354444</v>
      </c>
      <c r="D1187" t="s">
        <v>396</v>
      </c>
      <c r="E1187">
        <v>1012612</v>
      </c>
      <c r="F1187" t="s">
        <v>429</v>
      </c>
      <c r="G1187" s="9">
        <v>45001</v>
      </c>
      <c r="H1187" s="7">
        <v>24590.1</v>
      </c>
      <c r="I1187" s="7"/>
      <c r="J1187" s="7"/>
      <c r="K1187" s="7"/>
      <c r="L1187" s="10"/>
      <c r="N1187" s="10"/>
      <c r="Q1187" s="11"/>
      <c r="R1187" s="7">
        <v>24590.1</v>
      </c>
      <c r="S1187" s="7"/>
      <c r="T1187" s="7"/>
      <c r="U1187" s="7"/>
      <c r="V1187" s="10"/>
      <c r="X1187" s="10"/>
      <c r="AA1187" s="11"/>
    </row>
    <row r="1188" spans="2:27" x14ac:dyDescent="0.2">
      <c r="B1188" t="s">
        <v>394</v>
      </c>
      <c r="C1188">
        <v>40354359</v>
      </c>
      <c r="D1188" t="s">
        <v>485</v>
      </c>
      <c r="E1188">
        <v>1020848</v>
      </c>
      <c r="F1188" t="s">
        <v>503</v>
      </c>
      <c r="G1188" s="9">
        <v>44954</v>
      </c>
      <c r="H1188" s="7"/>
      <c r="I1188" s="7"/>
      <c r="J1188" s="7"/>
      <c r="K1188" s="7"/>
      <c r="L1188" s="10"/>
      <c r="N1188" s="10"/>
      <c r="Q1188" s="11"/>
      <c r="R1188" s="7"/>
      <c r="S1188" s="7"/>
      <c r="T1188" s="7"/>
      <c r="U1188" s="7"/>
      <c r="V1188" s="10"/>
      <c r="X1188" s="10"/>
      <c r="AA1188" s="11"/>
    </row>
    <row r="1189" spans="2:27" x14ac:dyDescent="0.2">
      <c r="B1189" t="s">
        <v>394</v>
      </c>
      <c r="C1189">
        <v>40354307</v>
      </c>
      <c r="D1189" t="s">
        <v>485</v>
      </c>
      <c r="E1189">
        <v>1012744</v>
      </c>
      <c r="F1189" t="s">
        <v>567</v>
      </c>
      <c r="G1189" s="9">
        <v>44954</v>
      </c>
      <c r="H1189" s="7"/>
      <c r="I1189" s="7"/>
      <c r="J1189" s="7"/>
      <c r="K1189" s="7"/>
      <c r="L1189" s="10"/>
      <c r="N1189" s="10"/>
      <c r="Q1189" s="11"/>
      <c r="R1189" s="7"/>
      <c r="S1189" s="7"/>
      <c r="T1189" s="7"/>
      <c r="U1189" s="7"/>
      <c r="V1189" s="10"/>
      <c r="X1189" s="10"/>
      <c r="AA1189" s="11"/>
    </row>
    <row r="1190" spans="2:27" x14ac:dyDescent="0.2">
      <c r="B1190" t="s">
        <v>394</v>
      </c>
      <c r="C1190">
        <v>40354306</v>
      </c>
      <c r="D1190" t="s">
        <v>485</v>
      </c>
      <c r="E1190">
        <v>1012744</v>
      </c>
      <c r="F1190" t="s">
        <v>567</v>
      </c>
      <c r="G1190" s="9">
        <v>44954</v>
      </c>
      <c r="H1190" s="7"/>
      <c r="I1190" s="7"/>
      <c r="J1190" s="7"/>
      <c r="K1190" s="7"/>
      <c r="L1190" s="10"/>
      <c r="N1190" s="10"/>
      <c r="Q1190" s="11"/>
      <c r="R1190" s="7"/>
      <c r="S1190" s="7"/>
      <c r="T1190" s="7"/>
      <c r="U1190" s="7"/>
      <c r="V1190" s="10"/>
      <c r="X1190" s="10"/>
      <c r="AA1190" s="11"/>
    </row>
    <row r="1191" spans="2:27" x14ac:dyDescent="0.2">
      <c r="B1191" t="s">
        <v>394</v>
      </c>
      <c r="C1191">
        <v>40354305</v>
      </c>
      <c r="D1191" t="s">
        <v>485</v>
      </c>
      <c r="E1191">
        <v>1012744</v>
      </c>
      <c r="F1191" t="s">
        <v>567</v>
      </c>
      <c r="G1191" s="9">
        <v>44960</v>
      </c>
      <c r="H1191" s="7"/>
      <c r="I1191" s="7"/>
      <c r="J1191" s="7"/>
      <c r="K1191" s="7"/>
      <c r="L1191" s="10"/>
      <c r="N1191" s="10"/>
      <c r="Q1191" s="11"/>
      <c r="R1191" s="7"/>
      <c r="S1191" s="7"/>
      <c r="T1191" s="7"/>
      <c r="U1191" s="7"/>
      <c r="V1191" s="10"/>
      <c r="X1191" s="10"/>
      <c r="AA1191" s="11"/>
    </row>
    <row r="1192" spans="2:27" x14ac:dyDescent="0.2">
      <c r="B1192" t="s">
        <v>394</v>
      </c>
      <c r="C1192">
        <v>40354304</v>
      </c>
      <c r="D1192" t="s">
        <v>485</v>
      </c>
      <c r="E1192">
        <v>1012744</v>
      </c>
      <c r="F1192" t="s">
        <v>567</v>
      </c>
      <c r="G1192" s="9">
        <v>44960</v>
      </c>
      <c r="H1192" s="7"/>
      <c r="I1192" s="7"/>
      <c r="J1192" s="7"/>
      <c r="K1192" s="7"/>
      <c r="L1192" s="10"/>
      <c r="N1192" s="10"/>
      <c r="Q1192" s="11"/>
      <c r="R1192" s="7"/>
      <c r="S1192" s="7"/>
      <c r="T1192" s="7"/>
      <c r="U1192" s="7"/>
      <c r="V1192" s="10"/>
      <c r="X1192" s="10"/>
      <c r="AA1192" s="11"/>
    </row>
    <row r="1193" spans="2:27" ht="16" x14ac:dyDescent="0.2">
      <c r="B1193" t="s">
        <v>35</v>
      </c>
      <c r="C1193">
        <v>40354284</v>
      </c>
      <c r="D1193" t="s">
        <v>409</v>
      </c>
      <c r="E1193">
        <v>1023446</v>
      </c>
      <c r="F1193" t="s">
        <v>614</v>
      </c>
      <c r="G1193" s="9">
        <v>44964</v>
      </c>
      <c r="H1193" s="7"/>
      <c r="I1193" s="7"/>
      <c r="J1193" s="7"/>
      <c r="K1193" s="7"/>
      <c r="L1193" s="10">
        <v>7.5</v>
      </c>
      <c r="M1193" s="9">
        <v>44971</v>
      </c>
      <c r="N1193" s="10">
        <v>9.5</v>
      </c>
      <c r="O1193" s="9">
        <v>44980</v>
      </c>
      <c r="P1193">
        <v>4</v>
      </c>
      <c r="Q1193" s="11" t="s">
        <v>49</v>
      </c>
      <c r="R1193" s="7"/>
      <c r="S1193" s="7"/>
      <c r="T1193" s="7"/>
      <c r="U1193" s="7"/>
      <c r="V1193" s="10">
        <v>9.5</v>
      </c>
      <c r="W1193" s="9">
        <v>44973</v>
      </c>
      <c r="X1193" s="10">
        <v>11.5</v>
      </c>
      <c r="Y1193" s="9">
        <v>44980</v>
      </c>
      <c r="Z1193">
        <v>4</v>
      </c>
      <c r="AA1193" s="11" t="s">
        <v>49</v>
      </c>
    </row>
    <row r="1194" spans="2:27" ht="16" x14ac:dyDescent="0.2">
      <c r="B1194" t="s">
        <v>35</v>
      </c>
      <c r="C1194">
        <v>40354284</v>
      </c>
      <c r="D1194" t="s">
        <v>409</v>
      </c>
      <c r="E1194">
        <v>1022619</v>
      </c>
      <c r="F1194" t="s">
        <v>158</v>
      </c>
      <c r="G1194" s="9">
        <v>44964</v>
      </c>
      <c r="H1194" s="7"/>
      <c r="I1194" s="7"/>
      <c r="J1194" s="7"/>
      <c r="K1194" s="7"/>
      <c r="L1194" s="10">
        <v>7.5</v>
      </c>
      <c r="M1194" s="9">
        <v>44971</v>
      </c>
      <c r="N1194" s="10">
        <v>9.5</v>
      </c>
      <c r="O1194" s="9">
        <v>44980</v>
      </c>
      <c r="P1194">
        <v>4</v>
      </c>
      <c r="Q1194" s="11" t="s">
        <v>49</v>
      </c>
      <c r="R1194" s="7"/>
      <c r="S1194" s="7"/>
      <c r="T1194" s="7"/>
      <c r="U1194" s="7"/>
      <c r="V1194" s="10">
        <v>9.5</v>
      </c>
      <c r="W1194" s="9">
        <v>44973</v>
      </c>
      <c r="X1194" s="10">
        <v>11.5</v>
      </c>
      <c r="Y1194" s="9">
        <v>44980</v>
      </c>
      <c r="Z1194">
        <v>4</v>
      </c>
      <c r="AA1194" s="11" t="s">
        <v>49</v>
      </c>
    </row>
    <row r="1195" spans="2:27" x14ac:dyDescent="0.2">
      <c r="B1195" t="s">
        <v>394</v>
      </c>
      <c r="C1195">
        <v>40354242</v>
      </c>
      <c r="D1195" t="s">
        <v>396</v>
      </c>
      <c r="E1195">
        <v>1021045</v>
      </c>
      <c r="F1195" t="s">
        <v>615</v>
      </c>
      <c r="G1195" s="9">
        <v>44980</v>
      </c>
      <c r="H1195" s="7"/>
      <c r="I1195" s="7"/>
      <c r="J1195" s="7"/>
      <c r="K1195" s="7"/>
      <c r="L1195" s="10"/>
      <c r="N1195" s="10"/>
      <c r="Q1195" s="11"/>
      <c r="R1195" s="7"/>
      <c r="S1195" s="7"/>
      <c r="T1195" s="7"/>
      <c r="U1195" s="7"/>
      <c r="V1195" s="10"/>
      <c r="X1195" s="10"/>
      <c r="AA1195" s="11"/>
    </row>
    <row r="1196" spans="2:27" x14ac:dyDescent="0.2">
      <c r="B1196" t="s">
        <v>394</v>
      </c>
      <c r="C1196">
        <v>40354071</v>
      </c>
      <c r="D1196" t="s">
        <v>485</v>
      </c>
      <c r="E1196">
        <v>1021976</v>
      </c>
      <c r="F1196" t="s">
        <v>512</v>
      </c>
      <c r="G1196" s="9">
        <v>44954</v>
      </c>
      <c r="H1196" s="7"/>
      <c r="I1196" s="7"/>
      <c r="J1196" s="7"/>
      <c r="K1196" s="7"/>
      <c r="L1196" s="10"/>
      <c r="N1196" s="10"/>
      <c r="Q1196" s="11"/>
      <c r="R1196" s="7"/>
      <c r="S1196" s="7"/>
      <c r="T1196" s="7"/>
      <c r="U1196" s="7"/>
      <c r="V1196" s="10"/>
      <c r="X1196" s="10"/>
      <c r="AA1196" s="11"/>
    </row>
    <row r="1197" spans="2:27" x14ac:dyDescent="0.2">
      <c r="B1197" t="s">
        <v>394</v>
      </c>
      <c r="C1197">
        <v>40354065</v>
      </c>
      <c r="D1197" t="s">
        <v>485</v>
      </c>
      <c r="E1197">
        <v>1012300</v>
      </c>
      <c r="F1197" t="s">
        <v>616</v>
      </c>
      <c r="G1197" s="9">
        <v>44961</v>
      </c>
      <c r="H1197" s="7"/>
      <c r="I1197" s="7"/>
      <c r="J1197" s="7"/>
      <c r="K1197" s="7"/>
      <c r="L1197" s="10"/>
      <c r="N1197" s="10"/>
      <c r="Q1197" s="11"/>
      <c r="R1197" s="7"/>
      <c r="S1197" s="7"/>
      <c r="T1197" s="7"/>
      <c r="U1197" s="7"/>
      <c r="V1197" s="10"/>
      <c r="X1197" s="10"/>
      <c r="AA1197" s="11"/>
    </row>
    <row r="1198" spans="2:27" x14ac:dyDescent="0.2">
      <c r="B1198" t="s">
        <v>394</v>
      </c>
      <c r="C1198">
        <v>40354065</v>
      </c>
      <c r="D1198" t="s">
        <v>485</v>
      </c>
      <c r="E1198">
        <v>1012719</v>
      </c>
      <c r="F1198" t="s">
        <v>545</v>
      </c>
      <c r="G1198" s="9">
        <v>44961</v>
      </c>
      <c r="H1198" s="7"/>
      <c r="I1198" s="7"/>
      <c r="J1198" s="7"/>
      <c r="K1198" s="7"/>
      <c r="L1198" s="10"/>
      <c r="N1198" s="10"/>
      <c r="Q1198" s="11"/>
      <c r="R1198" s="7"/>
      <c r="S1198" s="7"/>
      <c r="T1198" s="7"/>
      <c r="U1198" s="7"/>
      <c r="V1198" s="10"/>
      <c r="X1198" s="10"/>
      <c r="AA1198" s="11"/>
    </row>
    <row r="1199" spans="2:27" x14ac:dyDescent="0.2">
      <c r="B1199" t="s">
        <v>394</v>
      </c>
      <c r="C1199">
        <v>40354040</v>
      </c>
      <c r="D1199" t="s">
        <v>485</v>
      </c>
      <c r="E1199">
        <v>1020925</v>
      </c>
      <c r="F1199" t="s">
        <v>494</v>
      </c>
      <c r="G1199" s="9">
        <v>44950</v>
      </c>
      <c r="H1199" s="7"/>
      <c r="I1199" s="7"/>
      <c r="J1199" s="7"/>
      <c r="K1199" s="7"/>
      <c r="L1199" s="10"/>
      <c r="N1199" s="10"/>
      <c r="Q1199" s="11"/>
      <c r="R1199" s="7"/>
      <c r="S1199" s="7"/>
      <c r="T1199" s="7"/>
      <c r="U1199" s="7"/>
      <c r="V1199" s="10"/>
      <c r="X1199" s="10"/>
      <c r="AA1199" s="11"/>
    </row>
    <row r="1200" spans="2:27" ht="16" x14ac:dyDescent="0.2">
      <c r="B1200" t="s">
        <v>35</v>
      </c>
      <c r="C1200">
        <v>40353691</v>
      </c>
      <c r="D1200" t="s">
        <v>386</v>
      </c>
      <c r="E1200">
        <v>1012207</v>
      </c>
      <c r="F1200" t="s">
        <v>464</v>
      </c>
      <c r="G1200" s="9">
        <v>45035</v>
      </c>
      <c r="H1200" s="7"/>
      <c r="I1200" s="7"/>
      <c r="J1200" s="7">
        <v>24000</v>
      </c>
      <c r="K1200" s="7"/>
      <c r="L1200" s="10">
        <v>5.1420118343195256</v>
      </c>
      <c r="M1200" s="9">
        <v>45040</v>
      </c>
      <c r="N1200" s="10">
        <v>7.5</v>
      </c>
      <c r="O1200" s="9">
        <v>45047</v>
      </c>
      <c r="P1200">
        <v>26</v>
      </c>
      <c r="Q1200" s="11" t="s">
        <v>49</v>
      </c>
      <c r="R1200" s="7"/>
      <c r="S1200" s="7"/>
      <c r="T1200" s="7">
        <v>24000</v>
      </c>
      <c r="U1200" s="7"/>
      <c r="V1200" s="10">
        <v>7.1420118343195256</v>
      </c>
      <c r="W1200" s="9">
        <v>45042</v>
      </c>
      <c r="X1200" s="10">
        <v>9.5</v>
      </c>
      <c r="Y1200" s="9">
        <v>45047</v>
      </c>
      <c r="Z1200">
        <v>26</v>
      </c>
      <c r="AA1200" s="11" t="s">
        <v>49</v>
      </c>
    </row>
    <row r="1201" spans="2:27" ht="16" x14ac:dyDescent="0.2">
      <c r="B1201" t="s">
        <v>35</v>
      </c>
      <c r="C1201">
        <v>40353689</v>
      </c>
      <c r="D1201" t="s">
        <v>386</v>
      </c>
      <c r="E1201">
        <v>1030355</v>
      </c>
      <c r="F1201" t="s">
        <v>385</v>
      </c>
      <c r="G1201" s="9">
        <v>45010</v>
      </c>
      <c r="H1201" s="7"/>
      <c r="I1201" s="7">
        <v>24000</v>
      </c>
      <c r="J1201" s="7"/>
      <c r="K1201" s="7"/>
      <c r="L1201" s="10">
        <v>5.1420118343195256</v>
      </c>
      <c r="M1201" s="9">
        <v>45015</v>
      </c>
      <c r="N1201" s="10">
        <v>7.5</v>
      </c>
      <c r="O1201" s="9">
        <v>45022</v>
      </c>
      <c r="P1201">
        <v>18</v>
      </c>
      <c r="Q1201" s="11" t="s">
        <v>49</v>
      </c>
      <c r="R1201" s="7"/>
      <c r="S1201" s="7">
        <v>24000</v>
      </c>
      <c r="T1201" s="7"/>
      <c r="U1201" s="7"/>
      <c r="V1201" s="10">
        <v>7.1420118343195256</v>
      </c>
      <c r="W1201" s="9">
        <v>45017</v>
      </c>
      <c r="X1201" s="10">
        <v>9.5</v>
      </c>
      <c r="Y1201" s="9">
        <v>45022</v>
      </c>
      <c r="Z1201">
        <v>18</v>
      </c>
      <c r="AA1201" s="11" t="s">
        <v>49</v>
      </c>
    </row>
    <row r="1202" spans="2:27" ht="16" x14ac:dyDescent="0.2">
      <c r="B1202" t="s">
        <v>35</v>
      </c>
      <c r="C1202">
        <v>40353618</v>
      </c>
      <c r="D1202" t="s">
        <v>391</v>
      </c>
      <c r="E1202">
        <v>1022767</v>
      </c>
      <c r="F1202" t="s">
        <v>465</v>
      </c>
      <c r="G1202" s="9">
        <v>44982</v>
      </c>
      <c r="H1202" s="7">
        <v>24000</v>
      </c>
      <c r="I1202" s="7"/>
      <c r="J1202" s="7"/>
      <c r="K1202" s="7"/>
      <c r="L1202" s="10">
        <v>4.830303030303031</v>
      </c>
      <c r="M1202" s="9">
        <v>44986</v>
      </c>
      <c r="N1202" s="10">
        <v>15</v>
      </c>
      <c r="O1202" s="9">
        <v>45001</v>
      </c>
      <c r="P1202">
        <v>13</v>
      </c>
      <c r="Q1202" s="11" t="s">
        <v>49</v>
      </c>
      <c r="R1202" s="7">
        <v>24000</v>
      </c>
      <c r="S1202" s="7"/>
      <c r="T1202" s="7"/>
      <c r="U1202" s="7"/>
      <c r="V1202" s="10">
        <v>6.830303030303031</v>
      </c>
      <c r="W1202" s="9">
        <v>44988</v>
      </c>
      <c r="X1202" s="10">
        <v>17</v>
      </c>
      <c r="Y1202" s="9">
        <v>45001</v>
      </c>
      <c r="Z1202">
        <v>13</v>
      </c>
      <c r="AA1202" s="11" t="s">
        <v>49</v>
      </c>
    </row>
    <row r="1203" spans="2:27" x14ac:dyDescent="0.2">
      <c r="B1203" t="s">
        <v>394</v>
      </c>
      <c r="C1203">
        <v>40353156</v>
      </c>
      <c r="D1203" t="s">
        <v>485</v>
      </c>
      <c r="E1203">
        <v>1020886</v>
      </c>
      <c r="F1203" t="s">
        <v>609</v>
      </c>
      <c r="G1203" s="9">
        <v>44968</v>
      </c>
      <c r="H1203" s="7"/>
      <c r="I1203" s="7"/>
      <c r="J1203" s="7"/>
      <c r="K1203" s="7"/>
      <c r="L1203" s="10"/>
      <c r="N1203" s="10"/>
      <c r="Q1203" s="11"/>
      <c r="R1203" s="7"/>
      <c r="S1203" s="7"/>
      <c r="T1203" s="7"/>
      <c r="U1203" s="7"/>
      <c r="V1203" s="10"/>
      <c r="X1203" s="10"/>
      <c r="AA1203" s="11"/>
    </row>
    <row r="1204" spans="2:27" x14ac:dyDescent="0.2">
      <c r="B1204" t="s">
        <v>394</v>
      </c>
      <c r="C1204">
        <v>40353156</v>
      </c>
      <c r="D1204" t="s">
        <v>485</v>
      </c>
      <c r="E1204">
        <v>1022847</v>
      </c>
      <c r="F1204" t="s">
        <v>562</v>
      </c>
      <c r="G1204" s="9">
        <v>44968</v>
      </c>
      <c r="H1204" s="7"/>
      <c r="I1204" s="7"/>
      <c r="J1204" s="7"/>
      <c r="K1204" s="7"/>
      <c r="L1204" s="10"/>
      <c r="N1204" s="10"/>
      <c r="Q1204" s="11"/>
      <c r="R1204" s="7"/>
      <c r="S1204" s="7"/>
      <c r="T1204" s="7"/>
      <c r="U1204" s="7"/>
      <c r="V1204" s="10"/>
      <c r="X1204" s="10"/>
      <c r="AA1204" s="11"/>
    </row>
    <row r="1205" spans="2:27" x14ac:dyDescent="0.2">
      <c r="B1205" t="s">
        <v>394</v>
      </c>
      <c r="C1205">
        <v>40353150</v>
      </c>
      <c r="D1205" t="s">
        <v>485</v>
      </c>
      <c r="E1205">
        <v>1020848</v>
      </c>
      <c r="F1205" t="s">
        <v>503</v>
      </c>
      <c r="G1205" s="9">
        <v>44968</v>
      </c>
      <c r="H1205" s="7"/>
      <c r="I1205" s="7"/>
      <c r="J1205" s="7"/>
      <c r="K1205" s="7"/>
      <c r="L1205" s="10"/>
      <c r="N1205" s="10"/>
      <c r="Q1205" s="11"/>
      <c r="R1205" s="7"/>
      <c r="S1205" s="7"/>
      <c r="T1205" s="7"/>
      <c r="U1205" s="7"/>
      <c r="V1205" s="10"/>
      <c r="X1205" s="10"/>
      <c r="AA1205" s="11"/>
    </row>
    <row r="1206" spans="2:27" x14ac:dyDescent="0.2">
      <c r="B1206" t="s">
        <v>394</v>
      </c>
      <c r="C1206">
        <v>40353112</v>
      </c>
      <c r="D1206" t="s">
        <v>485</v>
      </c>
      <c r="E1206">
        <v>1011421</v>
      </c>
      <c r="F1206" t="s">
        <v>484</v>
      </c>
      <c r="G1206" s="9">
        <v>44969</v>
      </c>
      <c r="H1206" s="7"/>
      <c r="I1206" s="7"/>
      <c r="J1206" s="7"/>
      <c r="K1206" s="7"/>
      <c r="L1206" s="10"/>
      <c r="N1206" s="10"/>
      <c r="Q1206" s="11"/>
      <c r="R1206" s="7"/>
      <c r="S1206" s="7"/>
      <c r="T1206" s="7"/>
      <c r="U1206" s="7"/>
      <c r="V1206" s="10"/>
      <c r="X1206" s="10"/>
      <c r="AA1206" s="11"/>
    </row>
    <row r="1207" spans="2:27" x14ac:dyDescent="0.2">
      <c r="B1207" t="s">
        <v>394</v>
      </c>
      <c r="C1207">
        <v>40353109</v>
      </c>
      <c r="D1207" t="s">
        <v>485</v>
      </c>
      <c r="E1207">
        <v>1011421</v>
      </c>
      <c r="F1207" t="s">
        <v>484</v>
      </c>
      <c r="G1207" s="9">
        <v>44969</v>
      </c>
      <c r="H1207" s="7"/>
      <c r="I1207" s="7"/>
      <c r="J1207" s="7"/>
      <c r="K1207" s="7"/>
      <c r="L1207" s="10"/>
      <c r="N1207" s="10"/>
      <c r="Q1207" s="11"/>
      <c r="R1207" s="7"/>
      <c r="S1207" s="7"/>
      <c r="T1207" s="7"/>
      <c r="U1207" s="7"/>
      <c r="V1207" s="10"/>
      <c r="X1207" s="10"/>
      <c r="AA1207" s="11"/>
    </row>
    <row r="1208" spans="2:27" x14ac:dyDescent="0.2">
      <c r="B1208" t="s">
        <v>394</v>
      </c>
      <c r="C1208">
        <v>40353108</v>
      </c>
      <c r="D1208" t="s">
        <v>485</v>
      </c>
      <c r="E1208">
        <v>1011421</v>
      </c>
      <c r="F1208" t="s">
        <v>484</v>
      </c>
      <c r="G1208" s="9">
        <v>44969</v>
      </c>
      <c r="H1208" s="7"/>
      <c r="I1208" s="7"/>
      <c r="J1208" s="7"/>
      <c r="K1208" s="7"/>
      <c r="L1208" s="10"/>
      <c r="N1208" s="10"/>
      <c r="Q1208" s="11"/>
      <c r="R1208" s="7"/>
      <c r="S1208" s="7"/>
      <c r="T1208" s="7"/>
      <c r="U1208" s="7"/>
      <c r="V1208" s="10"/>
      <c r="X1208" s="10"/>
      <c r="AA1208" s="11"/>
    </row>
    <row r="1209" spans="2:27" x14ac:dyDescent="0.2">
      <c r="B1209" t="s">
        <v>394</v>
      </c>
      <c r="C1209">
        <v>40353106</v>
      </c>
      <c r="D1209" t="s">
        <v>485</v>
      </c>
      <c r="E1209">
        <v>1011421</v>
      </c>
      <c r="F1209" t="s">
        <v>484</v>
      </c>
      <c r="G1209" s="9">
        <v>44962</v>
      </c>
      <c r="H1209" s="7"/>
      <c r="I1209" s="7"/>
      <c r="J1209" s="7"/>
      <c r="K1209" s="7"/>
      <c r="L1209" s="10"/>
      <c r="N1209" s="10"/>
      <c r="Q1209" s="11"/>
      <c r="R1209" s="7"/>
      <c r="S1209" s="7"/>
      <c r="T1209" s="7"/>
      <c r="U1209" s="7"/>
      <c r="V1209" s="10"/>
      <c r="X1209" s="10"/>
      <c r="AA1209" s="11"/>
    </row>
    <row r="1210" spans="2:27" x14ac:dyDescent="0.2">
      <c r="B1210" t="s">
        <v>394</v>
      </c>
      <c r="C1210">
        <v>40353105</v>
      </c>
      <c r="D1210" t="s">
        <v>485</v>
      </c>
      <c r="E1210">
        <v>1011421</v>
      </c>
      <c r="F1210" t="s">
        <v>484</v>
      </c>
      <c r="G1210" s="9">
        <v>44962</v>
      </c>
      <c r="H1210" s="7"/>
      <c r="I1210" s="7"/>
      <c r="J1210" s="7"/>
      <c r="K1210" s="7"/>
      <c r="L1210" s="10"/>
      <c r="N1210" s="10"/>
      <c r="Q1210" s="11"/>
      <c r="R1210" s="7"/>
      <c r="S1210" s="7"/>
      <c r="T1210" s="7"/>
      <c r="U1210" s="7"/>
      <c r="V1210" s="10"/>
      <c r="X1210" s="10"/>
      <c r="AA1210" s="11"/>
    </row>
    <row r="1211" spans="2:27" x14ac:dyDescent="0.2">
      <c r="B1211" t="s">
        <v>394</v>
      </c>
      <c r="C1211">
        <v>40353104</v>
      </c>
      <c r="D1211" t="s">
        <v>485</v>
      </c>
      <c r="E1211">
        <v>1011421</v>
      </c>
      <c r="F1211" t="s">
        <v>484</v>
      </c>
      <c r="G1211" s="9">
        <v>44962</v>
      </c>
      <c r="H1211" s="7"/>
      <c r="I1211" s="7"/>
      <c r="J1211" s="7"/>
      <c r="K1211" s="7"/>
      <c r="L1211" s="10"/>
      <c r="N1211" s="10"/>
      <c r="Q1211" s="11"/>
      <c r="R1211" s="7"/>
      <c r="S1211" s="7"/>
      <c r="T1211" s="7"/>
      <c r="U1211" s="7"/>
      <c r="V1211" s="10"/>
      <c r="X1211" s="10"/>
      <c r="AA1211" s="11"/>
    </row>
    <row r="1212" spans="2:27" x14ac:dyDescent="0.2">
      <c r="B1212" t="s">
        <v>394</v>
      </c>
      <c r="C1212">
        <v>40353103</v>
      </c>
      <c r="D1212" t="s">
        <v>485</v>
      </c>
      <c r="E1212">
        <v>1011421</v>
      </c>
      <c r="F1212" t="s">
        <v>484</v>
      </c>
      <c r="G1212" s="9">
        <v>44960</v>
      </c>
      <c r="H1212" s="7"/>
      <c r="I1212" s="7"/>
      <c r="J1212" s="7"/>
      <c r="K1212" s="7"/>
      <c r="L1212" s="10"/>
      <c r="N1212" s="10"/>
      <c r="Q1212" s="11"/>
      <c r="R1212" s="7"/>
      <c r="S1212" s="7"/>
      <c r="T1212" s="7"/>
      <c r="U1212" s="7"/>
      <c r="V1212" s="10"/>
      <c r="X1212" s="10"/>
      <c r="AA1212" s="11"/>
    </row>
    <row r="1213" spans="2:27" x14ac:dyDescent="0.2">
      <c r="B1213" t="s">
        <v>394</v>
      </c>
      <c r="C1213">
        <v>40353102</v>
      </c>
      <c r="D1213" t="s">
        <v>485</v>
      </c>
      <c r="E1213">
        <v>1011421</v>
      </c>
      <c r="F1213" t="s">
        <v>484</v>
      </c>
      <c r="G1213" s="9">
        <v>44948</v>
      </c>
      <c r="H1213" s="7"/>
      <c r="I1213" s="7"/>
      <c r="J1213" s="7"/>
      <c r="K1213" s="7"/>
      <c r="L1213" s="10"/>
      <c r="N1213" s="10"/>
      <c r="Q1213" s="11"/>
      <c r="R1213" s="7"/>
      <c r="S1213" s="7"/>
      <c r="T1213" s="7"/>
      <c r="U1213" s="7"/>
      <c r="V1213" s="10"/>
      <c r="X1213" s="10"/>
      <c r="AA1213" s="11"/>
    </row>
    <row r="1214" spans="2:27" x14ac:dyDescent="0.2">
      <c r="B1214" t="s">
        <v>394</v>
      </c>
      <c r="C1214">
        <v>40353101</v>
      </c>
      <c r="D1214" t="s">
        <v>485</v>
      </c>
      <c r="E1214">
        <v>1011421</v>
      </c>
      <c r="F1214" t="s">
        <v>484</v>
      </c>
      <c r="G1214" s="9">
        <v>44948</v>
      </c>
      <c r="H1214" s="7"/>
      <c r="I1214" s="7"/>
      <c r="J1214" s="7"/>
      <c r="K1214" s="7"/>
      <c r="L1214" s="10"/>
      <c r="N1214" s="10"/>
      <c r="Q1214" s="11"/>
      <c r="R1214" s="7"/>
      <c r="S1214" s="7"/>
      <c r="T1214" s="7"/>
      <c r="U1214" s="7"/>
      <c r="V1214" s="10"/>
      <c r="X1214" s="10"/>
      <c r="AA1214" s="11"/>
    </row>
    <row r="1215" spans="2:27" x14ac:dyDescent="0.2">
      <c r="B1215" t="s">
        <v>394</v>
      </c>
      <c r="C1215">
        <v>40353100</v>
      </c>
      <c r="D1215" t="s">
        <v>485</v>
      </c>
      <c r="E1215">
        <v>1011421</v>
      </c>
      <c r="F1215" t="s">
        <v>484</v>
      </c>
      <c r="G1215" s="9">
        <v>44948</v>
      </c>
      <c r="H1215" s="7"/>
      <c r="I1215" s="7"/>
      <c r="J1215" s="7"/>
      <c r="K1215" s="7"/>
      <c r="L1215" s="10"/>
      <c r="N1215" s="10"/>
      <c r="Q1215" s="11"/>
      <c r="R1215" s="7"/>
      <c r="S1215" s="7"/>
      <c r="T1215" s="7"/>
      <c r="U1215" s="7"/>
      <c r="V1215" s="10"/>
      <c r="X1215" s="10"/>
      <c r="AA1215" s="11"/>
    </row>
    <row r="1216" spans="2:27" x14ac:dyDescent="0.2">
      <c r="B1216" t="s">
        <v>394</v>
      </c>
      <c r="C1216">
        <v>40353099</v>
      </c>
      <c r="D1216" t="s">
        <v>485</v>
      </c>
      <c r="E1216">
        <v>1021023</v>
      </c>
      <c r="F1216" t="s">
        <v>508</v>
      </c>
      <c r="G1216" s="9">
        <v>44954</v>
      </c>
      <c r="H1216" s="7"/>
      <c r="I1216" s="7"/>
      <c r="J1216" s="7"/>
      <c r="K1216" s="7"/>
      <c r="L1216" s="10"/>
      <c r="N1216" s="10"/>
      <c r="Q1216" s="11"/>
      <c r="R1216" s="7"/>
      <c r="S1216" s="7"/>
      <c r="T1216" s="7"/>
      <c r="U1216" s="7"/>
      <c r="V1216" s="10"/>
      <c r="X1216" s="10"/>
      <c r="AA1216" s="11"/>
    </row>
    <row r="1217" spans="2:27" ht="16" x14ac:dyDescent="0.2">
      <c r="B1217" t="s">
        <v>35</v>
      </c>
      <c r="C1217">
        <v>40352766</v>
      </c>
      <c r="D1217" t="s">
        <v>409</v>
      </c>
      <c r="E1217">
        <v>1030379</v>
      </c>
      <c r="F1217" t="s">
        <v>97</v>
      </c>
      <c r="G1217" s="9">
        <v>44971</v>
      </c>
      <c r="H1217" s="7">
        <v>24004.088640000002</v>
      </c>
      <c r="I1217" s="7"/>
      <c r="J1217" s="7"/>
      <c r="K1217" s="7"/>
      <c r="L1217" s="10">
        <v>7.5</v>
      </c>
      <c r="M1217" s="9">
        <v>44978</v>
      </c>
      <c r="N1217" s="10">
        <v>9.5</v>
      </c>
      <c r="O1217" s="9">
        <v>44987</v>
      </c>
      <c r="P1217">
        <v>25</v>
      </c>
      <c r="Q1217" s="11" t="s">
        <v>49</v>
      </c>
      <c r="R1217" s="7">
        <v>24004.088640000002</v>
      </c>
      <c r="S1217" s="7"/>
      <c r="T1217" s="7"/>
      <c r="U1217" s="7"/>
      <c r="V1217" s="10">
        <v>9.5</v>
      </c>
      <c r="W1217" s="9">
        <v>44980</v>
      </c>
      <c r="X1217" s="10">
        <v>11.5</v>
      </c>
      <c r="Y1217" s="9">
        <v>44987</v>
      </c>
      <c r="Z1217">
        <v>25</v>
      </c>
      <c r="AA1217" s="11" t="s">
        <v>49</v>
      </c>
    </row>
    <row r="1218" spans="2:27" ht="16" x14ac:dyDescent="0.2">
      <c r="B1218" t="s">
        <v>35</v>
      </c>
      <c r="C1218">
        <v>40352764</v>
      </c>
      <c r="D1218" t="s">
        <v>409</v>
      </c>
      <c r="E1218">
        <v>1030379</v>
      </c>
      <c r="F1218" t="s">
        <v>97</v>
      </c>
      <c r="G1218" s="9">
        <v>44971</v>
      </c>
      <c r="H1218" s="7">
        <v>12011.11616</v>
      </c>
      <c r="I1218" s="7"/>
      <c r="J1218" s="7"/>
      <c r="K1218" s="7"/>
      <c r="L1218" s="10">
        <v>7.5</v>
      </c>
      <c r="M1218" s="9">
        <v>44978</v>
      </c>
      <c r="N1218" s="10">
        <v>9.5</v>
      </c>
      <c r="O1218" s="9">
        <v>44987</v>
      </c>
      <c r="P1218">
        <v>25</v>
      </c>
      <c r="Q1218" s="11" t="s">
        <v>49</v>
      </c>
      <c r="R1218" s="7">
        <v>12011.11616</v>
      </c>
      <c r="S1218" s="7"/>
      <c r="T1218" s="7"/>
      <c r="U1218" s="7"/>
      <c r="V1218" s="10">
        <v>9.5</v>
      </c>
      <c r="W1218" s="9">
        <v>44980</v>
      </c>
      <c r="X1218" s="10">
        <v>11.5</v>
      </c>
      <c r="Y1218" s="9">
        <v>44987</v>
      </c>
      <c r="Z1218">
        <v>25</v>
      </c>
      <c r="AA1218" s="11" t="s">
        <v>49</v>
      </c>
    </row>
    <row r="1219" spans="2:27" x14ac:dyDescent="0.2">
      <c r="B1219" t="s">
        <v>394</v>
      </c>
      <c r="C1219">
        <v>40352439</v>
      </c>
      <c r="D1219" t="s">
        <v>485</v>
      </c>
      <c r="E1219">
        <v>1011421</v>
      </c>
      <c r="F1219" t="s">
        <v>484</v>
      </c>
      <c r="G1219" s="9">
        <v>44968</v>
      </c>
      <c r="H1219" s="7"/>
      <c r="I1219" s="7"/>
      <c r="J1219" s="7"/>
      <c r="K1219" s="7"/>
      <c r="L1219" s="10"/>
      <c r="N1219" s="10"/>
      <c r="Q1219" s="11"/>
      <c r="R1219" s="7"/>
      <c r="S1219" s="7"/>
      <c r="T1219" s="7"/>
      <c r="U1219" s="7"/>
      <c r="V1219" s="10"/>
      <c r="X1219" s="10"/>
      <c r="AA1219" s="11"/>
    </row>
    <row r="1220" spans="2:27" x14ac:dyDescent="0.2">
      <c r="B1220" t="s">
        <v>394</v>
      </c>
      <c r="C1220">
        <v>40352438</v>
      </c>
      <c r="D1220" t="s">
        <v>485</v>
      </c>
      <c r="E1220">
        <v>1011421</v>
      </c>
      <c r="F1220" t="s">
        <v>484</v>
      </c>
      <c r="G1220" s="9">
        <v>44968</v>
      </c>
      <c r="H1220" s="7"/>
      <c r="I1220" s="7"/>
      <c r="J1220" s="7"/>
      <c r="K1220" s="7"/>
      <c r="L1220" s="10"/>
      <c r="N1220" s="10"/>
      <c r="Q1220" s="11"/>
      <c r="R1220" s="7"/>
      <c r="S1220" s="7"/>
      <c r="T1220" s="7"/>
      <c r="U1220" s="7"/>
      <c r="V1220" s="10"/>
      <c r="X1220" s="10"/>
      <c r="AA1220" s="11"/>
    </row>
    <row r="1221" spans="2:27" x14ac:dyDescent="0.2">
      <c r="B1221" t="s">
        <v>394</v>
      </c>
      <c r="C1221">
        <v>40352437</v>
      </c>
      <c r="D1221" t="s">
        <v>485</v>
      </c>
      <c r="E1221">
        <v>1011421</v>
      </c>
      <c r="F1221" t="s">
        <v>484</v>
      </c>
      <c r="G1221" s="9">
        <v>44968</v>
      </c>
      <c r="H1221" s="7"/>
      <c r="I1221" s="7"/>
      <c r="J1221" s="7"/>
      <c r="K1221" s="7"/>
      <c r="L1221" s="10"/>
      <c r="N1221" s="10"/>
      <c r="Q1221" s="11"/>
      <c r="R1221" s="7"/>
      <c r="S1221" s="7"/>
      <c r="T1221" s="7"/>
      <c r="U1221" s="7"/>
      <c r="V1221" s="10"/>
      <c r="X1221" s="10"/>
      <c r="AA1221" s="11"/>
    </row>
    <row r="1222" spans="2:27" x14ac:dyDescent="0.2">
      <c r="B1222" t="s">
        <v>394</v>
      </c>
      <c r="C1222">
        <v>40352352</v>
      </c>
      <c r="D1222" t="s">
        <v>485</v>
      </c>
      <c r="E1222">
        <v>1012719</v>
      </c>
      <c r="F1222" t="s">
        <v>545</v>
      </c>
      <c r="G1222" s="9">
        <v>44961</v>
      </c>
      <c r="H1222" s="7"/>
      <c r="I1222" s="7"/>
      <c r="J1222" s="7"/>
      <c r="K1222" s="7"/>
      <c r="L1222" s="10"/>
      <c r="N1222" s="10"/>
      <c r="Q1222" s="11"/>
      <c r="R1222" s="7"/>
      <c r="S1222" s="7"/>
      <c r="T1222" s="7"/>
      <c r="U1222" s="7"/>
      <c r="V1222" s="10"/>
      <c r="X1222" s="10"/>
      <c r="AA1222" s="11"/>
    </row>
    <row r="1223" spans="2:27" x14ac:dyDescent="0.2">
      <c r="B1223" t="s">
        <v>394</v>
      </c>
      <c r="C1223">
        <v>40352351</v>
      </c>
      <c r="D1223" t="s">
        <v>485</v>
      </c>
      <c r="E1223">
        <v>1012719</v>
      </c>
      <c r="F1223" t="s">
        <v>545</v>
      </c>
      <c r="G1223" s="9">
        <v>44961</v>
      </c>
      <c r="H1223" s="7"/>
      <c r="I1223" s="7"/>
      <c r="J1223" s="7"/>
      <c r="K1223" s="7"/>
      <c r="L1223" s="10"/>
      <c r="N1223" s="10"/>
      <c r="Q1223" s="11"/>
      <c r="R1223" s="7"/>
      <c r="S1223" s="7"/>
      <c r="T1223" s="7"/>
      <c r="U1223" s="7"/>
      <c r="V1223" s="10"/>
      <c r="X1223" s="10"/>
      <c r="AA1223" s="11"/>
    </row>
    <row r="1224" spans="2:27" x14ac:dyDescent="0.2">
      <c r="B1224" t="s">
        <v>394</v>
      </c>
      <c r="C1224">
        <v>40352350</v>
      </c>
      <c r="D1224" t="s">
        <v>485</v>
      </c>
      <c r="E1224">
        <v>1012719</v>
      </c>
      <c r="F1224" t="s">
        <v>545</v>
      </c>
      <c r="G1224" s="9">
        <v>44961</v>
      </c>
      <c r="H1224" s="7"/>
      <c r="I1224" s="7"/>
      <c r="J1224" s="7"/>
      <c r="K1224" s="7"/>
      <c r="L1224" s="10"/>
      <c r="N1224" s="10"/>
      <c r="Q1224" s="11"/>
      <c r="R1224" s="7"/>
      <c r="S1224" s="7"/>
      <c r="T1224" s="7"/>
      <c r="U1224" s="7"/>
      <c r="V1224" s="10"/>
      <c r="X1224" s="10"/>
      <c r="AA1224" s="11"/>
    </row>
    <row r="1225" spans="2:27" x14ac:dyDescent="0.2">
      <c r="B1225" t="s">
        <v>394</v>
      </c>
      <c r="C1225">
        <v>40352349</v>
      </c>
      <c r="D1225" t="s">
        <v>485</v>
      </c>
      <c r="E1225">
        <v>1012719</v>
      </c>
      <c r="F1225" t="s">
        <v>545</v>
      </c>
      <c r="G1225" s="9">
        <v>44961</v>
      </c>
      <c r="H1225" s="7"/>
      <c r="I1225" s="7"/>
      <c r="J1225" s="7"/>
      <c r="K1225" s="7"/>
      <c r="L1225" s="10"/>
      <c r="N1225" s="10"/>
      <c r="Q1225" s="11"/>
      <c r="R1225" s="7"/>
      <c r="S1225" s="7"/>
      <c r="T1225" s="7"/>
      <c r="U1225" s="7"/>
      <c r="V1225" s="10"/>
      <c r="X1225" s="10"/>
      <c r="AA1225" s="11"/>
    </row>
    <row r="1226" spans="2:27" x14ac:dyDescent="0.2">
      <c r="B1226" t="s">
        <v>394</v>
      </c>
      <c r="C1226">
        <v>40352163</v>
      </c>
      <c r="D1226" t="s">
        <v>485</v>
      </c>
      <c r="E1226">
        <v>1021105</v>
      </c>
      <c r="F1226" t="s">
        <v>499</v>
      </c>
      <c r="G1226" s="9">
        <v>44954</v>
      </c>
      <c r="H1226" s="7"/>
      <c r="I1226" s="7"/>
      <c r="J1226" s="7"/>
      <c r="K1226" s="7"/>
      <c r="L1226" s="10"/>
      <c r="N1226" s="10"/>
      <c r="Q1226" s="11"/>
      <c r="R1226" s="7"/>
      <c r="S1226" s="7"/>
      <c r="T1226" s="7"/>
      <c r="U1226" s="7"/>
      <c r="V1226" s="10"/>
      <c r="X1226" s="10"/>
      <c r="AA1226" s="11"/>
    </row>
    <row r="1227" spans="2:27" ht="16" x14ac:dyDescent="0.2">
      <c r="B1227" t="s">
        <v>35</v>
      </c>
      <c r="C1227">
        <v>40352074</v>
      </c>
      <c r="D1227" t="s">
        <v>409</v>
      </c>
      <c r="E1227">
        <v>1030379</v>
      </c>
      <c r="F1227" t="s">
        <v>97</v>
      </c>
      <c r="G1227" s="9">
        <v>44980</v>
      </c>
      <c r="H1227" s="7">
        <v>24004.088640000002</v>
      </c>
      <c r="I1227" s="7"/>
      <c r="J1227" s="7"/>
      <c r="K1227" s="7"/>
      <c r="L1227" s="10">
        <v>7.5</v>
      </c>
      <c r="M1227" s="9">
        <v>44987</v>
      </c>
      <c r="N1227" s="10">
        <v>9.5</v>
      </c>
      <c r="O1227" s="9">
        <v>44996</v>
      </c>
      <c r="P1227">
        <v>17</v>
      </c>
      <c r="Q1227" s="11" t="s">
        <v>49</v>
      </c>
      <c r="R1227" s="7">
        <v>24004.088640000002</v>
      </c>
      <c r="S1227" s="7"/>
      <c r="T1227" s="7"/>
      <c r="U1227" s="7"/>
      <c r="V1227" s="10">
        <v>9.5</v>
      </c>
      <c r="W1227" s="9">
        <v>44989</v>
      </c>
      <c r="X1227" s="10">
        <v>11.5</v>
      </c>
      <c r="Y1227" s="9">
        <v>44996</v>
      </c>
      <c r="Z1227">
        <v>17</v>
      </c>
      <c r="AA1227" s="11" t="s">
        <v>49</v>
      </c>
    </row>
    <row r="1228" spans="2:27" ht="16" x14ac:dyDescent="0.2">
      <c r="B1228" t="s">
        <v>35</v>
      </c>
      <c r="C1228">
        <v>40352049</v>
      </c>
      <c r="D1228" t="s">
        <v>423</v>
      </c>
      <c r="E1228">
        <v>1030658</v>
      </c>
      <c r="F1228" t="s">
        <v>371</v>
      </c>
      <c r="G1228" s="9">
        <v>44956</v>
      </c>
      <c r="H1228" s="7"/>
      <c r="I1228" s="7"/>
      <c r="J1228" s="7"/>
      <c r="K1228" s="7"/>
      <c r="L1228" s="10">
        <v>5.4496124031007751</v>
      </c>
      <c r="M1228" s="9">
        <v>44961</v>
      </c>
      <c r="N1228" s="10">
        <v>10</v>
      </c>
      <c r="O1228" s="9">
        <v>44971</v>
      </c>
      <c r="P1228">
        <v>12</v>
      </c>
      <c r="Q1228" s="11" t="s">
        <v>49</v>
      </c>
      <c r="R1228" s="7"/>
      <c r="S1228" s="7"/>
      <c r="T1228" s="7"/>
      <c r="U1228" s="7"/>
      <c r="V1228" s="10">
        <v>7.4496124031007751</v>
      </c>
      <c r="W1228" s="9">
        <v>44963</v>
      </c>
      <c r="X1228" s="10">
        <v>12</v>
      </c>
      <c r="Y1228" s="9">
        <v>44971</v>
      </c>
      <c r="Z1228">
        <v>12</v>
      </c>
      <c r="AA1228" s="11" t="s">
        <v>49</v>
      </c>
    </row>
    <row r="1229" spans="2:27" ht="16" x14ac:dyDescent="0.2">
      <c r="B1229" t="s">
        <v>35</v>
      </c>
      <c r="C1229">
        <v>40351882</v>
      </c>
      <c r="D1229" t="s">
        <v>409</v>
      </c>
      <c r="E1229">
        <v>1030452</v>
      </c>
      <c r="F1229" t="s">
        <v>77</v>
      </c>
      <c r="G1229" s="9">
        <v>44964</v>
      </c>
      <c r="H1229" s="7"/>
      <c r="I1229" s="7"/>
      <c r="J1229" s="7"/>
      <c r="K1229" s="7"/>
      <c r="L1229" s="10">
        <v>7.5</v>
      </c>
      <c r="M1229" s="9">
        <v>44971</v>
      </c>
      <c r="N1229" s="10">
        <v>9.5</v>
      </c>
      <c r="O1229" s="9">
        <v>44980</v>
      </c>
      <c r="P1229">
        <v>4</v>
      </c>
      <c r="Q1229" s="11" t="s">
        <v>49</v>
      </c>
      <c r="R1229" s="7"/>
      <c r="S1229" s="7"/>
      <c r="T1229" s="7"/>
      <c r="U1229" s="7"/>
      <c r="V1229" s="10">
        <v>9.5</v>
      </c>
      <c r="W1229" s="9">
        <v>44973</v>
      </c>
      <c r="X1229" s="10">
        <v>11.5</v>
      </c>
      <c r="Y1229" s="9">
        <v>44980</v>
      </c>
      <c r="Z1229">
        <v>4</v>
      </c>
      <c r="AA1229" s="11" t="s">
        <v>49</v>
      </c>
    </row>
    <row r="1230" spans="2:27" ht="16" x14ac:dyDescent="0.2">
      <c r="B1230" t="s">
        <v>35</v>
      </c>
      <c r="C1230">
        <v>40351783</v>
      </c>
      <c r="D1230" t="s">
        <v>409</v>
      </c>
      <c r="E1230">
        <v>1030424</v>
      </c>
      <c r="F1230" t="s">
        <v>359</v>
      </c>
      <c r="G1230" s="9">
        <v>44978</v>
      </c>
      <c r="H1230" s="7">
        <v>22436.202529999999</v>
      </c>
      <c r="I1230" s="7"/>
      <c r="J1230" s="7"/>
      <c r="K1230" s="7"/>
      <c r="L1230" s="10">
        <v>7.5</v>
      </c>
      <c r="M1230" s="9">
        <v>44985</v>
      </c>
      <c r="N1230" s="10">
        <v>9.5</v>
      </c>
      <c r="O1230" s="9">
        <v>44994</v>
      </c>
      <c r="P1230">
        <v>19</v>
      </c>
      <c r="Q1230" s="11" t="s">
        <v>49</v>
      </c>
      <c r="R1230" s="7">
        <v>22436.202529999999</v>
      </c>
      <c r="S1230" s="7"/>
      <c r="T1230" s="7"/>
      <c r="U1230" s="7"/>
      <c r="V1230" s="10">
        <v>9.5</v>
      </c>
      <c r="W1230" s="9">
        <v>44987</v>
      </c>
      <c r="X1230" s="10">
        <v>11.5</v>
      </c>
      <c r="Y1230" s="9">
        <v>44994</v>
      </c>
      <c r="Z1230">
        <v>19</v>
      </c>
      <c r="AA1230" s="11" t="s">
        <v>49</v>
      </c>
    </row>
    <row r="1231" spans="2:27" ht="16" x14ac:dyDescent="0.2">
      <c r="B1231" t="s">
        <v>35</v>
      </c>
      <c r="C1231">
        <v>40351653</v>
      </c>
      <c r="D1231" t="s">
        <v>389</v>
      </c>
      <c r="E1231">
        <v>1022186</v>
      </c>
      <c r="F1231" t="s">
        <v>388</v>
      </c>
      <c r="G1231" s="9">
        <v>44993</v>
      </c>
      <c r="H1231" s="7">
        <v>20124</v>
      </c>
      <c r="I1231" s="7"/>
      <c r="J1231" s="7"/>
      <c r="K1231" s="7"/>
      <c r="L1231" s="10">
        <v>5.5741092456127026</v>
      </c>
      <c r="M1231" s="9">
        <v>44998</v>
      </c>
      <c r="N1231" s="10">
        <v>5.5</v>
      </c>
      <c r="O1231" s="9">
        <v>45003</v>
      </c>
      <c r="P1231">
        <v>11</v>
      </c>
      <c r="Q1231" s="11" t="s">
        <v>49</v>
      </c>
      <c r="R1231" s="7">
        <v>20124</v>
      </c>
      <c r="S1231" s="7"/>
      <c r="T1231" s="7"/>
      <c r="U1231" s="7"/>
      <c r="V1231" s="10">
        <v>7.5741092456127026</v>
      </c>
      <c r="W1231" s="9">
        <v>45000</v>
      </c>
      <c r="X1231" s="10">
        <v>7.5</v>
      </c>
      <c r="Y1231" s="9">
        <v>45003</v>
      </c>
      <c r="Z1231">
        <v>11</v>
      </c>
      <c r="AA1231" s="11" t="s">
        <v>49</v>
      </c>
    </row>
    <row r="1232" spans="2:27" ht="16" x14ac:dyDescent="0.2">
      <c r="B1232" t="s">
        <v>35</v>
      </c>
      <c r="C1232">
        <v>40351653</v>
      </c>
      <c r="D1232" t="s">
        <v>389</v>
      </c>
      <c r="E1232">
        <v>1022186</v>
      </c>
      <c r="F1232" t="s">
        <v>388</v>
      </c>
      <c r="G1232" s="9">
        <v>44993</v>
      </c>
      <c r="H1232" s="7">
        <v>25002</v>
      </c>
      <c r="I1232" s="7"/>
      <c r="J1232" s="7"/>
      <c r="K1232" s="7"/>
      <c r="L1232" s="10">
        <v>5.5741092456127026</v>
      </c>
      <c r="M1232" s="9">
        <v>44998</v>
      </c>
      <c r="N1232" s="10">
        <v>5.5</v>
      </c>
      <c r="O1232" s="9">
        <v>45003</v>
      </c>
      <c r="P1232">
        <v>11</v>
      </c>
      <c r="Q1232" s="11" t="s">
        <v>49</v>
      </c>
      <c r="R1232" s="7">
        <v>25002</v>
      </c>
      <c r="S1232" s="7"/>
      <c r="T1232" s="7"/>
      <c r="U1232" s="7"/>
      <c r="V1232" s="10">
        <v>7.5741092456127026</v>
      </c>
      <c r="W1232" s="9">
        <v>45000</v>
      </c>
      <c r="X1232" s="10">
        <v>7.5</v>
      </c>
      <c r="Y1232" s="9">
        <v>45003</v>
      </c>
      <c r="Z1232">
        <v>11</v>
      </c>
      <c r="AA1232" s="11" t="s">
        <v>49</v>
      </c>
    </row>
    <row r="1233" spans="2:27" ht="16" x14ac:dyDescent="0.2">
      <c r="B1233" t="s">
        <v>35</v>
      </c>
      <c r="C1233">
        <v>40351650</v>
      </c>
      <c r="D1233" t="s">
        <v>389</v>
      </c>
      <c r="E1233">
        <v>1023109</v>
      </c>
      <c r="F1233" t="s">
        <v>466</v>
      </c>
      <c r="G1233" s="9">
        <v>44989</v>
      </c>
      <c r="H1233" s="7">
        <v>8301.59</v>
      </c>
      <c r="I1233" s="7"/>
      <c r="J1233" s="7"/>
      <c r="K1233" s="7"/>
      <c r="L1233" s="10">
        <v>5.5741092456127026</v>
      </c>
      <c r="M1233" s="9">
        <v>44994</v>
      </c>
      <c r="N1233" s="10">
        <v>5.5</v>
      </c>
      <c r="O1233" s="9">
        <v>44999</v>
      </c>
      <c r="P1233">
        <v>15</v>
      </c>
      <c r="Q1233" s="11" t="s">
        <v>49</v>
      </c>
      <c r="R1233" s="7">
        <v>8301.59</v>
      </c>
      <c r="S1233" s="7"/>
      <c r="T1233" s="7"/>
      <c r="U1233" s="7"/>
      <c r="V1233" s="10">
        <v>7.5741092456127026</v>
      </c>
      <c r="W1233" s="9">
        <v>44996</v>
      </c>
      <c r="X1233" s="10">
        <v>7.5</v>
      </c>
      <c r="Y1233" s="9">
        <v>44999</v>
      </c>
      <c r="Z1233">
        <v>15</v>
      </c>
      <c r="AA1233" s="11" t="s">
        <v>49</v>
      </c>
    </row>
    <row r="1234" spans="2:27" ht="16" x14ac:dyDescent="0.2">
      <c r="B1234" t="s">
        <v>35</v>
      </c>
      <c r="C1234">
        <v>40351650</v>
      </c>
      <c r="D1234" t="s">
        <v>389</v>
      </c>
      <c r="E1234">
        <v>1023109</v>
      </c>
      <c r="F1234" t="s">
        <v>466</v>
      </c>
      <c r="G1234" s="9">
        <v>44989</v>
      </c>
      <c r="H1234" s="7">
        <v>24299.25</v>
      </c>
      <c r="I1234" s="7"/>
      <c r="J1234" s="7"/>
      <c r="K1234" s="7"/>
      <c r="L1234" s="10">
        <v>5.5741092456127026</v>
      </c>
      <c r="M1234" s="9">
        <v>44994</v>
      </c>
      <c r="N1234" s="10">
        <v>5.5</v>
      </c>
      <c r="O1234" s="9">
        <v>44999</v>
      </c>
      <c r="P1234">
        <v>15</v>
      </c>
      <c r="Q1234" s="11" t="s">
        <v>49</v>
      </c>
      <c r="R1234" s="7">
        <v>24299.25</v>
      </c>
      <c r="S1234" s="7"/>
      <c r="T1234" s="7"/>
      <c r="U1234" s="7"/>
      <c r="V1234" s="10">
        <v>7.5741092456127026</v>
      </c>
      <c r="W1234" s="9">
        <v>44996</v>
      </c>
      <c r="X1234" s="10">
        <v>7.5</v>
      </c>
      <c r="Y1234" s="9">
        <v>44999</v>
      </c>
      <c r="Z1234">
        <v>15</v>
      </c>
      <c r="AA1234" s="11" t="s">
        <v>49</v>
      </c>
    </row>
    <row r="1235" spans="2:27" ht="16" x14ac:dyDescent="0.2">
      <c r="B1235" t="s">
        <v>35</v>
      </c>
      <c r="C1235">
        <v>40351539</v>
      </c>
      <c r="D1235" t="s">
        <v>389</v>
      </c>
      <c r="E1235">
        <v>1022080</v>
      </c>
      <c r="F1235" t="s">
        <v>292</v>
      </c>
      <c r="G1235" s="9">
        <v>44990</v>
      </c>
      <c r="H1235" s="7">
        <v>24390</v>
      </c>
      <c r="I1235" s="7"/>
      <c r="J1235" s="7"/>
      <c r="K1235" s="7"/>
      <c r="L1235" s="10">
        <v>5.5741092456127026</v>
      </c>
      <c r="M1235" s="9">
        <v>44995</v>
      </c>
      <c r="N1235" s="10">
        <v>5.5</v>
      </c>
      <c r="O1235" s="9">
        <v>45000</v>
      </c>
      <c r="P1235">
        <v>14</v>
      </c>
      <c r="Q1235" s="11" t="s">
        <v>49</v>
      </c>
      <c r="R1235" s="7">
        <v>24390</v>
      </c>
      <c r="S1235" s="7"/>
      <c r="T1235" s="7"/>
      <c r="U1235" s="7"/>
      <c r="V1235" s="10">
        <v>7.5741092456127026</v>
      </c>
      <c r="W1235" s="9">
        <v>44997</v>
      </c>
      <c r="X1235" s="10">
        <v>7.5</v>
      </c>
      <c r="Y1235" s="9">
        <v>45000</v>
      </c>
      <c r="Z1235">
        <v>14</v>
      </c>
      <c r="AA1235" s="11" t="s">
        <v>49</v>
      </c>
    </row>
    <row r="1236" spans="2:27" ht="16" x14ac:dyDescent="0.2">
      <c r="B1236" t="s">
        <v>35</v>
      </c>
      <c r="C1236">
        <v>40351536</v>
      </c>
      <c r="D1236" t="s">
        <v>389</v>
      </c>
      <c r="E1236">
        <v>1022637</v>
      </c>
      <c r="F1236" t="s">
        <v>314</v>
      </c>
      <c r="G1236" s="9">
        <v>44994</v>
      </c>
      <c r="H1236" s="7">
        <v>23670</v>
      </c>
      <c r="I1236" s="7"/>
      <c r="J1236" s="7"/>
      <c r="K1236" s="7"/>
      <c r="L1236" s="10">
        <v>5.5741092456127026</v>
      </c>
      <c r="M1236" s="9">
        <v>44999</v>
      </c>
      <c r="N1236" s="10">
        <v>5.5</v>
      </c>
      <c r="O1236" s="9">
        <v>45004</v>
      </c>
      <c r="P1236">
        <v>11</v>
      </c>
      <c r="Q1236" s="11" t="s">
        <v>49</v>
      </c>
      <c r="R1236" s="7">
        <v>23670</v>
      </c>
      <c r="S1236" s="7"/>
      <c r="T1236" s="7"/>
      <c r="U1236" s="7"/>
      <c r="V1236" s="10">
        <v>7.5741092456127026</v>
      </c>
      <c r="W1236" s="9">
        <v>45001</v>
      </c>
      <c r="X1236" s="10">
        <v>7.5</v>
      </c>
      <c r="Y1236" s="9">
        <v>45004</v>
      </c>
      <c r="Z1236">
        <v>11</v>
      </c>
      <c r="AA1236" s="11" t="s">
        <v>49</v>
      </c>
    </row>
    <row r="1237" spans="2:27" ht="16" x14ac:dyDescent="0.2">
      <c r="B1237" t="s">
        <v>35</v>
      </c>
      <c r="C1237">
        <v>40351506</v>
      </c>
      <c r="D1237" t="s">
        <v>389</v>
      </c>
      <c r="E1237">
        <v>1023306</v>
      </c>
      <c r="F1237" t="s">
        <v>330</v>
      </c>
      <c r="G1237" s="9">
        <v>44975</v>
      </c>
      <c r="H1237" s="7"/>
      <c r="I1237" s="7"/>
      <c r="J1237" s="7"/>
      <c r="K1237" s="7"/>
      <c r="L1237" s="10">
        <v>5.5741092456127026</v>
      </c>
      <c r="M1237" s="9">
        <v>44980</v>
      </c>
      <c r="N1237" s="10">
        <v>5.5</v>
      </c>
      <c r="O1237" s="9">
        <v>44985</v>
      </c>
      <c r="P1237">
        <v>0</v>
      </c>
      <c r="Q1237" s="11" t="s">
        <v>594</v>
      </c>
      <c r="R1237" s="7"/>
      <c r="S1237" s="7"/>
      <c r="T1237" s="7"/>
      <c r="U1237" s="7"/>
      <c r="V1237" s="10">
        <v>7.5741092456127026</v>
      </c>
      <c r="W1237" s="9">
        <v>44982</v>
      </c>
      <c r="X1237" s="10">
        <v>7.5</v>
      </c>
      <c r="Y1237" s="9">
        <v>44985</v>
      </c>
      <c r="Z1237">
        <v>0</v>
      </c>
      <c r="AA1237" s="11" t="s">
        <v>594</v>
      </c>
    </row>
    <row r="1238" spans="2:27" ht="16" x14ac:dyDescent="0.2">
      <c r="B1238" t="s">
        <v>35</v>
      </c>
      <c r="C1238">
        <v>40351481</v>
      </c>
      <c r="D1238" t="s">
        <v>389</v>
      </c>
      <c r="E1238">
        <v>1022943</v>
      </c>
      <c r="F1238" t="s">
        <v>324</v>
      </c>
      <c r="G1238" s="9">
        <v>44990</v>
      </c>
      <c r="H1238" s="7">
        <v>23864.29</v>
      </c>
      <c r="I1238" s="7"/>
      <c r="J1238" s="7"/>
      <c r="K1238" s="7"/>
      <c r="L1238" s="10">
        <v>5.5741092456127026</v>
      </c>
      <c r="M1238" s="9">
        <v>44995</v>
      </c>
      <c r="N1238" s="10">
        <v>5.5</v>
      </c>
      <c r="O1238" s="9">
        <v>45000</v>
      </c>
      <c r="P1238">
        <v>14</v>
      </c>
      <c r="Q1238" s="11" t="s">
        <v>49</v>
      </c>
      <c r="R1238" s="7">
        <v>23864.29</v>
      </c>
      <c r="S1238" s="7"/>
      <c r="T1238" s="7"/>
      <c r="U1238" s="7"/>
      <c r="V1238" s="10">
        <v>7.5741092456127026</v>
      </c>
      <c r="W1238" s="9">
        <v>44997</v>
      </c>
      <c r="X1238" s="10">
        <v>7.5</v>
      </c>
      <c r="Y1238" s="9">
        <v>45000</v>
      </c>
      <c r="Z1238">
        <v>14</v>
      </c>
      <c r="AA1238" s="11" t="s">
        <v>49</v>
      </c>
    </row>
    <row r="1239" spans="2:27" ht="16" x14ac:dyDescent="0.2">
      <c r="B1239" t="s">
        <v>35</v>
      </c>
      <c r="C1239">
        <v>40351338</v>
      </c>
      <c r="D1239" t="s">
        <v>389</v>
      </c>
      <c r="E1239">
        <v>1022193</v>
      </c>
      <c r="F1239" t="s">
        <v>168</v>
      </c>
      <c r="G1239" s="9">
        <v>44971</v>
      </c>
      <c r="H1239" s="7"/>
      <c r="I1239" s="7"/>
      <c r="J1239" s="7"/>
      <c r="K1239" s="7"/>
      <c r="L1239" s="10">
        <v>5.5741092456127026</v>
      </c>
      <c r="M1239" s="9">
        <v>44976</v>
      </c>
      <c r="N1239" s="10">
        <v>5.5</v>
      </c>
      <c r="O1239" s="9">
        <v>44981</v>
      </c>
      <c r="P1239">
        <v>3</v>
      </c>
      <c r="Q1239" s="11" t="s">
        <v>49</v>
      </c>
      <c r="R1239" s="7"/>
      <c r="S1239" s="7"/>
      <c r="T1239" s="7"/>
      <c r="U1239" s="7"/>
      <c r="V1239" s="10">
        <v>7.5741092456127026</v>
      </c>
      <c r="W1239" s="9">
        <v>44978</v>
      </c>
      <c r="X1239" s="10">
        <v>7.5</v>
      </c>
      <c r="Y1239" s="9">
        <v>44981</v>
      </c>
      <c r="Z1239">
        <v>3</v>
      </c>
      <c r="AA1239" s="11" t="s">
        <v>49</v>
      </c>
    </row>
    <row r="1240" spans="2:27" ht="16" x14ac:dyDescent="0.2">
      <c r="B1240" t="s">
        <v>35</v>
      </c>
      <c r="C1240">
        <v>40351337</v>
      </c>
      <c r="D1240" t="s">
        <v>389</v>
      </c>
      <c r="E1240">
        <v>1022193</v>
      </c>
      <c r="F1240" t="s">
        <v>168</v>
      </c>
      <c r="G1240" s="9">
        <v>44975</v>
      </c>
      <c r="H1240" s="7"/>
      <c r="I1240" s="7"/>
      <c r="J1240" s="7"/>
      <c r="K1240" s="7"/>
      <c r="L1240" s="10">
        <v>5.5741092456127026</v>
      </c>
      <c r="M1240" s="9">
        <v>44980</v>
      </c>
      <c r="N1240" s="10">
        <v>5.5</v>
      </c>
      <c r="O1240" s="9">
        <v>44985</v>
      </c>
      <c r="P1240">
        <v>0</v>
      </c>
      <c r="Q1240" s="11" t="s">
        <v>594</v>
      </c>
      <c r="R1240" s="7"/>
      <c r="S1240" s="7"/>
      <c r="T1240" s="7"/>
      <c r="U1240" s="7"/>
      <c r="V1240" s="10">
        <v>7.5741092456127026</v>
      </c>
      <c r="W1240" s="9">
        <v>44982</v>
      </c>
      <c r="X1240" s="10">
        <v>7.5</v>
      </c>
      <c r="Y1240" s="9">
        <v>44985</v>
      </c>
      <c r="Z1240">
        <v>0</v>
      </c>
      <c r="AA1240" s="11" t="s">
        <v>594</v>
      </c>
    </row>
    <row r="1241" spans="2:27" ht="16" x14ac:dyDescent="0.2">
      <c r="B1241" t="s">
        <v>35</v>
      </c>
      <c r="C1241">
        <v>40351337</v>
      </c>
      <c r="D1241" t="s">
        <v>389</v>
      </c>
      <c r="E1241">
        <v>1022193</v>
      </c>
      <c r="F1241" t="s">
        <v>168</v>
      </c>
      <c r="G1241" s="9">
        <v>44975</v>
      </c>
      <c r="H1241" s="7"/>
      <c r="I1241" s="7"/>
      <c r="J1241" s="7"/>
      <c r="K1241" s="7"/>
      <c r="L1241" s="10">
        <v>5.5741092456127026</v>
      </c>
      <c r="M1241" s="9">
        <v>44980</v>
      </c>
      <c r="N1241" s="10">
        <v>5.5</v>
      </c>
      <c r="O1241" s="9">
        <v>44985</v>
      </c>
      <c r="P1241">
        <v>0</v>
      </c>
      <c r="Q1241" s="11" t="s">
        <v>594</v>
      </c>
      <c r="R1241" s="7"/>
      <c r="S1241" s="7"/>
      <c r="T1241" s="7"/>
      <c r="U1241" s="7"/>
      <c r="V1241" s="10">
        <v>7.5741092456127026</v>
      </c>
      <c r="W1241" s="9">
        <v>44982</v>
      </c>
      <c r="X1241" s="10">
        <v>7.5</v>
      </c>
      <c r="Y1241" s="9">
        <v>44985</v>
      </c>
      <c r="Z1241">
        <v>0</v>
      </c>
      <c r="AA1241" s="11" t="s">
        <v>594</v>
      </c>
    </row>
    <row r="1242" spans="2:27" ht="16" x14ac:dyDescent="0.2">
      <c r="B1242" t="s">
        <v>35</v>
      </c>
      <c r="C1242">
        <v>40351302</v>
      </c>
      <c r="D1242" t="s">
        <v>389</v>
      </c>
      <c r="E1242">
        <v>1022932</v>
      </c>
      <c r="F1242" t="s">
        <v>467</v>
      </c>
      <c r="G1242" s="9">
        <v>44978</v>
      </c>
      <c r="H1242" s="7">
        <v>19600</v>
      </c>
      <c r="I1242" s="7"/>
      <c r="J1242" s="7"/>
      <c r="K1242" s="7"/>
      <c r="L1242" s="10">
        <v>5.5741092456127026</v>
      </c>
      <c r="M1242" s="9">
        <v>44983</v>
      </c>
      <c r="N1242" s="10">
        <v>5.5</v>
      </c>
      <c r="O1242" s="9">
        <v>44988</v>
      </c>
      <c r="P1242">
        <v>24</v>
      </c>
      <c r="Q1242" s="11" t="s">
        <v>49</v>
      </c>
      <c r="R1242" s="7">
        <v>19600</v>
      </c>
      <c r="S1242" s="7"/>
      <c r="T1242" s="7"/>
      <c r="U1242" s="7"/>
      <c r="V1242" s="10">
        <v>7.5741092456127026</v>
      </c>
      <c r="W1242" s="9">
        <v>44985</v>
      </c>
      <c r="X1242" s="10">
        <v>7.5</v>
      </c>
      <c r="Y1242" s="9">
        <v>44988</v>
      </c>
      <c r="Z1242">
        <v>24</v>
      </c>
      <c r="AA1242" s="11" t="s">
        <v>49</v>
      </c>
    </row>
    <row r="1243" spans="2:27" ht="16" x14ac:dyDescent="0.2">
      <c r="B1243" t="s">
        <v>35</v>
      </c>
      <c r="C1243">
        <v>40351302</v>
      </c>
      <c r="D1243" t="s">
        <v>389</v>
      </c>
      <c r="E1243">
        <v>1022932</v>
      </c>
      <c r="F1243" t="s">
        <v>467</v>
      </c>
      <c r="G1243" s="9">
        <v>44978</v>
      </c>
      <c r="H1243" s="7">
        <v>23960</v>
      </c>
      <c r="I1243" s="7"/>
      <c r="J1243" s="7"/>
      <c r="K1243" s="7"/>
      <c r="L1243" s="10">
        <v>5.5741092456127026</v>
      </c>
      <c r="M1243" s="9">
        <v>44983</v>
      </c>
      <c r="N1243" s="10">
        <v>5.5</v>
      </c>
      <c r="O1243" s="9">
        <v>44988</v>
      </c>
      <c r="P1243">
        <v>24</v>
      </c>
      <c r="Q1243" s="11" t="s">
        <v>49</v>
      </c>
      <c r="R1243" s="7">
        <v>23960</v>
      </c>
      <c r="S1243" s="7"/>
      <c r="T1243" s="7"/>
      <c r="U1243" s="7"/>
      <c r="V1243" s="10">
        <v>7.5741092456127026</v>
      </c>
      <c r="W1243" s="9">
        <v>44985</v>
      </c>
      <c r="X1243" s="10">
        <v>7.5</v>
      </c>
      <c r="Y1243" s="9">
        <v>44988</v>
      </c>
      <c r="Z1243">
        <v>24</v>
      </c>
      <c r="AA1243" s="11" t="s">
        <v>49</v>
      </c>
    </row>
    <row r="1244" spans="2:27" ht="16" x14ac:dyDescent="0.2">
      <c r="B1244" t="s">
        <v>35</v>
      </c>
      <c r="C1244">
        <v>40351279</v>
      </c>
      <c r="D1244" t="s">
        <v>389</v>
      </c>
      <c r="E1244">
        <v>1012504</v>
      </c>
      <c r="F1244" t="s">
        <v>563</v>
      </c>
      <c r="G1244" s="9">
        <v>44971</v>
      </c>
      <c r="H1244" s="7"/>
      <c r="I1244" s="7"/>
      <c r="J1244" s="7"/>
      <c r="K1244" s="7"/>
      <c r="L1244" s="10">
        <v>5.5741092456127026</v>
      </c>
      <c r="M1244" s="9">
        <v>44976</v>
      </c>
      <c r="N1244" s="10">
        <v>5.5</v>
      </c>
      <c r="O1244" s="9">
        <v>44981</v>
      </c>
      <c r="P1244">
        <v>3</v>
      </c>
      <c r="Q1244" s="11" t="s">
        <v>49</v>
      </c>
      <c r="R1244" s="7"/>
      <c r="S1244" s="7"/>
      <c r="T1244" s="7"/>
      <c r="U1244" s="7"/>
      <c r="V1244" s="10">
        <v>7.5741092456127026</v>
      </c>
      <c r="W1244" s="9">
        <v>44978</v>
      </c>
      <c r="X1244" s="10">
        <v>7.5</v>
      </c>
      <c r="Y1244" s="9">
        <v>44981</v>
      </c>
      <c r="Z1244">
        <v>3</v>
      </c>
      <c r="AA1244" s="11" t="s">
        <v>49</v>
      </c>
    </row>
    <row r="1245" spans="2:27" x14ac:dyDescent="0.2">
      <c r="B1245" t="s">
        <v>394</v>
      </c>
      <c r="C1245">
        <v>40350676</v>
      </c>
      <c r="D1245" t="s">
        <v>396</v>
      </c>
      <c r="E1245">
        <v>1023283</v>
      </c>
      <c r="F1245" t="s">
        <v>468</v>
      </c>
      <c r="G1245" s="9">
        <v>45004</v>
      </c>
      <c r="H1245" s="7">
        <v>24001.8</v>
      </c>
      <c r="I1245" s="7"/>
      <c r="J1245" s="7"/>
      <c r="K1245" s="7"/>
      <c r="L1245" s="10"/>
      <c r="N1245" s="10"/>
      <c r="Q1245" s="11"/>
      <c r="R1245" s="7">
        <v>24001.8</v>
      </c>
      <c r="S1245" s="7"/>
      <c r="T1245" s="7"/>
      <c r="U1245" s="7"/>
      <c r="V1245" s="10"/>
      <c r="X1245" s="10"/>
      <c r="AA1245" s="11"/>
    </row>
    <row r="1246" spans="2:27" x14ac:dyDescent="0.2">
      <c r="B1246" t="s">
        <v>394</v>
      </c>
      <c r="C1246">
        <v>40349818</v>
      </c>
      <c r="D1246" t="s">
        <v>485</v>
      </c>
      <c r="E1246">
        <v>1020412</v>
      </c>
      <c r="F1246" t="s">
        <v>486</v>
      </c>
      <c r="G1246" s="9">
        <v>44958</v>
      </c>
      <c r="H1246" s="7"/>
      <c r="I1246" s="7"/>
      <c r="J1246" s="7"/>
      <c r="K1246" s="7"/>
      <c r="L1246" s="10"/>
      <c r="N1246" s="10"/>
      <c r="Q1246" s="11"/>
      <c r="R1246" s="7"/>
      <c r="S1246" s="7"/>
      <c r="T1246" s="7"/>
      <c r="U1246" s="7"/>
      <c r="V1246" s="10"/>
      <c r="X1246" s="10"/>
      <c r="AA1246" s="11"/>
    </row>
    <row r="1247" spans="2:27" x14ac:dyDescent="0.2">
      <c r="B1247" t="s">
        <v>394</v>
      </c>
      <c r="C1247">
        <v>40349818</v>
      </c>
      <c r="D1247" t="s">
        <v>485</v>
      </c>
      <c r="E1247">
        <v>1023433</v>
      </c>
      <c r="F1247" t="s">
        <v>490</v>
      </c>
      <c r="G1247" s="9">
        <v>44958</v>
      </c>
      <c r="H1247" s="7"/>
      <c r="I1247" s="7"/>
      <c r="J1247" s="7"/>
      <c r="K1247" s="7"/>
      <c r="L1247" s="10"/>
      <c r="N1247" s="10"/>
      <c r="Q1247" s="11"/>
      <c r="R1247" s="7"/>
      <c r="S1247" s="7"/>
      <c r="T1247" s="7"/>
      <c r="U1247" s="7"/>
      <c r="V1247" s="10"/>
      <c r="X1247" s="10"/>
      <c r="AA1247" s="11"/>
    </row>
    <row r="1248" spans="2:27" x14ac:dyDescent="0.2">
      <c r="B1248" t="s">
        <v>394</v>
      </c>
      <c r="C1248">
        <v>40349807</v>
      </c>
      <c r="D1248" t="s">
        <v>485</v>
      </c>
      <c r="E1248">
        <v>1012556</v>
      </c>
      <c r="F1248" t="s">
        <v>489</v>
      </c>
      <c r="G1248" s="9">
        <v>44964</v>
      </c>
      <c r="H1248" s="7"/>
      <c r="I1248" s="7"/>
      <c r="J1248" s="7"/>
      <c r="K1248" s="7"/>
      <c r="L1248" s="10"/>
      <c r="N1248" s="10"/>
      <c r="Q1248" s="11"/>
      <c r="R1248" s="7"/>
      <c r="S1248" s="7"/>
      <c r="T1248" s="7"/>
      <c r="U1248" s="7"/>
      <c r="V1248" s="10"/>
      <c r="X1248" s="10"/>
      <c r="AA1248" s="11"/>
    </row>
    <row r="1249" spans="2:27" x14ac:dyDescent="0.2">
      <c r="B1249" t="s">
        <v>394</v>
      </c>
      <c r="C1249">
        <v>40349470</v>
      </c>
      <c r="D1249" t="s">
        <v>485</v>
      </c>
      <c r="E1249">
        <v>1021187</v>
      </c>
      <c r="F1249" t="s">
        <v>617</v>
      </c>
      <c r="G1249" s="9">
        <v>44948</v>
      </c>
      <c r="H1249" s="7"/>
      <c r="I1249" s="7"/>
      <c r="J1249" s="7"/>
      <c r="K1249" s="7"/>
      <c r="L1249" s="10"/>
      <c r="N1249" s="10"/>
      <c r="Q1249" s="11"/>
      <c r="R1249" s="7"/>
      <c r="S1249" s="7"/>
      <c r="T1249" s="7"/>
      <c r="U1249" s="7"/>
      <c r="V1249" s="10"/>
      <c r="X1249" s="10"/>
      <c r="AA1249" s="11"/>
    </row>
    <row r="1250" spans="2:27" x14ac:dyDescent="0.2">
      <c r="B1250" t="s">
        <v>394</v>
      </c>
      <c r="C1250">
        <v>40349470</v>
      </c>
      <c r="D1250" t="s">
        <v>485</v>
      </c>
      <c r="E1250">
        <v>1021971</v>
      </c>
      <c r="F1250" t="s">
        <v>618</v>
      </c>
      <c r="G1250" s="9">
        <v>44948</v>
      </c>
      <c r="H1250" s="7"/>
      <c r="I1250" s="7"/>
      <c r="J1250" s="7"/>
      <c r="K1250" s="7"/>
      <c r="L1250" s="10"/>
      <c r="N1250" s="10"/>
      <c r="Q1250" s="11"/>
      <c r="R1250" s="7"/>
      <c r="S1250" s="7"/>
      <c r="T1250" s="7"/>
      <c r="U1250" s="7"/>
      <c r="V1250" s="10"/>
      <c r="X1250" s="10"/>
      <c r="AA1250" s="11"/>
    </row>
    <row r="1251" spans="2:27" x14ac:dyDescent="0.2">
      <c r="B1251" t="s">
        <v>394</v>
      </c>
      <c r="C1251">
        <v>40349470</v>
      </c>
      <c r="D1251" t="s">
        <v>485</v>
      </c>
      <c r="E1251">
        <v>1021187</v>
      </c>
      <c r="F1251" t="s">
        <v>617</v>
      </c>
      <c r="G1251" s="9">
        <v>44948</v>
      </c>
      <c r="H1251" s="7"/>
      <c r="I1251" s="7"/>
      <c r="J1251" s="7"/>
      <c r="K1251" s="7"/>
      <c r="L1251" s="10"/>
      <c r="N1251" s="10"/>
      <c r="Q1251" s="11"/>
      <c r="R1251" s="7"/>
      <c r="S1251" s="7"/>
      <c r="T1251" s="7"/>
      <c r="U1251" s="7"/>
      <c r="V1251" s="10"/>
      <c r="X1251" s="10"/>
      <c r="AA1251" s="11"/>
    </row>
    <row r="1252" spans="2:27" x14ac:dyDescent="0.2">
      <c r="B1252" t="s">
        <v>394</v>
      </c>
      <c r="C1252">
        <v>40349037</v>
      </c>
      <c r="D1252" t="s">
        <v>485</v>
      </c>
      <c r="E1252">
        <v>1021101</v>
      </c>
      <c r="F1252" t="s">
        <v>619</v>
      </c>
      <c r="G1252" s="9">
        <v>44954</v>
      </c>
      <c r="H1252" s="7"/>
      <c r="I1252" s="7"/>
      <c r="J1252" s="7"/>
      <c r="K1252" s="7"/>
      <c r="L1252" s="10"/>
      <c r="N1252" s="10"/>
      <c r="Q1252" s="11"/>
      <c r="R1252" s="7"/>
      <c r="S1252" s="7"/>
      <c r="T1252" s="7"/>
      <c r="U1252" s="7"/>
      <c r="V1252" s="10"/>
      <c r="X1252" s="10"/>
      <c r="AA1252" s="11"/>
    </row>
    <row r="1253" spans="2:27" ht="16" x14ac:dyDescent="0.2">
      <c r="B1253" t="s">
        <v>35</v>
      </c>
      <c r="C1253">
        <v>40348972</v>
      </c>
      <c r="D1253" t="s">
        <v>391</v>
      </c>
      <c r="E1253">
        <v>1022866</v>
      </c>
      <c r="F1253" t="s">
        <v>203</v>
      </c>
      <c r="G1253" s="9">
        <v>45007</v>
      </c>
      <c r="H1253" s="7"/>
      <c r="I1253" s="7">
        <v>5091.68</v>
      </c>
      <c r="J1253" s="7"/>
      <c r="K1253" s="7"/>
      <c r="L1253" s="10">
        <v>4.830303030303031</v>
      </c>
      <c r="M1253" s="9">
        <v>45011</v>
      </c>
      <c r="N1253" s="10">
        <v>15</v>
      </c>
      <c r="O1253" s="9">
        <v>45026</v>
      </c>
      <c r="P1253">
        <v>17</v>
      </c>
      <c r="Q1253" s="11" t="s">
        <v>49</v>
      </c>
      <c r="R1253" s="7"/>
      <c r="S1253" s="7">
        <v>5091.68</v>
      </c>
      <c r="T1253" s="7"/>
      <c r="U1253" s="7"/>
      <c r="V1253" s="10">
        <v>6.830303030303031</v>
      </c>
      <c r="W1253" s="9">
        <v>45013</v>
      </c>
      <c r="X1253" s="10">
        <v>17</v>
      </c>
      <c r="Y1253" s="9">
        <v>45026</v>
      </c>
      <c r="Z1253">
        <v>17</v>
      </c>
      <c r="AA1253" s="11" t="s">
        <v>49</v>
      </c>
    </row>
    <row r="1254" spans="2:27" ht="16" x14ac:dyDescent="0.2">
      <c r="B1254" t="s">
        <v>35</v>
      </c>
      <c r="C1254">
        <v>40348972</v>
      </c>
      <c r="D1254" t="s">
        <v>391</v>
      </c>
      <c r="E1254">
        <v>1022864</v>
      </c>
      <c r="F1254" t="s">
        <v>41</v>
      </c>
      <c r="G1254" s="9">
        <v>45007</v>
      </c>
      <c r="H1254" s="7"/>
      <c r="I1254" s="7">
        <v>5056.32</v>
      </c>
      <c r="J1254" s="7"/>
      <c r="K1254" s="7"/>
      <c r="L1254" s="10">
        <v>4.830303030303031</v>
      </c>
      <c r="M1254" s="9">
        <v>45011</v>
      </c>
      <c r="N1254" s="10">
        <v>15</v>
      </c>
      <c r="O1254" s="9">
        <v>45026</v>
      </c>
      <c r="P1254">
        <v>17</v>
      </c>
      <c r="Q1254" s="11" t="s">
        <v>49</v>
      </c>
      <c r="R1254" s="7"/>
      <c r="S1254" s="7">
        <v>5056.32</v>
      </c>
      <c r="T1254" s="7"/>
      <c r="U1254" s="7"/>
      <c r="V1254" s="10">
        <v>6.830303030303031</v>
      </c>
      <c r="W1254" s="9">
        <v>45013</v>
      </c>
      <c r="X1254" s="10">
        <v>17</v>
      </c>
      <c r="Y1254" s="9">
        <v>45026</v>
      </c>
      <c r="Z1254">
        <v>17</v>
      </c>
      <c r="AA1254" s="11" t="s">
        <v>49</v>
      </c>
    </row>
    <row r="1255" spans="2:27" ht="16" x14ac:dyDescent="0.2">
      <c r="B1255" t="s">
        <v>35</v>
      </c>
      <c r="C1255">
        <v>40348972</v>
      </c>
      <c r="D1255" t="s">
        <v>391</v>
      </c>
      <c r="E1255">
        <v>1022293</v>
      </c>
      <c r="F1255" t="s">
        <v>339</v>
      </c>
      <c r="G1255" s="9">
        <v>45007</v>
      </c>
      <c r="H1255" s="7"/>
      <c r="I1255" s="7">
        <v>1500</v>
      </c>
      <c r="J1255" s="7"/>
      <c r="K1255" s="7"/>
      <c r="L1255" s="10">
        <v>4.830303030303031</v>
      </c>
      <c r="M1255" s="9">
        <v>45011</v>
      </c>
      <c r="N1255" s="10">
        <v>15</v>
      </c>
      <c r="O1255" s="9">
        <v>45026</v>
      </c>
      <c r="P1255">
        <v>17</v>
      </c>
      <c r="Q1255" s="11" t="s">
        <v>49</v>
      </c>
      <c r="R1255" s="7"/>
      <c r="S1255" s="7">
        <v>1500</v>
      </c>
      <c r="T1255" s="7"/>
      <c r="U1255" s="7"/>
      <c r="V1255" s="10">
        <v>6.830303030303031</v>
      </c>
      <c r="W1255" s="9">
        <v>45013</v>
      </c>
      <c r="X1255" s="10">
        <v>17</v>
      </c>
      <c r="Y1255" s="9">
        <v>45026</v>
      </c>
      <c r="Z1255">
        <v>17</v>
      </c>
      <c r="AA1255" s="11" t="s">
        <v>49</v>
      </c>
    </row>
    <row r="1256" spans="2:27" ht="16" x14ac:dyDescent="0.2">
      <c r="B1256" t="s">
        <v>35</v>
      </c>
      <c r="C1256">
        <v>40348972</v>
      </c>
      <c r="D1256" t="s">
        <v>391</v>
      </c>
      <c r="E1256">
        <v>1022142</v>
      </c>
      <c r="F1256" t="s">
        <v>390</v>
      </c>
      <c r="G1256" s="9">
        <v>45007</v>
      </c>
      <c r="H1256" s="7"/>
      <c r="I1256" s="7">
        <v>5011.6099999999997</v>
      </c>
      <c r="J1256" s="7"/>
      <c r="K1256" s="7"/>
      <c r="L1256" s="10">
        <v>4.830303030303031</v>
      </c>
      <c r="M1256" s="9">
        <v>45011</v>
      </c>
      <c r="N1256" s="10">
        <v>15</v>
      </c>
      <c r="O1256" s="9">
        <v>45026</v>
      </c>
      <c r="P1256">
        <v>17</v>
      </c>
      <c r="Q1256" s="11" t="s">
        <v>49</v>
      </c>
      <c r="R1256" s="7"/>
      <c r="S1256" s="7">
        <v>5011.6099999999997</v>
      </c>
      <c r="T1256" s="7"/>
      <c r="U1256" s="7"/>
      <c r="V1256" s="10">
        <v>6.830303030303031</v>
      </c>
      <c r="W1256" s="9">
        <v>45013</v>
      </c>
      <c r="X1256" s="10">
        <v>17</v>
      </c>
      <c r="Y1256" s="9">
        <v>45026</v>
      </c>
      <c r="Z1256">
        <v>17</v>
      </c>
      <c r="AA1256" s="11" t="s">
        <v>49</v>
      </c>
    </row>
    <row r="1257" spans="2:27" ht="16" x14ac:dyDescent="0.2">
      <c r="B1257" t="s">
        <v>35</v>
      </c>
      <c r="C1257">
        <v>40348972</v>
      </c>
      <c r="D1257" t="s">
        <v>391</v>
      </c>
      <c r="E1257">
        <v>1022128</v>
      </c>
      <c r="F1257" t="s">
        <v>469</v>
      </c>
      <c r="G1257" s="9">
        <v>45007</v>
      </c>
      <c r="H1257" s="7"/>
      <c r="I1257" s="7">
        <v>7473.55</v>
      </c>
      <c r="J1257" s="7"/>
      <c r="K1257" s="7"/>
      <c r="L1257" s="10">
        <v>4.830303030303031</v>
      </c>
      <c r="M1257" s="9">
        <v>45011</v>
      </c>
      <c r="N1257" s="10">
        <v>15</v>
      </c>
      <c r="O1257" s="9">
        <v>45026</v>
      </c>
      <c r="P1257">
        <v>17</v>
      </c>
      <c r="Q1257" s="11" t="s">
        <v>49</v>
      </c>
      <c r="R1257" s="7"/>
      <c r="S1257" s="7">
        <v>7473.55</v>
      </c>
      <c r="T1257" s="7"/>
      <c r="U1257" s="7"/>
      <c r="V1257" s="10">
        <v>6.830303030303031</v>
      </c>
      <c r="W1257" s="9">
        <v>45013</v>
      </c>
      <c r="X1257" s="10">
        <v>17</v>
      </c>
      <c r="Y1257" s="9">
        <v>45026</v>
      </c>
      <c r="Z1257">
        <v>17</v>
      </c>
      <c r="AA1257" s="11" t="s">
        <v>49</v>
      </c>
    </row>
    <row r="1258" spans="2:27" ht="16" x14ac:dyDescent="0.2">
      <c r="B1258" t="s">
        <v>35</v>
      </c>
      <c r="C1258">
        <v>40348536</v>
      </c>
      <c r="D1258" t="s">
        <v>423</v>
      </c>
      <c r="E1258">
        <v>1030802</v>
      </c>
      <c r="F1258" t="s">
        <v>492</v>
      </c>
      <c r="G1258" s="9">
        <v>44961</v>
      </c>
      <c r="H1258" s="7"/>
      <c r="I1258" s="7"/>
      <c r="J1258" s="7"/>
      <c r="K1258" s="7"/>
      <c r="L1258" s="10">
        <v>5.4496124031007751</v>
      </c>
      <c r="M1258" s="9">
        <v>44966</v>
      </c>
      <c r="N1258" s="10">
        <v>10</v>
      </c>
      <c r="O1258" s="9">
        <v>44976</v>
      </c>
      <c r="P1258">
        <v>8</v>
      </c>
      <c r="Q1258" s="11" t="s">
        <v>49</v>
      </c>
      <c r="R1258" s="7"/>
      <c r="S1258" s="7"/>
      <c r="T1258" s="7"/>
      <c r="U1258" s="7"/>
      <c r="V1258" s="10">
        <v>7.4496124031007751</v>
      </c>
      <c r="W1258" s="9">
        <v>44968</v>
      </c>
      <c r="X1258" s="10">
        <v>12</v>
      </c>
      <c r="Y1258" s="9">
        <v>44976</v>
      </c>
      <c r="Z1258">
        <v>8</v>
      </c>
      <c r="AA1258" s="11" t="s">
        <v>49</v>
      </c>
    </row>
    <row r="1259" spans="2:27" ht="16" x14ac:dyDescent="0.2">
      <c r="B1259" t="s">
        <v>35</v>
      </c>
      <c r="C1259">
        <v>40348351</v>
      </c>
      <c r="D1259" t="s">
        <v>409</v>
      </c>
      <c r="E1259">
        <v>1012167</v>
      </c>
      <c r="F1259" t="s">
        <v>70</v>
      </c>
      <c r="G1259" s="9">
        <v>44969</v>
      </c>
      <c r="H1259" s="7"/>
      <c r="I1259" s="7"/>
      <c r="J1259" s="7"/>
      <c r="K1259" s="7"/>
      <c r="L1259" s="10">
        <v>7.5</v>
      </c>
      <c r="M1259" s="9">
        <v>44976</v>
      </c>
      <c r="N1259" s="10">
        <v>9.5</v>
      </c>
      <c r="O1259" s="9">
        <v>44985</v>
      </c>
      <c r="P1259">
        <v>0</v>
      </c>
      <c r="Q1259" s="11" t="s">
        <v>594</v>
      </c>
      <c r="R1259" s="7"/>
      <c r="S1259" s="7"/>
      <c r="T1259" s="7"/>
      <c r="U1259" s="7"/>
      <c r="V1259" s="10">
        <v>9.5</v>
      </c>
      <c r="W1259" s="9">
        <v>44978</v>
      </c>
      <c r="X1259" s="10">
        <v>11.5</v>
      </c>
      <c r="Y1259" s="9">
        <v>44985</v>
      </c>
      <c r="Z1259">
        <v>0</v>
      </c>
      <c r="AA1259" s="11" t="s">
        <v>594</v>
      </c>
    </row>
    <row r="1260" spans="2:27" ht="16" x14ac:dyDescent="0.2">
      <c r="B1260" t="s">
        <v>35</v>
      </c>
      <c r="C1260">
        <v>40348351</v>
      </c>
      <c r="D1260" t="s">
        <v>409</v>
      </c>
      <c r="E1260">
        <v>1012165</v>
      </c>
      <c r="F1260" t="s">
        <v>61</v>
      </c>
      <c r="G1260" s="9">
        <v>44969</v>
      </c>
      <c r="H1260" s="7"/>
      <c r="I1260" s="7"/>
      <c r="J1260" s="7"/>
      <c r="K1260" s="7"/>
      <c r="L1260" s="10">
        <v>7.5</v>
      </c>
      <c r="M1260" s="9">
        <v>44976</v>
      </c>
      <c r="N1260" s="10">
        <v>9.5</v>
      </c>
      <c r="O1260" s="9">
        <v>44985</v>
      </c>
      <c r="P1260">
        <v>0</v>
      </c>
      <c r="Q1260" s="11" t="s">
        <v>594</v>
      </c>
      <c r="R1260" s="7"/>
      <c r="S1260" s="7"/>
      <c r="T1260" s="7"/>
      <c r="U1260" s="7"/>
      <c r="V1260" s="10">
        <v>9.5</v>
      </c>
      <c r="W1260" s="9">
        <v>44978</v>
      </c>
      <c r="X1260" s="10">
        <v>11.5</v>
      </c>
      <c r="Y1260" s="9">
        <v>44985</v>
      </c>
      <c r="Z1260">
        <v>0</v>
      </c>
      <c r="AA1260" s="11" t="s">
        <v>594</v>
      </c>
    </row>
    <row r="1261" spans="2:27" ht="16" x14ac:dyDescent="0.2">
      <c r="B1261" t="s">
        <v>35</v>
      </c>
      <c r="C1261">
        <v>40348351</v>
      </c>
      <c r="D1261" t="s">
        <v>409</v>
      </c>
      <c r="E1261">
        <v>1012161</v>
      </c>
      <c r="F1261" t="s">
        <v>101</v>
      </c>
      <c r="G1261" s="9">
        <v>44969</v>
      </c>
      <c r="H1261" s="7"/>
      <c r="I1261" s="7"/>
      <c r="J1261" s="7"/>
      <c r="K1261" s="7"/>
      <c r="L1261" s="10">
        <v>7.5</v>
      </c>
      <c r="M1261" s="9">
        <v>44976</v>
      </c>
      <c r="N1261" s="10">
        <v>9.5</v>
      </c>
      <c r="O1261" s="9">
        <v>44985</v>
      </c>
      <c r="P1261">
        <v>0</v>
      </c>
      <c r="Q1261" s="11" t="s">
        <v>594</v>
      </c>
      <c r="R1261" s="7"/>
      <c r="S1261" s="7"/>
      <c r="T1261" s="7"/>
      <c r="U1261" s="7"/>
      <c r="V1261" s="10">
        <v>9.5</v>
      </c>
      <c r="W1261" s="9">
        <v>44978</v>
      </c>
      <c r="X1261" s="10">
        <v>11.5</v>
      </c>
      <c r="Y1261" s="9">
        <v>44985</v>
      </c>
      <c r="Z1261">
        <v>0</v>
      </c>
      <c r="AA1261" s="11" t="s">
        <v>594</v>
      </c>
    </row>
    <row r="1262" spans="2:27" ht="16" x14ac:dyDescent="0.2">
      <c r="B1262" t="s">
        <v>35</v>
      </c>
      <c r="C1262">
        <v>40348351</v>
      </c>
      <c r="D1262" t="s">
        <v>409</v>
      </c>
      <c r="E1262">
        <v>1012159</v>
      </c>
      <c r="F1262" t="s">
        <v>88</v>
      </c>
      <c r="G1262" s="9">
        <v>44969</v>
      </c>
      <c r="H1262" s="7"/>
      <c r="I1262" s="7"/>
      <c r="J1262" s="7"/>
      <c r="K1262" s="7"/>
      <c r="L1262" s="10">
        <v>7.5</v>
      </c>
      <c r="M1262" s="9">
        <v>44976</v>
      </c>
      <c r="N1262" s="10">
        <v>9.5</v>
      </c>
      <c r="O1262" s="9">
        <v>44985</v>
      </c>
      <c r="P1262">
        <v>0</v>
      </c>
      <c r="Q1262" s="11" t="s">
        <v>594</v>
      </c>
      <c r="R1262" s="7"/>
      <c r="S1262" s="7"/>
      <c r="T1262" s="7"/>
      <c r="U1262" s="7"/>
      <c r="V1262" s="10">
        <v>9.5</v>
      </c>
      <c r="W1262" s="9">
        <v>44978</v>
      </c>
      <c r="X1262" s="10">
        <v>11.5</v>
      </c>
      <c r="Y1262" s="9">
        <v>44985</v>
      </c>
      <c r="Z1262">
        <v>0</v>
      </c>
      <c r="AA1262" s="11" t="s">
        <v>594</v>
      </c>
    </row>
    <row r="1263" spans="2:27" ht="16" x14ac:dyDescent="0.2">
      <c r="B1263" t="s">
        <v>35</v>
      </c>
      <c r="C1263">
        <v>40348351</v>
      </c>
      <c r="D1263" t="s">
        <v>409</v>
      </c>
      <c r="E1263">
        <v>1012158</v>
      </c>
      <c r="F1263" t="s">
        <v>86</v>
      </c>
      <c r="G1263" s="9">
        <v>44969</v>
      </c>
      <c r="H1263" s="7"/>
      <c r="I1263" s="7"/>
      <c r="J1263" s="7"/>
      <c r="K1263" s="7"/>
      <c r="L1263" s="10">
        <v>7.5</v>
      </c>
      <c r="M1263" s="9">
        <v>44976</v>
      </c>
      <c r="N1263" s="10">
        <v>9.5</v>
      </c>
      <c r="O1263" s="9">
        <v>44985</v>
      </c>
      <c r="P1263">
        <v>0</v>
      </c>
      <c r="Q1263" s="11" t="s">
        <v>594</v>
      </c>
      <c r="R1263" s="7"/>
      <c r="S1263" s="7"/>
      <c r="T1263" s="7"/>
      <c r="U1263" s="7"/>
      <c r="V1263" s="10">
        <v>9.5</v>
      </c>
      <c r="W1263" s="9">
        <v>44978</v>
      </c>
      <c r="X1263" s="10">
        <v>11.5</v>
      </c>
      <c r="Y1263" s="9">
        <v>44985</v>
      </c>
      <c r="Z1263">
        <v>0</v>
      </c>
      <c r="AA1263" s="11" t="s">
        <v>594</v>
      </c>
    </row>
    <row r="1264" spans="2:27" ht="16" x14ac:dyDescent="0.2">
      <c r="B1264" t="s">
        <v>35</v>
      </c>
      <c r="C1264">
        <v>40348118</v>
      </c>
      <c r="D1264" t="s">
        <v>386</v>
      </c>
      <c r="E1264">
        <v>1030635</v>
      </c>
      <c r="F1264" t="s">
        <v>470</v>
      </c>
      <c r="G1264" s="9">
        <v>45035</v>
      </c>
      <c r="H1264" s="7"/>
      <c r="I1264" s="7"/>
      <c r="J1264" s="7">
        <v>11600</v>
      </c>
      <c r="K1264" s="7"/>
      <c r="L1264" s="10">
        <v>5.1420118343195256</v>
      </c>
      <c r="M1264" s="9">
        <v>45040</v>
      </c>
      <c r="N1264" s="10">
        <v>7.5</v>
      </c>
      <c r="O1264" s="9">
        <v>45047</v>
      </c>
      <c r="P1264">
        <v>26</v>
      </c>
      <c r="Q1264" s="11" t="s">
        <v>49</v>
      </c>
      <c r="R1264" s="7"/>
      <c r="S1264" s="7"/>
      <c r="T1264" s="7">
        <v>11600</v>
      </c>
      <c r="U1264" s="7"/>
      <c r="V1264" s="10">
        <v>7.1420118343195256</v>
      </c>
      <c r="W1264" s="9">
        <v>45042</v>
      </c>
      <c r="X1264" s="10">
        <v>9.5</v>
      </c>
      <c r="Y1264" s="9">
        <v>45047</v>
      </c>
      <c r="Z1264">
        <v>26</v>
      </c>
      <c r="AA1264" s="11" t="s">
        <v>49</v>
      </c>
    </row>
    <row r="1265" spans="2:27" ht="16" x14ac:dyDescent="0.2">
      <c r="B1265" t="s">
        <v>35</v>
      </c>
      <c r="C1265">
        <v>40348118</v>
      </c>
      <c r="D1265" t="s">
        <v>386</v>
      </c>
      <c r="E1265">
        <v>1030498</v>
      </c>
      <c r="F1265" t="s">
        <v>471</v>
      </c>
      <c r="G1265" s="9">
        <v>45035</v>
      </c>
      <c r="H1265" s="7"/>
      <c r="I1265" s="7"/>
      <c r="J1265" s="7">
        <v>11420</v>
      </c>
      <c r="K1265" s="7"/>
      <c r="L1265" s="10">
        <v>5.1420118343195256</v>
      </c>
      <c r="M1265" s="9">
        <v>45040</v>
      </c>
      <c r="N1265" s="10">
        <v>7.5</v>
      </c>
      <c r="O1265" s="9">
        <v>45047</v>
      </c>
      <c r="P1265">
        <v>26</v>
      </c>
      <c r="Q1265" s="11" t="s">
        <v>49</v>
      </c>
      <c r="R1265" s="7"/>
      <c r="S1265" s="7"/>
      <c r="T1265" s="7">
        <v>11420</v>
      </c>
      <c r="U1265" s="7"/>
      <c r="V1265" s="10">
        <v>7.1420118343195256</v>
      </c>
      <c r="W1265" s="9">
        <v>45042</v>
      </c>
      <c r="X1265" s="10">
        <v>9.5</v>
      </c>
      <c r="Y1265" s="9">
        <v>45047</v>
      </c>
      <c r="Z1265">
        <v>26</v>
      </c>
      <c r="AA1265" s="11" t="s">
        <v>49</v>
      </c>
    </row>
    <row r="1266" spans="2:27" ht="16" x14ac:dyDescent="0.2">
      <c r="B1266" t="s">
        <v>35</v>
      </c>
      <c r="C1266">
        <v>40347825</v>
      </c>
      <c r="D1266" t="s">
        <v>409</v>
      </c>
      <c r="E1266">
        <v>1100570</v>
      </c>
      <c r="F1266" t="s">
        <v>104</v>
      </c>
      <c r="G1266" s="9">
        <v>44965</v>
      </c>
      <c r="H1266" s="7"/>
      <c r="I1266" s="7"/>
      <c r="J1266" s="7"/>
      <c r="K1266" s="7"/>
      <c r="L1266" s="10">
        <v>7.5</v>
      </c>
      <c r="M1266" s="9">
        <v>44972</v>
      </c>
      <c r="N1266" s="10">
        <v>9.5</v>
      </c>
      <c r="O1266" s="9">
        <v>44981</v>
      </c>
      <c r="P1266">
        <v>3</v>
      </c>
      <c r="Q1266" s="11" t="s">
        <v>49</v>
      </c>
      <c r="R1266" s="7"/>
      <c r="S1266" s="7"/>
      <c r="T1266" s="7"/>
      <c r="U1266" s="7"/>
      <c r="V1266" s="10">
        <v>9.5</v>
      </c>
      <c r="W1266" s="9">
        <v>44974</v>
      </c>
      <c r="X1266" s="10">
        <v>11.5</v>
      </c>
      <c r="Y1266" s="9">
        <v>44981</v>
      </c>
      <c r="Z1266">
        <v>3</v>
      </c>
      <c r="AA1266" s="11" t="s">
        <v>49</v>
      </c>
    </row>
    <row r="1267" spans="2:27" ht="16" x14ac:dyDescent="0.2">
      <c r="B1267" t="s">
        <v>35</v>
      </c>
      <c r="C1267">
        <v>40347825</v>
      </c>
      <c r="D1267" t="s">
        <v>409</v>
      </c>
      <c r="E1267">
        <v>1100572</v>
      </c>
      <c r="F1267" t="s">
        <v>472</v>
      </c>
      <c r="G1267" s="9">
        <v>44965</v>
      </c>
      <c r="H1267" s="7"/>
      <c r="I1267" s="7"/>
      <c r="J1267" s="7"/>
      <c r="K1267" s="7"/>
      <c r="L1267" s="10">
        <v>7.5</v>
      </c>
      <c r="M1267" s="9">
        <v>44972</v>
      </c>
      <c r="N1267" s="10">
        <v>9.5</v>
      </c>
      <c r="O1267" s="9">
        <v>44981</v>
      </c>
      <c r="P1267">
        <v>3</v>
      </c>
      <c r="Q1267" s="11" t="s">
        <v>49</v>
      </c>
      <c r="R1267" s="7"/>
      <c r="S1267" s="7"/>
      <c r="T1267" s="7"/>
      <c r="U1267" s="7"/>
      <c r="V1267" s="10">
        <v>9.5</v>
      </c>
      <c r="W1267" s="9">
        <v>44974</v>
      </c>
      <c r="X1267" s="10">
        <v>11.5</v>
      </c>
      <c r="Y1267" s="9">
        <v>44981</v>
      </c>
      <c r="Z1267">
        <v>3</v>
      </c>
      <c r="AA1267" s="11" t="s">
        <v>49</v>
      </c>
    </row>
    <row r="1268" spans="2:27" ht="16" x14ac:dyDescent="0.2">
      <c r="B1268" t="s">
        <v>35</v>
      </c>
      <c r="C1268">
        <v>40347825</v>
      </c>
      <c r="D1268" t="s">
        <v>409</v>
      </c>
      <c r="E1268">
        <v>1100573</v>
      </c>
      <c r="F1268" t="s">
        <v>135</v>
      </c>
      <c r="G1268" s="9">
        <v>44965</v>
      </c>
      <c r="H1268" s="7"/>
      <c r="I1268" s="7"/>
      <c r="J1268" s="7"/>
      <c r="K1268" s="7"/>
      <c r="L1268" s="10">
        <v>7.5</v>
      </c>
      <c r="M1268" s="9">
        <v>44972</v>
      </c>
      <c r="N1268" s="10">
        <v>9.5</v>
      </c>
      <c r="O1268" s="9">
        <v>44981</v>
      </c>
      <c r="P1268">
        <v>3</v>
      </c>
      <c r="Q1268" s="11" t="s">
        <v>49</v>
      </c>
      <c r="R1268" s="7"/>
      <c r="S1268" s="7"/>
      <c r="T1268" s="7"/>
      <c r="U1268" s="7"/>
      <c r="V1268" s="10">
        <v>9.5</v>
      </c>
      <c r="W1268" s="9">
        <v>44974</v>
      </c>
      <c r="X1268" s="10">
        <v>11.5</v>
      </c>
      <c r="Y1268" s="9">
        <v>44981</v>
      </c>
      <c r="Z1268">
        <v>3</v>
      </c>
      <c r="AA1268" s="11" t="s">
        <v>49</v>
      </c>
    </row>
    <row r="1269" spans="2:27" ht="16" x14ac:dyDescent="0.2">
      <c r="B1269" t="s">
        <v>35</v>
      </c>
      <c r="C1269">
        <v>40347825</v>
      </c>
      <c r="D1269" t="s">
        <v>409</v>
      </c>
      <c r="E1269">
        <v>1100574</v>
      </c>
      <c r="F1269" t="s">
        <v>383</v>
      </c>
      <c r="G1269" s="9">
        <v>44965</v>
      </c>
      <c r="H1269" s="7"/>
      <c r="I1269" s="7"/>
      <c r="J1269" s="7"/>
      <c r="K1269" s="7"/>
      <c r="L1269" s="10">
        <v>7.5</v>
      </c>
      <c r="M1269" s="9">
        <v>44972</v>
      </c>
      <c r="N1269" s="10">
        <v>9.5</v>
      </c>
      <c r="O1269" s="9">
        <v>44981</v>
      </c>
      <c r="P1269">
        <v>3</v>
      </c>
      <c r="Q1269" s="11" t="s">
        <v>49</v>
      </c>
      <c r="R1269" s="7"/>
      <c r="S1269" s="7"/>
      <c r="T1269" s="7"/>
      <c r="U1269" s="7"/>
      <c r="V1269" s="10">
        <v>9.5</v>
      </c>
      <c r="W1269" s="9">
        <v>44974</v>
      </c>
      <c r="X1269" s="10">
        <v>11.5</v>
      </c>
      <c r="Y1269" s="9">
        <v>44981</v>
      </c>
      <c r="Z1269">
        <v>3</v>
      </c>
      <c r="AA1269" s="11" t="s">
        <v>49</v>
      </c>
    </row>
    <row r="1270" spans="2:27" ht="16" x14ac:dyDescent="0.2">
      <c r="B1270" t="s">
        <v>35</v>
      </c>
      <c r="C1270">
        <v>40347824</v>
      </c>
      <c r="D1270" t="s">
        <v>409</v>
      </c>
      <c r="E1270">
        <v>1100570</v>
      </c>
      <c r="F1270" t="s">
        <v>104</v>
      </c>
      <c r="G1270" s="9">
        <v>44978</v>
      </c>
      <c r="H1270" s="7">
        <v>2447.5824320000002</v>
      </c>
      <c r="I1270" s="7"/>
      <c r="J1270" s="7"/>
      <c r="K1270" s="7"/>
      <c r="L1270" s="10">
        <v>7.5</v>
      </c>
      <c r="M1270" s="9">
        <v>44985</v>
      </c>
      <c r="N1270" s="10">
        <v>9.5</v>
      </c>
      <c r="O1270" s="9">
        <v>44994</v>
      </c>
      <c r="P1270">
        <v>19</v>
      </c>
      <c r="Q1270" s="11" t="s">
        <v>49</v>
      </c>
      <c r="R1270" s="7">
        <v>2447.5824320000002</v>
      </c>
      <c r="S1270" s="7"/>
      <c r="T1270" s="7"/>
      <c r="U1270" s="7"/>
      <c r="V1270" s="10">
        <v>9.5</v>
      </c>
      <c r="W1270" s="9">
        <v>44987</v>
      </c>
      <c r="X1270" s="10">
        <v>11.5</v>
      </c>
      <c r="Y1270" s="9">
        <v>44994</v>
      </c>
      <c r="Z1270">
        <v>19</v>
      </c>
      <c r="AA1270" s="11" t="s">
        <v>49</v>
      </c>
    </row>
    <row r="1271" spans="2:27" ht="16" x14ac:dyDescent="0.2">
      <c r="B1271" t="s">
        <v>35</v>
      </c>
      <c r="C1271">
        <v>40347824</v>
      </c>
      <c r="D1271" t="s">
        <v>409</v>
      </c>
      <c r="E1271">
        <v>1100572</v>
      </c>
      <c r="F1271" t="s">
        <v>472</v>
      </c>
      <c r="G1271" s="9">
        <v>44978</v>
      </c>
      <c r="H1271" s="7">
        <v>3671.3736479999998</v>
      </c>
      <c r="I1271" s="7"/>
      <c r="J1271" s="7"/>
      <c r="K1271" s="7"/>
      <c r="L1271" s="10">
        <v>7.5</v>
      </c>
      <c r="M1271" s="9">
        <v>44985</v>
      </c>
      <c r="N1271" s="10">
        <v>9.5</v>
      </c>
      <c r="O1271" s="9">
        <v>44994</v>
      </c>
      <c r="P1271">
        <v>19</v>
      </c>
      <c r="Q1271" s="11" t="s">
        <v>49</v>
      </c>
      <c r="R1271" s="7">
        <v>3671.3736479999998</v>
      </c>
      <c r="S1271" s="7"/>
      <c r="T1271" s="7"/>
      <c r="U1271" s="7"/>
      <c r="V1271" s="10">
        <v>9.5</v>
      </c>
      <c r="W1271" s="9">
        <v>44987</v>
      </c>
      <c r="X1271" s="10">
        <v>11.5</v>
      </c>
      <c r="Y1271" s="9">
        <v>44994</v>
      </c>
      <c r="Z1271">
        <v>19</v>
      </c>
      <c r="AA1271" s="11" t="s">
        <v>49</v>
      </c>
    </row>
    <row r="1272" spans="2:27" ht="16" x14ac:dyDescent="0.2">
      <c r="B1272" t="s">
        <v>35</v>
      </c>
      <c r="C1272">
        <v>40347824</v>
      </c>
      <c r="D1272" t="s">
        <v>409</v>
      </c>
      <c r="E1272">
        <v>1100573</v>
      </c>
      <c r="F1272" t="s">
        <v>135</v>
      </c>
      <c r="G1272" s="9">
        <v>44978</v>
      </c>
      <c r="H1272" s="7">
        <v>1835.6868239999999</v>
      </c>
      <c r="I1272" s="7"/>
      <c r="J1272" s="7"/>
      <c r="K1272" s="7"/>
      <c r="L1272" s="10">
        <v>7.5</v>
      </c>
      <c r="M1272" s="9">
        <v>44985</v>
      </c>
      <c r="N1272" s="10">
        <v>9.5</v>
      </c>
      <c r="O1272" s="9">
        <v>44994</v>
      </c>
      <c r="P1272">
        <v>19</v>
      </c>
      <c r="Q1272" s="11" t="s">
        <v>49</v>
      </c>
      <c r="R1272" s="7">
        <v>1835.6868239999999</v>
      </c>
      <c r="S1272" s="7"/>
      <c r="T1272" s="7"/>
      <c r="U1272" s="7"/>
      <c r="V1272" s="10">
        <v>9.5</v>
      </c>
      <c r="W1272" s="9">
        <v>44987</v>
      </c>
      <c r="X1272" s="10">
        <v>11.5</v>
      </c>
      <c r="Y1272" s="9">
        <v>44994</v>
      </c>
      <c r="Z1272">
        <v>19</v>
      </c>
      <c r="AA1272" s="11" t="s">
        <v>49</v>
      </c>
    </row>
    <row r="1273" spans="2:27" ht="16" x14ac:dyDescent="0.2">
      <c r="B1273" t="s">
        <v>35</v>
      </c>
      <c r="C1273">
        <v>40347824</v>
      </c>
      <c r="D1273" t="s">
        <v>409</v>
      </c>
      <c r="E1273">
        <v>1100574</v>
      </c>
      <c r="F1273" t="s">
        <v>383</v>
      </c>
      <c r="G1273" s="9">
        <v>44978</v>
      </c>
      <c r="H1273" s="7">
        <v>5507.0604720000001</v>
      </c>
      <c r="I1273" s="7"/>
      <c r="J1273" s="7"/>
      <c r="K1273" s="7"/>
      <c r="L1273" s="10">
        <v>7.5</v>
      </c>
      <c r="M1273" s="9">
        <v>44985</v>
      </c>
      <c r="N1273" s="10">
        <v>9.5</v>
      </c>
      <c r="O1273" s="9">
        <v>44994</v>
      </c>
      <c r="P1273">
        <v>19</v>
      </c>
      <c r="Q1273" s="11" t="s">
        <v>49</v>
      </c>
      <c r="R1273" s="7">
        <v>5507.0604720000001</v>
      </c>
      <c r="S1273" s="7"/>
      <c r="T1273" s="7"/>
      <c r="U1273" s="7"/>
      <c r="V1273" s="10">
        <v>9.5</v>
      </c>
      <c r="W1273" s="9">
        <v>44987</v>
      </c>
      <c r="X1273" s="10">
        <v>11.5</v>
      </c>
      <c r="Y1273" s="9">
        <v>44994</v>
      </c>
      <c r="Z1273">
        <v>19</v>
      </c>
      <c r="AA1273" s="11" t="s">
        <v>49</v>
      </c>
    </row>
    <row r="1274" spans="2:27" ht="16" x14ac:dyDescent="0.2">
      <c r="B1274" t="s">
        <v>35</v>
      </c>
      <c r="C1274">
        <v>40347269</v>
      </c>
      <c r="D1274" t="s">
        <v>409</v>
      </c>
      <c r="E1274">
        <v>1021398</v>
      </c>
      <c r="F1274" t="s">
        <v>118</v>
      </c>
      <c r="G1274" s="9">
        <v>44964</v>
      </c>
      <c r="H1274" s="7"/>
      <c r="I1274" s="7"/>
      <c r="J1274" s="7"/>
      <c r="K1274" s="7"/>
      <c r="L1274" s="10">
        <v>7.5</v>
      </c>
      <c r="M1274" s="9">
        <v>44971</v>
      </c>
      <c r="N1274" s="10">
        <v>9.5</v>
      </c>
      <c r="O1274" s="9">
        <v>44980</v>
      </c>
      <c r="P1274">
        <v>4</v>
      </c>
      <c r="Q1274" s="11" t="s">
        <v>49</v>
      </c>
      <c r="R1274" s="7"/>
      <c r="S1274" s="7"/>
      <c r="T1274" s="7"/>
      <c r="U1274" s="7"/>
      <c r="V1274" s="10">
        <v>9.5</v>
      </c>
      <c r="W1274" s="9">
        <v>44973</v>
      </c>
      <c r="X1274" s="10">
        <v>11.5</v>
      </c>
      <c r="Y1274" s="9">
        <v>44980</v>
      </c>
      <c r="Z1274">
        <v>4</v>
      </c>
      <c r="AA1274" s="11" t="s">
        <v>49</v>
      </c>
    </row>
    <row r="1275" spans="2:27" ht="16" x14ac:dyDescent="0.2">
      <c r="B1275" t="s">
        <v>35</v>
      </c>
      <c r="C1275">
        <v>40347269</v>
      </c>
      <c r="D1275" t="s">
        <v>409</v>
      </c>
      <c r="E1275">
        <v>1020828</v>
      </c>
      <c r="F1275" t="s">
        <v>74</v>
      </c>
      <c r="G1275" s="9">
        <v>44964</v>
      </c>
      <c r="H1275" s="7"/>
      <c r="I1275" s="7"/>
      <c r="J1275" s="7"/>
      <c r="K1275" s="7"/>
      <c r="L1275" s="10">
        <v>7.5</v>
      </c>
      <c r="M1275" s="9">
        <v>44971</v>
      </c>
      <c r="N1275" s="10">
        <v>9.5</v>
      </c>
      <c r="O1275" s="9">
        <v>44980</v>
      </c>
      <c r="P1275">
        <v>4</v>
      </c>
      <c r="Q1275" s="11" t="s">
        <v>49</v>
      </c>
      <c r="R1275" s="7"/>
      <c r="S1275" s="7"/>
      <c r="T1275" s="7"/>
      <c r="U1275" s="7"/>
      <c r="V1275" s="10">
        <v>9.5</v>
      </c>
      <c r="W1275" s="9">
        <v>44973</v>
      </c>
      <c r="X1275" s="10">
        <v>11.5</v>
      </c>
      <c r="Y1275" s="9">
        <v>44980</v>
      </c>
      <c r="Z1275">
        <v>4</v>
      </c>
      <c r="AA1275" s="11" t="s">
        <v>49</v>
      </c>
    </row>
    <row r="1276" spans="2:27" ht="16" x14ac:dyDescent="0.2">
      <c r="B1276" t="s">
        <v>35</v>
      </c>
      <c r="C1276">
        <v>40346821</v>
      </c>
      <c r="D1276" t="s">
        <v>391</v>
      </c>
      <c r="E1276">
        <v>1022914</v>
      </c>
      <c r="F1276" t="s">
        <v>460</v>
      </c>
      <c r="G1276" s="9">
        <v>44977</v>
      </c>
      <c r="H1276" s="7">
        <v>24000</v>
      </c>
      <c r="I1276" s="7"/>
      <c r="J1276" s="7"/>
      <c r="K1276" s="7"/>
      <c r="L1276" s="10">
        <v>4.830303030303031</v>
      </c>
      <c r="M1276" s="9">
        <v>44981</v>
      </c>
      <c r="N1276" s="10">
        <v>15</v>
      </c>
      <c r="O1276" s="9">
        <v>44996</v>
      </c>
      <c r="P1276">
        <v>17</v>
      </c>
      <c r="Q1276" s="11" t="s">
        <v>49</v>
      </c>
      <c r="R1276" s="7">
        <v>24000</v>
      </c>
      <c r="S1276" s="7"/>
      <c r="T1276" s="7"/>
      <c r="U1276" s="7"/>
      <c r="V1276" s="10">
        <v>6.830303030303031</v>
      </c>
      <c r="W1276" s="9">
        <v>44983</v>
      </c>
      <c r="X1276" s="10">
        <v>17</v>
      </c>
      <c r="Y1276" s="9">
        <v>44996</v>
      </c>
      <c r="Z1276">
        <v>17</v>
      </c>
      <c r="AA1276" s="11" t="s">
        <v>49</v>
      </c>
    </row>
    <row r="1277" spans="2:27" ht="16" x14ac:dyDescent="0.2">
      <c r="B1277" t="s">
        <v>35</v>
      </c>
      <c r="C1277">
        <v>40346735</v>
      </c>
      <c r="D1277" t="s">
        <v>423</v>
      </c>
      <c r="E1277">
        <v>1023318</v>
      </c>
      <c r="F1277" t="s">
        <v>560</v>
      </c>
      <c r="G1277" s="9">
        <v>44956</v>
      </c>
      <c r="H1277" s="7"/>
      <c r="I1277" s="7"/>
      <c r="J1277" s="7"/>
      <c r="K1277" s="7"/>
      <c r="L1277" s="10">
        <v>5.4496124031007751</v>
      </c>
      <c r="M1277" s="9">
        <v>44961</v>
      </c>
      <c r="N1277" s="10">
        <v>10</v>
      </c>
      <c r="O1277" s="9">
        <v>44971</v>
      </c>
      <c r="P1277">
        <v>12</v>
      </c>
      <c r="Q1277" s="11" t="s">
        <v>49</v>
      </c>
      <c r="R1277" s="7"/>
      <c r="S1277" s="7"/>
      <c r="T1277" s="7"/>
      <c r="U1277" s="7"/>
      <c r="V1277" s="10">
        <v>7.4496124031007751</v>
      </c>
      <c r="W1277" s="9">
        <v>44963</v>
      </c>
      <c r="X1277" s="10">
        <v>12</v>
      </c>
      <c r="Y1277" s="9">
        <v>44971</v>
      </c>
      <c r="Z1277">
        <v>12</v>
      </c>
      <c r="AA1277" s="11" t="s">
        <v>49</v>
      </c>
    </row>
    <row r="1278" spans="2:27" ht="16" x14ac:dyDescent="0.2">
      <c r="B1278" t="s">
        <v>35</v>
      </c>
      <c r="C1278">
        <v>40346735</v>
      </c>
      <c r="D1278" t="s">
        <v>423</v>
      </c>
      <c r="E1278">
        <v>1023318</v>
      </c>
      <c r="F1278" t="s">
        <v>560</v>
      </c>
      <c r="G1278" s="9">
        <v>44956</v>
      </c>
      <c r="H1278" s="7"/>
      <c r="I1278" s="7"/>
      <c r="J1278" s="7"/>
      <c r="K1278" s="7"/>
      <c r="L1278" s="10">
        <v>5.4496124031007751</v>
      </c>
      <c r="M1278" s="9">
        <v>44961</v>
      </c>
      <c r="N1278" s="10">
        <v>10</v>
      </c>
      <c r="O1278" s="9">
        <v>44971</v>
      </c>
      <c r="P1278">
        <v>12</v>
      </c>
      <c r="Q1278" s="11" t="s">
        <v>49</v>
      </c>
      <c r="R1278" s="7"/>
      <c r="S1278" s="7"/>
      <c r="T1278" s="7"/>
      <c r="U1278" s="7"/>
      <c r="V1278" s="10">
        <v>7.4496124031007751</v>
      </c>
      <c r="W1278" s="9">
        <v>44963</v>
      </c>
      <c r="X1278" s="10">
        <v>12</v>
      </c>
      <c r="Y1278" s="9">
        <v>44971</v>
      </c>
      <c r="Z1278">
        <v>12</v>
      </c>
      <c r="AA1278" s="11" t="s">
        <v>49</v>
      </c>
    </row>
    <row r="1279" spans="2:27" ht="16" x14ac:dyDescent="0.2">
      <c r="B1279" t="s">
        <v>35</v>
      </c>
      <c r="C1279">
        <v>40346563</v>
      </c>
      <c r="D1279" t="s">
        <v>389</v>
      </c>
      <c r="E1279">
        <v>1030791</v>
      </c>
      <c r="F1279" t="s">
        <v>212</v>
      </c>
      <c r="G1279" s="9">
        <v>44975</v>
      </c>
      <c r="H1279" s="7"/>
      <c r="I1279" s="7"/>
      <c r="J1279" s="7"/>
      <c r="K1279" s="7"/>
      <c r="L1279" s="10">
        <v>5.5741092456127026</v>
      </c>
      <c r="M1279" s="9">
        <v>44980</v>
      </c>
      <c r="N1279" s="10">
        <v>5.5</v>
      </c>
      <c r="O1279" s="9">
        <v>44985</v>
      </c>
      <c r="P1279">
        <v>0</v>
      </c>
      <c r="Q1279" s="11" t="s">
        <v>594</v>
      </c>
      <c r="R1279" s="7"/>
      <c r="S1279" s="7"/>
      <c r="T1279" s="7"/>
      <c r="U1279" s="7"/>
      <c r="V1279" s="10">
        <v>7.5741092456127026</v>
      </c>
      <c r="W1279" s="9">
        <v>44982</v>
      </c>
      <c r="X1279" s="10">
        <v>7.5</v>
      </c>
      <c r="Y1279" s="9">
        <v>44985</v>
      </c>
      <c r="Z1279">
        <v>0</v>
      </c>
      <c r="AA1279" s="11" t="s">
        <v>594</v>
      </c>
    </row>
    <row r="1280" spans="2:27" ht="16" x14ac:dyDescent="0.2">
      <c r="B1280" t="s">
        <v>35</v>
      </c>
      <c r="C1280">
        <v>40346563</v>
      </c>
      <c r="D1280" t="s">
        <v>389</v>
      </c>
      <c r="E1280">
        <v>1030683</v>
      </c>
      <c r="F1280" t="s">
        <v>379</v>
      </c>
      <c r="G1280" s="9">
        <v>44975</v>
      </c>
      <c r="H1280" s="7"/>
      <c r="I1280" s="7"/>
      <c r="J1280" s="7"/>
      <c r="K1280" s="7"/>
      <c r="L1280" s="10">
        <v>5.5741092456127026</v>
      </c>
      <c r="M1280" s="9">
        <v>44980</v>
      </c>
      <c r="N1280" s="10">
        <v>5.5</v>
      </c>
      <c r="O1280" s="9">
        <v>44985</v>
      </c>
      <c r="P1280">
        <v>0</v>
      </c>
      <c r="Q1280" s="11" t="s">
        <v>594</v>
      </c>
      <c r="R1280" s="7"/>
      <c r="S1280" s="7"/>
      <c r="T1280" s="7"/>
      <c r="U1280" s="7"/>
      <c r="V1280" s="10">
        <v>7.5741092456127026</v>
      </c>
      <c r="W1280" s="9">
        <v>44982</v>
      </c>
      <c r="X1280" s="10">
        <v>7.5</v>
      </c>
      <c r="Y1280" s="9">
        <v>44985</v>
      </c>
      <c r="Z1280">
        <v>0</v>
      </c>
      <c r="AA1280" s="11" t="s">
        <v>594</v>
      </c>
    </row>
    <row r="1281" spans="2:27" ht="16" x14ac:dyDescent="0.2">
      <c r="B1281" t="s">
        <v>35</v>
      </c>
      <c r="C1281">
        <v>40346562</v>
      </c>
      <c r="D1281" t="s">
        <v>389</v>
      </c>
      <c r="E1281">
        <v>1030683</v>
      </c>
      <c r="F1281" t="s">
        <v>379</v>
      </c>
      <c r="G1281" s="9">
        <v>44975</v>
      </c>
      <c r="H1281" s="7"/>
      <c r="I1281" s="7"/>
      <c r="J1281" s="7"/>
      <c r="K1281" s="7"/>
      <c r="L1281" s="10">
        <v>5.5741092456127026</v>
      </c>
      <c r="M1281" s="9">
        <v>44980</v>
      </c>
      <c r="N1281" s="10">
        <v>5.5</v>
      </c>
      <c r="O1281" s="9">
        <v>44985</v>
      </c>
      <c r="P1281">
        <v>0</v>
      </c>
      <c r="Q1281" s="11" t="s">
        <v>594</v>
      </c>
      <c r="R1281" s="7"/>
      <c r="S1281" s="7"/>
      <c r="T1281" s="7"/>
      <c r="U1281" s="7"/>
      <c r="V1281" s="10">
        <v>7.5741092456127026</v>
      </c>
      <c r="W1281" s="9">
        <v>44982</v>
      </c>
      <c r="X1281" s="10">
        <v>7.5</v>
      </c>
      <c r="Y1281" s="9">
        <v>44985</v>
      </c>
      <c r="Z1281">
        <v>0</v>
      </c>
      <c r="AA1281" s="11" t="s">
        <v>594</v>
      </c>
    </row>
    <row r="1282" spans="2:27" ht="16" x14ac:dyDescent="0.2">
      <c r="B1282" t="s">
        <v>35</v>
      </c>
      <c r="C1282">
        <v>40346561</v>
      </c>
      <c r="D1282" t="s">
        <v>389</v>
      </c>
      <c r="E1282">
        <v>1030683</v>
      </c>
      <c r="F1282" t="s">
        <v>379</v>
      </c>
      <c r="G1282" s="9">
        <v>44975</v>
      </c>
      <c r="H1282" s="7"/>
      <c r="I1282" s="7"/>
      <c r="J1282" s="7"/>
      <c r="K1282" s="7"/>
      <c r="L1282" s="10">
        <v>5.5741092456127026</v>
      </c>
      <c r="M1282" s="9">
        <v>44980</v>
      </c>
      <c r="N1282" s="10">
        <v>5.5</v>
      </c>
      <c r="O1282" s="9">
        <v>44985</v>
      </c>
      <c r="P1282">
        <v>0</v>
      </c>
      <c r="Q1282" s="11" t="s">
        <v>594</v>
      </c>
      <c r="R1282" s="7"/>
      <c r="S1282" s="7"/>
      <c r="T1282" s="7"/>
      <c r="U1282" s="7"/>
      <c r="V1282" s="10">
        <v>7.5741092456127026</v>
      </c>
      <c r="W1282" s="9">
        <v>44982</v>
      </c>
      <c r="X1282" s="10">
        <v>7.5</v>
      </c>
      <c r="Y1282" s="9">
        <v>44985</v>
      </c>
      <c r="Z1282">
        <v>0</v>
      </c>
      <c r="AA1282" s="11" t="s">
        <v>594</v>
      </c>
    </row>
    <row r="1283" spans="2:27" x14ac:dyDescent="0.2">
      <c r="B1283" t="s">
        <v>394</v>
      </c>
      <c r="C1283">
        <v>40346301</v>
      </c>
      <c r="D1283" t="s">
        <v>396</v>
      </c>
      <c r="E1283">
        <v>1023448</v>
      </c>
      <c r="F1283" t="s">
        <v>473</v>
      </c>
      <c r="G1283" s="9">
        <v>45004</v>
      </c>
      <c r="H1283" s="7">
        <v>11007.49</v>
      </c>
      <c r="I1283" s="7"/>
      <c r="J1283" s="7"/>
      <c r="K1283" s="7"/>
      <c r="L1283" s="10"/>
      <c r="N1283" s="10"/>
      <c r="Q1283" s="11"/>
      <c r="R1283" s="7">
        <v>11007.49</v>
      </c>
      <c r="S1283" s="7"/>
      <c r="T1283" s="7"/>
      <c r="U1283" s="7"/>
      <c r="V1283" s="10"/>
      <c r="X1283" s="10"/>
      <c r="AA1283" s="11"/>
    </row>
    <row r="1284" spans="2:27" x14ac:dyDescent="0.2">
      <c r="B1284" t="s">
        <v>394</v>
      </c>
      <c r="C1284">
        <v>40346301</v>
      </c>
      <c r="D1284" t="s">
        <v>396</v>
      </c>
      <c r="E1284">
        <v>1023448</v>
      </c>
      <c r="F1284" t="s">
        <v>473</v>
      </c>
      <c r="G1284" s="9">
        <v>45004</v>
      </c>
      <c r="H1284" s="7">
        <v>24162.81</v>
      </c>
      <c r="I1284" s="7"/>
      <c r="J1284" s="7"/>
      <c r="K1284" s="7"/>
      <c r="L1284" s="10"/>
      <c r="N1284" s="10"/>
      <c r="Q1284" s="11"/>
      <c r="R1284" s="7">
        <v>24162.81</v>
      </c>
      <c r="S1284" s="7"/>
      <c r="T1284" s="7"/>
      <c r="U1284" s="7"/>
      <c r="V1284" s="10"/>
      <c r="X1284" s="10"/>
      <c r="AA1284" s="11"/>
    </row>
    <row r="1285" spans="2:27" x14ac:dyDescent="0.2">
      <c r="B1285" t="s">
        <v>394</v>
      </c>
      <c r="C1285">
        <v>40346213</v>
      </c>
      <c r="D1285" t="s">
        <v>396</v>
      </c>
      <c r="E1285">
        <v>1020904</v>
      </c>
      <c r="F1285" t="s">
        <v>474</v>
      </c>
      <c r="G1285" s="9">
        <v>44993</v>
      </c>
      <c r="H1285" s="7">
        <v>3126.1</v>
      </c>
      <c r="I1285" s="7"/>
      <c r="J1285" s="7"/>
      <c r="K1285" s="7"/>
      <c r="L1285" s="10"/>
      <c r="N1285" s="10"/>
      <c r="Q1285" s="11"/>
      <c r="R1285" s="7">
        <v>3126.1</v>
      </c>
      <c r="S1285" s="7"/>
      <c r="T1285" s="7"/>
      <c r="U1285" s="7"/>
      <c r="V1285" s="10"/>
      <c r="X1285" s="10"/>
      <c r="AA1285" s="11"/>
    </row>
    <row r="1286" spans="2:27" x14ac:dyDescent="0.2">
      <c r="B1286" t="s">
        <v>394</v>
      </c>
      <c r="C1286">
        <v>40346213</v>
      </c>
      <c r="D1286" t="s">
        <v>396</v>
      </c>
      <c r="E1286">
        <v>1020904</v>
      </c>
      <c r="F1286" t="s">
        <v>474</v>
      </c>
      <c r="G1286" s="9">
        <v>44993</v>
      </c>
      <c r="H1286" s="7">
        <v>21924.04</v>
      </c>
      <c r="I1286" s="7"/>
      <c r="J1286" s="7"/>
      <c r="K1286" s="7"/>
      <c r="L1286" s="10"/>
      <c r="N1286" s="10"/>
      <c r="Q1286" s="11"/>
      <c r="R1286" s="7">
        <v>21924.04</v>
      </c>
      <c r="S1286" s="7"/>
      <c r="T1286" s="7"/>
      <c r="U1286" s="7"/>
      <c r="V1286" s="10"/>
      <c r="X1286" s="10"/>
      <c r="AA1286" s="11"/>
    </row>
    <row r="1287" spans="2:27" x14ac:dyDescent="0.2">
      <c r="B1287" t="s">
        <v>394</v>
      </c>
      <c r="C1287">
        <v>40344297</v>
      </c>
      <c r="D1287" t="s">
        <v>396</v>
      </c>
      <c r="E1287">
        <v>1023144</v>
      </c>
      <c r="F1287" t="s">
        <v>407</v>
      </c>
      <c r="G1287" s="9">
        <v>45011</v>
      </c>
      <c r="H1287" s="7">
        <v>24009.22</v>
      </c>
      <c r="I1287" s="7"/>
      <c r="J1287" s="7"/>
      <c r="K1287" s="7"/>
      <c r="L1287" s="10"/>
      <c r="N1287" s="10"/>
      <c r="Q1287" s="11"/>
      <c r="R1287" s="7">
        <v>24009.22</v>
      </c>
      <c r="S1287" s="7"/>
      <c r="T1287" s="7"/>
      <c r="U1287" s="7"/>
      <c r="V1287" s="10"/>
      <c r="X1287" s="10"/>
      <c r="AA1287" s="11"/>
    </row>
    <row r="1288" spans="2:27" x14ac:dyDescent="0.2">
      <c r="B1288" t="s">
        <v>394</v>
      </c>
      <c r="C1288">
        <v>40344226</v>
      </c>
      <c r="D1288" t="s">
        <v>396</v>
      </c>
      <c r="E1288">
        <v>1023435</v>
      </c>
      <c r="F1288" t="s">
        <v>475</v>
      </c>
      <c r="G1288" s="9">
        <v>45009</v>
      </c>
      <c r="H1288" s="7">
        <v>23514.11</v>
      </c>
      <c r="I1288" s="7"/>
      <c r="J1288" s="7"/>
      <c r="K1288" s="7"/>
      <c r="L1288" s="10"/>
      <c r="N1288" s="10"/>
      <c r="Q1288" s="11"/>
      <c r="R1288" s="7">
        <v>23514.11</v>
      </c>
      <c r="S1288" s="7"/>
      <c r="T1288" s="7"/>
      <c r="U1288" s="7"/>
      <c r="V1288" s="10"/>
      <c r="X1288" s="10"/>
      <c r="AA1288" s="11"/>
    </row>
    <row r="1289" spans="2:27" ht="16" x14ac:dyDescent="0.2">
      <c r="B1289" t="s">
        <v>35</v>
      </c>
      <c r="C1289">
        <v>40343644</v>
      </c>
      <c r="D1289" t="s">
        <v>409</v>
      </c>
      <c r="E1289">
        <v>1023446</v>
      </c>
      <c r="F1289" t="s">
        <v>614</v>
      </c>
      <c r="G1289" s="9">
        <v>44964</v>
      </c>
      <c r="H1289" s="7"/>
      <c r="I1289" s="7"/>
      <c r="J1289" s="7"/>
      <c r="K1289" s="7"/>
      <c r="L1289" s="10">
        <v>7.5</v>
      </c>
      <c r="M1289" s="9">
        <v>44971</v>
      </c>
      <c r="N1289" s="10">
        <v>9.5</v>
      </c>
      <c r="O1289" s="9">
        <v>44980</v>
      </c>
      <c r="P1289">
        <v>4</v>
      </c>
      <c r="Q1289" s="11" t="s">
        <v>49</v>
      </c>
      <c r="R1289" s="7"/>
      <c r="S1289" s="7"/>
      <c r="T1289" s="7"/>
      <c r="U1289" s="7"/>
      <c r="V1289" s="10">
        <v>9.5</v>
      </c>
      <c r="W1289" s="9">
        <v>44973</v>
      </c>
      <c r="X1289" s="10">
        <v>11.5</v>
      </c>
      <c r="Y1289" s="9">
        <v>44980</v>
      </c>
      <c r="Z1289">
        <v>4</v>
      </c>
      <c r="AA1289" s="11" t="s">
        <v>49</v>
      </c>
    </row>
    <row r="1290" spans="2:27" x14ac:dyDescent="0.2">
      <c r="B1290" t="s">
        <v>394</v>
      </c>
      <c r="C1290">
        <v>40343494</v>
      </c>
      <c r="D1290" t="s">
        <v>396</v>
      </c>
      <c r="E1290">
        <v>1020904</v>
      </c>
      <c r="F1290" t="s">
        <v>474</v>
      </c>
      <c r="G1290" s="9">
        <v>44980</v>
      </c>
      <c r="H1290" s="7"/>
      <c r="I1290" s="7"/>
      <c r="J1290" s="7"/>
      <c r="K1290" s="7"/>
      <c r="L1290" s="10"/>
      <c r="N1290" s="10"/>
      <c r="Q1290" s="11"/>
      <c r="R1290" s="7"/>
      <c r="S1290" s="7"/>
      <c r="T1290" s="7"/>
      <c r="U1290" s="7"/>
      <c r="V1290" s="10"/>
      <c r="X1290" s="10"/>
      <c r="AA1290" s="11"/>
    </row>
    <row r="1291" spans="2:27" ht="16" x14ac:dyDescent="0.2">
      <c r="B1291" t="s">
        <v>35</v>
      </c>
      <c r="C1291">
        <v>40343405</v>
      </c>
      <c r="D1291" t="s">
        <v>391</v>
      </c>
      <c r="E1291">
        <v>1021987</v>
      </c>
      <c r="F1291" t="s">
        <v>435</v>
      </c>
      <c r="G1291" s="9">
        <v>44982</v>
      </c>
      <c r="H1291" s="7">
        <v>2060</v>
      </c>
      <c r="I1291" s="7"/>
      <c r="J1291" s="7"/>
      <c r="K1291" s="7"/>
      <c r="L1291" s="10">
        <v>4.830303030303031</v>
      </c>
      <c r="M1291" s="9">
        <v>44986</v>
      </c>
      <c r="N1291" s="10">
        <v>15</v>
      </c>
      <c r="O1291" s="9">
        <v>45001</v>
      </c>
      <c r="P1291">
        <v>13</v>
      </c>
      <c r="Q1291" s="11" t="s">
        <v>49</v>
      </c>
      <c r="R1291" s="7">
        <v>2060</v>
      </c>
      <c r="S1291" s="7"/>
      <c r="T1291" s="7"/>
      <c r="U1291" s="7"/>
      <c r="V1291" s="10">
        <v>6.830303030303031</v>
      </c>
      <c r="W1291" s="9">
        <v>44988</v>
      </c>
      <c r="X1291" s="10">
        <v>17</v>
      </c>
      <c r="Y1291" s="9">
        <v>45001</v>
      </c>
      <c r="Z1291">
        <v>13</v>
      </c>
      <c r="AA1291" s="11" t="s">
        <v>49</v>
      </c>
    </row>
    <row r="1292" spans="2:27" ht="16" x14ac:dyDescent="0.2">
      <c r="B1292" t="s">
        <v>35</v>
      </c>
      <c r="C1292">
        <v>40343404</v>
      </c>
      <c r="D1292" t="s">
        <v>391</v>
      </c>
      <c r="E1292">
        <v>1022865</v>
      </c>
      <c r="F1292" t="s">
        <v>343</v>
      </c>
      <c r="G1292" s="9">
        <v>44982</v>
      </c>
      <c r="H1292" s="7">
        <v>2036.35</v>
      </c>
      <c r="I1292" s="7"/>
      <c r="J1292" s="7"/>
      <c r="K1292" s="7"/>
      <c r="L1292" s="10">
        <v>4.830303030303031</v>
      </c>
      <c r="M1292" s="9">
        <v>44986</v>
      </c>
      <c r="N1292" s="10">
        <v>15</v>
      </c>
      <c r="O1292" s="9">
        <v>45001</v>
      </c>
      <c r="P1292">
        <v>13</v>
      </c>
      <c r="Q1292" s="11" t="s">
        <v>49</v>
      </c>
      <c r="R1292" s="7">
        <v>2036.35</v>
      </c>
      <c r="S1292" s="7"/>
      <c r="T1292" s="7"/>
      <c r="U1292" s="7"/>
      <c r="V1292" s="10">
        <v>6.830303030303031</v>
      </c>
      <c r="W1292" s="9">
        <v>44988</v>
      </c>
      <c r="X1292" s="10">
        <v>17</v>
      </c>
      <c r="Y1292" s="9">
        <v>45001</v>
      </c>
      <c r="Z1292">
        <v>13</v>
      </c>
      <c r="AA1292" s="11" t="s">
        <v>49</v>
      </c>
    </row>
    <row r="1293" spans="2:27" ht="16" x14ac:dyDescent="0.2">
      <c r="B1293" t="s">
        <v>35</v>
      </c>
      <c r="C1293">
        <v>40343404</v>
      </c>
      <c r="D1293" t="s">
        <v>391</v>
      </c>
      <c r="E1293">
        <v>1022863</v>
      </c>
      <c r="F1293" t="s">
        <v>201</v>
      </c>
      <c r="G1293" s="9">
        <v>44982</v>
      </c>
      <c r="H1293" s="7">
        <v>10012.57</v>
      </c>
      <c r="I1293" s="7"/>
      <c r="J1293" s="7"/>
      <c r="K1293" s="7"/>
      <c r="L1293" s="10">
        <v>4.830303030303031</v>
      </c>
      <c r="M1293" s="9">
        <v>44986</v>
      </c>
      <c r="N1293" s="10">
        <v>15</v>
      </c>
      <c r="O1293" s="9">
        <v>45001</v>
      </c>
      <c r="P1293">
        <v>13</v>
      </c>
      <c r="Q1293" s="11" t="s">
        <v>49</v>
      </c>
      <c r="R1293" s="7">
        <v>10012.57</v>
      </c>
      <c r="S1293" s="7"/>
      <c r="T1293" s="7"/>
      <c r="U1293" s="7"/>
      <c r="V1293" s="10">
        <v>6.830303030303031</v>
      </c>
      <c r="W1293" s="9">
        <v>44988</v>
      </c>
      <c r="X1293" s="10">
        <v>17</v>
      </c>
      <c r="Y1293" s="9">
        <v>45001</v>
      </c>
      <c r="Z1293">
        <v>13</v>
      </c>
      <c r="AA1293" s="11" t="s">
        <v>49</v>
      </c>
    </row>
    <row r="1294" spans="2:27" ht="16" x14ac:dyDescent="0.2">
      <c r="B1294" t="s">
        <v>35</v>
      </c>
      <c r="C1294">
        <v>40343404</v>
      </c>
      <c r="D1294" t="s">
        <v>391</v>
      </c>
      <c r="E1294">
        <v>1022751</v>
      </c>
      <c r="F1294" t="s">
        <v>36</v>
      </c>
      <c r="G1294" s="9">
        <v>44982</v>
      </c>
      <c r="H1294" s="7">
        <v>3080</v>
      </c>
      <c r="I1294" s="7"/>
      <c r="J1294" s="7"/>
      <c r="K1294" s="7"/>
      <c r="L1294" s="10">
        <v>4.830303030303031</v>
      </c>
      <c r="M1294" s="9">
        <v>44986</v>
      </c>
      <c r="N1294" s="10">
        <v>15</v>
      </c>
      <c r="O1294" s="9">
        <v>45001</v>
      </c>
      <c r="P1294">
        <v>13</v>
      </c>
      <c r="Q1294" s="11" t="s">
        <v>49</v>
      </c>
      <c r="R1294" s="7">
        <v>3080</v>
      </c>
      <c r="S1294" s="7"/>
      <c r="T1294" s="7"/>
      <c r="U1294" s="7"/>
      <c r="V1294" s="10">
        <v>6.830303030303031</v>
      </c>
      <c r="W1294" s="9">
        <v>44988</v>
      </c>
      <c r="X1294" s="10">
        <v>17</v>
      </c>
      <c r="Y1294" s="9">
        <v>45001</v>
      </c>
      <c r="Z1294">
        <v>13</v>
      </c>
      <c r="AA1294" s="11" t="s">
        <v>49</v>
      </c>
    </row>
    <row r="1295" spans="2:27" ht="16" x14ac:dyDescent="0.2">
      <c r="B1295" t="s">
        <v>35</v>
      </c>
      <c r="C1295">
        <v>40343404</v>
      </c>
      <c r="D1295" t="s">
        <v>391</v>
      </c>
      <c r="E1295">
        <v>1022570</v>
      </c>
      <c r="F1295" t="s">
        <v>476</v>
      </c>
      <c r="G1295" s="9">
        <v>44982</v>
      </c>
      <c r="H1295" s="7">
        <v>1006.22</v>
      </c>
      <c r="I1295" s="7"/>
      <c r="J1295" s="7"/>
      <c r="K1295" s="7"/>
      <c r="L1295" s="10">
        <v>4.830303030303031</v>
      </c>
      <c r="M1295" s="9">
        <v>44986</v>
      </c>
      <c r="N1295" s="10">
        <v>15</v>
      </c>
      <c r="O1295" s="9">
        <v>45001</v>
      </c>
      <c r="P1295">
        <v>13</v>
      </c>
      <c r="Q1295" s="11" t="s">
        <v>49</v>
      </c>
      <c r="R1295" s="7">
        <v>1006.22</v>
      </c>
      <c r="S1295" s="7"/>
      <c r="T1295" s="7"/>
      <c r="U1295" s="7"/>
      <c r="V1295" s="10">
        <v>6.830303030303031</v>
      </c>
      <c r="W1295" s="9">
        <v>44988</v>
      </c>
      <c r="X1295" s="10">
        <v>17</v>
      </c>
      <c r="Y1295" s="9">
        <v>45001</v>
      </c>
      <c r="Z1295">
        <v>13</v>
      </c>
      <c r="AA1295" s="11" t="s">
        <v>49</v>
      </c>
    </row>
    <row r="1296" spans="2:27" ht="16" x14ac:dyDescent="0.2">
      <c r="B1296" t="s">
        <v>35</v>
      </c>
      <c r="C1296">
        <v>40343404</v>
      </c>
      <c r="D1296" t="s">
        <v>391</v>
      </c>
      <c r="E1296">
        <v>1022398</v>
      </c>
      <c r="F1296" t="s">
        <v>431</v>
      </c>
      <c r="G1296" s="9">
        <v>44982</v>
      </c>
      <c r="H1296" s="7">
        <v>6040.32</v>
      </c>
      <c r="I1296" s="7"/>
      <c r="J1296" s="7"/>
      <c r="K1296" s="7"/>
      <c r="L1296" s="10">
        <v>4.830303030303031</v>
      </c>
      <c r="M1296" s="9">
        <v>44986</v>
      </c>
      <c r="N1296" s="10">
        <v>15</v>
      </c>
      <c r="O1296" s="9">
        <v>45001</v>
      </c>
      <c r="P1296">
        <v>13</v>
      </c>
      <c r="Q1296" s="11" t="s">
        <v>49</v>
      </c>
      <c r="R1296" s="7">
        <v>6040.32</v>
      </c>
      <c r="S1296" s="7"/>
      <c r="T1296" s="7"/>
      <c r="U1296" s="7"/>
      <c r="V1296" s="10">
        <v>6.830303030303031</v>
      </c>
      <c r="W1296" s="9">
        <v>44988</v>
      </c>
      <c r="X1296" s="10">
        <v>17</v>
      </c>
      <c r="Y1296" s="9">
        <v>45001</v>
      </c>
      <c r="Z1296">
        <v>13</v>
      </c>
      <c r="AA1296" s="11" t="s">
        <v>49</v>
      </c>
    </row>
    <row r="1297" spans="2:27" ht="16" x14ac:dyDescent="0.2">
      <c r="B1297" t="s">
        <v>35</v>
      </c>
      <c r="C1297">
        <v>40343391</v>
      </c>
      <c r="D1297" t="s">
        <v>391</v>
      </c>
      <c r="E1297">
        <v>1023265</v>
      </c>
      <c r="F1297" t="s">
        <v>347</v>
      </c>
      <c r="G1297" s="9">
        <v>44982</v>
      </c>
      <c r="H1297" s="7">
        <v>2003.48</v>
      </c>
      <c r="I1297" s="7"/>
      <c r="J1297" s="7"/>
      <c r="K1297" s="7"/>
      <c r="L1297" s="10">
        <v>4.830303030303031</v>
      </c>
      <c r="M1297" s="9">
        <v>44986</v>
      </c>
      <c r="N1297" s="10">
        <v>15</v>
      </c>
      <c r="O1297" s="9">
        <v>45001</v>
      </c>
      <c r="P1297">
        <v>13</v>
      </c>
      <c r="Q1297" s="11" t="s">
        <v>49</v>
      </c>
      <c r="R1297" s="7">
        <v>2003.48</v>
      </c>
      <c r="S1297" s="7"/>
      <c r="T1297" s="7"/>
      <c r="U1297" s="7"/>
      <c r="V1297" s="10">
        <v>6.830303030303031</v>
      </c>
      <c r="W1297" s="9">
        <v>44988</v>
      </c>
      <c r="X1297" s="10">
        <v>17</v>
      </c>
      <c r="Y1297" s="9">
        <v>45001</v>
      </c>
      <c r="Z1297">
        <v>13</v>
      </c>
      <c r="AA1297" s="11" t="s">
        <v>49</v>
      </c>
    </row>
    <row r="1298" spans="2:27" ht="16" x14ac:dyDescent="0.2">
      <c r="B1298" t="s">
        <v>35</v>
      </c>
      <c r="C1298">
        <v>40343390</v>
      </c>
      <c r="D1298" t="s">
        <v>391</v>
      </c>
      <c r="E1298">
        <v>1022101</v>
      </c>
      <c r="F1298" t="s">
        <v>337</v>
      </c>
      <c r="G1298" s="9">
        <v>44982</v>
      </c>
      <c r="H1298" s="7">
        <v>1290.46</v>
      </c>
      <c r="I1298" s="7"/>
      <c r="J1298" s="7"/>
      <c r="K1298" s="7"/>
      <c r="L1298" s="10">
        <v>4.830303030303031</v>
      </c>
      <c r="M1298" s="9">
        <v>44986</v>
      </c>
      <c r="N1298" s="10">
        <v>15</v>
      </c>
      <c r="O1298" s="9">
        <v>45001</v>
      </c>
      <c r="P1298">
        <v>13</v>
      </c>
      <c r="Q1298" s="11" t="s">
        <v>49</v>
      </c>
      <c r="R1298" s="7">
        <v>1290.46</v>
      </c>
      <c r="S1298" s="7"/>
      <c r="T1298" s="7"/>
      <c r="U1298" s="7"/>
      <c r="V1298" s="10">
        <v>6.830303030303031</v>
      </c>
      <c r="W1298" s="9">
        <v>44988</v>
      </c>
      <c r="X1298" s="10">
        <v>17</v>
      </c>
      <c r="Y1298" s="9">
        <v>45001</v>
      </c>
      <c r="Z1298">
        <v>13</v>
      </c>
      <c r="AA1298" s="11" t="s">
        <v>49</v>
      </c>
    </row>
    <row r="1299" spans="2:27" ht="16" x14ac:dyDescent="0.2">
      <c r="B1299" t="s">
        <v>35</v>
      </c>
      <c r="C1299">
        <v>40343390</v>
      </c>
      <c r="D1299" t="s">
        <v>391</v>
      </c>
      <c r="E1299">
        <v>1022864</v>
      </c>
      <c r="F1299" t="s">
        <v>41</v>
      </c>
      <c r="G1299" s="9">
        <v>44982</v>
      </c>
      <c r="H1299" s="7">
        <v>8707.8799999999992</v>
      </c>
      <c r="I1299" s="7"/>
      <c r="J1299" s="7"/>
      <c r="K1299" s="7"/>
      <c r="L1299" s="10">
        <v>4.830303030303031</v>
      </c>
      <c r="M1299" s="9">
        <v>44986</v>
      </c>
      <c r="N1299" s="10">
        <v>15</v>
      </c>
      <c r="O1299" s="9">
        <v>45001</v>
      </c>
      <c r="P1299">
        <v>13</v>
      </c>
      <c r="Q1299" s="11" t="s">
        <v>49</v>
      </c>
      <c r="R1299" s="7">
        <v>8707.8799999999992</v>
      </c>
      <c r="S1299" s="7"/>
      <c r="T1299" s="7"/>
      <c r="U1299" s="7"/>
      <c r="V1299" s="10">
        <v>6.830303030303031</v>
      </c>
      <c r="W1299" s="9">
        <v>44988</v>
      </c>
      <c r="X1299" s="10">
        <v>17</v>
      </c>
      <c r="Y1299" s="9">
        <v>45001</v>
      </c>
      <c r="Z1299">
        <v>13</v>
      </c>
      <c r="AA1299" s="11" t="s">
        <v>49</v>
      </c>
    </row>
    <row r="1300" spans="2:27" ht="16" x14ac:dyDescent="0.2">
      <c r="B1300" t="s">
        <v>35</v>
      </c>
      <c r="C1300">
        <v>40343390</v>
      </c>
      <c r="D1300" t="s">
        <v>391</v>
      </c>
      <c r="E1300">
        <v>1022570</v>
      </c>
      <c r="F1300" t="s">
        <v>476</v>
      </c>
      <c r="G1300" s="9">
        <v>44982</v>
      </c>
      <c r="H1300" s="7">
        <v>1024.51</v>
      </c>
      <c r="I1300" s="7"/>
      <c r="J1300" s="7"/>
      <c r="K1300" s="7"/>
      <c r="L1300" s="10">
        <v>4.830303030303031</v>
      </c>
      <c r="M1300" s="9">
        <v>44986</v>
      </c>
      <c r="N1300" s="10">
        <v>15</v>
      </c>
      <c r="O1300" s="9">
        <v>45001</v>
      </c>
      <c r="P1300">
        <v>13</v>
      </c>
      <c r="Q1300" s="11" t="s">
        <v>49</v>
      </c>
      <c r="R1300" s="7">
        <v>1024.51</v>
      </c>
      <c r="S1300" s="7"/>
      <c r="T1300" s="7"/>
      <c r="U1300" s="7"/>
      <c r="V1300" s="10">
        <v>6.830303030303031</v>
      </c>
      <c r="W1300" s="9">
        <v>44988</v>
      </c>
      <c r="X1300" s="10">
        <v>17</v>
      </c>
      <c r="Y1300" s="9">
        <v>45001</v>
      </c>
      <c r="Z1300">
        <v>13</v>
      </c>
      <c r="AA1300" s="11" t="s">
        <v>49</v>
      </c>
    </row>
    <row r="1301" spans="2:27" ht="16" x14ac:dyDescent="0.2">
      <c r="B1301" t="s">
        <v>35</v>
      </c>
      <c r="C1301">
        <v>40343390</v>
      </c>
      <c r="D1301" t="s">
        <v>391</v>
      </c>
      <c r="E1301">
        <v>1022142</v>
      </c>
      <c r="F1301" t="s">
        <v>390</v>
      </c>
      <c r="G1301" s="9">
        <v>44982</v>
      </c>
      <c r="H1301" s="7">
        <v>5008.5200000000004</v>
      </c>
      <c r="I1301" s="7"/>
      <c r="J1301" s="7"/>
      <c r="K1301" s="7"/>
      <c r="L1301" s="10">
        <v>4.830303030303031</v>
      </c>
      <c r="M1301" s="9">
        <v>44986</v>
      </c>
      <c r="N1301" s="10">
        <v>15</v>
      </c>
      <c r="O1301" s="9">
        <v>45001</v>
      </c>
      <c r="P1301">
        <v>13</v>
      </c>
      <c r="Q1301" s="11" t="s">
        <v>49</v>
      </c>
      <c r="R1301" s="7">
        <v>5008.5200000000004</v>
      </c>
      <c r="S1301" s="7"/>
      <c r="T1301" s="7"/>
      <c r="U1301" s="7"/>
      <c r="V1301" s="10">
        <v>6.830303030303031</v>
      </c>
      <c r="W1301" s="9">
        <v>44988</v>
      </c>
      <c r="X1301" s="10">
        <v>17</v>
      </c>
      <c r="Y1301" s="9">
        <v>45001</v>
      </c>
      <c r="Z1301">
        <v>13</v>
      </c>
      <c r="AA1301" s="11" t="s">
        <v>49</v>
      </c>
    </row>
    <row r="1302" spans="2:27" ht="16" x14ac:dyDescent="0.2">
      <c r="B1302" t="s">
        <v>35</v>
      </c>
      <c r="C1302">
        <v>40343390</v>
      </c>
      <c r="D1302" t="s">
        <v>391</v>
      </c>
      <c r="E1302">
        <v>1022141</v>
      </c>
      <c r="F1302" t="s">
        <v>126</v>
      </c>
      <c r="G1302" s="9">
        <v>44982</v>
      </c>
      <c r="H1302" s="7">
        <v>6017.71</v>
      </c>
      <c r="I1302" s="7"/>
      <c r="J1302" s="7"/>
      <c r="K1302" s="7"/>
      <c r="L1302" s="10">
        <v>4.830303030303031</v>
      </c>
      <c r="M1302" s="9">
        <v>44986</v>
      </c>
      <c r="N1302" s="10">
        <v>15</v>
      </c>
      <c r="O1302" s="9">
        <v>45001</v>
      </c>
      <c r="P1302">
        <v>13</v>
      </c>
      <c r="Q1302" s="11" t="s">
        <v>49</v>
      </c>
      <c r="R1302" s="7">
        <v>6017.71</v>
      </c>
      <c r="S1302" s="7"/>
      <c r="T1302" s="7"/>
      <c r="U1302" s="7"/>
      <c r="V1302" s="10">
        <v>6.830303030303031</v>
      </c>
      <c r="W1302" s="9">
        <v>44988</v>
      </c>
      <c r="X1302" s="10">
        <v>17</v>
      </c>
      <c r="Y1302" s="9">
        <v>45001</v>
      </c>
      <c r="Z1302">
        <v>13</v>
      </c>
      <c r="AA1302" s="11" t="s">
        <v>49</v>
      </c>
    </row>
    <row r="1303" spans="2:27" x14ac:dyDescent="0.2">
      <c r="B1303" t="s">
        <v>394</v>
      </c>
      <c r="C1303">
        <v>40343291</v>
      </c>
      <c r="D1303" t="s">
        <v>396</v>
      </c>
      <c r="E1303">
        <v>1021665</v>
      </c>
      <c r="F1303" t="s">
        <v>453</v>
      </c>
      <c r="G1303" s="9">
        <v>44980</v>
      </c>
      <c r="H1303" s="7"/>
      <c r="I1303" s="7"/>
      <c r="J1303" s="7"/>
      <c r="K1303" s="7"/>
      <c r="L1303" s="10"/>
      <c r="N1303" s="10"/>
      <c r="Q1303" s="11"/>
      <c r="R1303" s="7"/>
      <c r="S1303" s="7"/>
      <c r="T1303" s="7"/>
      <c r="U1303" s="7"/>
      <c r="V1303" s="10"/>
      <c r="X1303" s="10"/>
      <c r="AA1303" s="11"/>
    </row>
    <row r="1304" spans="2:27" x14ac:dyDescent="0.2">
      <c r="B1304" t="s">
        <v>394</v>
      </c>
      <c r="C1304">
        <v>40341161</v>
      </c>
      <c r="D1304" t="s">
        <v>485</v>
      </c>
      <c r="E1304">
        <v>1021385</v>
      </c>
      <c r="F1304" t="s">
        <v>495</v>
      </c>
      <c r="G1304" s="9">
        <v>44955</v>
      </c>
      <c r="H1304" s="7"/>
      <c r="I1304" s="7"/>
      <c r="J1304" s="7"/>
      <c r="K1304" s="7"/>
      <c r="L1304" s="10"/>
      <c r="N1304" s="10"/>
      <c r="Q1304" s="11"/>
      <c r="R1304" s="7"/>
      <c r="S1304" s="7"/>
      <c r="T1304" s="7"/>
      <c r="U1304" s="7"/>
      <c r="V1304" s="10"/>
      <c r="X1304" s="10"/>
      <c r="AA1304" s="11"/>
    </row>
    <row r="1305" spans="2:27" x14ac:dyDescent="0.2">
      <c r="B1305" t="s">
        <v>394</v>
      </c>
      <c r="C1305">
        <v>40341161</v>
      </c>
      <c r="D1305" t="s">
        <v>485</v>
      </c>
      <c r="E1305">
        <v>1023336</v>
      </c>
      <c r="F1305" t="s">
        <v>620</v>
      </c>
      <c r="G1305" s="9">
        <v>44955</v>
      </c>
      <c r="H1305" s="7"/>
      <c r="I1305" s="7"/>
      <c r="J1305" s="7"/>
      <c r="K1305" s="7"/>
      <c r="L1305" s="10"/>
      <c r="N1305" s="10"/>
      <c r="Q1305" s="11"/>
      <c r="R1305" s="7"/>
      <c r="S1305" s="7"/>
      <c r="T1305" s="7"/>
      <c r="U1305" s="7"/>
      <c r="V1305" s="10"/>
      <c r="X1305" s="10"/>
      <c r="AA1305" s="11"/>
    </row>
    <row r="1306" spans="2:27" ht="16" x14ac:dyDescent="0.2">
      <c r="B1306" t="s">
        <v>35</v>
      </c>
      <c r="C1306">
        <v>40339663</v>
      </c>
      <c r="D1306" t="s">
        <v>389</v>
      </c>
      <c r="E1306">
        <v>1023373</v>
      </c>
      <c r="F1306" t="s">
        <v>459</v>
      </c>
      <c r="G1306" s="9">
        <v>44981</v>
      </c>
      <c r="H1306" s="7">
        <v>8090</v>
      </c>
      <c r="I1306" s="7"/>
      <c r="J1306" s="7"/>
      <c r="K1306" s="7"/>
      <c r="L1306" s="10">
        <v>5.5741092456127026</v>
      </c>
      <c r="M1306" s="9">
        <v>44986</v>
      </c>
      <c r="N1306" s="10">
        <v>5.5</v>
      </c>
      <c r="O1306" s="9">
        <v>44991</v>
      </c>
      <c r="P1306">
        <v>22</v>
      </c>
      <c r="Q1306" s="11" t="s">
        <v>49</v>
      </c>
      <c r="R1306" s="7">
        <v>8090</v>
      </c>
      <c r="S1306" s="7"/>
      <c r="T1306" s="7"/>
      <c r="U1306" s="7"/>
      <c r="V1306" s="10">
        <v>7.5741092456127026</v>
      </c>
      <c r="W1306" s="9">
        <v>44988</v>
      </c>
      <c r="X1306" s="10">
        <v>7.5</v>
      </c>
      <c r="Y1306" s="9">
        <v>44991</v>
      </c>
      <c r="Z1306">
        <v>22</v>
      </c>
      <c r="AA1306" s="11" t="s">
        <v>49</v>
      </c>
    </row>
    <row r="1307" spans="2:27" ht="16" x14ac:dyDescent="0.2">
      <c r="B1307" t="s">
        <v>35</v>
      </c>
      <c r="C1307">
        <v>40339663</v>
      </c>
      <c r="D1307" t="s">
        <v>389</v>
      </c>
      <c r="E1307">
        <v>1022940</v>
      </c>
      <c r="F1307" t="s">
        <v>477</v>
      </c>
      <c r="G1307" s="9">
        <v>44981</v>
      </c>
      <c r="H1307" s="7">
        <v>16605</v>
      </c>
      <c r="I1307" s="7"/>
      <c r="J1307" s="7"/>
      <c r="K1307" s="7"/>
      <c r="L1307" s="10">
        <v>5.5741092456127026</v>
      </c>
      <c r="M1307" s="9">
        <v>44986</v>
      </c>
      <c r="N1307" s="10">
        <v>5.5</v>
      </c>
      <c r="O1307" s="9">
        <v>44991</v>
      </c>
      <c r="P1307">
        <v>22</v>
      </c>
      <c r="Q1307" s="11" t="s">
        <v>49</v>
      </c>
      <c r="R1307" s="7">
        <v>16605</v>
      </c>
      <c r="S1307" s="7"/>
      <c r="T1307" s="7"/>
      <c r="U1307" s="7"/>
      <c r="V1307" s="10">
        <v>7.5741092456127026</v>
      </c>
      <c r="W1307" s="9">
        <v>44988</v>
      </c>
      <c r="X1307" s="10">
        <v>7.5</v>
      </c>
      <c r="Y1307" s="9">
        <v>44991</v>
      </c>
      <c r="Z1307">
        <v>22</v>
      </c>
      <c r="AA1307" s="11" t="s">
        <v>49</v>
      </c>
    </row>
    <row r="1308" spans="2:27" ht="16" x14ac:dyDescent="0.2">
      <c r="B1308" t="s">
        <v>35</v>
      </c>
      <c r="C1308">
        <v>40333761</v>
      </c>
      <c r="D1308" t="s">
        <v>389</v>
      </c>
      <c r="E1308">
        <v>1023354</v>
      </c>
      <c r="F1308" t="s">
        <v>621</v>
      </c>
      <c r="G1308" s="9">
        <v>44975</v>
      </c>
      <c r="H1308" s="7"/>
      <c r="I1308" s="7"/>
      <c r="J1308" s="7"/>
      <c r="K1308" s="7"/>
      <c r="L1308" s="10">
        <v>5.5741092456127026</v>
      </c>
      <c r="M1308" s="9">
        <v>44980</v>
      </c>
      <c r="N1308" s="10">
        <v>5.5</v>
      </c>
      <c r="O1308" s="9">
        <v>44985</v>
      </c>
      <c r="P1308">
        <v>0</v>
      </c>
      <c r="Q1308" s="11" t="s">
        <v>594</v>
      </c>
      <c r="R1308" s="7"/>
      <c r="S1308" s="7"/>
      <c r="T1308" s="7"/>
      <c r="U1308" s="7"/>
      <c r="V1308" s="10">
        <v>7.5741092456127026</v>
      </c>
      <c r="W1308" s="9">
        <v>44982</v>
      </c>
      <c r="X1308" s="10">
        <v>7.5</v>
      </c>
      <c r="Y1308" s="9">
        <v>44985</v>
      </c>
      <c r="Z1308">
        <v>0</v>
      </c>
      <c r="AA1308" s="11" t="s">
        <v>594</v>
      </c>
    </row>
    <row r="1309" spans="2:27" ht="16" x14ac:dyDescent="0.2">
      <c r="B1309" t="s">
        <v>35</v>
      </c>
      <c r="C1309">
        <v>40332900</v>
      </c>
      <c r="D1309" t="s">
        <v>391</v>
      </c>
      <c r="E1309">
        <v>1021987</v>
      </c>
      <c r="F1309" t="s">
        <v>435</v>
      </c>
      <c r="G1309" s="9">
        <v>44977</v>
      </c>
      <c r="H1309" s="7">
        <v>2000</v>
      </c>
      <c r="I1309" s="7"/>
      <c r="J1309" s="7"/>
      <c r="K1309" s="7"/>
      <c r="L1309" s="10">
        <v>4.830303030303031</v>
      </c>
      <c r="M1309" s="9">
        <v>44981</v>
      </c>
      <c r="N1309" s="10">
        <v>15</v>
      </c>
      <c r="O1309" s="9">
        <v>44996</v>
      </c>
      <c r="P1309">
        <v>17</v>
      </c>
      <c r="Q1309" s="11" t="s">
        <v>49</v>
      </c>
      <c r="R1309" s="7">
        <v>2000</v>
      </c>
      <c r="S1309" s="7"/>
      <c r="T1309" s="7"/>
      <c r="U1309" s="7"/>
      <c r="V1309" s="10">
        <v>6.830303030303031</v>
      </c>
      <c r="W1309" s="9">
        <v>44983</v>
      </c>
      <c r="X1309" s="10">
        <v>17</v>
      </c>
      <c r="Y1309" s="9">
        <v>44996</v>
      </c>
      <c r="Z1309">
        <v>17</v>
      </c>
      <c r="AA1309" s="11" t="s">
        <v>49</v>
      </c>
    </row>
    <row r="1310" spans="2:27" ht="16" x14ac:dyDescent="0.2">
      <c r="B1310" t="s">
        <v>35</v>
      </c>
      <c r="C1310">
        <v>40332900</v>
      </c>
      <c r="D1310" t="s">
        <v>391</v>
      </c>
      <c r="E1310">
        <v>1021944</v>
      </c>
      <c r="F1310" t="s">
        <v>192</v>
      </c>
      <c r="G1310" s="9">
        <v>44977</v>
      </c>
      <c r="H1310" s="7">
        <v>3000</v>
      </c>
      <c r="I1310" s="7"/>
      <c r="J1310" s="7"/>
      <c r="K1310" s="7"/>
      <c r="L1310" s="10">
        <v>4.830303030303031</v>
      </c>
      <c r="M1310" s="9">
        <v>44981</v>
      </c>
      <c r="N1310" s="10">
        <v>15</v>
      </c>
      <c r="O1310" s="9">
        <v>44996</v>
      </c>
      <c r="P1310">
        <v>17</v>
      </c>
      <c r="Q1310" s="11" t="s">
        <v>49</v>
      </c>
      <c r="R1310" s="7">
        <v>3000</v>
      </c>
      <c r="S1310" s="7"/>
      <c r="T1310" s="7"/>
      <c r="U1310" s="7"/>
      <c r="V1310" s="10">
        <v>6.830303030303031</v>
      </c>
      <c r="W1310" s="9">
        <v>44983</v>
      </c>
      <c r="X1310" s="10">
        <v>17</v>
      </c>
      <c r="Y1310" s="9">
        <v>44996</v>
      </c>
      <c r="Z1310">
        <v>17</v>
      </c>
      <c r="AA1310" s="11" t="s">
        <v>49</v>
      </c>
    </row>
    <row r="1311" spans="2:27" ht="16" x14ac:dyDescent="0.2">
      <c r="B1311" t="s">
        <v>35</v>
      </c>
      <c r="C1311">
        <v>40332899</v>
      </c>
      <c r="D1311" t="s">
        <v>391</v>
      </c>
      <c r="E1311">
        <v>1022864</v>
      </c>
      <c r="F1311" t="s">
        <v>41</v>
      </c>
      <c r="G1311" s="9">
        <v>44977</v>
      </c>
      <c r="H1311" s="7">
        <v>7000.95</v>
      </c>
      <c r="I1311" s="7"/>
      <c r="J1311" s="7"/>
      <c r="K1311" s="7"/>
      <c r="L1311" s="10">
        <v>4.830303030303031</v>
      </c>
      <c r="M1311" s="9">
        <v>44981</v>
      </c>
      <c r="N1311" s="10">
        <v>15</v>
      </c>
      <c r="O1311" s="9">
        <v>44996</v>
      </c>
      <c r="P1311">
        <v>17</v>
      </c>
      <c r="Q1311" s="11" t="s">
        <v>49</v>
      </c>
      <c r="R1311" s="7">
        <v>7000.95</v>
      </c>
      <c r="S1311" s="7"/>
      <c r="T1311" s="7"/>
      <c r="U1311" s="7"/>
      <c r="V1311" s="10">
        <v>6.830303030303031</v>
      </c>
      <c r="W1311" s="9">
        <v>44983</v>
      </c>
      <c r="X1311" s="10">
        <v>17</v>
      </c>
      <c r="Y1311" s="9">
        <v>44996</v>
      </c>
      <c r="Z1311">
        <v>17</v>
      </c>
      <c r="AA1311" s="11" t="s">
        <v>49</v>
      </c>
    </row>
    <row r="1312" spans="2:27" ht="16" x14ac:dyDescent="0.2">
      <c r="B1312" t="s">
        <v>35</v>
      </c>
      <c r="C1312">
        <v>40332899</v>
      </c>
      <c r="D1312" t="s">
        <v>391</v>
      </c>
      <c r="E1312">
        <v>1022863</v>
      </c>
      <c r="F1312" t="s">
        <v>201</v>
      </c>
      <c r="G1312" s="9">
        <v>44977</v>
      </c>
      <c r="H1312" s="7">
        <v>1007.38</v>
      </c>
      <c r="I1312" s="7"/>
      <c r="J1312" s="7"/>
      <c r="K1312" s="7"/>
      <c r="L1312" s="10">
        <v>4.830303030303031</v>
      </c>
      <c r="M1312" s="9">
        <v>44981</v>
      </c>
      <c r="N1312" s="10">
        <v>15</v>
      </c>
      <c r="O1312" s="9">
        <v>44996</v>
      </c>
      <c r="P1312">
        <v>17</v>
      </c>
      <c r="Q1312" s="11" t="s">
        <v>49</v>
      </c>
      <c r="R1312" s="7">
        <v>1007.38</v>
      </c>
      <c r="S1312" s="7"/>
      <c r="T1312" s="7"/>
      <c r="U1312" s="7"/>
      <c r="V1312" s="10">
        <v>6.830303030303031</v>
      </c>
      <c r="W1312" s="9">
        <v>44983</v>
      </c>
      <c r="X1312" s="10">
        <v>17</v>
      </c>
      <c r="Y1312" s="9">
        <v>44996</v>
      </c>
      <c r="Z1312">
        <v>17</v>
      </c>
      <c r="AA1312" s="11" t="s">
        <v>49</v>
      </c>
    </row>
    <row r="1313" spans="2:27" ht="16" x14ac:dyDescent="0.2">
      <c r="B1313" t="s">
        <v>35</v>
      </c>
      <c r="C1313">
        <v>40332899</v>
      </c>
      <c r="D1313" t="s">
        <v>391</v>
      </c>
      <c r="E1313">
        <v>1022621</v>
      </c>
      <c r="F1313" t="s">
        <v>199</v>
      </c>
      <c r="G1313" s="9">
        <v>44977</v>
      </c>
      <c r="H1313" s="7">
        <v>4015.28</v>
      </c>
      <c r="I1313" s="7"/>
      <c r="J1313" s="7"/>
      <c r="K1313" s="7"/>
      <c r="L1313" s="10">
        <v>4.830303030303031</v>
      </c>
      <c r="M1313" s="9">
        <v>44981</v>
      </c>
      <c r="N1313" s="10">
        <v>15</v>
      </c>
      <c r="O1313" s="9">
        <v>44996</v>
      </c>
      <c r="P1313">
        <v>17</v>
      </c>
      <c r="Q1313" s="11" t="s">
        <v>49</v>
      </c>
      <c r="R1313" s="7">
        <v>4015.28</v>
      </c>
      <c r="S1313" s="7"/>
      <c r="T1313" s="7"/>
      <c r="U1313" s="7"/>
      <c r="V1313" s="10">
        <v>6.830303030303031</v>
      </c>
      <c r="W1313" s="9">
        <v>44983</v>
      </c>
      <c r="X1313" s="10">
        <v>17</v>
      </c>
      <c r="Y1313" s="9">
        <v>44996</v>
      </c>
      <c r="Z1313">
        <v>17</v>
      </c>
      <c r="AA1313" s="11" t="s">
        <v>49</v>
      </c>
    </row>
    <row r="1314" spans="2:27" ht="16" x14ac:dyDescent="0.2">
      <c r="B1314" t="s">
        <v>35</v>
      </c>
      <c r="C1314">
        <v>40332899</v>
      </c>
      <c r="D1314" t="s">
        <v>391</v>
      </c>
      <c r="E1314">
        <v>1022515</v>
      </c>
      <c r="F1314" t="s">
        <v>197</v>
      </c>
      <c r="G1314" s="9">
        <v>44977</v>
      </c>
      <c r="H1314" s="7">
        <v>2016.15</v>
      </c>
      <c r="I1314" s="7"/>
      <c r="J1314" s="7"/>
      <c r="K1314" s="7"/>
      <c r="L1314" s="10">
        <v>4.830303030303031</v>
      </c>
      <c r="M1314" s="9">
        <v>44981</v>
      </c>
      <c r="N1314" s="10">
        <v>15</v>
      </c>
      <c r="O1314" s="9">
        <v>44996</v>
      </c>
      <c r="P1314">
        <v>17</v>
      </c>
      <c r="Q1314" s="11" t="s">
        <v>49</v>
      </c>
      <c r="R1314" s="7">
        <v>2016.15</v>
      </c>
      <c r="S1314" s="7"/>
      <c r="T1314" s="7"/>
      <c r="U1314" s="7"/>
      <c r="V1314" s="10">
        <v>6.830303030303031</v>
      </c>
      <c r="W1314" s="9">
        <v>44983</v>
      </c>
      <c r="X1314" s="10">
        <v>17</v>
      </c>
      <c r="Y1314" s="9">
        <v>44996</v>
      </c>
      <c r="Z1314">
        <v>17</v>
      </c>
      <c r="AA1314" s="11" t="s">
        <v>49</v>
      </c>
    </row>
    <row r="1315" spans="2:27" ht="16" x14ac:dyDescent="0.2">
      <c r="B1315" t="s">
        <v>35</v>
      </c>
      <c r="C1315">
        <v>40332899</v>
      </c>
      <c r="D1315" t="s">
        <v>391</v>
      </c>
      <c r="E1315">
        <v>1022142</v>
      </c>
      <c r="F1315" t="s">
        <v>390</v>
      </c>
      <c r="G1315" s="9">
        <v>44977</v>
      </c>
      <c r="H1315" s="7">
        <v>5008.6499999999996</v>
      </c>
      <c r="I1315" s="7"/>
      <c r="J1315" s="7"/>
      <c r="K1315" s="7"/>
      <c r="L1315" s="10">
        <v>4.830303030303031</v>
      </c>
      <c r="M1315" s="9">
        <v>44981</v>
      </c>
      <c r="N1315" s="10">
        <v>15</v>
      </c>
      <c r="O1315" s="9">
        <v>44996</v>
      </c>
      <c r="P1315">
        <v>17</v>
      </c>
      <c r="Q1315" s="11" t="s">
        <v>49</v>
      </c>
      <c r="R1315" s="7">
        <v>5008.6499999999996</v>
      </c>
      <c r="S1315" s="7"/>
      <c r="T1315" s="7"/>
      <c r="U1315" s="7"/>
      <c r="V1315" s="10">
        <v>6.830303030303031</v>
      </c>
      <c r="W1315" s="9">
        <v>44983</v>
      </c>
      <c r="X1315" s="10">
        <v>17</v>
      </c>
      <c r="Y1315" s="9">
        <v>44996</v>
      </c>
      <c r="Z1315">
        <v>17</v>
      </c>
      <c r="AA1315" s="11" t="s">
        <v>49</v>
      </c>
    </row>
    <row r="1316" spans="2:27" ht="16" x14ac:dyDescent="0.2">
      <c r="B1316" t="s">
        <v>35</v>
      </c>
      <c r="C1316">
        <v>40324470</v>
      </c>
      <c r="D1316" t="s">
        <v>391</v>
      </c>
      <c r="E1316">
        <v>1021945</v>
      </c>
      <c r="F1316" t="s">
        <v>194</v>
      </c>
      <c r="G1316" s="9">
        <v>44982</v>
      </c>
      <c r="H1316" s="7">
        <v>2950</v>
      </c>
      <c r="I1316" s="7"/>
      <c r="J1316" s="7"/>
      <c r="K1316" s="7"/>
      <c r="L1316" s="10">
        <v>4.830303030303031</v>
      </c>
      <c r="M1316" s="9">
        <v>44986</v>
      </c>
      <c r="N1316" s="10">
        <v>15</v>
      </c>
      <c r="O1316" s="9">
        <v>45001</v>
      </c>
      <c r="P1316">
        <v>13</v>
      </c>
      <c r="Q1316" s="11" t="s">
        <v>49</v>
      </c>
      <c r="R1316" s="7">
        <v>2950</v>
      </c>
      <c r="S1316" s="7"/>
      <c r="T1316" s="7"/>
      <c r="U1316" s="7"/>
      <c r="V1316" s="10">
        <v>6.830303030303031</v>
      </c>
      <c r="W1316" s="9">
        <v>44988</v>
      </c>
      <c r="X1316" s="10">
        <v>17</v>
      </c>
      <c r="Y1316" s="9">
        <v>45001</v>
      </c>
      <c r="Z1316">
        <v>13</v>
      </c>
      <c r="AA1316" s="11" t="s">
        <v>49</v>
      </c>
    </row>
    <row r="1317" spans="2:27" ht="16" x14ac:dyDescent="0.2">
      <c r="B1317" t="s">
        <v>35</v>
      </c>
      <c r="C1317">
        <v>40324470</v>
      </c>
      <c r="D1317" t="s">
        <v>391</v>
      </c>
      <c r="E1317">
        <v>1021944</v>
      </c>
      <c r="F1317" t="s">
        <v>192</v>
      </c>
      <c r="G1317" s="9">
        <v>44982</v>
      </c>
      <c r="H1317" s="7">
        <v>3000</v>
      </c>
      <c r="I1317" s="7"/>
      <c r="J1317" s="7"/>
      <c r="K1317" s="7"/>
      <c r="L1317" s="10">
        <v>4.830303030303031</v>
      </c>
      <c r="M1317" s="9">
        <v>44986</v>
      </c>
      <c r="N1317" s="10">
        <v>15</v>
      </c>
      <c r="O1317" s="9">
        <v>45001</v>
      </c>
      <c r="P1317">
        <v>13</v>
      </c>
      <c r="Q1317" s="11" t="s">
        <v>49</v>
      </c>
      <c r="R1317" s="7">
        <v>3000</v>
      </c>
      <c r="S1317" s="7"/>
      <c r="T1317" s="7"/>
      <c r="U1317" s="7"/>
      <c r="V1317" s="10">
        <v>6.830303030303031</v>
      </c>
      <c r="W1317" s="9">
        <v>44988</v>
      </c>
      <c r="X1317" s="10">
        <v>17</v>
      </c>
      <c r="Y1317" s="9">
        <v>45001</v>
      </c>
      <c r="Z1317">
        <v>13</v>
      </c>
      <c r="AA1317" s="11" t="s">
        <v>49</v>
      </c>
    </row>
    <row r="1318" spans="2:27" ht="16" x14ac:dyDescent="0.2">
      <c r="B1318" t="s">
        <v>35</v>
      </c>
      <c r="C1318">
        <v>40324469</v>
      </c>
      <c r="D1318" t="s">
        <v>391</v>
      </c>
      <c r="E1318">
        <v>1023247</v>
      </c>
      <c r="F1318" t="s">
        <v>478</v>
      </c>
      <c r="G1318" s="9">
        <v>44982</v>
      </c>
      <c r="H1318" s="7">
        <v>1000</v>
      </c>
      <c r="I1318" s="7"/>
      <c r="J1318" s="7"/>
      <c r="K1318" s="7"/>
      <c r="L1318" s="10">
        <v>4.830303030303031</v>
      </c>
      <c r="M1318" s="9">
        <v>44986</v>
      </c>
      <c r="N1318" s="10">
        <v>15</v>
      </c>
      <c r="O1318" s="9">
        <v>45001</v>
      </c>
      <c r="P1318">
        <v>13</v>
      </c>
      <c r="Q1318" s="11" t="s">
        <v>49</v>
      </c>
      <c r="R1318" s="7">
        <v>1000</v>
      </c>
      <c r="S1318" s="7"/>
      <c r="T1318" s="7"/>
      <c r="U1318" s="7"/>
      <c r="V1318" s="10">
        <v>6.830303030303031</v>
      </c>
      <c r="W1318" s="9">
        <v>44988</v>
      </c>
      <c r="X1318" s="10">
        <v>17</v>
      </c>
      <c r="Y1318" s="9">
        <v>45001</v>
      </c>
      <c r="Z1318">
        <v>13</v>
      </c>
      <c r="AA1318" s="11" t="s">
        <v>49</v>
      </c>
    </row>
    <row r="1319" spans="2:27" ht="16" x14ac:dyDescent="0.2">
      <c r="B1319" t="s">
        <v>35</v>
      </c>
      <c r="C1319">
        <v>40324469</v>
      </c>
      <c r="D1319" t="s">
        <v>391</v>
      </c>
      <c r="E1319">
        <v>1022866</v>
      </c>
      <c r="F1319" t="s">
        <v>203</v>
      </c>
      <c r="G1319" s="9">
        <v>44982</v>
      </c>
      <c r="H1319" s="7">
        <v>3007.06</v>
      </c>
      <c r="I1319" s="7"/>
      <c r="J1319" s="7"/>
      <c r="K1319" s="7"/>
      <c r="L1319" s="10">
        <v>4.830303030303031</v>
      </c>
      <c r="M1319" s="9">
        <v>44986</v>
      </c>
      <c r="N1319" s="10">
        <v>15</v>
      </c>
      <c r="O1319" s="9">
        <v>45001</v>
      </c>
      <c r="P1319">
        <v>13</v>
      </c>
      <c r="Q1319" s="11" t="s">
        <v>49</v>
      </c>
      <c r="R1319" s="7">
        <v>3007.06</v>
      </c>
      <c r="S1319" s="7"/>
      <c r="T1319" s="7"/>
      <c r="U1319" s="7"/>
      <c r="V1319" s="10">
        <v>6.830303030303031</v>
      </c>
      <c r="W1319" s="9">
        <v>44988</v>
      </c>
      <c r="X1319" s="10">
        <v>17</v>
      </c>
      <c r="Y1319" s="9">
        <v>45001</v>
      </c>
      <c r="Z1319">
        <v>13</v>
      </c>
      <c r="AA1319" s="11" t="s">
        <v>49</v>
      </c>
    </row>
    <row r="1320" spans="2:27" ht="16" x14ac:dyDescent="0.2">
      <c r="B1320" t="s">
        <v>35</v>
      </c>
      <c r="C1320">
        <v>40324469</v>
      </c>
      <c r="D1320" t="s">
        <v>391</v>
      </c>
      <c r="E1320">
        <v>1022864</v>
      </c>
      <c r="F1320" t="s">
        <v>41</v>
      </c>
      <c r="G1320" s="9">
        <v>44982</v>
      </c>
      <c r="H1320" s="7">
        <v>2003.93</v>
      </c>
      <c r="I1320" s="7"/>
      <c r="J1320" s="7"/>
      <c r="K1320" s="7"/>
      <c r="L1320" s="10">
        <v>4.830303030303031</v>
      </c>
      <c r="M1320" s="9">
        <v>44986</v>
      </c>
      <c r="N1320" s="10">
        <v>15</v>
      </c>
      <c r="O1320" s="9">
        <v>45001</v>
      </c>
      <c r="P1320">
        <v>13</v>
      </c>
      <c r="Q1320" s="11" t="s">
        <v>49</v>
      </c>
      <c r="R1320" s="7">
        <v>2003.93</v>
      </c>
      <c r="S1320" s="7"/>
      <c r="T1320" s="7"/>
      <c r="U1320" s="7"/>
      <c r="V1320" s="10">
        <v>6.830303030303031</v>
      </c>
      <c r="W1320" s="9">
        <v>44988</v>
      </c>
      <c r="X1320" s="10">
        <v>17</v>
      </c>
      <c r="Y1320" s="9">
        <v>45001</v>
      </c>
      <c r="Z1320">
        <v>13</v>
      </c>
      <c r="AA1320" s="11" t="s">
        <v>49</v>
      </c>
    </row>
    <row r="1321" spans="2:27" ht="16" x14ac:dyDescent="0.2">
      <c r="B1321" t="s">
        <v>35</v>
      </c>
      <c r="C1321">
        <v>40324469</v>
      </c>
      <c r="D1321" t="s">
        <v>391</v>
      </c>
      <c r="E1321">
        <v>1022863</v>
      </c>
      <c r="F1321" t="s">
        <v>201</v>
      </c>
      <c r="G1321" s="9">
        <v>44982</v>
      </c>
      <c r="H1321" s="7">
        <v>2999.49</v>
      </c>
      <c r="I1321" s="7"/>
      <c r="J1321" s="7"/>
      <c r="K1321" s="7"/>
      <c r="L1321" s="10">
        <v>4.830303030303031</v>
      </c>
      <c r="M1321" s="9">
        <v>44986</v>
      </c>
      <c r="N1321" s="10">
        <v>15</v>
      </c>
      <c r="O1321" s="9">
        <v>45001</v>
      </c>
      <c r="P1321">
        <v>13</v>
      </c>
      <c r="Q1321" s="11" t="s">
        <v>49</v>
      </c>
      <c r="R1321" s="7">
        <v>2999.49</v>
      </c>
      <c r="S1321" s="7"/>
      <c r="T1321" s="7"/>
      <c r="U1321" s="7"/>
      <c r="V1321" s="10">
        <v>6.830303030303031</v>
      </c>
      <c r="W1321" s="9">
        <v>44988</v>
      </c>
      <c r="X1321" s="10">
        <v>17</v>
      </c>
      <c r="Y1321" s="9">
        <v>45001</v>
      </c>
      <c r="Z1321">
        <v>13</v>
      </c>
      <c r="AA1321" s="11" t="s">
        <v>49</v>
      </c>
    </row>
    <row r="1322" spans="2:27" ht="16" x14ac:dyDescent="0.2">
      <c r="B1322" t="s">
        <v>35</v>
      </c>
      <c r="C1322">
        <v>40324469</v>
      </c>
      <c r="D1322" t="s">
        <v>391</v>
      </c>
      <c r="E1322">
        <v>1022751</v>
      </c>
      <c r="F1322" t="s">
        <v>36</v>
      </c>
      <c r="G1322" s="9">
        <v>44982</v>
      </c>
      <c r="H1322" s="7">
        <v>3010</v>
      </c>
      <c r="I1322" s="7"/>
      <c r="J1322" s="7"/>
      <c r="K1322" s="7"/>
      <c r="L1322" s="10">
        <v>4.830303030303031</v>
      </c>
      <c r="M1322" s="9">
        <v>44986</v>
      </c>
      <c r="N1322" s="10">
        <v>15</v>
      </c>
      <c r="O1322" s="9">
        <v>45001</v>
      </c>
      <c r="P1322">
        <v>13</v>
      </c>
      <c r="Q1322" s="11" t="s">
        <v>49</v>
      </c>
      <c r="R1322" s="7">
        <v>3010</v>
      </c>
      <c r="S1322" s="7"/>
      <c r="T1322" s="7"/>
      <c r="U1322" s="7"/>
      <c r="V1322" s="10">
        <v>6.830303030303031</v>
      </c>
      <c r="W1322" s="9">
        <v>44988</v>
      </c>
      <c r="X1322" s="10">
        <v>17</v>
      </c>
      <c r="Y1322" s="9">
        <v>45001</v>
      </c>
      <c r="Z1322">
        <v>13</v>
      </c>
      <c r="AA1322" s="11" t="s">
        <v>49</v>
      </c>
    </row>
    <row r="1323" spans="2:27" ht="16" x14ac:dyDescent="0.2">
      <c r="B1323" t="s">
        <v>35</v>
      </c>
      <c r="C1323">
        <v>40324469</v>
      </c>
      <c r="D1323" t="s">
        <v>391</v>
      </c>
      <c r="E1323">
        <v>1022621</v>
      </c>
      <c r="F1323" t="s">
        <v>199</v>
      </c>
      <c r="G1323" s="9">
        <v>44982</v>
      </c>
      <c r="H1323" s="7">
        <v>3015.77</v>
      </c>
      <c r="I1323" s="7"/>
      <c r="J1323" s="7"/>
      <c r="K1323" s="7"/>
      <c r="L1323" s="10">
        <v>4.830303030303031</v>
      </c>
      <c r="M1323" s="9">
        <v>44986</v>
      </c>
      <c r="N1323" s="10">
        <v>15</v>
      </c>
      <c r="O1323" s="9">
        <v>45001</v>
      </c>
      <c r="P1323">
        <v>13</v>
      </c>
      <c r="Q1323" s="11" t="s">
        <v>49</v>
      </c>
      <c r="R1323" s="7">
        <v>3015.77</v>
      </c>
      <c r="S1323" s="7"/>
      <c r="T1323" s="7"/>
      <c r="U1323" s="7"/>
      <c r="V1323" s="10">
        <v>6.830303030303031</v>
      </c>
      <c r="W1323" s="9">
        <v>44988</v>
      </c>
      <c r="X1323" s="10">
        <v>17</v>
      </c>
      <c r="Y1323" s="9">
        <v>45001</v>
      </c>
      <c r="Z1323">
        <v>13</v>
      </c>
      <c r="AA1323" s="11" t="s">
        <v>49</v>
      </c>
    </row>
    <row r="1324" spans="2:27" ht="16" x14ac:dyDescent="0.2">
      <c r="B1324" t="s">
        <v>35</v>
      </c>
      <c r="C1324">
        <v>40324469</v>
      </c>
      <c r="D1324" t="s">
        <v>391</v>
      </c>
      <c r="E1324">
        <v>1022128</v>
      </c>
      <c r="F1324" t="s">
        <v>469</v>
      </c>
      <c r="G1324" s="9">
        <v>44982</v>
      </c>
      <c r="H1324" s="7">
        <v>3007.72</v>
      </c>
      <c r="I1324" s="7"/>
      <c r="J1324" s="7"/>
      <c r="K1324" s="7"/>
      <c r="L1324" s="10">
        <v>4.830303030303031</v>
      </c>
      <c r="M1324" s="9">
        <v>44986</v>
      </c>
      <c r="N1324" s="10">
        <v>15</v>
      </c>
      <c r="O1324" s="9">
        <v>45001</v>
      </c>
      <c r="P1324">
        <v>13</v>
      </c>
      <c r="Q1324" s="11" t="s">
        <v>49</v>
      </c>
      <c r="R1324" s="7">
        <v>3007.72</v>
      </c>
      <c r="S1324" s="7"/>
      <c r="T1324" s="7"/>
      <c r="U1324" s="7"/>
      <c r="V1324" s="10">
        <v>6.830303030303031</v>
      </c>
      <c r="W1324" s="9">
        <v>44988</v>
      </c>
      <c r="X1324" s="10">
        <v>17</v>
      </c>
      <c r="Y1324" s="9">
        <v>45001</v>
      </c>
      <c r="Z1324">
        <v>13</v>
      </c>
      <c r="AA1324" s="11" t="s">
        <v>49</v>
      </c>
    </row>
    <row r="1325" spans="2:27" ht="16" x14ac:dyDescent="0.2">
      <c r="B1325" t="s">
        <v>35</v>
      </c>
      <c r="C1325">
        <v>40360731</v>
      </c>
      <c r="D1325" t="s">
        <v>423</v>
      </c>
      <c r="E1325">
        <v>1030337</v>
      </c>
      <c r="F1325" t="s">
        <v>369</v>
      </c>
      <c r="G1325" s="9">
        <v>44948</v>
      </c>
      <c r="H1325" s="7"/>
      <c r="I1325" s="7"/>
      <c r="J1325" s="7"/>
      <c r="K1325" s="7"/>
      <c r="L1325" s="10">
        <v>5.4496124031007751</v>
      </c>
      <c r="M1325" s="9">
        <v>44953</v>
      </c>
      <c r="N1325" s="10">
        <v>10</v>
      </c>
      <c r="O1325" s="9">
        <v>44963</v>
      </c>
      <c r="P1325">
        <v>19</v>
      </c>
      <c r="Q1325" s="11" t="s">
        <v>49</v>
      </c>
      <c r="R1325" s="7"/>
      <c r="S1325" s="7"/>
      <c r="T1325" s="7"/>
      <c r="U1325" s="7"/>
      <c r="V1325" s="10">
        <v>7.4496124031007751</v>
      </c>
      <c r="W1325" s="9">
        <v>44955</v>
      </c>
      <c r="X1325" s="10">
        <v>12</v>
      </c>
      <c r="Y1325" s="9">
        <v>44963</v>
      </c>
      <c r="Z1325">
        <v>19</v>
      </c>
      <c r="AA1325" s="11" t="s">
        <v>49</v>
      </c>
    </row>
    <row r="1326" spans="2:27" ht="16" x14ac:dyDescent="0.2">
      <c r="B1326" t="s">
        <v>35</v>
      </c>
      <c r="C1326">
        <v>40360652</v>
      </c>
      <c r="D1326" t="s">
        <v>423</v>
      </c>
      <c r="E1326">
        <v>1021272</v>
      </c>
      <c r="F1326" t="s">
        <v>263</v>
      </c>
      <c r="G1326" s="9">
        <v>44948</v>
      </c>
      <c r="H1326" s="7"/>
      <c r="I1326" s="7"/>
      <c r="J1326" s="7"/>
      <c r="K1326" s="7"/>
      <c r="L1326" s="10">
        <v>5.4496124031007751</v>
      </c>
      <c r="M1326" s="9">
        <v>44953</v>
      </c>
      <c r="N1326" s="10">
        <v>10</v>
      </c>
      <c r="O1326" s="9">
        <v>44963</v>
      </c>
      <c r="P1326">
        <v>19</v>
      </c>
      <c r="Q1326" s="11" t="s">
        <v>49</v>
      </c>
      <c r="R1326" s="7"/>
      <c r="S1326" s="7"/>
      <c r="T1326" s="7"/>
      <c r="U1326" s="7"/>
      <c r="V1326" s="10">
        <v>7.4496124031007751</v>
      </c>
      <c r="W1326" s="9">
        <v>44955</v>
      </c>
      <c r="X1326" s="10">
        <v>12</v>
      </c>
      <c r="Y1326" s="9">
        <v>44963</v>
      </c>
      <c r="Z1326">
        <v>19</v>
      </c>
      <c r="AA1326" s="11" t="s">
        <v>49</v>
      </c>
    </row>
    <row r="1327" spans="2:27" ht="16" x14ac:dyDescent="0.2">
      <c r="B1327" t="s">
        <v>35</v>
      </c>
      <c r="C1327">
        <v>40360641</v>
      </c>
      <c r="D1327" t="s">
        <v>423</v>
      </c>
      <c r="E1327">
        <v>1012764</v>
      </c>
      <c r="F1327" t="s">
        <v>491</v>
      </c>
      <c r="G1327" s="9">
        <v>44947</v>
      </c>
      <c r="H1327" s="7"/>
      <c r="I1327" s="7"/>
      <c r="J1327" s="7"/>
      <c r="K1327" s="7"/>
      <c r="L1327" s="10">
        <v>5.4496124031007751</v>
      </c>
      <c r="M1327" s="9">
        <v>44952</v>
      </c>
      <c r="N1327" s="10">
        <v>10</v>
      </c>
      <c r="O1327" s="9">
        <v>44962</v>
      </c>
      <c r="P1327">
        <v>19</v>
      </c>
      <c r="Q1327" s="11" t="s">
        <v>49</v>
      </c>
      <c r="R1327" s="7"/>
      <c r="S1327" s="7"/>
      <c r="T1327" s="7"/>
      <c r="U1327" s="7"/>
      <c r="V1327" s="10">
        <v>7.4496124031007751</v>
      </c>
      <c r="W1327" s="9">
        <v>44954</v>
      </c>
      <c r="X1327" s="10">
        <v>12</v>
      </c>
      <c r="Y1327" s="9">
        <v>44962</v>
      </c>
      <c r="Z1327">
        <v>19</v>
      </c>
      <c r="AA1327" s="11" t="s">
        <v>49</v>
      </c>
    </row>
    <row r="1328" spans="2:27" ht="16" x14ac:dyDescent="0.2">
      <c r="B1328" t="s">
        <v>35</v>
      </c>
      <c r="C1328">
        <v>40360640</v>
      </c>
      <c r="D1328" t="s">
        <v>423</v>
      </c>
      <c r="E1328">
        <v>1012764</v>
      </c>
      <c r="F1328" t="s">
        <v>491</v>
      </c>
      <c r="G1328" s="9">
        <v>44947</v>
      </c>
      <c r="H1328" s="7"/>
      <c r="I1328" s="7"/>
      <c r="J1328" s="7"/>
      <c r="K1328" s="7"/>
      <c r="L1328" s="10">
        <v>5.4496124031007751</v>
      </c>
      <c r="M1328" s="9">
        <v>44952</v>
      </c>
      <c r="N1328" s="10">
        <v>10</v>
      </c>
      <c r="O1328" s="9">
        <v>44962</v>
      </c>
      <c r="P1328">
        <v>19</v>
      </c>
      <c r="Q1328" s="11" t="s">
        <v>49</v>
      </c>
      <c r="R1328" s="7"/>
      <c r="S1328" s="7"/>
      <c r="T1328" s="7"/>
      <c r="U1328" s="7"/>
      <c r="V1328" s="10">
        <v>7.4496124031007751</v>
      </c>
      <c r="W1328" s="9">
        <v>44954</v>
      </c>
      <c r="X1328" s="10">
        <v>12</v>
      </c>
      <c r="Y1328" s="9">
        <v>44962</v>
      </c>
      <c r="Z1328">
        <v>19</v>
      </c>
      <c r="AA1328" s="11" t="s">
        <v>49</v>
      </c>
    </row>
    <row r="1329" spans="2:27" ht="16" x14ac:dyDescent="0.2">
      <c r="B1329" t="s">
        <v>35</v>
      </c>
      <c r="C1329">
        <v>40360626</v>
      </c>
      <c r="D1329" t="s">
        <v>423</v>
      </c>
      <c r="E1329">
        <v>1011127</v>
      </c>
      <c r="F1329" t="s">
        <v>228</v>
      </c>
      <c r="G1329" s="9">
        <v>44947</v>
      </c>
      <c r="H1329" s="7"/>
      <c r="I1329" s="7"/>
      <c r="J1329" s="7"/>
      <c r="K1329" s="7"/>
      <c r="L1329" s="10">
        <v>5.4496124031007751</v>
      </c>
      <c r="M1329" s="9">
        <v>44952</v>
      </c>
      <c r="N1329" s="10">
        <v>10</v>
      </c>
      <c r="O1329" s="9">
        <v>44962</v>
      </c>
      <c r="P1329">
        <v>19</v>
      </c>
      <c r="Q1329" s="11" t="s">
        <v>49</v>
      </c>
      <c r="R1329" s="7"/>
      <c r="S1329" s="7"/>
      <c r="T1329" s="7"/>
      <c r="U1329" s="7"/>
      <c r="V1329" s="10">
        <v>7.4496124031007751</v>
      </c>
      <c r="W1329" s="9">
        <v>44954</v>
      </c>
      <c r="X1329" s="10">
        <v>12</v>
      </c>
      <c r="Y1329" s="9">
        <v>44962</v>
      </c>
      <c r="Z1329">
        <v>19</v>
      </c>
      <c r="AA1329" s="11" t="s">
        <v>49</v>
      </c>
    </row>
    <row r="1330" spans="2:27" ht="16" x14ac:dyDescent="0.2">
      <c r="B1330" t="s">
        <v>35</v>
      </c>
      <c r="C1330">
        <v>40360625</v>
      </c>
      <c r="D1330" t="s">
        <v>423</v>
      </c>
      <c r="E1330">
        <v>1011127</v>
      </c>
      <c r="F1330" t="s">
        <v>228</v>
      </c>
      <c r="G1330" s="9">
        <v>44948</v>
      </c>
      <c r="H1330" s="7"/>
      <c r="I1330" s="7"/>
      <c r="J1330" s="7"/>
      <c r="K1330" s="7"/>
      <c r="L1330" s="10">
        <v>5.4496124031007751</v>
      </c>
      <c r="M1330" s="9">
        <v>44953</v>
      </c>
      <c r="N1330" s="10">
        <v>10</v>
      </c>
      <c r="O1330" s="9">
        <v>44963</v>
      </c>
      <c r="P1330">
        <v>19</v>
      </c>
      <c r="Q1330" s="11" t="s">
        <v>49</v>
      </c>
      <c r="R1330" s="7"/>
      <c r="S1330" s="7"/>
      <c r="T1330" s="7"/>
      <c r="U1330" s="7"/>
      <c r="V1330" s="10">
        <v>7.4496124031007751</v>
      </c>
      <c r="W1330" s="9">
        <v>44955</v>
      </c>
      <c r="X1330" s="10">
        <v>12</v>
      </c>
      <c r="Y1330" s="9">
        <v>44963</v>
      </c>
      <c r="Z1330">
        <v>19</v>
      </c>
      <c r="AA1330" s="11" t="s">
        <v>49</v>
      </c>
    </row>
    <row r="1331" spans="2:27" ht="16" x14ac:dyDescent="0.2">
      <c r="B1331" t="s">
        <v>35</v>
      </c>
      <c r="C1331">
        <v>40360624</v>
      </c>
      <c r="D1331" t="s">
        <v>423</v>
      </c>
      <c r="E1331">
        <v>1011127</v>
      </c>
      <c r="F1331" t="s">
        <v>228</v>
      </c>
      <c r="G1331" s="9">
        <v>44948</v>
      </c>
      <c r="H1331" s="7"/>
      <c r="I1331" s="7"/>
      <c r="J1331" s="7"/>
      <c r="K1331" s="7"/>
      <c r="L1331" s="10">
        <v>5.4496124031007751</v>
      </c>
      <c r="M1331" s="9">
        <v>44953</v>
      </c>
      <c r="N1331" s="10">
        <v>10</v>
      </c>
      <c r="O1331" s="9">
        <v>44963</v>
      </c>
      <c r="P1331">
        <v>19</v>
      </c>
      <c r="Q1331" s="11" t="s">
        <v>49</v>
      </c>
      <c r="R1331" s="7"/>
      <c r="S1331" s="7"/>
      <c r="T1331" s="7"/>
      <c r="U1331" s="7"/>
      <c r="V1331" s="10">
        <v>7.4496124031007751</v>
      </c>
      <c r="W1331" s="9">
        <v>44955</v>
      </c>
      <c r="X1331" s="10">
        <v>12</v>
      </c>
      <c r="Y1331" s="9">
        <v>44963</v>
      </c>
      <c r="Z1331">
        <v>19</v>
      </c>
      <c r="AA1331" s="11" t="s">
        <v>49</v>
      </c>
    </row>
    <row r="1332" spans="2:27" x14ac:dyDescent="0.2">
      <c r="B1332" t="s">
        <v>394</v>
      </c>
      <c r="C1332">
        <v>40360589</v>
      </c>
      <c r="D1332" t="s">
        <v>485</v>
      </c>
      <c r="E1332">
        <v>1011558</v>
      </c>
      <c r="F1332" t="s">
        <v>603</v>
      </c>
      <c r="G1332" s="9">
        <v>44953</v>
      </c>
      <c r="H1332" s="7"/>
      <c r="I1332" s="7"/>
      <c r="J1332" s="7"/>
      <c r="K1332" s="7"/>
      <c r="L1332" s="10"/>
      <c r="N1332" s="10"/>
      <c r="Q1332" s="11"/>
      <c r="R1332" s="7"/>
      <c r="S1332" s="7"/>
      <c r="T1332" s="7"/>
      <c r="U1332" s="7"/>
      <c r="V1332" s="10"/>
      <c r="X1332" s="10"/>
      <c r="AA1332" s="11"/>
    </row>
    <row r="1333" spans="2:27" x14ac:dyDescent="0.2">
      <c r="B1333" t="s">
        <v>394</v>
      </c>
      <c r="C1333">
        <v>40360588</v>
      </c>
      <c r="D1333" t="s">
        <v>485</v>
      </c>
      <c r="E1333">
        <v>1011558</v>
      </c>
      <c r="F1333" t="s">
        <v>603</v>
      </c>
      <c r="G1333" s="9">
        <v>44953</v>
      </c>
      <c r="H1333" s="7"/>
      <c r="I1333" s="7"/>
      <c r="J1333" s="7"/>
      <c r="K1333" s="7"/>
      <c r="L1333" s="10"/>
      <c r="N1333" s="10"/>
      <c r="Q1333" s="11"/>
      <c r="R1333" s="7"/>
      <c r="S1333" s="7"/>
      <c r="T1333" s="7"/>
      <c r="U1333" s="7"/>
      <c r="V1333" s="10"/>
      <c r="X1333" s="10"/>
      <c r="AA1333" s="11"/>
    </row>
    <row r="1334" spans="2:27" ht="16" x14ac:dyDescent="0.2">
      <c r="B1334" t="s">
        <v>35</v>
      </c>
      <c r="C1334">
        <v>40360550</v>
      </c>
      <c r="D1334" t="s">
        <v>409</v>
      </c>
      <c r="E1334">
        <v>1012167</v>
      </c>
      <c r="F1334" t="s">
        <v>70</v>
      </c>
      <c r="G1334" s="9">
        <v>44972</v>
      </c>
      <c r="H1334" s="7">
        <v>19958.047999999999</v>
      </c>
      <c r="I1334" s="7"/>
      <c r="J1334" s="7"/>
      <c r="K1334" s="7"/>
      <c r="L1334" s="10">
        <v>7.5</v>
      </c>
      <c r="M1334" s="9">
        <v>44979</v>
      </c>
      <c r="N1334" s="10">
        <v>9.5</v>
      </c>
      <c r="O1334" s="9">
        <v>44988</v>
      </c>
      <c r="P1334">
        <v>24</v>
      </c>
      <c r="Q1334" s="11" t="s">
        <v>49</v>
      </c>
      <c r="R1334" s="7">
        <v>19958.047999999999</v>
      </c>
      <c r="S1334" s="7"/>
      <c r="T1334" s="7"/>
      <c r="U1334" s="7"/>
      <c r="V1334" s="10">
        <v>9.5</v>
      </c>
      <c r="W1334" s="9">
        <v>44981</v>
      </c>
      <c r="X1334" s="10">
        <v>11.5</v>
      </c>
      <c r="Y1334" s="9">
        <v>44988</v>
      </c>
      <c r="Z1334">
        <v>24</v>
      </c>
      <c r="AA1334" s="11" t="s">
        <v>49</v>
      </c>
    </row>
    <row r="1335" spans="2:27" ht="16" x14ac:dyDescent="0.2">
      <c r="B1335" t="s">
        <v>35</v>
      </c>
      <c r="C1335">
        <v>40360528</v>
      </c>
      <c r="D1335" t="s">
        <v>423</v>
      </c>
      <c r="E1335">
        <v>1011127</v>
      </c>
      <c r="F1335" t="s">
        <v>228</v>
      </c>
      <c r="G1335" s="9">
        <v>44948</v>
      </c>
      <c r="H1335" s="7"/>
      <c r="I1335" s="7"/>
      <c r="J1335" s="7"/>
      <c r="K1335" s="7"/>
      <c r="L1335" s="10">
        <v>5.4496124031007751</v>
      </c>
      <c r="M1335" s="9">
        <v>44953</v>
      </c>
      <c r="N1335" s="10">
        <v>10</v>
      </c>
      <c r="O1335" s="9">
        <v>44963</v>
      </c>
      <c r="P1335">
        <v>19</v>
      </c>
      <c r="Q1335" s="11" t="s">
        <v>49</v>
      </c>
      <c r="R1335" s="7"/>
      <c r="S1335" s="7"/>
      <c r="T1335" s="7"/>
      <c r="U1335" s="7"/>
      <c r="V1335" s="10">
        <v>7.4496124031007751</v>
      </c>
      <c r="W1335" s="9">
        <v>44955</v>
      </c>
      <c r="X1335" s="10">
        <v>12</v>
      </c>
      <c r="Y1335" s="9">
        <v>44963</v>
      </c>
      <c r="Z1335">
        <v>19</v>
      </c>
      <c r="AA1335" s="11" t="s">
        <v>49</v>
      </c>
    </row>
    <row r="1336" spans="2:27" ht="16" x14ac:dyDescent="0.2">
      <c r="B1336" t="s">
        <v>35</v>
      </c>
      <c r="C1336">
        <v>40359957</v>
      </c>
      <c r="D1336" t="s">
        <v>423</v>
      </c>
      <c r="E1336">
        <v>1011127</v>
      </c>
      <c r="F1336" t="s">
        <v>228</v>
      </c>
      <c r="G1336" s="9">
        <v>44948</v>
      </c>
      <c r="H1336" s="7"/>
      <c r="I1336" s="7"/>
      <c r="J1336" s="7"/>
      <c r="K1336" s="7"/>
      <c r="L1336" s="10">
        <v>5.4496124031007751</v>
      </c>
      <c r="M1336" s="9">
        <v>44953</v>
      </c>
      <c r="N1336" s="10">
        <v>10</v>
      </c>
      <c r="O1336" s="9">
        <v>44963</v>
      </c>
      <c r="P1336">
        <v>19</v>
      </c>
      <c r="Q1336" s="11" t="s">
        <v>49</v>
      </c>
      <c r="R1336" s="7"/>
      <c r="S1336" s="7"/>
      <c r="T1336" s="7"/>
      <c r="U1336" s="7"/>
      <c r="V1336" s="10">
        <v>7.4496124031007751</v>
      </c>
      <c r="W1336" s="9">
        <v>44955</v>
      </c>
      <c r="X1336" s="10">
        <v>12</v>
      </c>
      <c r="Y1336" s="9">
        <v>44963</v>
      </c>
      <c r="Z1336">
        <v>19</v>
      </c>
      <c r="AA1336" s="11" t="s">
        <v>49</v>
      </c>
    </row>
    <row r="1337" spans="2:27" ht="16" x14ac:dyDescent="0.2">
      <c r="B1337" t="s">
        <v>35</v>
      </c>
      <c r="C1337">
        <v>40359956</v>
      </c>
      <c r="D1337" t="s">
        <v>423</v>
      </c>
      <c r="E1337">
        <v>1011127</v>
      </c>
      <c r="F1337" t="s">
        <v>228</v>
      </c>
      <c r="G1337" s="9">
        <v>44956</v>
      </c>
      <c r="H1337" s="7"/>
      <c r="I1337" s="7"/>
      <c r="J1337" s="7"/>
      <c r="K1337" s="7"/>
      <c r="L1337" s="10">
        <v>5.4496124031007751</v>
      </c>
      <c r="M1337" s="9">
        <v>44961</v>
      </c>
      <c r="N1337" s="10">
        <v>10</v>
      </c>
      <c r="O1337" s="9">
        <v>44971</v>
      </c>
      <c r="P1337">
        <v>12</v>
      </c>
      <c r="Q1337" s="11" t="s">
        <v>49</v>
      </c>
      <c r="R1337" s="7"/>
      <c r="S1337" s="7"/>
      <c r="T1337" s="7"/>
      <c r="U1337" s="7"/>
      <c r="V1337" s="10">
        <v>7.4496124031007751</v>
      </c>
      <c r="W1337" s="9">
        <v>44963</v>
      </c>
      <c r="X1337" s="10">
        <v>12</v>
      </c>
      <c r="Y1337" s="9">
        <v>44971</v>
      </c>
      <c r="Z1337">
        <v>12</v>
      </c>
      <c r="AA1337" s="11" t="s">
        <v>49</v>
      </c>
    </row>
    <row r="1338" spans="2:27" ht="16" x14ac:dyDescent="0.2">
      <c r="B1338" t="s">
        <v>35</v>
      </c>
      <c r="C1338">
        <v>40359955</v>
      </c>
      <c r="D1338" t="s">
        <v>423</v>
      </c>
      <c r="E1338">
        <v>1011127</v>
      </c>
      <c r="F1338" t="s">
        <v>228</v>
      </c>
      <c r="G1338" s="9">
        <v>44956</v>
      </c>
      <c r="H1338" s="7"/>
      <c r="I1338" s="7"/>
      <c r="J1338" s="7"/>
      <c r="K1338" s="7"/>
      <c r="L1338" s="10">
        <v>5.4496124031007751</v>
      </c>
      <c r="M1338" s="9">
        <v>44961</v>
      </c>
      <c r="N1338" s="10">
        <v>10</v>
      </c>
      <c r="O1338" s="9">
        <v>44971</v>
      </c>
      <c r="P1338">
        <v>12</v>
      </c>
      <c r="Q1338" s="11" t="s">
        <v>49</v>
      </c>
      <c r="R1338" s="7"/>
      <c r="S1338" s="7"/>
      <c r="T1338" s="7"/>
      <c r="U1338" s="7"/>
      <c r="V1338" s="10">
        <v>7.4496124031007751</v>
      </c>
      <c r="W1338" s="9">
        <v>44963</v>
      </c>
      <c r="X1338" s="10">
        <v>12</v>
      </c>
      <c r="Y1338" s="9">
        <v>44971</v>
      </c>
      <c r="Z1338">
        <v>12</v>
      </c>
      <c r="AA1338" s="11" t="s">
        <v>49</v>
      </c>
    </row>
    <row r="1339" spans="2:27" ht="16" x14ac:dyDescent="0.2">
      <c r="B1339" t="s">
        <v>35</v>
      </c>
      <c r="C1339">
        <v>40359943</v>
      </c>
      <c r="D1339" t="s">
        <v>423</v>
      </c>
      <c r="E1339">
        <v>1012764</v>
      </c>
      <c r="F1339" t="s">
        <v>491</v>
      </c>
      <c r="G1339" s="9">
        <v>44948</v>
      </c>
      <c r="H1339" s="7"/>
      <c r="I1339" s="7"/>
      <c r="J1339" s="7"/>
      <c r="K1339" s="7"/>
      <c r="L1339" s="10">
        <v>5.4496124031007751</v>
      </c>
      <c r="M1339" s="9">
        <v>44953</v>
      </c>
      <c r="N1339" s="10">
        <v>10</v>
      </c>
      <c r="O1339" s="9">
        <v>44963</v>
      </c>
      <c r="P1339">
        <v>19</v>
      </c>
      <c r="Q1339" s="11" t="s">
        <v>49</v>
      </c>
      <c r="R1339" s="7"/>
      <c r="S1339" s="7"/>
      <c r="T1339" s="7"/>
      <c r="U1339" s="7"/>
      <c r="V1339" s="10">
        <v>7.4496124031007751</v>
      </c>
      <c r="W1339" s="9">
        <v>44955</v>
      </c>
      <c r="X1339" s="10">
        <v>12</v>
      </c>
      <c r="Y1339" s="9">
        <v>44963</v>
      </c>
      <c r="Z1339">
        <v>19</v>
      </c>
      <c r="AA1339" s="11" t="s">
        <v>49</v>
      </c>
    </row>
    <row r="1340" spans="2:27" x14ac:dyDescent="0.2">
      <c r="B1340" t="s">
        <v>394</v>
      </c>
      <c r="C1340">
        <v>40359440</v>
      </c>
      <c r="D1340" t="s">
        <v>485</v>
      </c>
      <c r="E1340">
        <v>1022709</v>
      </c>
      <c r="F1340" t="s">
        <v>493</v>
      </c>
      <c r="G1340" s="9">
        <v>44953</v>
      </c>
      <c r="H1340" s="7"/>
      <c r="I1340" s="7"/>
      <c r="J1340" s="7"/>
      <c r="K1340" s="7"/>
      <c r="L1340" s="10"/>
      <c r="N1340" s="10"/>
      <c r="Q1340" s="11"/>
      <c r="R1340" s="7"/>
      <c r="S1340" s="7"/>
      <c r="T1340" s="7"/>
      <c r="U1340" s="7"/>
      <c r="V1340" s="10"/>
      <c r="X1340" s="10"/>
      <c r="AA1340" s="11"/>
    </row>
    <row r="1341" spans="2:27" x14ac:dyDescent="0.2">
      <c r="B1341" t="s">
        <v>394</v>
      </c>
      <c r="C1341">
        <v>40359394</v>
      </c>
      <c r="D1341" t="s">
        <v>485</v>
      </c>
      <c r="E1341">
        <v>1020944</v>
      </c>
      <c r="F1341" t="s">
        <v>498</v>
      </c>
      <c r="G1341" s="9">
        <v>44935</v>
      </c>
      <c r="H1341" s="7"/>
      <c r="I1341" s="7"/>
      <c r="J1341" s="7"/>
      <c r="K1341" s="7"/>
      <c r="L1341" s="10"/>
      <c r="N1341" s="10"/>
      <c r="Q1341" s="11"/>
      <c r="R1341" s="7"/>
      <c r="S1341" s="7"/>
      <c r="T1341" s="7"/>
      <c r="U1341" s="7"/>
      <c r="V1341" s="10"/>
      <c r="X1341" s="10"/>
      <c r="AA1341" s="11"/>
    </row>
    <row r="1342" spans="2:27" x14ac:dyDescent="0.2">
      <c r="B1342" t="s">
        <v>394</v>
      </c>
      <c r="C1342">
        <v>40359345</v>
      </c>
      <c r="D1342" t="s">
        <v>396</v>
      </c>
      <c r="E1342">
        <v>1012612</v>
      </c>
      <c r="F1342" t="s">
        <v>429</v>
      </c>
      <c r="G1342" s="9">
        <v>44992</v>
      </c>
      <c r="H1342" s="7">
        <v>24518.92</v>
      </c>
      <c r="I1342" s="7"/>
      <c r="J1342" s="7"/>
      <c r="K1342" s="7"/>
      <c r="L1342" s="10"/>
      <c r="N1342" s="10"/>
      <c r="Q1342" s="11"/>
      <c r="R1342" s="7">
        <v>24518.92</v>
      </c>
      <c r="S1342" s="7"/>
      <c r="T1342" s="7"/>
      <c r="U1342" s="7"/>
      <c r="V1342" s="10"/>
      <c r="X1342" s="10"/>
      <c r="AA1342" s="11"/>
    </row>
    <row r="1343" spans="2:27" x14ac:dyDescent="0.2">
      <c r="B1343" t="s">
        <v>394</v>
      </c>
      <c r="C1343">
        <v>40359344</v>
      </c>
      <c r="D1343" t="s">
        <v>396</v>
      </c>
      <c r="E1343">
        <v>1012612</v>
      </c>
      <c r="F1343" t="s">
        <v>429</v>
      </c>
      <c r="G1343" s="9">
        <v>44995</v>
      </c>
      <c r="H1343" s="7">
        <v>24985.48</v>
      </c>
      <c r="I1343" s="7"/>
      <c r="J1343" s="7"/>
      <c r="K1343" s="7"/>
      <c r="L1343" s="10"/>
      <c r="N1343" s="10"/>
      <c r="Q1343" s="11"/>
      <c r="R1343" s="7">
        <v>24985.48</v>
      </c>
      <c r="S1343" s="7"/>
      <c r="T1343" s="7"/>
      <c r="U1343" s="7"/>
      <c r="V1343" s="10"/>
      <c r="X1343" s="10"/>
      <c r="AA1343" s="11"/>
    </row>
    <row r="1344" spans="2:27" x14ac:dyDescent="0.2">
      <c r="B1344" t="s">
        <v>394</v>
      </c>
      <c r="C1344">
        <v>40359343</v>
      </c>
      <c r="D1344" t="s">
        <v>396</v>
      </c>
      <c r="E1344">
        <v>1012612</v>
      </c>
      <c r="F1344" t="s">
        <v>429</v>
      </c>
      <c r="G1344" s="9">
        <v>44992</v>
      </c>
      <c r="H1344" s="7">
        <v>24563.54</v>
      </c>
      <c r="I1344" s="7"/>
      <c r="J1344" s="7"/>
      <c r="K1344" s="7"/>
      <c r="L1344" s="10"/>
      <c r="N1344" s="10"/>
      <c r="Q1344" s="11"/>
      <c r="R1344" s="7">
        <v>24563.54</v>
      </c>
      <c r="S1344" s="7"/>
      <c r="T1344" s="7"/>
      <c r="U1344" s="7"/>
      <c r="V1344" s="10"/>
      <c r="X1344" s="10"/>
      <c r="AA1344" s="11"/>
    </row>
    <row r="1345" spans="2:27" ht="16" x14ac:dyDescent="0.2">
      <c r="B1345" t="s">
        <v>35</v>
      </c>
      <c r="C1345">
        <v>40359329</v>
      </c>
      <c r="D1345" t="s">
        <v>389</v>
      </c>
      <c r="E1345">
        <v>1022212</v>
      </c>
      <c r="F1345" t="s">
        <v>300</v>
      </c>
      <c r="G1345" s="9">
        <v>44990</v>
      </c>
      <c r="H1345" s="7">
        <v>24052.92</v>
      </c>
      <c r="I1345" s="7"/>
      <c r="J1345" s="7"/>
      <c r="K1345" s="7"/>
      <c r="L1345" s="10">
        <v>5.5741092456127026</v>
      </c>
      <c r="M1345" s="9">
        <v>44995</v>
      </c>
      <c r="N1345" s="10">
        <v>5.5</v>
      </c>
      <c r="O1345" s="9">
        <v>45000</v>
      </c>
      <c r="P1345">
        <v>14</v>
      </c>
      <c r="Q1345" s="11" t="s">
        <v>49</v>
      </c>
      <c r="R1345" s="7">
        <v>24052.92</v>
      </c>
      <c r="S1345" s="7"/>
      <c r="T1345" s="7"/>
      <c r="U1345" s="7"/>
      <c r="V1345" s="10">
        <v>7.5741092456127026</v>
      </c>
      <c r="W1345" s="9">
        <v>44997</v>
      </c>
      <c r="X1345" s="10">
        <v>7.5</v>
      </c>
      <c r="Y1345" s="9">
        <v>45000</v>
      </c>
      <c r="Z1345">
        <v>14</v>
      </c>
      <c r="AA1345" s="11" t="s">
        <v>49</v>
      </c>
    </row>
    <row r="1346" spans="2:27" ht="16" x14ac:dyDescent="0.2">
      <c r="B1346" t="s">
        <v>35</v>
      </c>
      <c r="C1346">
        <v>40359324</v>
      </c>
      <c r="D1346" t="s">
        <v>389</v>
      </c>
      <c r="E1346">
        <v>1022212</v>
      </c>
      <c r="F1346" t="s">
        <v>300</v>
      </c>
      <c r="G1346" s="9">
        <v>44972</v>
      </c>
      <c r="H1346" s="7"/>
      <c r="I1346" s="7"/>
      <c r="J1346" s="7"/>
      <c r="K1346" s="7"/>
      <c r="L1346" s="10">
        <v>5.5741092456127026</v>
      </c>
      <c r="M1346" s="9">
        <v>44977</v>
      </c>
      <c r="N1346" s="10">
        <v>5.5</v>
      </c>
      <c r="O1346" s="9">
        <v>44982</v>
      </c>
      <c r="P1346">
        <v>2</v>
      </c>
      <c r="Q1346" s="11" t="s">
        <v>594</v>
      </c>
      <c r="R1346" s="7"/>
      <c r="S1346" s="7"/>
      <c r="T1346" s="7"/>
      <c r="U1346" s="7"/>
      <c r="V1346" s="10">
        <v>7.5741092456127026</v>
      </c>
      <c r="W1346" s="9">
        <v>44979</v>
      </c>
      <c r="X1346" s="10">
        <v>7.5</v>
      </c>
      <c r="Y1346" s="9">
        <v>44982</v>
      </c>
      <c r="Z1346">
        <v>2</v>
      </c>
      <c r="AA1346" s="11" t="s">
        <v>594</v>
      </c>
    </row>
    <row r="1347" spans="2:27" ht="16" x14ac:dyDescent="0.2">
      <c r="B1347" t="s">
        <v>35</v>
      </c>
      <c r="C1347">
        <v>40359323</v>
      </c>
      <c r="D1347" t="s">
        <v>389</v>
      </c>
      <c r="E1347">
        <v>1022212</v>
      </c>
      <c r="F1347" t="s">
        <v>300</v>
      </c>
      <c r="G1347" s="9">
        <v>44966</v>
      </c>
      <c r="H1347" s="7"/>
      <c r="I1347" s="7"/>
      <c r="J1347" s="7"/>
      <c r="K1347" s="7"/>
      <c r="L1347" s="10">
        <v>5.5741092456127026</v>
      </c>
      <c r="M1347" s="9">
        <v>44971</v>
      </c>
      <c r="N1347" s="10">
        <v>5.5</v>
      </c>
      <c r="O1347" s="9">
        <v>44976</v>
      </c>
      <c r="P1347">
        <v>8</v>
      </c>
      <c r="Q1347" s="11" t="s">
        <v>49</v>
      </c>
      <c r="R1347" s="7"/>
      <c r="S1347" s="7"/>
      <c r="T1347" s="7"/>
      <c r="U1347" s="7"/>
      <c r="V1347" s="10">
        <v>7.5741092456127026</v>
      </c>
      <c r="W1347" s="9">
        <v>44973</v>
      </c>
      <c r="X1347" s="10">
        <v>7.5</v>
      </c>
      <c r="Y1347" s="9">
        <v>44976</v>
      </c>
      <c r="Z1347">
        <v>8</v>
      </c>
      <c r="AA1347" s="11" t="s">
        <v>49</v>
      </c>
    </row>
    <row r="1348" spans="2:27" ht="16" x14ac:dyDescent="0.2">
      <c r="B1348" t="s">
        <v>35</v>
      </c>
      <c r="C1348">
        <v>40359322</v>
      </c>
      <c r="D1348" t="s">
        <v>389</v>
      </c>
      <c r="E1348">
        <v>1022212</v>
      </c>
      <c r="F1348" t="s">
        <v>300</v>
      </c>
      <c r="G1348" s="9">
        <v>44964</v>
      </c>
      <c r="H1348" s="7"/>
      <c r="I1348" s="7"/>
      <c r="J1348" s="7"/>
      <c r="K1348" s="7"/>
      <c r="L1348" s="10">
        <v>5.5741092456127026</v>
      </c>
      <c r="M1348" s="9">
        <v>44969</v>
      </c>
      <c r="N1348" s="10">
        <v>5.5</v>
      </c>
      <c r="O1348" s="9">
        <v>44974</v>
      </c>
      <c r="P1348">
        <v>9</v>
      </c>
      <c r="Q1348" s="11" t="s">
        <v>49</v>
      </c>
      <c r="R1348" s="7"/>
      <c r="S1348" s="7"/>
      <c r="T1348" s="7"/>
      <c r="U1348" s="7"/>
      <c r="V1348" s="10">
        <v>7.5741092456127026</v>
      </c>
      <c r="W1348" s="9">
        <v>44971</v>
      </c>
      <c r="X1348" s="10">
        <v>7.5</v>
      </c>
      <c r="Y1348" s="9">
        <v>44974</v>
      </c>
      <c r="Z1348">
        <v>9</v>
      </c>
      <c r="AA1348" s="11" t="s">
        <v>49</v>
      </c>
    </row>
    <row r="1349" spans="2:27" ht="16" x14ac:dyDescent="0.2">
      <c r="B1349" t="s">
        <v>35</v>
      </c>
      <c r="C1349">
        <v>40359321</v>
      </c>
      <c r="D1349" t="s">
        <v>389</v>
      </c>
      <c r="E1349">
        <v>1022212</v>
      </c>
      <c r="F1349" t="s">
        <v>300</v>
      </c>
      <c r="G1349" s="9">
        <v>44964</v>
      </c>
      <c r="H1349" s="7"/>
      <c r="I1349" s="7"/>
      <c r="J1349" s="7"/>
      <c r="K1349" s="7"/>
      <c r="L1349" s="10">
        <v>5.5741092456127026</v>
      </c>
      <c r="M1349" s="9">
        <v>44969</v>
      </c>
      <c r="N1349" s="10">
        <v>5.5</v>
      </c>
      <c r="O1349" s="9">
        <v>44974</v>
      </c>
      <c r="P1349">
        <v>9</v>
      </c>
      <c r="Q1349" s="11" t="s">
        <v>49</v>
      </c>
      <c r="R1349" s="7"/>
      <c r="S1349" s="7"/>
      <c r="T1349" s="7"/>
      <c r="U1349" s="7"/>
      <c r="V1349" s="10">
        <v>7.5741092456127026</v>
      </c>
      <c r="W1349" s="9">
        <v>44971</v>
      </c>
      <c r="X1349" s="10">
        <v>7.5</v>
      </c>
      <c r="Y1349" s="9">
        <v>44974</v>
      </c>
      <c r="Z1349">
        <v>9</v>
      </c>
      <c r="AA1349" s="11" t="s">
        <v>49</v>
      </c>
    </row>
    <row r="1350" spans="2:27" ht="16" x14ac:dyDescent="0.2">
      <c r="B1350" t="s">
        <v>35</v>
      </c>
      <c r="C1350">
        <v>40359320</v>
      </c>
      <c r="D1350" t="s">
        <v>389</v>
      </c>
      <c r="E1350">
        <v>1022212</v>
      </c>
      <c r="F1350" t="s">
        <v>300</v>
      </c>
      <c r="G1350" s="9">
        <v>44968</v>
      </c>
      <c r="H1350" s="7"/>
      <c r="I1350" s="7"/>
      <c r="J1350" s="7"/>
      <c r="K1350" s="7"/>
      <c r="L1350" s="10">
        <v>5.5741092456127026</v>
      </c>
      <c r="M1350" s="9">
        <v>44973</v>
      </c>
      <c r="N1350" s="10">
        <v>5.5</v>
      </c>
      <c r="O1350" s="9">
        <v>44978</v>
      </c>
      <c r="P1350">
        <v>6</v>
      </c>
      <c r="Q1350" s="11" t="s">
        <v>49</v>
      </c>
      <c r="R1350" s="7"/>
      <c r="S1350" s="7"/>
      <c r="T1350" s="7"/>
      <c r="U1350" s="7"/>
      <c r="V1350" s="10">
        <v>7.5741092456127026</v>
      </c>
      <c r="W1350" s="9">
        <v>44975</v>
      </c>
      <c r="X1350" s="10">
        <v>7.5</v>
      </c>
      <c r="Y1350" s="9">
        <v>44978</v>
      </c>
      <c r="Z1350">
        <v>6</v>
      </c>
      <c r="AA1350" s="11" t="s">
        <v>49</v>
      </c>
    </row>
    <row r="1351" spans="2:27" ht="16" x14ac:dyDescent="0.2">
      <c r="B1351" t="s">
        <v>35</v>
      </c>
      <c r="C1351">
        <v>40358863</v>
      </c>
      <c r="D1351" t="s">
        <v>409</v>
      </c>
      <c r="E1351">
        <v>1012108</v>
      </c>
      <c r="F1351" t="s">
        <v>57</v>
      </c>
      <c r="G1351" s="9">
        <v>44971</v>
      </c>
      <c r="H1351" s="7">
        <v>9979.0239999999994</v>
      </c>
      <c r="I1351" s="7"/>
      <c r="J1351" s="7"/>
      <c r="K1351" s="7"/>
      <c r="L1351" s="10">
        <v>7.5</v>
      </c>
      <c r="M1351" s="9">
        <v>44978</v>
      </c>
      <c r="N1351" s="10">
        <v>9.5</v>
      </c>
      <c r="O1351" s="9">
        <v>44987</v>
      </c>
      <c r="P1351">
        <v>25</v>
      </c>
      <c r="Q1351" s="11" t="s">
        <v>49</v>
      </c>
      <c r="R1351" s="7">
        <v>9979.0239999999994</v>
      </c>
      <c r="S1351" s="7"/>
      <c r="T1351" s="7"/>
      <c r="U1351" s="7"/>
      <c r="V1351" s="10">
        <v>9.5</v>
      </c>
      <c r="W1351" s="9">
        <v>44980</v>
      </c>
      <c r="X1351" s="10">
        <v>11.5</v>
      </c>
      <c r="Y1351" s="9">
        <v>44987</v>
      </c>
      <c r="Z1351">
        <v>25</v>
      </c>
      <c r="AA1351" s="11" t="s">
        <v>49</v>
      </c>
    </row>
    <row r="1352" spans="2:27" ht="16" x14ac:dyDescent="0.2">
      <c r="B1352" t="s">
        <v>35</v>
      </c>
      <c r="C1352">
        <v>40358863</v>
      </c>
      <c r="D1352" t="s">
        <v>409</v>
      </c>
      <c r="E1352">
        <v>1012107</v>
      </c>
      <c r="F1352" t="s">
        <v>215</v>
      </c>
      <c r="G1352" s="9">
        <v>44971</v>
      </c>
      <c r="H1352" s="7">
        <v>9979.0239999999994</v>
      </c>
      <c r="I1352" s="7"/>
      <c r="J1352" s="7"/>
      <c r="K1352" s="7"/>
      <c r="L1352" s="10">
        <v>7.5</v>
      </c>
      <c r="M1352" s="9">
        <v>44978</v>
      </c>
      <c r="N1352" s="10">
        <v>9.5</v>
      </c>
      <c r="O1352" s="9">
        <v>44987</v>
      </c>
      <c r="P1352">
        <v>25</v>
      </c>
      <c r="Q1352" s="11" t="s">
        <v>49</v>
      </c>
      <c r="R1352" s="7">
        <v>9979.0239999999994</v>
      </c>
      <c r="S1352" s="7"/>
      <c r="T1352" s="7"/>
      <c r="U1352" s="7"/>
      <c r="V1352" s="10">
        <v>9.5</v>
      </c>
      <c r="W1352" s="9">
        <v>44980</v>
      </c>
      <c r="X1352" s="10">
        <v>11.5</v>
      </c>
      <c r="Y1352" s="9">
        <v>44987</v>
      </c>
      <c r="Z1352">
        <v>25</v>
      </c>
      <c r="AA1352" s="11" t="s">
        <v>49</v>
      </c>
    </row>
    <row r="1353" spans="2:27" ht="16" x14ac:dyDescent="0.2">
      <c r="B1353" t="s">
        <v>35</v>
      </c>
      <c r="C1353">
        <v>40358857</v>
      </c>
      <c r="D1353" t="s">
        <v>409</v>
      </c>
      <c r="E1353">
        <v>1012147</v>
      </c>
      <c r="F1353" t="s">
        <v>217</v>
      </c>
      <c r="G1353" s="9">
        <v>44963</v>
      </c>
      <c r="H1353" s="7"/>
      <c r="I1353" s="7"/>
      <c r="J1353" s="7"/>
      <c r="K1353" s="7"/>
      <c r="L1353" s="10">
        <v>7.5</v>
      </c>
      <c r="M1353" s="9">
        <v>44970</v>
      </c>
      <c r="N1353" s="10">
        <v>9.5</v>
      </c>
      <c r="O1353" s="9">
        <v>44979</v>
      </c>
      <c r="P1353">
        <v>5</v>
      </c>
      <c r="Q1353" s="11" t="s">
        <v>49</v>
      </c>
      <c r="R1353" s="7"/>
      <c r="S1353" s="7"/>
      <c r="T1353" s="7"/>
      <c r="U1353" s="7"/>
      <c r="V1353" s="10">
        <v>9.5</v>
      </c>
      <c r="W1353" s="9">
        <v>44972</v>
      </c>
      <c r="X1353" s="10">
        <v>11.5</v>
      </c>
      <c r="Y1353" s="9">
        <v>44979</v>
      </c>
      <c r="Z1353">
        <v>5</v>
      </c>
      <c r="AA1353" s="11" t="s">
        <v>49</v>
      </c>
    </row>
    <row r="1354" spans="2:27" x14ac:dyDescent="0.2">
      <c r="B1354" t="s">
        <v>394</v>
      </c>
      <c r="C1354">
        <v>40358848</v>
      </c>
      <c r="D1354" t="s">
        <v>485</v>
      </c>
      <c r="E1354">
        <v>1021385</v>
      </c>
      <c r="F1354" t="s">
        <v>495</v>
      </c>
      <c r="G1354" s="9">
        <v>44946</v>
      </c>
      <c r="H1354" s="7"/>
      <c r="I1354" s="7"/>
      <c r="J1354" s="7"/>
      <c r="K1354" s="7"/>
      <c r="L1354" s="10"/>
      <c r="N1354" s="10"/>
      <c r="Q1354" s="11"/>
      <c r="R1354" s="7"/>
      <c r="S1354" s="7"/>
      <c r="T1354" s="7"/>
      <c r="U1354" s="7"/>
      <c r="V1354" s="10"/>
      <c r="X1354" s="10"/>
      <c r="AA1354" s="11"/>
    </row>
    <row r="1355" spans="2:27" x14ac:dyDescent="0.2">
      <c r="B1355" t="s">
        <v>394</v>
      </c>
      <c r="C1355">
        <v>40358848</v>
      </c>
      <c r="D1355" t="s">
        <v>485</v>
      </c>
      <c r="E1355">
        <v>1021385</v>
      </c>
      <c r="F1355" t="s">
        <v>495</v>
      </c>
      <c r="G1355" s="9">
        <v>44946</v>
      </c>
      <c r="H1355" s="7"/>
      <c r="I1355" s="7"/>
      <c r="J1355" s="7"/>
      <c r="K1355" s="7"/>
      <c r="L1355" s="10"/>
      <c r="N1355" s="10"/>
      <c r="Q1355" s="11"/>
      <c r="R1355" s="7"/>
      <c r="S1355" s="7"/>
      <c r="T1355" s="7"/>
      <c r="U1355" s="7"/>
      <c r="V1355" s="10"/>
      <c r="X1355" s="10"/>
      <c r="AA1355" s="11"/>
    </row>
    <row r="1356" spans="2:27" x14ac:dyDescent="0.2">
      <c r="B1356" t="s">
        <v>394</v>
      </c>
      <c r="C1356">
        <v>40358827</v>
      </c>
      <c r="D1356" t="s">
        <v>485</v>
      </c>
      <c r="E1356">
        <v>1021976</v>
      </c>
      <c r="F1356" t="s">
        <v>512</v>
      </c>
      <c r="G1356" s="9">
        <v>44946</v>
      </c>
      <c r="H1356" s="7"/>
      <c r="I1356" s="7"/>
      <c r="J1356" s="7"/>
      <c r="K1356" s="7"/>
      <c r="L1356" s="10"/>
      <c r="N1356" s="10"/>
      <c r="Q1356" s="11"/>
      <c r="R1356" s="7"/>
      <c r="S1356" s="7"/>
      <c r="T1356" s="7"/>
      <c r="U1356" s="7"/>
      <c r="V1356" s="10"/>
      <c r="X1356" s="10"/>
      <c r="AA1356" s="11"/>
    </row>
    <row r="1357" spans="2:27" ht="16" x14ac:dyDescent="0.2">
      <c r="B1357" t="s">
        <v>35</v>
      </c>
      <c r="C1357">
        <v>40358758</v>
      </c>
      <c r="D1357" t="s">
        <v>391</v>
      </c>
      <c r="E1357">
        <v>1021924</v>
      </c>
      <c r="F1357" t="s">
        <v>187</v>
      </c>
      <c r="G1357" s="9">
        <v>44989</v>
      </c>
      <c r="H1357" s="7">
        <v>9008.84</v>
      </c>
      <c r="I1357" s="7"/>
      <c r="J1357" s="7"/>
      <c r="K1357" s="7"/>
      <c r="L1357" s="10">
        <v>4.830303030303031</v>
      </c>
      <c r="M1357" s="9">
        <v>44993</v>
      </c>
      <c r="N1357" s="10">
        <v>15</v>
      </c>
      <c r="O1357" s="9">
        <v>45008</v>
      </c>
      <c r="P1357">
        <v>7</v>
      </c>
      <c r="Q1357" s="11" t="s">
        <v>49</v>
      </c>
      <c r="R1357" s="7">
        <v>9008.84</v>
      </c>
      <c r="S1357" s="7"/>
      <c r="T1357" s="7"/>
      <c r="U1357" s="7"/>
      <c r="V1357" s="10">
        <v>6.830303030303031</v>
      </c>
      <c r="W1357" s="9">
        <v>44995</v>
      </c>
      <c r="X1357" s="10">
        <v>17</v>
      </c>
      <c r="Y1357" s="9">
        <v>45008</v>
      </c>
      <c r="Z1357">
        <v>7</v>
      </c>
      <c r="AA1357" s="11" t="s">
        <v>49</v>
      </c>
    </row>
    <row r="1358" spans="2:27" ht="16" x14ac:dyDescent="0.2">
      <c r="B1358" t="s">
        <v>35</v>
      </c>
      <c r="C1358">
        <v>40358758</v>
      </c>
      <c r="D1358" t="s">
        <v>391</v>
      </c>
      <c r="E1358">
        <v>1021925</v>
      </c>
      <c r="F1358" t="s">
        <v>432</v>
      </c>
      <c r="G1358" s="9">
        <v>44989</v>
      </c>
      <c r="H1358" s="7">
        <v>4009.3</v>
      </c>
      <c r="I1358" s="7"/>
      <c r="J1358" s="7"/>
      <c r="K1358" s="7"/>
      <c r="L1358" s="10">
        <v>4.830303030303031</v>
      </c>
      <c r="M1358" s="9">
        <v>44993</v>
      </c>
      <c r="N1358" s="10">
        <v>15</v>
      </c>
      <c r="O1358" s="9">
        <v>45008</v>
      </c>
      <c r="P1358">
        <v>7</v>
      </c>
      <c r="Q1358" s="11" t="s">
        <v>49</v>
      </c>
      <c r="R1358" s="7">
        <v>4009.3</v>
      </c>
      <c r="S1358" s="7"/>
      <c r="T1358" s="7"/>
      <c r="U1358" s="7"/>
      <c r="V1358" s="10">
        <v>6.830303030303031</v>
      </c>
      <c r="W1358" s="9">
        <v>44995</v>
      </c>
      <c r="X1358" s="10">
        <v>17</v>
      </c>
      <c r="Y1358" s="9">
        <v>45008</v>
      </c>
      <c r="Z1358">
        <v>7</v>
      </c>
      <c r="AA1358" s="11" t="s">
        <v>49</v>
      </c>
    </row>
    <row r="1359" spans="2:27" ht="16" x14ac:dyDescent="0.2">
      <c r="B1359" t="s">
        <v>35</v>
      </c>
      <c r="C1359">
        <v>40358758</v>
      </c>
      <c r="D1359" t="s">
        <v>391</v>
      </c>
      <c r="E1359">
        <v>1022141</v>
      </c>
      <c r="F1359" t="s">
        <v>126</v>
      </c>
      <c r="G1359" s="9">
        <v>44989</v>
      </c>
      <c r="H1359" s="7">
        <v>5001.4399999999996</v>
      </c>
      <c r="I1359" s="7"/>
      <c r="J1359" s="7"/>
      <c r="K1359" s="7"/>
      <c r="L1359" s="10">
        <v>4.830303030303031</v>
      </c>
      <c r="M1359" s="9">
        <v>44993</v>
      </c>
      <c r="N1359" s="10">
        <v>15</v>
      </c>
      <c r="O1359" s="9">
        <v>45008</v>
      </c>
      <c r="P1359">
        <v>7</v>
      </c>
      <c r="Q1359" s="11" t="s">
        <v>49</v>
      </c>
      <c r="R1359" s="7">
        <v>5001.4399999999996</v>
      </c>
      <c r="S1359" s="7"/>
      <c r="T1359" s="7"/>
      <c r="U1359" s="7"/>
      <c r="V1359" s="10">
        <v>6.830303030303031</v>
      </c>
      <c r="W1359" s="9">
        <v>44995</v>
      </c>
      <c r="X1359" s="10">
        <v>17</v>
      </c>
      <c r="Y1359" s="9">
        <v>45008</v>
      </c>
      <c r="Z1359">
        <v>7</v>
      </c>
      <c r="AA1359" s="11" t="s">
        <v>49</v>
      </c>
    </row>
    <row r="1360" spans="2:27" ht="16" x14ac:dyDescent="0.2">
      <c r="B1360" t="s">
        <v>35</v>
      </c>
      <c r="C1360">
        <v>40358758</v>
      </c>
      <c r="D1360" t="s">
        <v>391</v>
      </c>
      <c r="E1360">
        <v>1022142</v>
      </c>
      <c r="F1360" t="s">
        <v>390</v>
      </c>
      <c r="G1360" s="9">
        <v>44989</v>
      </c>
      <c r="H1360" s="7">
        <v>2000.54</v>
      </c>
      <c r="I1360" s="7"/>
      <c r="J1360" s="7"/>
      <c r="K1360" s="7"/>
      <c r="L1360" s="10">
        <v>4.830303030303031</v>
      </c>
      <c r="M1360" s="9">
        <v>44993</v>
      </c>
      <c r="N1360" s="10">
        <v>15</v>
      </c>
      <c r="O1360" s="9">
        <v>45008</v>
      </c>
      <c r="P1360">
        <v>7</v>
      </c>
      <c r="Q1360" s="11" t="s">
        <v>49</v>
      </c>
      <c r="R1360" s="7">
        <v>2000.54</v>
      </c>
      <c r="S1360" s="7"/>
      <c r="T1360" s="7"/>
      <c r="U1360" s="7"/>
      <c r="V1360" s="10">
        <v>6.830303030303031</v>
      </c>
      <c r="W1360" s="9">
        <v>44995</v>
      </c>
      <c r="X1360" s="10">
        <v>17</v>
      </c>
      <c r="Y1360" s="9">
        <v>45008</v>
      </c>
      <c r="Z1360">
        <v>7</v>
      </c>
      <c r="AA1360" s="11" t="s">
        <v>49</v>
      </c>
    </row>
    <row r="1361" spans="2:27" ht="16" x14ac:dyDescent="0.2">
      <c r="B1361" t="s">
        <v>35</v>
      </c>
      <c r="C1361">
        <v>40358758</v>
      </c>
      <c r="D1361" t="s">
        <v>391</v>
      </c>
      <c r="E1361">
        <v>1022398</v>
      </c>
      <c r="F1361" t="s">
        <v>431</v>
      </c>
      <c r="G1361" s="9">
        <v>44989</v>
      </c>
      <c r="H1361" s="7">
        <v>4006.28</v>
      </c>
      <c r="I1361" s="7"/>
      <c r="J1361" s="7"/>
      <c r="K1361" s="7"/>
      <c r="L1361" s="10">
        <v>4.830303030303031</v>
      </c>
      <c r="M1361" s="9">
        <v>44993</v>
      </c>
      <c r="N1361" s="10">
        <v>15</v>
      </c>
      <c r="O1361" s="9">
        <v>45008</v>
      </c>
      <c r="P1361">
        <v>7</v>
      </c>
      <c r="Q1361" s="11" t="s">
        <v>49</v>
      </c>
      <c r="R1361" s="7">
        <v>4006.28</v>
      </c>
      <c r="S1361" s="7"/>
      <c r="T1361" s="7"/>
      <c r="U1361" s="7"/>
      <c r="V1361" s="10">
        <v>6.830303030303031</v>
      </c>
      <c r="W1361" s="9">
        <v>44995</v>
      </c>
      <c r="X1361" s="10">
        <v>17</v>
      </c>
      <c r="Y1361" s="9">
        <v>45008</v>
      </c>
      <c r="Z1361">
        <v>7</v>
      </c>
      <c r="AA1361" s="11" t="s">
        <v>49</v>
      </c>
    </row>
    <row r="1362" spans="2:27" x14ac:dyDescent="0.2">
      <c r="B1362" t="s">
        <v>394</v>
      </c>
      <c r="C1362">
        <v>40358707</v>
      </c>
      <c r="D1362" t="s">
        <v>485</v>
      </c>
      <c r="E1362">
        <v>1023433</v>
      </c>
      <c r="F1362" t="s">
        <v>490</v>
      </c>
      <c r="G1362" s="9">
        <v>44945</v>
      </c>
      <c r="H1362" s="7"/>
      <c r="I1362" s="7"/>
      <c r="J1362" s="7"/>
      <c r="K1362" s="7"/>
      <c r="L1362" s="10"/>
      <c r="N1362" s="10"/>
      <c r="Q1362" s="11"/>
      <c r="R1362" s="7"/>
      <c r="S1362" s="7"/>
      <c r="T1362" s="7"/>
      <c r="U1362" s="7"/>
      <c r="V1362" s="10"/>
      <c r="X1362" s="10"/>
      <c r="AA1362" s="11"/>
    </row>
    <row r="1363" spans="2:27" ht="16" x14ac:dyDescent="0.2">
      <c r="B1363" t="s">
        <v>35</v>
      </c>
      <c r="C1363">
        <v>40358702</v>
      </c>
      <c r="D1363" t="s">
        <v>423</v>
      </c>
      <c r="E1363">
        <v>1021874</v>
      </c>
      <c r="F1363" t="s">
        <v>514</v>
      </c>
      <c r="G1363" s="9">
        <v>44947</v>
      </c>
      <c r="H1363" s="7"/>
      <c r="I1363" s="7"/>
      <c r="J1363" s="7"/>
      <c r="K1363" s="7"/>
      <c r="L1363" s="10">
        <v>5.4496124031007751</v>
      </c>
      <c r="M1363" s="9">
        <v>44952</v>
      </c>
      <c r="N1363" s="10">
        <v>10</v>
      </c>
      <c r="O1363" s="9">
        <v>44962</v>
      </c>
      <c r="P1363">
        <v>19</v>
      </c>
      <c r="Q1363" s="11" t="s">
        <v>49</v>
      </c>
      <c r="R1363" s="7"/>
      <c r="S1363" s="7"/>
      <c r="T1363" s="7"/>
      <c r="U1363" s="7"/>
      <c r="V1363" s="10">
        <v>7.4496124031007751</v>
      </c>
      <c r="W1363" s="9">
        <v>44954</v>
      </c>
      <c r="X1363" s="10">
        <v>12</v>
      </c>
      <c r="Y1363" s="9">
        <v>44962</v>
      </c>
      <c r="Z1363">
        <v>19</v>
      </c>
      <c r="AA1363" s="11" t="s">
        <v>49</v>
      </c>
    </row>
    <row r="1364" spans="2:27" ht="16" x14ac:dyDescent="0.2">
      <c r="B1364" t="s">
        <v>35</v>
      </c>
      <c r="C1364">
        <v>40358701</v>
      </c>
      <c r="D1364" t="s">
        <v>423</v>
      </c>
      <c r="E1364">
        <v>1021874</v>
      </c>
      <c r="F1364" t="s">
        <v>514</v>
      </c>
      <c r="G1364" s="9">
        <v>44947</v>
      </c>
      <c r="H1364" s="7"/>
      <c r="I1364" s="7"/>
      <c r="J1364" s="7"/>
      <c r="K1364" s="7"/>
      <c r="L1364" s="10">
        <v>5.4496124031007751</v>
      </c>
      <c r="M1364" s="9">
        <v>44952</v>
      </c>
      <c r="N1364" s="10">
        <v>10</v>
      </c>
      <c r="O1364" s="9">
        <v>44962</v>
      </c>
      <c r="P1364">
        <v>19</v>
      </c>
      <c r="Q1364" s="11" t="s">
        <v>49</v>
      </c>
      <c r="R1364" s="7"/>
      <c r="S1364" s="7"/>
      <c r="T1364" s="7"/>
      <c r="U1364" s="7"/>
      <c r="V1364" s="10">
        <v>7.4496124031007751</v>
      </c>
      <c r="W1364" s="9">
        <v>44954</v>
      </c>
      <c r="X1364" s="10">
        <v>12</v>
      </c>
      <c r="Y1364" s="9">
        <v>44962</v>
      </c>
      <c r="Z1364">
        <v>19</v>
      </c>
      <c r="AA1364" s="11" t="s">
        <v>49</v>
      </c>
    </row>
    <row r="1365" spans="2:27" ht="16" x14ac:dyDescent="0.2">
      <c r="B1365" t="s">
        <v>35</v>
      </c>
      <c r="C1365">
        <v>40358700</v>
      </c>
      <c r="D1365" t="s">
        <v>423</v>
      </c>
      <c r="E1365">
        <v>1021874</v>
      </c>
      <c r="F1365" t="s">
        <v>514</v>
      </c>
      <c r="G1365" s="9">
        <v>44948</v>
      </c>
      <c r="H1365" s="7"/>
      <c r="I1365" s="7"/>
      <c r="J1365" s="7"/>
      <c r="K1365" s="7"/>
      <c r="L1365" s="10">
        <v>5.4496124031007751</v>
      </c>
      <c r="M1365" s="9">
        <v>44953</v>
      </c>
      <c r="N1365" s="10">
        <v>10</v>
      </c>
      <c r="O1365" s="9">
        <v>44963</v>
      </c>
      <c r="P1365">
        <v>19</v>
      </c>
      <c r="Q1365" s="11" t="s">
        <v>49</v>
      </c>
      <c r="R1365" s="7"/>
      <c r="S1365" s="7"/>
      <c r="T1365" s="7"/>
      <c r="U1365" s="7"/>
      <c r="V1365" s="10">
        <v>7.4496124031007751</v>
      </c>
      <c r="W1365" s="9">
        <v>44955</v>
      </c>
      <c r="X1365" s="10">
        <v>12</v>
      </c>
      <c r="Y1365" s="9">
        <v>44963</v>
      </c>
      <c r="Z1365">
        <v>19</v>
      </c>
      <c r="AA1365" s="11" t="s">
        <v>49</v>
      </c>
    </row>
    <row r="1366" spans="2:27" ht="16" x14ac:dyDescent="0.2">
      <c r="B1366" t="s">
        <v>35</v>
      </c>
      <c r="C1366">
        <v>40358669</v>
      </c>
      <c r="D1366" t="s">
        <v>409</v>
      </c>
      <c r="E1366">
        <v>1012148</v>
      </c>
      <c r="F1366" t="s">
        <v>111</v>
      </c>
      <c r="G1366" s="9">
        <v>44961</v>
      </c>
      <c r="H1366" s="7"/>
      <c r="I1366" s="7"/>
      <c r="J1366" s="7"/>
      <c r="K1366" s="7"/>
      <c r="L1366" s="10">
        <v>7.5</v>
      </c>
      <c r="M1366" s="9">
        <v>44968</v>
      </c>
      <c r="N1366" s="10">
        <v>9.5</v>
      </c>
      <c r="O1366" s="9">
        <v>44977</v>
      </c>
      <c r="P1366">
        <v>7</v>
      </c>
      <c r="Q1366" s="11" t="s">
        <v>49</v>
      </c>
      <c r="R1366" s="7"/>
      <c r="S1366" s="7"/>
      <c r="T1366" s="7"/>
      <c r="U1366" s="7"/>
      <c r="V1366" s="10">
        <v>9.5</v>
      </c>
      <c r="W1366" s="9">
        <v>44970</v>
      </c>
      <c r="X1366" s="10">
        <v>11.5</v>
      </c>
      <c r="Y1366" s="9">
        <v>44977</v>
      </c>
      <c r="Z1366">
        <v>7</v>
      </c>
      <c r="AA1366" s="11" t="s">
        <v>49</v>
      </c>
    </row>
    <row r="1367" spans="2:27" ht="16" x14ac:dyDescent="0.2">
      <c r="B1367" t="s">
        <v>35</v>
      </c>
      <c r="C1367">
        <v>40358665</v>
      </c>
      <c r="D1367" t="s">
        <v>409</v>
      </c>
      <c r="E1367">
        <v>1012522</v>
      </c>
      <c r="F1367" t="s">
        <v>115</v>
      </c>
      <c r="G1367" s="9">
        <v>44964</v>
      </c>
      <c r="H1367" s="7"/>
      <c r="I1367" s="7"/>
      <c r="J1367" s="7"/>
      <c r="K1367" s="7"/>
      <c r="L1367" s="10">
        <v>7.5</v>
      </c>
      <c r="M1367" s="9">
        <v>44971</v>
      </c>
      <c r="N1367" s="10">
        <v>9.5</v>
      </c>
      <c r="O1367" s="9">
        <v>44980</v>
      </c>
      <c r="P1367">
        <v>4</v>
      </c>
      <c r="Q1367" s="11" t="s">
        <v>49</v>
      </c>
      <c r="R1367" s="7"/>
      <c r="S1367" s="7"/>
      <c r="T1367" s="7"/>
      <c r="U1367" s="7"/>
      <c r="V1367" s="10">
        <v>9.5</v>
      </c>
      <c r="W1367" s="9">
        <v>44973</v>
      </c>
      <c r="X1367" s="10">
        <v>11.5</v>
      </c>
      <c r="Y1367" s="9">
        <v>44980</v>
      </c>
      <c r="Z1367">
        <v>4</v>
      </c>
      <c r="AA1367" s="11" t="s">
        <v>49</v>
      </c>
    </row>
    <row r="1368" spans="2:27" ht="16" x14ac:dyDescent="0.2">
      <c r="B1368" t="s">
        <v>35</v>
      </c>
      <c r="C1368">
        <v>40358111</v>
      </c>
      <c r="D1368" t="s">
        <v>409</v>
      </c>
      <c r="E1368">
        <v>1012111</v>
      </c>
      <c r="F1368" t="s">
        <v>137</v>
      </c>
      <c r="G1368" s="9">
        <v>44964</v>
      </c>
      <c r="H1368" s="7"/>
      <c r="I1368" s="7"/>
      <c r="J1368" s="7"/>
      <c r="K1368" s="7"/>
      <c r="L1368" s="10">
        <v>7.5</v>
      </c>
      <c r="M1368" s="9">
        <v>44971</v>
      </c>
      <c r="N1368" s="10">
        <v>9.5</v>
      </c>
      <c r="O1368" s="9">
        <v>44980</v>
      </c>
      <c r="P1368">
        <v>4</v>
      </c>
      <c r="Q1368" s="11" t="s">
        <v>49</v>
      </c>
      <c r="R1368" s="7"/>
      <c r="S1368" s="7"/>
      <c r="T1368" s="7"/>
      <c r="U1368" s="7"/>
      <c r="V1368" s="10">
        <v>9.5</v>
      </c>
      <c r="W1368" s="9">
        <v>44973</v>
      </c>
      <c r="X1368" s="10">
        <v>11.5</v>
      </c>
      <c r="Y1368" s="9">
        <v>44980</v>
      </c>
      <c r="Z1368">
        <v>4</v>
      </c>
      <c r="AA1368" s="11" t="s">
        <v>49</v>
      </c>
    </row>
    <row r="1369" spans="2:27" ht="16" x14ac:dyDescent="0.2">
      <c r="B1369" t="s">
        <v>35</v>
      </c>
      <c r="C1369">
        <v>40358076</v>
      </c>
      <c r="D1369" t="s">
        <v>423</v>
      </c>
      <c r="E1369">
        <v>1030658</v>
      </c>
      <c r="F1369" t="s">
        <v>371</v>
      </c>
      <c r="G1369" s="9">
        <v>44948</v>
      </c>
      <c r="H1369" s="7"/>
      <c r="I1369" s="7"/>
      <c r="J1369" s="7"/>
      <c r="K1369" s="7"/>
      <c r="L1369" s="10">
        <v>5.4496124031007751</v>
      </c>
      <c r="M1369" s="9">
        <v>44953</v>
      </c>
      <c r="N1369" s="10">
        <v>10</v>
      </c>
      <c r="O1369" s="9">
        <v>44963</v>
      </c>
      <c r="P1369">
        <v>19</v>
      </c>
      <c r="Q1369" s="11" t="s">
        <v>49</v>
      </c>
      <c r="R1369" s="7"/>
      <c r="S1369" s="7"/>
      <c r="T1369" s="7"/>
      <c r="U1369" s="7"/>
      <c r="V1369" s="10">
        <v>7.4496124031007751</v>
      </c>
      <c r="W1369" s="9">
        <v>44955</v>
      </c>
      <c r="X1369" s="10">
        <v>12</v>
      </c>
      <c r="Y1369" s="9">
        <v>44963</v>
      </c>
      <c r="Z1369">
        <v>19</v>
      </c>
      <c r="AA1369" s="11" t="s">
        <v>49</v>
      </c>
    </row>
    <row r="1370" spans="2:27" ht="16" x14ac:dyDescent="0.2">
      <c r="B1370" t="s">
        <v>35</v>
      </c>
      <c r="C1370">
        <v>40358072</v>
      </c>
      <c r="D1370" t="s">
        <v>423</v>
      </c>
      <c r="E1370">
        <v>1030658</v>
      </c>
      <c r="F1370" t="s">
        <v>371</v>
      </c>
      <c r="G1370" s="9">
        <v>44948</v>
      </c>
      <c r="H1370" s="7"/>
      <c r="I1370" s="7"/>
      <c r="J1370" s="7"/>
      <c r="K1370" s="7"/>
      <c r="L1370" s="10">
        <v>5.4496124031007751</v>
      </c>
      <c r="M1370" s="9">
        <v>44953</v>
      </c>
      <c r="N1370" s="10">
        <v>10</v>
      </c>
      <c r="O1370" s="9">
        <v>44963</v>
      </c>
      <c r="P1370">
        <v>19</v>
      </c>
      <c r="Q1370" s="11" t="s">
        <v>49</v>
      </c>
      <c r="R1370" s="7"/>
      <c r="S1370" s="7"/>
      <c r="T1370" s="7"/>
      <c r="U1370" s="7"/>
      <c r="V1370" s="10">
        <v>7.4496124031007751</v>
      </c>
      <c r="W1370" s="9">
        <v>44955</v>
      </c>
      <c r="X1370" s="10">
        <v>12</v>
      </c>
      <c r="Y1370" s="9">
        <v>44963</v>
      </c>
      <c r="Z1370">
        <v>19</v>
      </c>
      <c r="AA1370" s="11" t="s">
        <v>49</v>
      </c>
    </row>
    <row r="1371" spans="2:27" ht="16" x14ac:dyDescent="0.2">
      <c r="B1371" t="s">
        <v>35</v>
      </c>
      <c r="C1371">
        <v>40358068</v>
      </c>
      <c r="D1371" t="s">
        <v>423</v>
      </c>
      <c r="E1371">
        <v>1030658</v>
      </c>
      <c r="F1371" t="s">
        <v>371</v>
      </c>
      <c r="G1371" s="9">
        <v>44948</v>
      </c>
      <c r="H1371" s="7"/>
      <c r="I1371" s="7"/>
      <c r="J1371" s="7"/>
      <c r="K1371" s="7"/>
      <c r="L1371" s="10">
        <v>5.4496124031007751</v>
      </c>
      <c r="M1371" s="9">
        <v>44953</v>
      </c>
      <c r="N1371" s="10">
        <v>10</v>
      </c>
      <c r="O1371" s="9">
        <v>44963</v>
      </c>
      <c r="P1371">
        <v>19</v>
      </c>
      <c r="Q1371" s="11" t="s">
        <v>49</v>
      </c>
      <c r="R1371" s="7"/>
      <c r="S1371" s="7"/>
      <c r="T1371" s="7"/>
      <c r="U1371" s="7"/>
      <c r="V1371" s="10">
        <v>7.4496124031007751</v>
      </c>
      <c r="W1371" s="9">
        <v>44955</v>
      </c>
      <c r="X1371" s="10">
        <v>12</v>
      </c>
      <c r="Y1371" s="9">
        <v>44963</v>
      </c>
      <c r="Z1371">
        <v>19</v>
      </c>
      <c r="AA1371" s="11" t="s">
        <v>49</v>
      </c>
    </row>
    <row r="1372" spans="2:27" ht="16" x14ac:dyDescent="0.2">
      <c r="B1372" t="s">
        <v>35</v>
      </c>
      <c r="C1372">
        <v>40358066</v>
      </c>
      <c r="D1372" t="s">
        <v>423</v>
      </c>
      <c r="E1372">
        <v>1030810</v>
      </c>
      <c r="F1372" t="s">
        <v>375</v>
      </c>
      <c r="G1372" s="9">
        <v>44948</v>
      </c>
      <c r="H1372" s="7"/>
      <c r="I1372" s="7"/>
      <c r="J1372" s="7"/>
      <c r="K1372" s="7"/>
      <c r="L1372" s="10">
        <v>5.4496124031007751</v>
      </c>
      <c r="M1372" s="9">
        <v>44953</v>
      </c>
      <c r="N1372" s="10">
        <v>10</v>
      </c>
      <c r="O1372" s="9">
        <v>44963</v>
      </c>
      <c r="P1372">
        <v>19</v>
      </c>
      <c r="Q1372" s="11" t="s">
        <v>49</v>
      </c>
      <c r="R1372" s="7"/>
      <c r="S1372" s="7"/>
      <c r="T1372" s="7"/>
      <c r="U1372" s="7"/>
      <c r="V1372" s="10">
        <v>7.4496124031007751</v>
      </c>
      <c r="W1372" s="9">
        <v>44955</v>
      </c>
      <c r="X1372" s="10">
        <v>12</v>
      </c>
      <c r="Y1372" s="9">
        <v>44963</v>
      </c>
      <c r="Z1372">
        <v>19</v>
      </c>
      <c r="AA1372" s="11" t="s">
        <v>49</v>
      </c>
    </row>
    <row r="1373" spans="2:27" ht="16" x14ac:dyDescent="0.2">
      <c r="B1373" t="s">
        <v>35</v>
      </c>
      <c r="C1373">
        <v>40358050</v>
      </c>
      <c r="D1373" t="s">
        <v>423</v>
      </c>
      <c r="E1373">
        <v>1023343</v>
      </c>
      <c r="F1373" t="s">
        <v>483</v>
      </c>
      <c r="G1373" s="9">
        <v>44948</v>
      </c>
      <c r="H1373" s="7"/>
      <c r="I1373" s="7"/>
      <c r="J1373" s="7"/>
      <c r="K1373" s="7"/>
      <c r="L1373" s="10">
        <v>5.4496124031007751</v>
      </c>
      <c r="M1373" s="9">
        <v>44953</v>
      </c>
      <c r="N1373" s="10">
        <v>10</v>
      </c>
      <c r="O1373" s="9">
        <v>44963</v>
      </c>
      <c r="P1373">
        <v>19</v>
      </c>
      <c r="Q1373" s="11" t="s">
        <v>49</v>
      </c>
      <c r="R1373" s="7"/>
      <c r="S1373" s="7"/>
      <c r="T1373" s="7"/>
      <c r="U1373" s="7"/>
      <c r="V1373" s="10">
        <v>7.4496124031007751</v>
      </c>
      <c r="W1373" s="9">
        <v>44955</v>
      </c>
      <c r="X1373" s="10">
        <v>12</v>
      </c>
      <c r="Y1373" s="9">
        <v>44963</v>
      </c>
      <c r="Z1373">
        <v>19</v>
      </c>
      <c r="AA1373" s="11" t="s">
        <v>49</v>
      </c>
    </row>
    <row r="1374" spans="2:27" ht="16" x14ac:dyDescent="0.2">
      <c r="B1374" t="s">
        <v>35</v>
      </c>
      <c r="C1374">
        <v>40358050</v>
      </c>
      <c r="D1374" t="s">
        <v>423</v>
      </c>
      <c r="E1374">
        <v>1023343</v>
      </c>
      <c r="F1374" t="s">
        <v>483</v>
      </c>
      <c r="G1374" s="9">
        <v>44948</v>
      </c>
      <c r="H1374" s="7"/>
      <c r="I1374" s="7"/>
      <c r="J1374" s="7"/>
      <c r="K1374" s="7"/>
      <c r="L1374" s="10">
        <v>5.4496124031007751</v>
      </c>
      <c r="M1374" s="9">
        <v>44953</v>
      </c>
      <c r="N1374" s="10">
        <v>10</v>
      </c>
      <c r="O1374" s="9">
        <v>44963</v>
      </c>
      <c r="P1374">
        <v>19</v>
      </c>
      <c r="Q1374" s="11" t="s">
        <v>49</v>
      </c>
      <c r="R1374" s="7"/>
      <c r="S1374" s="7"/>
      <c r="T1374" s="7"/>
      <c r="U1374" s="7"/>
      <c r="V1374" s="10">
        <v>7.4496124031007751</v>
      </c>
      <c r="W1374" s="9">
        <v>44955</v>
      </c>
      <c r="X1374" s="10">
        <v>12</v>
      </c>
      <c r="Y1374" s="9">
        <v>44963</v>
      </c>
      <c r="Z1374">
        <v>19</v>
      </c>
      <c r="AA1374" s="11" t="s">
        <v>49</v>
      </c>
    </row>
    <row r="1375" spans="2:27" ht="16" x14ac:dyDescent="0.2">
      <c r="B1375" t="s">
        <v>35</v>
      </c>
      <c r="C1375">
        <v>40358048</v>
      </c>
      <c r="D1375" t="s">
        <v>423</v>
      </c>
      <c r="E1375">
        <v>1023343</v>
      </c>
      <c r="F1375" t="s">
        <v>483</v>
      </c>
      <c r="G1375" s="9">
        <v>44948</v>
      </c>
      <c r="H1375" s="7"/>
      <c r="I1375" s="7"/>
      <c r="J1375" s="7"/>
      <c r="K1375" s="7"/>
      <c r="L1375" s="10">
        <v>5.4496124031007751</v>
      </c>
      <c r="M1375" s="9">
        <v>44953</v>
      </c>
      <c r="N1375" s="10">
        <v>10</v>
      </c>
      <c r="O1375" s="9">
        <v>44963</v>
      </c>
      <c r="P1375">
        <v>19</v>
      </c>
      <c r="Q1375" s="11" t="s">
        <v>49</v>
      </c>
      <c r="R1375" s="7"/>
      <c r="S1375" s="7"/>
      <c r="T1375" s="7"/>
      <c r="U1375" s="7"/>
      <c r="V1375" s="10">
        <v>7.4496124031007751</v>
      </c>
      <c r="W1375" s="9">
        <v>44955</v>
      </c>
      <c r="X1375" s="10">
        <v>12</v>
      </c>
      <c r="Y1375" s="9">
        <v>44963</v>
      </c>
      <c r="Z1375">
        <v>19</v>
      </c>
      <c r="AA1375" s="11" t="s">
        <v>49</v>
      </c>
    </row>
    <row r="1376" spans="2:27" ht="16" x14ac:dyDescent="0.2">
      <c r="B1376" t="s">
        <v>35</v>
      </c>
      <c r="C1376">
        <v>40358011</v>
      </c>
      <c r="D1376" t="s">
        <v>423</v>
      </c>
      <c r="E1376">
        <v>1021272</v>
      </c>
      <c r="F1376" t="s">
        <v>263</v>
      </c>
      <c r="G1376" s="9">
        <v>44947</v>
      </c>
      <c r="H1376" s="7"/>
      <c r="I1376" s="7"/>
      <c r="J1376" s="7"/>
      <c r="K1376" s="7"/>
      <c r="L1376" s="10">
        <v>5.4496124031007751</v>
      </c>
      <c r="M1376" s="9">
        <v>44952</v>
      </c>
      <c r="N1376" s="10">
        <v>10</v>
      </c>
      <c r="O1376" s="9">
        <v>44962</v>
      </c>
      <c r="P1376">
        <v>19</v>
      </c>
      <c r="Q1376" s="11" t="s">
        <v>49</v>
      </c>
      <c r="R1376" s="7"/>
      <c r="S1376" s="7"/>
      <c r="T1376" s="7"/>
      <c r="U1376" s="7"/>
      <c r="V1376" s="10">
        <v>7.4496124031007751</v>
      </c>
      <c r="W1376" s="9">
        <v>44954</v>
      </c>
      <c r="X1376" s="10">
        <v>12</v>
      </c>
      <c r="Y1376" s="9">
        <v>44962</v>
      </c>
      <c r="Z1376">
        <v>19</v>
      </c>
      <c r="AA1376" s="11" t="s">
        <v>49</v>
      </c>
    </row>
    <row r="1377" spans="2:27" ht="16" x14ac:dyDescent="0.2">
      <c r="B1377" t="s">
        <v>35</v>
      </c>
      <c r="C1377">
        <v>40358003</v>
      </c>
      <c r="D1377" t="s">
        <v>423</v>
      </c>
      <c r="E1377">
        <v>1021555</v>
      </c>
      <c r="F1377" t="s">
        <v>422</v>
      </c>
      <c r="G1377" s="9">
        <v>44958</v>
      </c>
      <c r="H1377" s="7"/>
      <c r="I1377" s="7"/>
      <c r="J1377" s="7"/>
      <c r="K1377" s="7"/>
      <c r="L1377" s="10">
        <v>5.4496124031007751</v>
      </c>
      <c r="M1377" s="9">
        <v>44963</v>
      </c>
      <c r="N1377" s="10">
        <v>10</v>
      </c>
      <c r="O1377" s="9">
        <v>44973</v>
      </c>
      <c r="P1377">
        <v>10</v>
      </c>
      <c r="Q1377" s="11" t="s">
        <v>49</v>
      </c>
      <c r="R1377" s="7"/>
      <c r="S1377" s="7"/>
      <c r="T1377" s="7"/>
      <c r="U1377" s="7"/>
      <c r="V1377" s="10">
        <v>7.4496124031007751</v>
      </c>
      <c r="W1377" s="9">
        <v>44965</v>
      </c>
      <c r="X1377" s="10">
        <v>12</v>
      </c>
      <c r="Y1377" s="9">
        <v>44973</v>
      </c>
      <c r="Z1377">
        <v>10</v>
      </c>
      <c r="AA1377" s="11" t="s">
        <v>49</v>
      </c>
    </row>
    <row r="1378" spans="2:27" ht="16" x14ac:dyDescent="0.2">
      <c r="B1378" t="s">
        <v>35</v>
      </c>
      <c r="C1378">
        <v>40357973</v>
      </c>
      <c r="D1378" t="s">
        <v>409</v>
      </c>
      <c r="E1378">
        <v>1012109</v>
      </c>
      <c r="F1378" t="s">
        <v>68</v>
      </c>
      <c r="G1378" s="9">
        <v>44956</v>
      </c>
      <c r="H1378" s="7"/>
      <c r="I1378" s="7"/>
      <c r="J1378" s="7"/>
      <c r="K1378" s="7"/>
      <c r="L1378" s="10">
        <v>7.5</v>
      </c>
      <c r="M1378" s="9">
        <v>44963</v>
      </c>
      <c r="N1378" s="10">
        <v>9.5</v>
      </c>
      <c r="O1378" s="9">
        <v>44972</v>
      </c>
      <c r="P1378">
        <v>10</v>
      </c>
      <c r="Q1378" s="11" t="s">
        <v>49</v>
      </c>
      <c r="R1378" s="7"/>
      <c r="S1378" s="7"/>
      <c r="T1378" s="7"/>
      <c r="U1378" s="7"/>
      <c r="V1378" s="10">
        <v>9.5</v>
      </c>
      <c r="W1378" s="9">
        <v>44965</v>
      </c>
      <c r="X1378" s="10">
        <v>11.5</v>
      </c>
      <c r="Y1378" s="9">
        <v>44972</v>
      </c>
      <c r="Z1378">
        <v>10</v>
      </c>
      <c r="AA1378" s="11" t="s">
        <v>49</v>
      </c>
    </row>
    <row r="1379" spans="2:27" ht="16" x14ac:dyDescent="0.2">
      <c r="B1379" t="s">
        <v>35</v>
      </c>
      <c r="C1379">
        <v>40357972</v>
      </c>
      <c r="D1379" t="s">
        <v>409</v>
      </c>
      <c r="E1379">
        <v>1012109</v>
      </c>
      <c r="F1379" t="s">
        <v>68</v>
      </c>
      <c r="G1379" s="9">
        <v>44956</v>
      </c>
      <c r="H1379" s="7"/>
      <c r="I1379" s="7"/>
      <c r="J1379" s="7"/>
      <c r="K1379" s="7"/>
      <c r="L1379" s="10">
        <v>7.5</v>
      </c>
      <c r="M1379" s="9">
        <v>44963</v>
      </c>
      <c r="N1379" s="10">
        <v>9.5</v>
      </c>
      <c r="O1379" s="9">
        <v>44972</v>
      </c>
      <c r="P1379">
        <v>10</v>
      </c>
      <c r="Q1379" s="11" t="s">
        <v>49</v>
      </c>
      <c r="R1379" s="7"/>
      <c r="S1379" s="7"/>
      <c r="T1379" s="7"/>
      <c r="U1379" s="7"/>
      <c r="V1379" s="10">
        <v>9.5</v>
      </c>
      <c r="W1379" s="9">
        <v>44965</v>
      </c>
      <c r="X1379" s="10">
        <v>11.5</v>
      </c>
      <c r="Y1379" s="9">
        <v>44972</v>
      </c>
      <c r="Z1379">
        <v>10</v>
      </c>
      <c r="AA1379" s="11" t="s">
        <v>49</v>
      </c>
    </row>
    <row r="1380" spans="2:27" ht="16" x14ac:dyDescent="0.2">
      <c r="B1380" t="s">
        <v>35</v>
      </c>
      <c r="C1380">
        <v>40357961</v>
      </c>
      <c r="D1380" t="s">
        <v>409</v>
      </c>
      <c r="E1380">
        <v>1012521</v>
      </c>
      <c r="F1380" t="s">
        <v>114</v>
      </c>
      <c r="G1380" s="9">
        <v>44963</v>
      </c>
      <c r="H1380" s="7"/>
      <c r="I1380" s="7"/>
      <c r="J1380" s="7"/>
      <c r="K1380" s="7"/>
      <c r="L1380" s="10">
        <v>7.5</v>
      </c>
      <c r="M1380" s="9">
        <v>44970</v>
      </c>
      <c r="N1380" s="10">
        <v>9.5</v>
      </c>
      <c r="O1380" s="9">
        <v>44979</v>
      </c>
      <c r="P1380">
        <v>5</v>
      </c>
      <c r="Q1380" s="11" t="s">
        <v>49</v>
      </c>
      <c r="R1380" s="7"/>
      <c r="S1380" s="7"/>
      <c r="T1380" s="7"/>
      <c r="U1380" s="7"/>
      <c r="V1380" s="10">
        <v>9.5</v>
      </c>
      <c r="W1380" s="9">
        <v>44972</v>
      </c>
      <c r="X1380" s="10">
        <v>11.5</v>
      </c>
      <c r="Y1380" s="9">
        <v>44979</v>
      </c>
      <c r="Z1380">
        <v>5</v>
      </c>
      <c r="AA1380" s="11" t="s">
        <v>49</v>
      </c>
    </row>
    <row r="1381" spans="2:27" ht="16" x14ac:dyDescent="0.2">
      <c r="B1381" t="s">
        <v>35</v>
      </c>
      <c r="C1381">
        <v>40357960</v>
      </c>
      <c r="D1381" t="s">
        <v>409</v>
      </c>
      <c r="E1381">
        <v>1012111</v>
      </c>
      <c r="F1381" t="s">
        <v>137</v>
      </c>
      <c r="G1381" s="9">
        <v>44964</v>
      </c>
      <c r="H1381" s="7"/>
      <c r="I1381" s="7"/>
      <c r="J1381" s="7"/>
      <c r="K1381" s="7"/>
      <c r="L1381" s="10">
        <v>7.5</v>
      </c>
      <c r="M1381" s="9">
        <v>44971</v>
      </c>
      <c r="N1381" s="10">
        <v>9.5</v>
      </c>
      <c r="O1381" s="9">
        <v>44980</v>
      </c>
      <c r="P1381">
        <v>4</v>
      </c>
      <c r="Q1381" s="11" t="s">
        <v>49</v>
      </c>
      <c r="R1381" s="7"/>
      <c r="S1381" s="7"/>
      <c r="T1381" s="7"/>
      <c r="U1381" s="7"/>
      <c r="V1381" s="10">
        <v>9.5</v>
      </c>
      <c r="W1381" s="9">
        <v>44973</v>
      </c>
      <c r="X1381" s="10">
        <v>11.5</v>
      </c>
      <c r="Y1381" s="9">
        <v>44980</v>
      </c>
      <c r="Z1381">
        <v>4</v>
      </c>
      <c r="AA1381" s="11" t="s">
        <v>49</v>
      </c>
    </row>
    <row r="1382" spans="2:27" ht="16" x14ac:dyDescent="0.2">
      <c r="B1382" t="s">
        <v>35</v>
      </c>
      <c r="C1382">
        <v>40357960</v>
      </c>
      <c r="D1382" t="s">
        <v>409</v>
      </c>
      <c r="E1382">
        <v>1012108</v>
      </c>
      <c r="F1382" t="s">
        <v>57</v>
      </c>
      <c r="G1382" s="9">
        <v>44964</v>
      </c>
      <c r="H1382" s="7"/>
      <c r="I1382" s="7"/>
      <c r="J1382" s="7"/>
      <c r="K1382" s="7"/>
      <c r="L1382" s="10">
        <v>7.5</v>
      </c>
      <c r="M1382" s="9">
        <v>44971</v>
      </c>
      <c r="N1382" s="10">
        <v>9.5</v>
      </c>
      <c r="O1382" s="9">
        <v>44980</v>
      </c>
      <c r="P1382">
        <v>4</v>
      </c>
      <c r="Q1382" s="11" t="s">
        <v>49</v>
      </c>
      <c r="R1382" s="7"/>
      <c r="S1382" s="7"/>
      <c r="T1382" s="7"/>
      <c r="U1382" s="7"/>
      <c r="V1382" s="10">
        <v>9.5</v>
      </c>
      <c r="W1382" s="9">
        <v>44973</v>
      </c>
      <c r="X1382" s="10">
        <v>11.5</v>
      </c>
      <c r="Y1382" s="9">
        <v>44980</v>
      </c>
      <c r="Z1382">
        <v>4</v>
      </c>
      <c r="AA1382" s="11" t="s">
        <v>49</v>
      </c>
    </row>
    <row r="1383" spans="2:27" ht="16" x14ac:dyDescent="0.2">
      <c r="B1383" t="s">
        <v>35</v>
      </c>
      <c r="C1383">
        <v>40357942</v>
      </c>
      <c r="D1383" t="s">
        <v>409</v>
      </c>
      <c r="E1383">
        <v>1011701</v>
      </c>
      <c r="F1383" t="s">
        <v>82</v>
      </c>
      <c r="G1383" s="9">
        <v>44964</v>
      </c>
      <c r="H1383" s="7"/>
      <c r="I1383" s="7"/>
      <c r="J1383" s="7"/>
      <c r="K1383" s="7"/>
      <c r="L1383" s="10">
        <v>7.5</v>
      </c>
      <c r="M1383" s="9">
        <v>44971</v>
      </c>
      <c r="N1383" s="10">
        <v>9.5</v>
      </c>
      <c r="O1383" s="9">
        <v>44980</v>
      </c>
      <c r="P1383">
        <v>4</v>
      </c>
      <c r="Q1383" s="11" t="s">
        <v>49</v>
      </c>
      <c r="R1383" s="7"/>
      <c r="S1383" s="7"/>
      <c r="T1383" s="7"/>
      <c r="U1383" s="7"/>
      <c r="V1383" s="10">
        <v>9.5</v>
      </c>
      <c r="W1383" s="9">
        <v>44973</v>
      </c>
      <c r="X1383" s="10">
        <v>11.5</v>
      </c>
      <c r="Y1383" s="9">
        <v>44980</v>
      </c>
      <c r="Z1383">
        <v>4</v>
      </c>
      <c r="AA1383" s="11" t="s">
        <v>49</v>
      </c>
    </row>
    <row r="1384" spans="2:27" ht="16" x14ac:dyDescent="0.2">
      <c r="B1384" t="s">
        <v>35</v>
      </c>
      <c r="C1384">
        <v>40357927</v>
      </c>
      <c r="D1384" t="s">
        <v>409</v>
      </c>
      <c r="E1384">
        <v>1012158</v>
      </c>
      <c r="F1384" t="s">
        <v>86</v>
      </c>
      <c r="G1384" s="9">
        <v>44965</v>
      </c>
      <c r="H1384" s="7"/>
      <c r="I1384" s="7"/>
      <c r="J1384" s="7"/>
      <c r="K1384" s="7"/>
      <c r="L1384" s="10">
        <v>7.5</v>
      </c>
      <c r="M1384" s="9">
        <v>44972</v>
      </c>
      <c r="N1384" s="10">
        <v>9.5</v>
      </c>
      <c r="O1384" s="9">
        <v>44981</v>
      </c>
      <c r="P1384">
        <v>3</v>
      </c>
      <c r="Q1384" s="11" t="s">
        <v>49</v>
      </c>
      <c r="R1384" s="7"/>
      <c r="S1384" s="7"/>
      <c r="T1384" s="7"/>
      <c r="U1384" s="7"/>
      <c r="V1384" s="10">
        <v>9.5</v>
      </c>
      <c r="W1384" s="9">
        <v>44974</v>
      </c>
      <c r="X1384" s="10">
        <v>11.5</v>
      </c>
      <c r="Y1384" s="9">
        <v>44981</v>
      </c>
      <c r="Z1384">
        <v>3</v>
      </c>
      <c r="AA1384" s="11" t="s">
        <v>49</v>
      </c>
    </row>
    <row r="1385" spans="2:27" ht="16" x14ac:dyDescent="0.2">
      <c r="B1385" t="s">
        <v>35</v>
      </c>
      <c r="C1385">
        <v>40357573</v>
      </c>
      <c r="D1385" t="s">
        <v>389</v>
      </c>
      <c r="E1385">
        <v>1022640</v>
      </c>
      <c r="F1385" t="s">
        <v>318</v>
      </c>
      <c r="G1385" s="9">
        <v>44985</v>
      </c>
      <c r="H1385" s="7">
        <v>22296.17</v>
      </c>
      <c r="I1385" s="7"/>
      <c r="J1385" s="7"/>
      <c r="K1385" s="7"/>
      <c r="L1385" s="10">
        <v>5.5741092456127026</v>
      </c>
      <c r="M1385" s="9">
        <v>44990</v>
      </c>
      <c r="N1385" s="10">
        <v>5.5</v>
      </c>
      <c r="O1385" s="9">
        <v>44995</v>
      </c>
      <c r="P1385">
        <v>18</v>
      </c>
      <c r="Q1385" s="11" t="s">
        <v>49</v>
      </c>
      <c r="R1385" s="7">
        <v>22296.17</v>
      </c>
      <c r="S1385" s="7"/>
      <c r="T1385" s="7"/>
      <c r="U1385" s="7"/>
      <c r="V1385" s="10">
        <v>7.5741092456127026</v>
      </c>
      <c r="W1385" s="9">
        <v>44992</v>
      </c>
      <c r="X1385" s="10">
        <v>7.5</v>
      </c>
      <c r="Y1385" s="9">
        <v>44995</v>
      </c>
      <c r="Z1385">
        <v>18</v>
      </c>
      <c r="AA1385" s="11" t="s">
        <v>49</v>
      </c>
    </row>
    <row r="1386" spans="2:27" ht="16" x14ac:dyDescent="0.2">
      <c r="B1386" t="s">
        <v>35</v>
      </c>
      <c r="C1386">
        <v>40357571</v>
      </c>
      <c r="D1386" t="s">
        <v>389</v>
      </c>
      <c r="E1386">
        <v>1022373</v>
      </c>
      <c r="F1386" t="s">
        <v>302</v>
      </c>
      <c r="G1386" s="9">
        <v>44964</v>
      </c>
      <c r="H1386" s="7"/>
      <c r="I1386" s="7"/>
      <c r="J1386" s="7"/>
      <c r="K1386" s="7"/>
      <c r="L1386" s="10">
        <v>5.5741092456127026</v>
      </c>
      <c r="M1386" s="9">
        <v>44969</v>
      </c>
      <c r="N1386" s="10">
        <v>5.5</v>
      </c>
      <c r="O1386" s="9">
        <v>44974</v>
      </c>
      <c r="P1386">
        <v>9</v>
      </c>
      <c r="Q1386" s="11" t="s">
        <v>49</v>
      </c>
      <c r="R1386" s="7"/>
      <c r="S1386" s="7"/>
      <c r="T1386" s="7"/>
      <c r="U1386" s="7"/>
      <c r="V1386" s="10">
        <v>7.5741092456127026</v>
      </c>
      <c r="W1386" s="9">
        <v>44971</v>
      </c>
      <c r="X1386" s="10">
        <v>7.5</v>
      </c>
      <c r="Y1386" s="9">
        <v>44974</v>
      </c>
      <c r="Z1386">
        <v>9</v>
      </c>
      <c r="AA1386" s="11" t="s">
        <v>49</v>
      </c>
    </row>
    <row r="1387" spans="2:27" ht="16" x14ac:dyDescent="0.2">
      <c r="B1387" t="s">
        <v>35</v>
      </c>
      <c r="C1387">
        <v>40357570</v>
      </c>
      <c r="D1387" t="s">
        <v>389</v>
      </c>
      <c r="E1387">
        <v>1022373</v>
      </c>
      <c r="F1387" t="s">
        <v>302</v>
      </c>
      <c r="G1387" s="9">
        <v>44964</v>
      </c>
      <c r="H1387" s="7"/>
      <c r="I1387" s="7"/>
      <c r="J1387" s="7"/>
      <c r="K1387" s="7"/>
      <c r="L1387" s="10">
        <v>5.5741092456127026</v>
      </c>
      <c r="M1387" s="9">
        <v>44969</v>
      </c>
      <c r="N1387" s="10">
        <v>5.5</v>
      </c>
      <c r="O1387" s="9">
        <v>44974</v>
      </c>
      <c r="P1387">
        <v>9</v>
      </c>
      <c r="Q1387" s="11" t="s">
        <v>49</v>
      </c>
      <c r="R1387" s="7"/>
      <c r="S1387" s="7"/>
      <c r="T1387" s="7"/>
      <c r="U1387" s="7"/>
      <c r="V1387" s="10">
        <v>7.5741092456127026</v>
      </c>
      <c r="W1387" s="9">
        <v>44971</v>
      </c>
      <c r="X1387" s="10">
        <v>7.5</v>
      </c>
      <c r="Y1387" s="9">
        <v>44974</v>
      </c>
      <c r="Z1387">
        <v>9</v>
      </c>
      <c r="AA1387" s="11" t="s">
        <v>49</v>
      </c>
    </row>
    <row r="1388" spans="2:27" ht="16" x14ac:dyDescent="0.2">
      <c r="B1388" t="s">
        <v>35</v>
      </c>
      <c r="C1388">
        <v>40357567</v>
      </c>
      <c r="D1388" t="s">
        <v>389</v>
      </c>
      <c r="E1388">
        <v>1022033</v>
      </c>
      <c r="F1388" t="s">
        <v>415</v>
      </c>
      <c r="G1388" s="9">
        <v>44975</v>
      </c>
      <c r="H1388" s="7"/>
      <c r="I1388" s="7"/>
      <c r="J1388" s="7"/>
      <c r="K1388" s="7"/>
      <c r="L1388" s="10">
        <v>5.5741092456127026</v>
      </c>
      <c r="M1388" s="9">
        <v>44980</v>
      </c>
      <c r="N1388" s="10">
        <v>5.5</v>
      </c>
      <c r="O1388" s="9">
        <v>44985</v>
      </c>
      <c r="P1388">
        <v>0</v>
      </c>
      <c r="Q1388" s="11" t="s">
        <v>594</v>
      </c>
      <c r="R1388" s="7"/>
      <c r="S1388" s="7"/>
      <c r="T1388" s="7"/>
      <c r="U1388" s="7"/>
      <c r="V1388" s="10">
        <v>7.5741092456127026</v>
      </c>
      <c r="W1388" s="9">
        <v>44982</v>
      </c>
      <c r="X1388" s="10">
        <v>7.5</v>
      </c>
      <c r="Y1388" s="9">
        <v>44985</v>
      </c>
      <c r="Z1388">
        <v>0</v>
      </c>
      <c r="AA1388" s="11" t="s">
        <v>594</v>
      </c>
    </row>
    <row r="1389" spans="2:27" ht="16" x14ac:dyDescent="0.2">
      <c r="B1389" t="s">
        <v>35</v>
      </c>
      <c r="C1389">
        <v>40357560</v>
      </c>
      <c r="D1389" t="s">
        <v>389</v>
      </c>
      <c r="E1389">
        <v>1022169</v>
      </c>
      <c r="F1389" t="s">
        <v>298</v>
      </c>
      <c r="G1389" s="9">
        <v>44975</v>
      </c>
      <c r="H1389" s="7"/>
      <c r="I1389" s="7"/>
      <c r="J1389" s="7"/>
      <c r="K1389" s="7"/>
      <c r="L1389" s="10">
        <v>5.5741092456127026</v>
      </c>
      <c r="M1389" s="9">
        <v>44980</v>
      </c>
      <c r="N1389" s="10">
        <v>5.5</v>
      </c>
      <c r="O1389" s="9">
        <v>44985</v>
      </c>
      <c r="P1389">
        <v>0</v>
      </c>
      <c r="Q1389" s="11" t="s">
        <v>594</v>
      </c>
      <c r="R1389" s="7"/>
      <c r="S1389" s="7"/>
      <c r="T1389" s="7"/>
      <c r="U1389" s="7"/>
      <c r="V1389" s="10">
        <v>7.5741092456127026</v>
      </c>
      <c r="W1389" s="9">
        <v>44982</v>
      </c>
      <c r="X1389" s="10">
        <v>7.5</v>
      </c>
      <c r="Y1389" s="9">
        <v>44985</v>
      </c>
      <c r="Z1389">
        <v>0</v>
      </c>
      <c r="AA1389" s="11" t="s">
        <v>594</v>
      </c>
    </row>
    <row r="1390" spans="2:27" ht="16" x14ac:dyDescent="0.2">
      <c r="B1390" t="s">
        <v>35</v>
      </c>
      <c r="C1390">
        <v>40357559</v>
      </c>
      <c r="D1390" t="s">
        <v>389</v>
      </c>
      <c r="E1390">
        <v>1022169</v>
      </c>
      <c r="F1390" t="s">
        <v>298</v>
      </c>
      <c r="G1390" s="9">
        <v>44964</v>
      </c>
      <c r="H1390" s="7"/>
      <c r="I1390" s="7"/>
      <c r="J1390" s="7"/>
      <c r="K1390" s="7"/>
      <c r="L1390" s="10">
        <v>5.5741092456127026</v>
      </c>
      <c r="M1390" s="9">
        <v>44969</v>
      </c>
      <c r="N1390" s="10">
        <v>5.5</v>
      </c>
      <c r="O1390" s="9">
        <v>44974</v>
      </c>
      <c r="P1390">
        <v>9</v>
      </c>
      <c r="Q1390" s="11" t="s">
        <v>49</v>
      </c>
      <c r="R1390" s="7"/>
      <c r="S1390" s="7"/>
      <c r="T1390" s="7"/>
      <c r="U1390" s="7"/>
      <c r="V1390" s="10">
        <v>7.5741092456127026</v>
      </c>
      <c r="W1390" s="9">
        <v>44971</v>
      </c>
      <c r="X1390" s="10">
        <v>7.5</v>
      </c>
      <c r="Y1390" s="9">
        <v>44974</v>
      </c>
      <c r="Z1390">
        <v>9</v>
      </c>
      <c r="AA1390" s="11" t="s">
        <v>49</v>
      </c>
    </row>
    <row r="1391" spans="2:27" ht="16" x14ac:dyDescent="0.2">
      <c r="B1391" t="s">
        <v>35</v>
      </c>
      <c r="C1391">
        <v>40357559</v>
      </c>
      <c r="D1391" t="s">
        <v>389</v>
      </c>
      <c r="E1391">
        <v>1022169</v>
      </c>
      <c r="F1391" t="s">
        <v>298</v>
      </c>
      <c r="G1391" s="9">
        <v>44964</v>
      </c>
      <c r="H1391" s="7"/>
      <c r="I1391" s="7"/>
      <c r="J1391" s="7"/>
      <c r="K1391" s="7"/>
      <c r="L1391" s="10">
        <v>5.5741092456127026</v>
      </c>
      <c r="M1391" s="9">
        <v>44969</v>
      </c>
      <c r="N1391" s="10">
        <v>5.5</v>
      </c>
      <c r="O1391" s="9">
        <v>44974</v>
      </c>
      <c r="P1391">
        <v>9</v>
      </c>
      <c r="Q1391" s="11" t="s">
        <v>49</v>
      </c>
      <c r="R1391" s="7"/>
      <c r="S1391" s="7"/>
      <c r="T1391" s="7"/>
      <c r="U1391" s="7"/>
      <c r="V1391" s="10">
        <v>7.5741092456127026</v>
      </c>
      <c r="W1391" s="9">
        <v>44971</v>
      </c>
      <c r="X1391" s="10">
        <v>7.5</v>
      </c>
      <c r="Y1391" s="9">
        <v>44974</v>
      </c>
      <c r="Z1391">
        <v>9</v>
      </c>
      <c r="AA1391" s="11" t="s">
        <v>49</v>
      </c>
    </row>
    <row r="1392" spans="2:27" ht="16" x14ac:dyDescent="0.2">
      <c r="B1392" t="s">
        <v>35</v>
      </c>
      <c r="C1392">
        <v>40357557</v>
      </c>
      <c r="D1392" t="s">
        <v>389</v>
      </c>
      <c r="E1392">
        <v>1022169</v>
      </c>
      <c r="F1392" t="s">
        <v>298</v>
      </c>
      <c r="G1392" s="9">
        <v>44972</v>
      </c>
      <c r="H1392" s="7"/>
      <c r="I1392" s="7"/>
      <c r="J1392" s="7"/>
      <c r="K1392" s="7"/>
      <c r="L1392" s="10">
        <v>5.5741092456127026</v>
      </c>
      <c r="M1392" s="9">
        <v>44977</v>
      </c>
      <c r="N1392" s="10">
        <v>5.5</v>
      </c>
      <c r="O1392" s="9">
        <v>44982</v>
      </c>
      <c r="P1392">
        <v>2</v>
      </c>
      <c r="Q1392" s="11" t="s">
        <v>594</v>
      </c>
      <c r="R1392" s="7"/>
      <c r="S1392" s="7"/>
      <c r="T1392" s="7"/>
      <c r="U1392" s="7"/>
      <c r="V1392" s="10">
        <v>7.5741092456127026</v>
      </c>
      <c r="W1392" s="9">
        <v>44979</v>
      </c>
      <c r="X1392" s="10">
        <v>7.5</v>
      </c>
      <c r="Y1392" s="9">
        <v>44982</v>
      </c>
      <c r="Z1392">
        <v>2</v>
      </c>
      <c r="AA1392" s="11" t="s">
        <v>594</v>
      </c>
    </row>
    <row r="1393" spans="2:27" ht="16" x14ac:dyDescent="0.2">
      <c r="B1393" t="s">
        <v>35</v>
      </c>
      <c r="C1393">
        <v>40357546</v>
      </c>
      <c r="D1393" t="s">
        <v>389</v>
      </c>
      <c r="E1393">
        <v>1022414</v>
      </c>
      <c r="F1393" t="s">
        <v>308</v>
      </c>
      <c r="G1393" s="9">
        <v>44972</v>
      </c>
      <c r="H1393" s="7"/>
      <c r="I1393" s="7"/>
      <c r="J1393" s="7"/>
      <c r="K1393" s="7"/>
      <c r="L1393" s="10">
        <v>5.5741092456127026</v>
      </c>
      <c r="M1393" s="9">
        <v>44977</v>
      </c>
      <c r="N1393" s="10">
        <v>5.5</v>
      </c>
      <c r="O1393" s="9">
        <v>44982</v>
      </c>
      <c r="P1393">
        <v>2</v>
      </c>
      <c r="Q1393" s="11" t="s">
        <v>594</v>
      </c>
      <c r="R1393" s="7"/>
      <c r="S1393" s="7"/>
      <c r="T1393" s="7"/>
      <c r="U1393" s="7"/>
      <c r="V1393" s="10">
        <v>7.5741092456127026</v>
      </c>
      <c r="W1393" s="9">
        <v>44979</v>
      </c>
      <c r="X1393" s="10">
        <v>7.5</v>
      </c>
      <c r="Y1393" s="9">
        <v>44982</v>
      </c>
      <c r="Z1393">
        <v>2</v>
      </c>
      <c r="AA1393" s="11" t="s">
        <v>594</v>
      </c>
    </row>
    <row r="1394" spans="2:27" ht="16" x14ac:dyDescent="0.2">
      <c r="B1394" t="s">
        <v>35</v>
      </c>
      <c r="C1394">
        <v>40357546</v>
      </c>
      <c r="D1394" t="s">
        <v>389</v>
      </c>
      <c r="E1394">
        <v>1022414</v>
      </c>
      <c r="F1394" t="s">
        <v>308</v>
      </c>
      <c r="G1394" s="9">
        <v>44972</v>
      </c>
      <c r="H1394" s="7"/>
      <c r="I1394" s="7"/>
      <c r="J1394" s="7"/>
      <c r="K1394" s="7"/>
      <c r="L1394" s="10">
        <v>5.5741092456127026</v>
      </c>
      <c r="M1394" s="9">
        <v>44977</v>
      </c>
      <c r="N1394" s="10">
        <v>5.5</v>
      </c>
      <c r="O1394" s="9">
        <v>44982</v>
      </c>
      <c r="P1394">
        <v>2</v>
      </c>
      <c r="Q1394" s="11" t="s">
        <v>594</v>
      </c>
      <c r="R1394" s="7"/>
      <c r="S1394" s="7"/>
      <c r="T1394" s="7"/>
      <c r="U1394" s="7"/>
      <c r="V1394" s="10">
        <v>7.5741092456127026</v>
      </c>
      <c r="W1394" s="9">
        <v>44979</v>
      </c>
      <c r="X1394" s="10">
        <v>7.5</v>
      </c>
      <c r="Y1394" s="9">
        <v>44982</v>
      </c>
      <c r="Z1394">
        <v>2</v>
      </c>
      <c r="AA1394" s="11" t="s">
        <v>594</v>
      </c>
    </row>
    <row r="1395" spans="2:27" ht="16" x14ac:dyDescent="0.2">
      <c r="B1395" t="s">
        <v>35</v>
      </c>
      <c r="C1395">
        <v>40357545</v>
      </c>
      <c r="D1395" t="s">
        <v>389</v>
      </c>
      <c r="E1395">
        <v>1022414</v>
      </c>
      <c r="F1395" t="s">
        <v>308</v>
      </c>
      <c r="G1395" s="9">
        <v>44972</v>
      </c>
      <c r="H1395" s="7"/>
      <c r="I1395" s="7"/>
      <c r="J1395" s="7"/>
      <c r="K1395" s="7"/>
      <c r="L1395" s="10">
        <v>5.5741092456127026</v>
      </c>
      <c r="M1395" s="9">
        <v>44977</v>
      </c>
      <c r="N1395" s="10">
        <v>5.5</v>
      </c>
      <c r="O1395" s="9">
        <v>44982</v>
      </c>
      <c r="P1395">
        <v>2</v>
      </c>
      <c r="Q1395" s="11" t="s">
        <v>594</v>
      </c>
      <c r="R1395" s="7"/>
      <c r="S1395" s="7"/>
      <c r="T1395" s="7"/>
      <c r="U1395" s="7"/>
      <c r="V1395" s="10">
        <v>7.5741092456127026</v>
      </c>
      <c r="W1395" s="9">
        <v>44979</v>
      </c>
      <c r="X1395" s="10">
        <v>7.5</v>
      </c>
      <c r="Y1395" s="9">
        <v>44982</v>
      </c>
      <c r="Z1395">
        <v>2</v>
      </c>
      <c r="AA1395" s="11" t="s">
        <v>594</v>
      </c>
    </row>
    <row r="1396" spans="2:27" ht="16" x14ac:dyDescent="0.2">
      <c r="B1396" t="s">
        <v>35</v>
      </c>
      <c r="C1396">
        <v>40357544</v>
      </c>
      <c r="D1396" t="s">
        <v>389</v>
      </c>
      <c r="E1396">
        <v>1022414</v>
      </c>
      <c r="F1396" t="s">
        <v>308</v>
      </c>
      <c r="G1396" s="9">
        <v>44964</v>
      </c>
      <c r="H1396" s="7"/>
      <c r="I1396" s="7"/>
      <c r="J1396" s="7"/>
      <c r="K1396" s="7"/>
      <c r="L1396" s="10">
        <v>5.5741092456127026</v>
      </c>
      <c r="M1396" s="9">
        <v>44969</v>
      </c>
      <c r="N1396" s="10">
        <v>5.5</v>
      </c>
      <c r="O1396" s="9">
        <v>44974</v>
      </c>
      <c r="P1396">
        <v>9</v>
      </c>
      <c r="Q1396" s="11" t="s">
        <v>49</v>
      </c>
      <c r="R1396" s="7"/>
      <c r="S1396" s="7"/>
      <c r="T1396" s="7"/>
      <c r="U1396" s="7"/>
      <c r="V1396" s="10">
        <v>7.5741092456127026</v>
      </c>
      <c r="W1396" s="9">
        <v>44971</v>
      </c>
      <c r="X1396" s="10">
        <v>7.5</v>
      </c>
      <c r="Y1396" s="9">
        <v>44974</v>
      </c>
      <c r="Z1396">
        <v>9</v>
      </c>
      <c r="AA1396" s="11" t="s">
        <v>49</v>
      </c>
    </row>
    <row r="1397" spans="2:27" ht="16" x14ac:dyDescent="0.2">
      <c r="B1397" t="s">
        <v>35</v>
      </c>
      <c r="C1397">
        <v>40357543</v>
      </c>
      <c r="D1397" t="s">
        <v>389</v>
      </c>
      <c r="E1397">
        <v>1022414</v>
      </c>
      <c r="F1397" t="s">
        <v>308</v>
      </c>
      <c r="G1397" s="9">
        <v>44964</v>
      </c>
      <c r="H1397" s="7"/>
      <c r="I1397" s="7"/>
      <c r="J1397" s="7"/>
      <c r="K1397" s="7"/>
      <c r="L1397" s="10">
        <v>5.5741092456127026</v>
      </c>
      <c r="M1397" s="9">
        <v>44969</v>
      </c>
      <c r="N1397" s="10">
        <v>5.5</v>
      </c>
      <c r="O1397" s="9">
        <v>44974</v>
      </c>
      <c r="P1397">
        <v>9</v>
      </c>
      <c r="Q1397" s="11" t="s">
        <v>49</v>
      </c>
      <c r="R1397" s="7"/>
      <c r="S1397" s="7"/>
      <c r="T1397" s="7"/>
      <c r="U1397" s="7"/>
      <c r="V1397" s="10">
        <v>7.5741092456127026</v>
      </c>
      <c r="W1397" s="9">
        <v>44971</v>
      </c>
      <c r="X1397" s="10">
        <v>7.5</v>
      </c>
      <c r="Y1397" s="9">
        <v>44974</v>
      </c>
      <c r="Z1397">
        <v>9</v>
      </c>
      <c r="AA1397" s="11" t="s">
        <v>49</v>
      </c>
    </row>
    <row r="1398" spans="2:27" ht="16" x14ac:dyDescent="0.2">
      <c r="B1398" t="s">
        <v>35</v>
      </c>
      <c r="C1398">
        <v>40357528</v>
      </c>
      <c r="D1398" t="s">
        <v>389</v>
      </c>
      <c r="E1398">
        <v>1022096</v>
      </c>
      <c r="F1398" t="s">
        <v>440</v>
      </c>
      <c r="G1398" s="9">
        <v>44968</v>
      </c>
      <c r="H1398" s="7"/>
      <c r="I1398" s="7"/>
      <c r="J1398" s="7"/>
      <c r="K1398" s="7"/>
      <c r="L1398" s="10">
        <v>5.5741092456127026</v>
      </c>
      <c r="M1398" s="9">
        <v>44973</v>
      </c>
      <c r="N1398" s="10">
        <v>5.5</v>
      </c>
      <c r="O1398" s="9">
        <v>44978</v>
      </c>
      <c r="P1398">
        <v>6</v>
      </c>
      <c r="Q1398" s="11" t="s">
        <v>49</v>
      </c>
      <c r="R1398" s="7"/>
      <c r="S1398" s="7"/>
      <c r="T1398" s="7"/>
      <c r="U1398" s="7"/>
      <c r="V1398" s="10">
        <v>7.5741092456127026</v>
      </c>
      <c r="W1398" s="9">
        <v>44975</v>
      </c>
      <c r="X1398" s="10">
        <v>7.5</v>
      </c>
      <c r="Y1398" s="9">
        <v>44978</v>
      </c>
      <c r="Z1398">
        <v>6</v>
      </c>
      <c r="AA1398" s="11" t="s">
        <v>49</v>
      </c>
    </row>
    <row r="1399" spans="2:27" ht="16" x14ac:dyDescent="0.2">
      <c r="B1399" t="s">
        <v>35</v>
      </c>
      <c r="C1399">
        <v>40357520</v>
      </c>
      <c r="D1399" t="s">
        <v>389</v>
      </c>
      <c r="E1399">
        <v>1023034</v>
      </c>
      <c r="F1399" t="s">
        <v>441</v>
      </c>
      <c r="G1399" s="9">
        <v>44964</v>
      </c>
      <c r="H1399" s="7"/>
      <c r="I1399" s="7"/>
      <c r="J1399" s="7"/>
      <c r="K1399" s="7"/>
      <c r="L1399" s="10">
        <v>5.5741092456127026</v>
      </c>
      <c r="M1399" s="9">
        <v>44969</v>
      </c>
      <c r="N1399" s="10">
        <v>5.5</v>
      </c>
      <c r="O1399" s="9">
        <v>44974</v>
      </c>
      <c r="P1399">
        <v>9</v>
      </c>
      <c r="Q1399" s="11" t="s">
        <v>49</v>
      </c>
      <c r="R1399" s="7"/>
      <c r="S1399" s="7"/>
      <c r="T1399" s="7"/>
      <c r="U1399" s="7"/>
      <c r="V1399" s="10">
        <v>7.5741092456127026</v>
      </c>
      <c r="W1399" s="9">
        <v>44971</v>
      </c>
      <c r="X1399" s="10">
        <v>7.5</v>
      </c>
      <c r="Y1399" s="9">
        <v>44974</v>
      </c>
      <c r="Z1399">
        <v>9</v>
      </c>
      <c r="AA1399" s="11" t="s">
        <v>49</v>
      </c>
    </row>
    <row r="1400" spans="2:27" ht="16" x14ac:dyDescent="0.2">
      <c r="B1400" t="s">
        <v>35</v>
      </c>
      <c r="C1400">
        <v>40357519</v>
      </c>
      <c r="D1400" t="s">
        <v>389</v>
      </c>
      <c r="E1400">
        <v>1023034</v>
      </c>
      <c r="F1400" t="s">
        <v>441</v>
      </c>
      <c r="G1400" s="9">
        <v>44966</v>
      </c>
      <c r="H1400" s="7"/>
      <c r="I1400" s="7"/>
      <c r="J1400" s="7"/>
      <c r="K1400" s="7"/>
      <c r="L1400" s="10">
        <v>5.5741092456127026</v>
      </c>
      <c r="M1400" s="9">
        <v>44971</v>
      </c>
      <c r="N1400" s="10">
        <v>5.5</v>
      </c>
      <c r="O1400" s="9">
        <v>44976</v>
      </c>
      <c r="P1400">
        <v>8</v>
      </c>
      <c r="Q1400" s="11" t="s">
        <v>49</v>
      </c>
      <c r="R1400" s="7"/>
      <c r="S1400" s="7"/>
      <c r="T1400" s="7"/>
      <c r="U1400" s="7"/>
      <c r="V1400" s="10">
        <v>7.5741092456127026</v>
      </c>
      <c r="W1400" s="9">
        <v>44973</v>
      </c>
      <c r="X1400" s="10">
        <v>7.5</v>
      </c>
      <c r="Y1400" s="9">
        <v>44976</v>
      </c>
      <c r="Z1400">
        <v>8</v>
      </c>
      <c r="AA1400" s="11" t="s">
        <v>49</v>
      </c>
    </row>
    <row r="1401" spans="2:27" ht="16" x14ac:dyDescent="0.2">
      <c r="B1401" t="s">
        <v>35</v>
      </c>
      <c r="C1401">
        <v>40357517</v>
      </c>
      <c r="D1401" t="s">
        <v>389</v>
      </c>
      <c r="E1401">
        <v>1023034</v>
      </c>
      <c r="F1401" t="s">
        <v>441</v>
      </c>
      <c r="G1401" s="9">
        <v>44964</v>
      </c>
      <c r="H1401" s="7"/>
      <c r="I1401" s="7"/>
      <c r="J1401" s="7"/>
      <c r="K1401" s="7"/>
      <c r="L1401" s="10">
        <v>5.5741092456127026</v>
      </c>
      <c r="M1401" s="9">
        <v>44969</v>
      </c>
      <c r="N1401" s="10">
        <v>5.5</v>
      </c>
      <c r="O1401" s="9">
        <v>44974</v>
      </c>
      <c r="P1401">
        <v>9</v>
      </c>
      <c r="Q1401" s="11" t="s">
        <v>49</v>
      </c>
      <c r="R1401" s="7"/>
      <c r="S1401" s="7"/>
      <c r="T1401" s="7"/>
      <c r="U1401" s="7"/>
      <c r="V1401" s="10">
        <v>7.5741092456127026</v>
      </c>
      <c r="W1401" s="9">
        <v>44971</v>
      </c>
      <c r="X1401" s="10">
        <v>7.5</v>
      </c>
      <c r="Y1401" s="9">
        <v>44974</v>
      </c>
      <c r="Z1401">
        <v>9</v>
      </c>
      <c r="AA1401" s="11" t="s">
        <v>49</v>
      </c>
    </row>
    <row r="1402" spans="2:27" ht="16" x14ac:dyDescent="0.2">
      <c r="B1402" t="s">
        <v>35</v>
      </c>
      <c r="C1402">
        <v>40357509</v>
      </c>
      <c r="D1402" t="s">
        <v>389</v>
      </c>
      <c r="E1402">
        <v>1021766</v>
      </c>
      <c r="F1402" t="s">
        <v>286</v>
      </c>
      <c r="G1402" s="9">
        <v>44985</v>
      </c>
      <c r="H1402" s="7">
        <v>24462</v>
      </c>
      <c r="I1402" s="7"/>
      <c r="J1402" s="7"/>
      <c r="K1402" s="7"/>
      <c r="L1402" s="10">
        <v>5.5741092456127026</v>
      </c>
      <c r="M1402" s="9">
        <v>44990</v>
      </c>
      <c r="N1402" s="10">
        <v>5.5</v>
      </c>
      <c r="O1402" s="9">
        <v>44995</v>
      </c>
      <c r="P1402">
        <v>18</v>
      </c>
      <c r="Q1402" s="11" t="s">
        <v>49</v>
      </c>
      <c r="R1402" s="7">
        <v>24462</v>
      </c>
      <c r="S1402" s="7"/>
      <c r="T1402" s="7"/>
      <c r="U1402" s="7"/>
      <c r="V1402" s="10">
        <v>7.5741092456127026</v>
      </c>
      <c r="W1402" s="9">
        <v>44992</v>
      </c>
      <c r="X1402" s="10">
        <v>7.5</v>
      </c>
      <c r="Y1402" s="9">
        <v>44995</v>
      </c>
      <c r="Z1402">
        <v>18</v>
      </c>
      <c r="AA1402" s="11" t="s">
        <v>49</v>
      </c>
    </row>
    <row r="1403" spans="2:27" ht="16" x14ac:dyDescent="0.2">
      <c r="B1403" t="s">
        <v>35</v>
      </c>
      <c r="C1403">
        <v>40357387</v>
      </c>
      <c r="D1403" t="s">
        <v>389</v>
      </c>
      <c r="E1403">
        <v>1021738</v>
      </c>
      <c r="F1403" t="s">
        <v>282</v>
      </c>
      <c r="G1403" s="9">
        <v>44964</v>
      </c>
      <c r="H1403" s="7"/>
      <c r="I1403" s="7"/>
      <c r="J1403" s="7"/>
      <c r="K1403" s="7"/>
      <c r="L1403" s="10">
        <v>5.5741092456127026</v>
      </c>
      <c r="M1403" s="9">
        <v>44969</v>
      </c>
      <c r="N1403" s="10">
        <v>5.5</v>
      </c>
      <c r="O1403" s="9">
        <v>44974</v>
      </c>
      <c r="P1403">
        <v>9</v>
      </c>
      <c r="Q1403" s="11" t="s">
        <v>49</v>
      </c>
      <c r="R1403" s="7"/>
      <c r="S1403" s="7"/>
      <c r="T1403" s="7"/>
      <c r="U1403" s="7"/>
      <c r="V1403" s="10">
        <v>7.5741092456127026</v>
      </c>
      <c r="W1403" s="9">
        <v>44971</v>
      </c>
      <c r="X1403" s="10">
        <v>7.5</v>
      </c>
      <c r="Y1403" s="9">
        <v>44974</v>
      </c>
      <c r="Z1403">
        <v>9</v>
      </c>
      <c r="AA1403" s="11" t="s">
        <v>49</v>
      </c>
    </row>
    <row r="1404" spans="2:27" ht="16" x14ac:dyDescent="0.2">
      <c r="B1404" t="s">
        <v>35</v>
      </c>
      <c r="C1404">
        <v>40357386</v>
      </c>
      <c r="D1404" t="s">
        <v>389</v>
      </c>
      <c r="E1404">
        <v>1021738</v>
      </c>
      <c r="F1404" t="s">
        <v>282</v>
      </c>
      <c r="G1404" s="9">
        <v>44964</v>
      </c>
      <c r="H1404" s="7"/>
      <c r="I1404" s="7"/>
      <c r="J1404" s="7"/>
      <c r="K1404" s="7"/>
      <c r="L1404" s="10">
        <v>5.5741092456127026</v>
      </c>
      <c r="M1404" s="9">
        <v>44969</v>
      </c>
      <c r="N1404" s="10">
        <v>5.5</v>
      </c>
      <c r="O1404" s="9">
        <v>44974</v>
      </c>
      <c r="P1404">
        <v>9</v>
      </c>
      <c r="Q1404" s="11" t="s">
        <v>49</v>
      </c>
      <c r="R1404" s="7"/>
      <c r="S1404" s="7"/>
      <c r="T1404" s="7"/>
      <c r="U1404" s="7"/>
      <c r="V1404" s="10">
        <v>7.5741092456127026</v>
      </c>
      <c r="W1404" s="9">
        <v>44971</v>
      </c>
      <c r="X1404" s="10">
        <v>7.5</v>
      </c>
      <c r="Y1404" s="9">
        <v>44974</v>
      </c>
      <c r="Z1404">
        <v>9</v>
      </c>
      <c r="AA1404" s="11" t="s">
        <v>49</v>
      </c>
    </row>
    <row r="1405" spans="2:27" ht="16" x14ac:dyDescent="0.2">
      <c r="B1405" t="s">
        <v>35</v>
      </c>
      <c r="C1405">
        <v>40357377</v>
      </c>
      <c r="D1405" t="s">
        <v>389</v>
      </c>
      <c r="E1405">
        <v>1021735</v>
      </c>
      <c r="F1405" t="s">
        <v>278</v>
      </c>
      <c r="G1405" s="9">
        <v>44968</v>
      </c>
      <c r="H1405" s="7"/>
      <c r="I1405" s="7"/>
      <c r="J1405" s="7"/>
      <c r="K1405" s="7"/>
      <c r="L1405" s="10">
        <v>5.5741092456127026</v>
      </c>
      <c r="M1405" s="9">
        <v>44973</v>
      </c>
      <c r="N1405" s="10">
        <v>5.5</v>
      </c>
      <c r="O1405" s="9">
        <v>44978</v>
      </c>
      <c r="P1405">
        <v>6</v>
      </c>
      <c r="Q1405" s="11" t="s">
        <v>49</v>
      </c>
      <c r="R1405" s="7"/>
      <c r="S1405" s="7"/>
      <c r="T1405" s="7"/>
      <c r="U1405" s="7"/>
      <c r="V1405" s="10">
        <v>7.5741092456127026</v>
      </c>
      <c r="W1405" s="9">
        <v>44975</v>
      </c>
      <c r="X1405" s="10">
        <v>7.5</v>
      </c>
      <c r="Y1405" s="9">
        <v>44978</v>
      </c>
      <c r="Z1405">
        <v>6</v>
      </c>
      <c r="AA1405" s="11" t="s">
        <v>49</v>
      </c>
    </row>
    <row r="1406" spans="2:27" ht="16" x14ac:dyDescent="0.2">
      <c r="B1406" t="s">
        <v>35</v>
      </c>
      <c r="C1406">
        <v>40357376</v>
      </c>
      <c r="D1406" t="s">
        <v>389</v>
      </c>
      <c r="E1406">
        <v>1021735</v>
      </c>
      <c r="F1406" t="s">
        <v>278</v>
      </c>
      <c r="G1406" s="9">
        <v>44968</v>
      </c>
      <c r="H1406" s="7"/>
      <c r="I1406" s="7"/>
      <c r="J1406" s="7"/>
      <c r="K1406" s="7"/>
      <c r="L1406" s="10">
        <v>5.5741092456127026</v>
      </c>
      <c r="M1406" s="9">
        <v>44973</v>
      </c>
      <c r="N1406" s="10">
        <v>5.5</v>
      </c>
      <c r="O1406" s="9">
        <v>44978</v>
      </c>
      <c r="P1406">
        <v>6</v>
      </c>
      <c r="Q1406" s="11" t="s">
        <v>49</v>
      </c>
      <c r="R1406" s="7"/>
      <c r="S1406" s="7"/>
      <c r="T1406" s="7"/>
      <c r="U1406" s="7"/>
      <c r="V1406" s="10">
        <v>7.5741092456127026</v>
      </c>
      <c r="W1406" s="9">
        <v>44975</v>
      </c>
      <c r="X1406" s="10">
        <v>7.5</v>
      </c>
      <c r="Y1406" s="9">
        <v>44978</v>
      </c>
      <c r="Z1406">
        <v>6</v>
      </c>
      <c r="AA1406" s="11" t="s">
        <v>49</v>
      </c>
    </row>
    <row r="1407" spans="2:27" ht="16" x14ac:dyDescent="0.2">
      <c r="B1407" t="s">
        <v>35</v>
      </c>
      <c r="C1407">
        <v>40357376</v>
      </c>
      <c r="D1407" t="s">
        <v>389</v>
      </c>
      <c r="E1407">
        <v>1021735</v>
      </c>
      <c r="F1407" t="s">
        <v>278</v>
      </c>
      <c r="G1407" s="9">
        <v>44968</v>
      </c>
      <c r="H1407" s="7"/>
      <c r="I1407" s="7"/>
      <c r="J1407" s="7"/>
      <c r="K1407" s="7"/>
      <c r="L1407" s="10">
        <v>5.5741092456127026</v>
      </c>
      <c r="M1407" s="9">
        <v>44973</v>
      </c>
      <c r="N1407" s="10">
        <v>5.5</v>
      </c>
      <c r="O1407" s="9">
        <v>44978</v>
      </c>
      <c r="P1407">
        <v>6</v>
      </c>
      <c r="Q1407" s="11" t="s">
        <v>49</v>
      </c>
      <c r="R1407" s="7"/>
      <c r="S1407" s="7"/>
      <c r="T1407" s="7"/>
      <c r="U1407" s="7"/>
      <c r="V1407" s="10">
        <v>7.5741092456127026</v>
      </c>
      <c r="W1407" s="9">
        <v>44975</v>
      </c>
      <c r="X1407" s="10">
        <v>7.5</v>
      </c>
      <c r="Y1407" s="9">
        <v>44978</v>
      </c>
      <c r="Z1407">
        <v>6</v>
      </c>
      <c r="AA1407" s="11" t="s">
        <v>49</v>
      </c>
    </row>
    <row r="1408" spans="2:27" ht="16" x14ac:dyDescent="0.2">
      <c r="B1408" t="s">
        <v>35</v>
      </c>
      <c r="C1408">
        <v>40357374</v>
      </c>
      <c r="D1408" t="s">
        <v>389</v>
      </c>
      <c r="E1408">
        <v>1021739</v>
      </c>
      <c r="F1408" t="s">
        <v>416</v>
      </c>
      <c r="G1408" s="9">
        <v>44985</v>
      </c>
      <c r="H1408" s="7">
        <v>24009.38</v>
      </c>
      <c r="I1408" s="7"/>
      <c r="J1408" s="7"/>
      <c r="K1408" s="7"/>
      <c r="L1408" s="10">
        <v>5.5741092456127026</v>
      </c>
      <c r="M1408" s="9">
        <v>44990</v>
      </c>
      <c r="N1408" s="10">
        <v>5.5</v>
      </c>
      <c r="O1408" s="9">
        <v>44995</v>
      </c>
      <c r="P1408">
        <v>18</v>
      </c>
      <c r="Q1408" s="11" t="s">
        <v>49</v>
      </c>
      <c r="R1408" s="7">
        <v>24009.38</v>
      </c>
      <c r="S1408" s="7"/>
      <c r="T1408" s="7"/>
      <c r="U1408" s="7"/>
      <c r="V1408" s="10">
        <v>7.5741092456127026</v>
      </c>
      <c r="W1408" s="9">
        <v>44992</v>
      </c>
      <c r="X1408" s="10">
        <v>7.5</v>
      </c>
      <c r="Y1408" s="9">
        <v>44995</v>
      </c>
      <c r="Z1408">
        <v>18</v>
      </c>
      <c r="AA1408" s="11" t="s">
        <v>49</v>
      </c>
    </row>
    <row r="1409" spans="2:27" ht="16" x14ac:dyDescent="0.2">
      <c r="B1409" t="s">
        <v>35</v>
      </c>
      <c r="C1409">
        <v>40357364</v>
      </c>
      <c r="D1409" t="s">
        <v>389</v>
      </c>
      <c r="E1409">
        <v>1022748</v>
      </c>
      <c r="F1409" t="s">
        <v>444</v>
      </c>
      <c r="G1409" s="9">
        <v>44966</v>
      </c>
      <c r="H1409" s="7"/>
      <c r="I1409" s="7"/>
      <c r="J1409" s="7"/>
      <c r="K1409" s="7"/>
      <c r="L1409" s="10">
        <v>5.5741092456127026</v>
      </c>
      <c r="M1409" s="9">
        <v>44971</v>
      </c>
      <c r="N1409" s="10">
        <v>5.5</v>
      </c>
      <c r="O1409" s="9">
        <v>44976</v>
      </c>
      <c r="P1409">
        <v>8</v>
      </c>
      <c r="Q1409" s="11" t="s">
        <v>49</v>
      </c>
      <c r="R1409" s="7"/>
      <c r="S1409" s="7"/>
      <c r="T1409" s="7"/>
      <c r="U1409" s="7"/>
      <c r="V1409" s="10">
        <v>7.5741092456127026</v>
      </c>
      <c r="W1409" s="9">
        <v>44973</v>
      </c>
      <c r="X1409" s="10">
        <v>7.5</v>
      </c>
      <c r="Y1409" s="9">
        <v>44976</v>
      </c>
      <c r="Z1409">
        <v>8</v>
      </c>
      <c r="AA1409" s="11" t="s">
        <v>49</v>
      </c>
    </row>
    <row r="1410" spans="2:27" ht="16" x14ac:dyDescent="0.2">
      <c r="B1410" t="s">
        <v>35</v>
      </c>
      <c r="C1410">
        <v>40357362</v>
      </c>
      <c r="D1410" t="s">
        <v>389</v>
      </c>
      <c r="E1410">
        <v>1022748</v>
      </c>
      <c r="F1410" t="s">
        <v>444</v>
      </c>
      <c r="G1410" s="9">
        <v>44968</v>
      </c>
      <c r="H1410" s="7"/>
      <c r="I1410" s="7"/>
      <c r="J1410" s="7"/>
      <c r="K1410" s="7"/>
      <c r="L1410" s="10">
        <v>5.5741092456127026</v>
      </c>
      <c r="M1410" s="9">
        <v>44973</v>
      </c>
      <c r="N1410" s="10">
        <v>5.5</v>
      </c>
      <c r="O1410" s="9">
        <v>44978</v>
      </c>
      <c r="P1410">
        <v>6</v>
      </c>
      <c r="Q1410" s="11" t="s">
        <v>49</v>
      </c>
      <c r="R1410" s="7"/>
      <c r="S1410" s="7"/>
      <c r="T1410" s="7"/>
      <c r="U1410" s="7"/>
      <c r="V1410" s="10">
        <v>7.5741092456127026</v>
      </c>
      <c r="W1410" s="9">
        <v>44975</v>
      </c>
      <c r="X1410" s="10">
        <v>7.5</v>
      </c>
      <c r="Y1410" s="9">
        <v>44978</v>
      </c>
      <c r="Z1410">
        <v>6</v>
      </c>
      <c r="AA1410" s="11" t="s">
        <v>49</v>
      </c>
    </row>
    <row r="1411" spans="2:27" ht="16" x14ac:dyDescent="0.2">
      <c r="B1411" t="s">
        <v>35</v>
      </c>
      <c r="C1411">
        <v>40357355</v>
      </c>
      <c r="D1411" t="s">
        <v>389</v>
      </c>
      <c r="E1411">
        <v>1022753</v>
      </c>
      <c r="F1411" t="s">
        <v>320</v>
      </c>
      <c r="G1411" s="9">
        <v>44985</v>
      </c>
      <c r="H1411" s="7">
        <v>24000</v>
      </c>
      <c r="I1411" s="7"/>
      <c r="J1411" s="7"/>
      <c r="K1411" s="7"/>
      <c r="L1411" s="10">
        <v>5.5741092456127026</v>
      </c>
      <c r="M1411" s="9">
        <v>44990</v>
      </c>
      <c r="N1411" s="10">
        <v>5.5</v>
      </c>
      <c r="O1411" s="9">
        <v>44995</v>
      </c>
      <c r="P1411">
        <v>18</v>
      </c>
      <c r="Q1411" s="11" t="s">
        <v>49</v>
      </c>
      <c r="R1411" s="7">
        <v>24000</v>
      </c>
      <c r="S1411" s="7"/>
      <c r="T1411" s="7"/>
      <c r="U1411" s="7"/>
      <c r="V1411" s="10">
        <v>7.5741092456127026</v>
      </c>
      <c r="W1411" s="9">
        <v>44992</v>
      </c>
      <c r="X1411" s="10">
        <v>7.5</v>
      </c>
      <c r="Y1411" s="9">
        <v>44995</v>
      </c>
      <c r="Z1411">
        <v>18</v>
      </c>
      <c r="AA1411" s="11" t="s">
        <v>49</v>
      </c>
    </row>
    <row r="1412" spans="2:27" ht="16" x14ac:dyDescent="0.2">
      <c r="B1412" t="s">
        <v>35</v>
      </c>
      <c r="C1412">
        <v>40357338</v>
      </c>
      <c r="D1412" t="s">
        <v>389</v>
      </c>
      <c r="E1412">
        <v>1022099</v>
      </c>
      <c r="F1412" t="s">
        <v>294</v>
      </c>
      <c r="G1412" s="9">
        <v>44985</v>
      </c>
      <c r="H1412" s="7">
        <v>24120</v>
      </c>
      <c r="I1412" s="7"/>
      <c r="J1412" s="7"/>
      <c r="K1412" s="7"/>
      <c r="L1412" s="10">
        <v>5.5741092456127026</v>
      </c>
      <c r="M1412" s="9">
        <v>44990</v>
      </c>
      <c r="N1412" s="10">
        <v>5.5</v>
      </c>
      <c r="O1412" s="9">
        <v>44995</v>
      </c>
      <c r="P1412">
        <v>18</v>
      </c>
      <c r="Q1412" s="11" t="s">
        <v>49</v>
      </c>
      <c r="R1412" s="7">
        <v>24120</v>
      </c>
      <c r="S1412" s="7"/>
      <c r="T1412" s="7"/>
      <c r="U1412" s="7"/>
      <c r="V1412" s="10">
        <v>7.5741092456127026</v>
      </c>
      <c r="W1412" s="9">
        <v>44992</v>
      </c>
      <c r="X1412" s="10">
        <v>7.5</v>
      </c>
      <c r="Y1412" s="9">
        <v>44995</v>
      </c>
      <c r="Z1412">
        <v>18</v>
      </c>
      <c r="AA1412" s="11" t="s">
        <v>49</v>
      </c>
    </row>
    <row r="1413" spans="2:27" ht="16" x14ac:dyDescent="0.2">
      <c r="B1413" t="s">
        <v>35</v>
      </c>
      <c r="C1413">
        <v>40357337</v>
      </c>
      <c r="D1413" t="s">
        <v>389</v>
      </c>
      <c r="E1413">
        <v>1022099</v>
      </c>
      <c r="F1413" t="s">
        <v>294</v>
      </c>
      <c r="G1413" s="9">
        <v>44985</v>
      </c>
      <c r="H1413" s="7">
        <v>24750</v>
      </c>
      <c r="I1413" s="7"/>
      <c r="J1413" s="7"/>
      <c r="K1413" s="7"/>
      <c r="L1413" s="10">
        <v>5.5741092456127026</v>
      </c>
      <c r="M1413" s="9">
        <v>44990</v>
      </c>
      <c r="N1413" s="10">
        <v>5.5</v>
      </c>
      <c r="O1413" s="9">
        <v>44995</v>
      </c>
      <c r="P1413">
        <v>18</v>
      </c>
      <c r="Q1413" s="11" t="s">
        <v>49</v>
      </c>
      <c r="R1413" s="7">
        <v>24750</v>
      </c>
      <c r="S1413" s="7"/>
      <c r="T1413" s="7"/>
      <c r="U1413" s="7"/>
      <c r="V1413" s="10">
        <v>7.5741092456127026</v>
      </c>
      <c r="W1413" s="9">
        <v>44992</v>
      </c>
      <c r="X1413" s="10">
        <v>7.5</v>
      </c>
      <c r="Y1413" s="9">
        <v>44995</v>
      </c>
      <c r="Z1413">
        <v>18</v>
      </c>
      <c r="AA1413" s="11" t="s">
        <v>49</v>
      </c>
    </row>
    <row r="1414" spans="2:27" ht="16" x14ac:dyDescent="0.2">
      <c r="B1414" t="s">
        <v>35</v>
      </c>
      <c r="C1414">
        <v>40357336</v>
      </c>
      <c r="D1414" t="s">
        <v>389</v>
      </c>
      <c r="E1414">
        <v>1022099</v>
      </c>
      <c r="F1414" t="s">
        <v>294</v>
      </c>
      <c r="G1414" s="9">
        <v>44979</v>
      </c>
      <c r="H1414" s="7">
        <v>24876</v>
      </c>
      <c r="I1414" s="7"/>
      <c r="J1414" s="7"/>
      <c r="K1414" s="7"/>
      <c r="L1414" s="10">
        <v>5.5741092456127026</v>
      </c>
      <c r="M1414" s="9">
        <v>44984</v>
      </c>
      <c r="N1414" s="10">
        <v>5.5</v>
      </c>
      <c r="O1414" s="9">
        <v>44989</v>
      </c>
      <c r="P1414">
        <v>23</v>
      </c>
      <c r="Q1414" s="11" t="s">
        <v>49</v>
      </c>
      <c r="R1414" s="7">
        <v>24876</v>
      </c>
      <c r="S1414" s="7"/>
      <c r="T1414" s="7"/>
      <c r="U1414" s="7"/>
      <c r="V1414" s="10">
        <v>7.5741092456127026</v>
      </c>
      <c r="W1414" s="9">
        <v>44986</v>
      </c>
      <c r="X1414" s="10">
        <v>7.5</v>
      </c>
      <c r="Y1414" s="9">
        <v>44989</v>
      </c>
      <c r="Z1414">
        <v>23</v>
      </c>
      <c r="AA1414" s="11" t="s">
        <v>49</v>
      </c>
    </row>
    <row r="1415" spans="2:27" ht="16" x14ac:dyDescent="0.2">
      <c r="B1415" t="s">
        <v>35</v>
      </c>
      <c r="C1415">
        <v>40357329</v>
      </c>
      <c r="D1415" t="s">
        <v>389</v>
      </c>
      <c r="E1415">
        <v>1021732</v>
      </c>
      <c r="F1415" t="s">
        <v>275</v>
      </c>
      <c r="G1415" s="9">
        <v>44985</v>
      </c>
      <c r="H1415" s="7">
        <v>24280</v>
      </c>
      <c r="I1415" s="7"/>
      <c r="J1415" s="7"/>
      <c r="K1415" s="7"/>
      <c r="L1415" s="10">
        <v>5.5741092456127026</v>
      </c>
      <c r="M1415" s="9">
        <v>44990</v>
      </c>
      <c r="N1415" s="10">
        <v>5.5</v>
      </c>
      <c r="O1415" s="9">
        <v>44995</v>
      </c>
      <c r="P1415">
        <v>18</v>
      </c>
      <c r="Q1415" s="11" t="s">
        <v>49</v>
      </c>
      <c r="R1415" s="7">
        <v>24280</v>
      </c>
      <c r="S1415" s="7"/>
      <c r="T1415" s="7"/>
      <c r="U1415" s="7"/>
      <c r="V1415" s="10">
        <v>7.5741092456127026</v>
      </c>
      <c r="W1415" s="9">
        <v>44992</v>
      </c>
      <c r="X1415" s="10">
        <v>7.5</v>
      </c>
      <c r="Y1415" s="9">
        <v>44995</v>
      </c>
      <c r="Z1415">
        <v>18</v>
      </c>
      <c r="AA1415" s="11" t="s">
        <v>49</v>
      </c>
    </row>
    <row r="1416" spans="2:27" ht="16" x14ac:dyDescent="0.2">
      <c r="B1416" t="s">
        <v>35</v>
      </c>
      <c r="C1416">
        <v>40357320</v>
      </c>
      <c r="D1416" t="s">
        <v>389</v>
      </c>
      <c r="E1416">
        <v>1021732</v>
      </c>
      <c r="F1416" t="s">
        <v>275</v>
      </c>
      <c r="G1416" s="9">
        <v>44966</v>
      </c>
      <c r="H1416" s="7"/>
      <c r="I1416" s="7"/>
      <c r="J1416" s="7"/>
      <c r="K1416" s="7"/>
      <c r="L1416" s="10">
        <v>5.5741092456127026</v>
      </c>
      <c r="M1416" s="9">
        <v>44971</v>
      </c>
      <c r="N1416" s="10">
        <v>5.5</v>
      </c>
      <c r="O1416" s="9">
        <v>44976</v>
      </c>
      <c r="P1416">
        <v>8</v>
      </c>
      <c r="Q1416" s="11" t="s">
        <v>49</v>
      </c>
      <c r="R1416" s="7"/>
      <c r="S1416" s="7"/>
      <c r="T1416" s="7"/>
      <c r="U1416" s="7"/>
      <c r="V1416" s="10">
        <v>7.5741092456127026</v>
      </c>
      <c r="W1416" s="9">
        <v>44973</v>
      </c>
      <c r="X1416" s="10">
        <v>7.5</v>
      </c>
      <c r="Y1416" s="9">
        <v>44976</v>
      </c>
      <c r="Z1416">
        <v>8</v>
      </c>
      <c r="AA1416" s="11" t="s">
        <v>49</v>
      </c>
    </row>
    <row r="1417" spans="2:27" ht="16" x14ac:dyDescent="0.2">
      <c r="B1417" t="s">
        <v>35</v>
      </c>
      <c r="C1417">
        <v>40357319</v>
      </c>
      <c r="D1417" t="s">
        <v>389</v>
      </c>
      <c r="E1417">
        <v>1021732</v>
      </c>
      <c r="F1417" t="s">
        <v>275</v>
      </c>
      <c r="G1417" s="9">
        <v>44966</v>
      </c>
      <c r="H1417" s="7"/>
      <c r="I1417" s="7"/>
      <c r="J1417" s="7"/>
      <c r="K1417" s="7"/>
      <c r="L1417" s="10">
        <v>5.5741092456127026</v>
      </c>
      <c r="M1417" s="9">
        <v>44971</v>
      </c>
      <c r="N1417" s="10">
        <v>5.5</v>
      </c>
      <c r="O1417" s="9">
        <v>44976</v>
      </c>
      <c r="P1417">
        <v>8</v>
      </c>
      <c r="Q1417" s="11" t="s">
        <v>49</v>
      </c>
      <c r="R1417" s="7"/>
      <c r="S1417" s="7"/>
      <c r="T1417" s="7"/>
      <c r="U1417" s="7"/>
      <c r="V1417" s="10">
        <v>7.5741092456127026</v>
      </c>
      <c r="W1417" s="9">
        <v>44973</v>
      </c>
      <c r="X1417" s="10">
        <v>7.5</v>
      </c>
      <c r="Y1417" s="9">
        <v>44976</v>
      </c>
      <c r="Z1417">
        <v>8</v>
      </c>
      <c r="AA1417" s="11" t="s">
        <v>49</v>
      </c>
    </row>
    <row r="1418" spans="2:27" ht="16" x14ac:dyDescent="0.2">
      <c r="B1418" t="s">
        <v>35</v>
      </c>
      <c r="C1418">
        <v>40357314</v>
      </c>
      <c r="D1418" t="s">
        <v>389</v>
      </c>
      <c r="E1418">
        <v>1022541</v>
      </c>
      <c r="F1418" t="s">
        <v>445</v>
      </c>
      <c r="G1418" s="9">
        <v>44968</v>
      </c>
      <c r="H1418" s="7"/>
      <c r="I1418" s="7"/>
      <c r="J1418" s="7"/>
      <c r="K1418" s="7"/>
      <c r="L1418" s="10">
        <v>5.5741092456127026</v>
      </c>
      <c r="M1418" s="9">
        <v>44973</v>
      </c>
      <c r="N1418" s="10">
        <v>5.5</v>
      </c>
      <c r="O1418" s="9">
        <v>44978</v>
      </c>
      <c r="P1418">
        <v>6</v>
      </c>
      <c r="Q1418" s="11" t="s">
        <v>49</v>
      </c>
      <c r="R1418" s="7"/>
      <c r="S1418" s="7"/>
      <c r="T1418" s="7"/>
      <c r="U1418" s="7"/>
      <c r="V1418" s="10">
        <v>7.5741092456127026</v>
      </c>
      <c r="W1418" s="9">
        <v>44975</v>
      </c>
      <c r="X1418" s="10">
        <v>7.5</v>
      </c>
      <c r="Y1418" s="9">
        <v>44978</v>
      </c>
      <c r="Z1418">
        <v>6</v>
      </c>
      <c r="AA1418" s="11" t="s">
        <v>49</v>
      </c>
    </row>
    <row r="1419" spans="2:27" ht="16" x14ac:dyDescent="0.2">
      <c r="B1419" t="s">
        <v>35</v>
      </c>
      <c r="C1419">
        <v>40357309</v>
      </c>
      <c r="D1419" t="s">
        <v>389</v>
      </c>
      <c r="E1419">
        <v>1022379</v>
      </c>
      <c r="F1419" t="s">
        <v>306</v>
      </c>
      <c r="G1419" s="9">
        <v>44979</v>
      </c>
      <c r="H1419" s="7">
        <v>22799.360000000001</v>
      </c>
      <c r="I1419" s="7"/>
      <c r="J1419" s="7"/>
      <c r="K1419" s="7"/>
      <c r="L1419" s="10">
        <v>5.5741092456127026</v>
      </c>
      <c r="M1419" s="9">
        <v>44984</v>
      </c>
      <c r="N1419" s="10">
        <v>5.5</v>
      </c>
      <c r="O1419" s="9">
        <v>44989</v>
      </c>
      <c r="P1419">
        <v>23</v>
      </c>
      <c r="Q1419" s="11" t="s">
        <v>49</v>
      </c>
      <c r="R1419" s="7">
        <v>22799.360000000001</v>
      </c>
      <c r="S1419" s="7"/>
      <c r="T1419" s="7"/>
      <c r="U1419" s="7"/>
      <c r="V1419" s="10">
        <v>7.5741092456127026</v>
      </c>
      <c r="W1419" s="9">
        <v>44986</v>
      </c>
      <c r="X1419" s="10">
        <v>7.5</v>
      </c>
      <c r="Y1419" s="9">
        <v>44989</v>
      </c>
      <c r="Z1419">
        <v>23</v>
      </c>
      <c r="AA1419" s="11" t="s">
        <v>49</v>
      </c>
    </row>
    <row r="1420" spans="2:27" ht="16" x14ac:dyDescent="0.2">
      <c r="B1420" t="s">
        <v>35</v>
      </c>
      <c r="C1420">
        <v>40357307</v>
      </c>
      <c r="D1420" t="s">
        <v>389</v>
      </c>
      <c r="E1420">
        <v>1022379</v>
      </c>
      <c r="F1420" t="s">
        <v>306</v>
      </c>
      <c r="G1420" s="9">
        <v>44972</v>
      </c>
      <c r="H1420" s="7"/>
      <c r="I1420" s="7"/>
      <c r="J1420" s="7"/>
      <c r="K1420" s="7"/>
      <c r="L1420" s="10">
        <v>5.5741092456127026</v>
      </c>
      <c r="M1420" s="9">
        <v>44977</v>
      </c>
      <c r="N1420" s="10">
        <v>5.5</v>
      </c>
      <c r="O1420" s="9">
        <v>44982</v>
      </c>
      <c r="P1420">
        <v>2</v>
      </c>
      <c r="Q1420" s="11" t="s">
        <v>594</v>
      </c>
      <c r="R1420" s="7"/>
      <c r="S1420" s="7"/>
      <c r="T1420" s="7"/>
      <c r="U1420" s="7"/>
      <c r="V1420" s="10">
        <v>7.5741092456127026</v>
      </c>
      <c r="W1420" s="9">
        <v>44979</v>
      </c>
      <c r="X1420" s="10">
        <v>7.5</v>
      </c>
      <c r="Y1420" s="9">
        <v>44982</v>
      </c>
      <c r="Z1420">
        <v>2</v>
      </c>
      <c r="AA1420" s="11" t="s">
        <v>594</v>
      </c>
    </row>
    <row r="1421" spans="2:27" ht="16" x14ac:dyDescent="0.2">
      <c r="B1421" t="s">
        <v>35</v>
      </c>
      <c r="C1421">
        <v>40357306</v>
      </c>
      <c r="D1421" t="s">
        <v>389</v>
      </c>
      <c r="E1421">
        <v>1022379</v>
      </c>
      <c r="F1421" t="s">
        <v>306</v>
      </c>
      <c r="G1421" s="9">
        <v>44964</v>
      </c>
      <c r="H1421" s="7"/>
      <c r="I1421" s="7"/>
      <c r="J1421" s="7"/>
      <c r="K1421" s="7"/>
      <c r="L1421" s="10">
        <v>5.5741092456127026</v>
      </c>
      <c r="M1421" s="9">
        <v>44969</v>
      </c>
      <c r="N1421" s="10">
        <v>5.5</v>
      </c>
      <c r="O1421" s="9">
        <v>44974</v>
      </c>
      <c r="P1421">
        <v>9</v>
      </c>
      <c r="Q1421" s="11" t="s">
        <v>49</v>
      </c>
      <c r="R1421" s="7"/>
      <c r="S1421" s="7"/>
      <c r="T1421" s="7"/>
      <c r="U1421" s="7"/>
      <c r="V1421" s="10">
        <v>7.5741092456127026</v>
      </c>
      <c r="W1421" s="9">
        <v>44971</v>
      </c>
      <c r="X1421" s="10">
        <v>7.5</v>
      </c>
      <c r="Y1421" s="9">
        <v>44974</v>
      </c>
      <c r="Z1421">
        <v>9</v>
      </c>
      <c r="AA1421" s="11" t="s">
        <v>49</v>
      </c>
    </row>
    <row r="1422" spans="2:27" ht="16" x14ac:dyDescent="0.2">
      <c r="B1422" t="s">
        <v>35</v>
      </c>
      <c r="C1422">
        <v>40357305</v>
      </c>
      <c r="D1422" t="s">
        <v>389</v>
      </c>
      <c r="E1422">
        <v>1022379</v>
      </c>
      <c r="F1422" t="s">
        <v>306</v>
      </c>
      <c r="G1422" s="9">
        <v>44966</v>
      </c>
      <c r="H1422" s="7"/>
      <c r="I1422" s="7"/>
      <c r="J1422" s="7"/>
      <c r="K1422" s="7"/>
      <c r="L1422" s="10">
        <v>5.5741092456127026</v>
      </c>
      <c r="M1422" s="9">
        <v>44971</v>
      </c>
      <c r="N1422" s="10">
        <v>5.5</v>
      </c>
      <c r="O1422" s="9">
        <v>44976</v>
      </c>
      <c r="P1422">
        <v>8</v>
      </c>
      <c r="Q1422" s="11" t="s">
        <v>49</v>
      </c>
      <c r="R1422" s="7"/>
      <c r="S1422" s="7"/>
      <c r="T1422" s="7"/>
      <c r="U1422" s="7"/>
      <c r="V1422" s="10">
        <v>7.5741092456127026</v>
      </c>
      <c r="W1422" s="9">
        <v>44973</v>
      </c>
      <c r="X1422" s="10">
        <v>7.5</v>
      </c>
      <c r="Y1422" s="9">
        <v>44976</v>
      </c>
      <c r="Z1422">
        <v>8</v>
      </c>
      <c r="AA1422" s="11" t="s">
        <v>49</v>
      </c>
    </row>
    <row r="1423" spans="2:27" ht="16" x14ac:dyDescent="0.2">
      <c r="B1423" t="s">
        <v>35</v>
      </c>
      <c r="C1423">
        <v>40357305</v>
      </c>
      <c r="D1423" t="s">
        <v>389</v>
      </c>
      <c r="E1423">
        <v>1022379</v>
      </c>
      <c r="F1423" t="s">
        <v>306</v>
      </c>
      <c r="G1423" s="9">
        <v>44966</v>
      </c>
      <c r="H1423" s="7"/>
      <c r="I1423" s="7"/>
      <c r="J1423" s="7"/>
      <c r="K1423" s="7"/>
      <c r="L1423" s="10">
        <v>5.5741092456127026</v>
      </c>
      <c r="M1423" s="9">
        <v>44971</v>
      </c>
      <c r="N1423" s="10">
        <v>5.5</v>
      </c>
      <c r="O1423" s="9">
        <v>44976</v>
      </c>
      <c r="P1423">
        <v>8</v>
      </c>
      <c r="Q1423" s="11" t="s">
        <v>49</v>
      </c>
      <c r="R1423" s="7"/>
      <c r="S1423" s="7"/>
      <c r="T1423" s="7"/>
      <c r="U1423" s="7"/>
      <c r="V1423" s="10">
        <v>7.5741092456127026</v>
      </c>
      <c r="W1423" s="9">
        <v>44973</v>
      </c>
      <c r="X1423" s="10">
        <v>7.5</v>
      </c>
      <c r="Y1423" s="9">
        <v>44976</v>
      </c>
      <c r="Z1423">
        <v>8</v>
      </c>
      <c r="AA1423" s="11" t="s">
        <v>49</v>
      </c>
    </row>
    <row r="1424" spans="2:27" ht="16" x14ac:dyDescent="0.2">
      <c r="B1424" t="s">
        <v>35</v>
      </c>
      <c r="C1424">
        <v>40357299</v>
      </c>
      <c r="D1424" t="s">
        <v>389</v>
      </c>
      <c r="E1424">
        <v>1022645</v>
      </c>
      <c r="F1424" t="s">
        <v>622</v>
      </c>
      <c r="G1424" s="9">
        <v>44964</v>
      </c>
      <c r="H1424" s="7"/>
      <c r="I1424" s="7"/>
      <c r="J1424" s="7"/>
      <c r="K1424" s="7"/>
      <c r="L1424" s="10">
        <v>5.5741092456127026</v>
      </c>
      <c r="M1424" s="9">
        <v>44969</v>
      </c>
      <c r="N1424" s="10">
        <v>5.5</v>
      </c>
      <c r="O1424" s="9">
        <v>44974</v>
      </c>
      <c r="P1424">
        <v>9</v>
      </c>
      <c r="Q1424" s="11" t="s">
        <v>49</v>
      </c>
      <c r="R1424" s="7"/>
      <c r="S1424" s="7"/>
      <c r="T1424" s="7"/>
      <c r="U1424" s="7"/>
      <c r="V1424" s="10">
        <v>7.5741092456127026</v>
      </c>
      <c r="W1424" s="9">
        <v>44971</v>
      </c>
      <c r="X1424" s="10">
        <v>7.5</v>
      </c>
      <c r="Y1424" s="9">
        <v>44974</v>
      </c>
      <c r="Z1424">
        <v>9</v>
      </c>
      <c r="AA1424" s="11" t="s">
        <v>49</v>
      </c>
    </row>
    <row r="1425" spans="2:27" ht="16" x14ac:dyDescent="0.2">
      <c r="B1425" t="s">
        <v>35</v>
      </c>
      <c r="C1425">
        <v>40357296</v>
      </c>
      <c r="D1425" t="s">
        <v>389</v>
      </c>
      <c r="E1425">
        <v>1022568</v>
      </c>
      <c r="F1425" t="s">
        <v>310</v>
      </c>
      <c r="G1425" s="9">
        <v>44968</v>
      </c>
      <c r="H1425" s="7"/>
      <c r="I1425" s="7"/>
      <c r="J1425" s="7"/>
      <c r="K1425" s="7"/>
      <c r="L1425" s="10">
        <v>5.5741092456127026</v>
      </c>
      <c r="M1425" s="9">
        <v>44973</v>
      </c>
      <c r="N1425" s="10">
        <v>5.5</v>
      </c>
      <c r="O1425" s="9">
        <v>44978</v>
      </c>
      <c r="P1425">
        <v>6</v>
      </c>
      <c r="Q1425" s="11" t="s">
        <v>49</v>
      </c>
      <c r="R1425" s="7"/>
      <c r="S1425" s="7"/>
      <c r="T1425" s="7"/>
      <c r="U1425" s="7"/>
      <c r="V1425" s="10">
        <v>7.5741092456127026</v>
      </c>
      <c r="W1425" s="9">
        <v>44975</v>
      </c>
      <c r="X1425" s="10">
        <v>7.5</v>
      </c>
      <c r="Y1425" s="9">
        <v>44978</v>
      </c>
      <c r="Z1425">
        <v>6</v>
      </c>
      <c r="AA1425" s="11" t="s">
        <v>49</v>
      </c>
    </row>
    <row r="1426" spans="2:27" ht="16" x14ac:dyDescent="0.2">
      <c r="B1426" t="s">
        <v>35</v>
      </c>
      <c r="C1426">
        <v>40357295</v>
      </c>
      <c r="D1426" t="s">
        <v>389</v>
      </c>
      <c r="E1426">
        <v>1021992</v>
      </c>
      <c r="F1426" t="s">
        <v>290</v>
      </c>
      <c r="G1426" s="9">
        <v>44964</v>
      </c>
      <c r="H1426" s="7"/>
      <c r="I1426" s="7"/>
      <c r="J1426" s="7"/>
      <c r="K1426" s="7"/>
      <c r="L1426" s="10">
        <v>5.5741092456127026</v>
      </c>
      <c r="M1426" s="9">
        <v>44969</v>
      </c>
      <c r="N1426" s="10">
        <v>5.5</v>
      </c>
      <c r="O1426" s="9">
        <v>44974</v>
      </c>
      <c r="P1426">
        <v>9</v>
      </c>
      <c r="Q1426" s="11" t="s">
        <v>49</v>
      </c>
      <c r="R1426" s="7"/>
      <c r="S1426" s="7"/>
      <c r="T1426" s="7"/>
      <c r="U1426" s="7"/>
      <c r="V1426" s="10">
        <v>7.5741092456127026</v>
      </c>
      <c r="W1426" s="9">
        <v>44971</v>
      </c>
      <c r="X1426" s="10">
        <v>7.5</v>
      </c>
      <c r="Y1426" s="9">
        <v>44974</v>
      </c>
      <c r="Z1426">
        <v>9</v>
      </c>
      <c r="AA1426" s="11" t="s">
        <v>49</v>
      </c>
    </row>
    <row r="1427" spans="2:27" ht="16" x14ac:dyDescent="0.2">
      <c r="B1427" t="s">
        <v>35</v>
      </c>
      <c r="C1427">
        <v>40357288</v>
      </c>
      <c r="D1427" t="s">
        <v>389</v>
      </c>
      <c r="E1427">
        <v>1021767</v>
      </c>
      <c r="F1427" t="s">
        <v>288</v>
      </c>
      <c r="G1427" s="9">
        <v>44979</v>
      </c>
      <c r="H1427" s="7">
        <v>10512</v>
      </c>
      <c r="I1427" s="7"/>
      <c r="J1427" s="7"/>
      <c r="K1427" s="7"/>
      <c r="L1427" s="10">
        <v>5.5741092456127026</v>
      </c>
      <c r="M1427" s="9">
        <v>44984</v>
      </c>
      <c r="N1427" s="10">
        <v>5.5</v>
      </c>
      <c r="O1427" s="9">
        <v>44989</v>
      </c>
      <c r="P1427">
        <v>23</v>
      </c>
      <c r="Q1427" s="11" t="s">
        <v>49</v>
      </c>
      <c r="R1427" s="7">
        <v>10512</v>
      </c>
      <c r="S1427" s="7"/>
      <c r="T1427" s="7"/>
      <c r="U1427" s="7"/>
      <c r="V1427" s="10">
        <v>7.5741092456127026</v>
      </c>
      <c r="W1427" s="9">
        <v>44986</v>
      </c>
      <c r="X1427" s="10">
        <v>7.5</v>
      </c>
      <c r="Y1427" s="9">
        <v>44989</v>
      </c>
      <c r="Z1427">
        <v>23</v>
      </c>
      <c r="AA1427" s="11" t="s">
        <v>49</v>
      </c>
    </row>
    <row r="1428" spans="2:27" ht="16" x14ac:dyDescent="0.2">
      <c r="B1428" t="s">
        <v>35</v>
      </c>
      <c r="C1428">
        <v>40357288</v>
      </c>
      <c r="D1428" t="s">
        <v>389</v>
      </c>
      <c r="E1428">
        <v>1021767</v>
      </c>
      <c r="F1428" t="s">
        <v>288</v>
      </c>
      <c r="G1428" s="9">
        <v>44979</v>
      </c>
      <c r="H1428" s="7">
        <v>24210</v>
      </c>
      <c r="I1428" s="7"/>
      <c r="J1428" s="7"/>
      <c r="K1428" s="7"/>
      <c r="L1428" s="10">
        <v>5.5741092456127026</v>
      </c>
      <c r="M1428" s="9">
        <v>44984</v>
      </c>
      <c r="N1428" s="10">
        <v>5.5</v>
      </c>
      <c r="O1428" s="9">
        <v>44989</v>
      </c>
      <c r="P1428">
        <v>23</v>
      </c>
      <c r="Q1428" s="11" t="s">
        <v>49</v>
      </c>
      <c r="R1428" s="7">
        <v>24210</v>
      </c>
      <c r="S1428" s="7"/>
      <c r="T1428" s="7"/>
      <c r="U1428" s="7"/>
      <c r="V1428" s="10">
        <v>7.5741092456127026</v>
      </c>
      <c r="W1428" s="9">
        <v>44986</v>
      </c>
      <c r="X1428" s="10">
        <v>7.5</v>
      </c>
      <c r="Y1428" s="9">
        <v>44989</v>
      </c>
      <c r="Z1428">
        <v>23</v>
      </c>
      <c r="AA1428" s="11" t="s">
        <v>49</v>
      </c>
    </row>
    <row r="1429" spans="2:27" ht="16" x14ac:dyDescent="0.2">
      <c r="B1429" t="s">
        <v>35</v>
      </c>
      <c r="C1429">
        <v>40357287</v>
      </c>
      <c r="D1429" t="s">
        <v>389</v>
      </c>
      <c r="E1429">
        <v>1021767</v>
      </c>
      <c r="F1429" t="s">
        <v>288</v>
      </c>
      <c r="G1429" s="9">
        <v>44985</v>
      </c>
      <c r="H1429" s="7">
        <v>24156</v>
      </c>
      <c r="I1429" s="7"/>
      <c r="J1429" s="7"/>
      <c r="K1429" s="7"/>
      <c r="L1429" s="10">
        <v>5.5741092456127026</v>
      </c>
      <c r="M1429" s="9">
        <v>44990</v>
      </c>
      <c r="N1429" s="10">
        <v>5.5</v>
      </c>
      <c r="O1429" s="9">
        <v>44995</v>
      </c>
      <c r="P1429">
        <v>18</v>
      </c>
      <c r="Q1429" s="11" t="s">
        <v>49</v>
      </c>
      <c r="R1429" s="7">
        <v>24156</v>
      </c>
      <c r="S1429" s="7"/>
      <c r="T1429" s="7"/>
      <c r="U1429" s="7"/>
      <c r="V1429" s="10">
        <v>7.5741092456127026</v>
      </c>
      <c r="W1429" s="9">
        <v>44992</v>
      </c>
      <c r="X1429" s="10">
        <v>7.5</v>
      </c>
      <c r="Y1429" s="9">
        <v>44995</v>
      </c>
      <c r="Z1429">
        <v>18</v>
      </c>
      <c r="AA1429" s="11" t="s">
        <v>49</v>
      </c>
    </row>
    <row r="1430" spans="2:27" ht="16" x14ac:dyDescent="0.2">
      <c r="B1430" t="s">
        <v>35</v>
      </c>
      <c r="C1430">
        <v>40357285</v>
      </c>
      <c r="D1430" t="s">
        <v>389</v>
      </c>
      <c r="E1430">
        <v>1021767</v>
      </c>
      <c r="F1430" t="s">
        <v>288</v>
      </c>
      <c r="G1430" s="9">
        <v>44979</v>
      </c>
      <c r="H1430" s="7">
        <v>25002</v>
      </c>
      <c r="I1430" s="7"/>
      <c r="J1430" s="7"/>
      <c r="K1430" s="7"/>
      <c r="L1430" s="10">
        <v>5.5741092456127026</v>
      </c>
      <c r="M1430" s="9">
        <v>44984</v>
      </c>
      <c r="N1430" s="10">
        <v>5.5</v>
      </c>
      <c r="O1430" s="9">
        <v>44989</v>
      </c>
      <c r="P1430">
        <v>23</v>
      </c>
      <c r="Q1430" s="11" t="s">
        <v>49</v>
      </c>
      <c r="R1430" s="7">
        <v>25002</v>
      </c>
      <c r="S1430" s="7"/>
      <c r="T1430" s="7"/>
      <c r="U1430" s="7"/>
      <c r="V1430" s="10">
        <v>7.5741092456127026</v>
      </c>
      <c r="W1430" s="9">
        <v>44986</v>
      </c>
      <c r="X1430" s="10">
        <v>7.5</v>
      </c>
      <c r="Y1430" s="9">
        <v>44989</v>
      </c>
      <c r="Z1430">
        <v>23</v>
      </c>
      <c r="AA1430" s="11" t="s">
        <v>49</v>
      </c>
    </row>
    <row r="1431" spans="2:27" ht="16" x14ac:dyDescent="0.2">
      <c r="B1431" t="s">
        <v>35</v>
      </c>
      <c r="C1431">
        <v>40357260</v>
      </c>
      <c r="D1431" t="s">
        <v>389</v>
      </c>
      <c r="E1431">
        <v>1011969</v>
      </c>
      <c r="F1431" t="s">
        <v>417</v>
      </c>
      <c r="G1431" s="9">
        <v>44962</v>
      </c>
      <c r="H1431" s="7"/>
      <c r="I1431" s="7"/>
      <c r="J1431" s="7"/>
      <c r="K1431" s="7"/>
      <c r="L1431" s="10">
        <v>5.5741092456127026</v>
      </c>
      <c r="M1431" s="9">
        <v>44967</v>
      </c>
      <c r="N1431" s="10">
        <v>5.5</v>
      </c>
      <c r="O1431" s="9">
        <v>44972</v>
      </c>
      <c r="P1431">
        <v>11</v>
      </c>
      <c r="Q1431" s="11" t="s">
        <v>49</v>
      </c>
      <c r="R1431" s="7"/>
      <c r="S1431" s="7"/>
      <c r="T1431" s="7"/>
      <c r="U1431" s="7"/>
      <c r="V1431" s="10">
        <v>7.5741092456127026</v>
      </c>
      <c r="W1431" s="9">
        <v>44969</v>
      </c>
      <c r="X1431" s="10">
        <v>7.5</v>
      </c>
      <c r="Y1431" s="9">
        <v>44972</v>
      </c>
      <c r="Z1431">
        <v>11</v>
      </c>
      <c r="AA1431" s="11" t="s">
        <v>49</v>
      </c>
    </row>
    <row r="1432" spans="2:27" ht="16" x14ac:dyDescent="0.2">
      <c r="B1432" t="s">
        <v>35</v>
      </c>
      <c r="C1432">
        <v>40357259</v>
      </c>
      <c r="D1432" t="s">
        <v>389</v>
      </c>
      <c r="E1432">
        <v>1011969</v>
      </c>
      <c r="F1432" t="s">
        <v>417</v>
      </c>
      <c r="G1432" s="9">
        <v>44962</v>
      </c>
      <c r="H1432" s="7"/>
      <c r="I1432" s="7"/>
      <c r="J1432" s="7"/>
      <c r="K1432" s="7"/>
      <c r="L1432" s="10">
        <v>5.5741092456127026</v>
      </c>
      <c r="M1432" s="9">
        <v>44967</v>
      </c>
      <c r="N1432" s="10">
        <v>5.5</v>
      </c>
      <c r="O1432" s="9">
        <v>44972</v>
      </c>
      <c r="P1432">
        <v>11</v>
      </c>
      <c r="Q1432" s="11" t="s">
        <v>49</v>
      </c>
      <c r="R1432" s="7"/>
      <c r="S1432" s="7"/>
      <c r="T1432" s="7"/>
      <c r="U1432" s="7"/>
      <c r="V1432" s="10">
        <v>7.5741092456127026</v>
      </c>
      <c r="W1432" s="9">
        <v>44969</v>
      </c>
      <c r="X1432" s="10">
        <v>7.5</v>
      </c>
      <c r="Y1432" s="9">
        <v>44972</v>
      </c>
      <c r="Z1432">
        <v>11</v>
      </c>
      <c r="AA1432" s="11" t="s">
        <v>49</v>
      </c>
    </row>
    <row r="1433" spans="2:27" ht="16" x14ac:dyDescent="0.2">
      <c r="B1433" t="s">
        <v>35</v>
      </c>
      <c r="C1433">
        <v>40357255</v>
      </c>
      <c r="D1433" t="s">
        <v>389</v>
      </c>
      <c r="E1433">
        <v>1011967</v>
      </c>
      <c r="F1433" t="s">
        <v>418</v>
      </c>
      <c r="G1433" s="9">
        <v>44968</v>
      </c>
      <c r="H1433" s="7"/>
      <c r="I1433" s="7"/>
      <c r="J1433" s="7"/>
      <c r="K1433" s="7"/>
      <c r="L1433" s="10">
        <v>5.5741092456127026</v>
      </c>
      <c r="M1433" s="9">
        <v>44973</v>
      </c>
      <c r="N1433" s="10">
        <v>5.5</v>
      </c>
      <c r="O1433" s="9">
        <v>44978</v>
      </c>
      <c r="P1433">
        <v>6</v>
      </c>
      <c r="Q1433" s="11" t="s">
        <v>49</v>
      </c>
      <c r="R1433" s="7"/>
      <c r="S1433" s="7"/>
      <c r="T1433" s="7"/>
      <c r="U1433" s="7"/>
      <c r="V1433" s="10">
        <v>7.5741092456127026</v>
      </c>
      <c r="W1433" s="9">
        <v>44975</v>
      </c>
      <c r="X1433" s="10">
        <v>7.5</v>
      </c>
      <c r="Y1433" s="9">
        <v>44978</v>
      </c>
      <c r="Z1433">
        <v>6</v>
      </c>
      <c r="AA1433" s="11" t="s">
        <v>49</v>
      </c>
    </row>
    <row r="1434" spans="2:27" ht="16" x14ac:dyDescent="0.2">
      <c r="B1434" t="s">
        <v>35</v>
      </c>
      <c r="C1434">
        <v>40357247</v>
      </c>
      <c r="D1434" t="s">
        <v>389</v>
      </c>
      <c r="E1434">
        <v>1011586</v>
      </c>
      <c r="F1434" t="s">
        <v>420</v>
      </c>
      <c r="G1434" s="9">
        <v>44972</v>
      </c>
      <c r="H1434" s="7"/>
      <c r="I1434" s="7"/>
      <c r="J1434" s="7"/>
      <c r="K1434" s="7"/>
      <c r="L1434" s="10">
        <v>5.5741092456127026</v>
      </c>
      <c r="M1434" s="9">
        <v>44977</v>
      </c>
      <c r="N1434" s="10">
        <v>5.5</v>
      </c>
      <c r="O1434" s="9">
        <v>44982</v>
      </c>
      <c r="P1434">
        <v>2</v>
      </c>
      <c r="Q1434" s="11" t="s">
        <v>594</v>
      </c>
      <c r="R1434" s="7"/>
      <c r="S1434" s="7"/>
      <c r="T1434" s="7"/>
      <c r="U1434" s="7"/>
      <c r="V1434" s="10">
        <v>7.5741092456127026</v>
      </c>
      <c r="W1434" s="9">
        <v>44979</v>
      </c>
      <c r="X1434" s="10">
        <v>7.5</v>
      </c>
      <c r="Y1434" s="9">
        <v>44982</v>
      </c>
      <c r="Z1434">
        <v>2</v>
      </c>
      <c r="AA1434" s="11" t="s">
        <v>594</v>
      </c>
    </row>
    <row r="1435" spans="2:27" ht="16" x14ac:dyDescent="0.2">
      <c r="B1435" t="s">
        <v>35</v>
      </c>
      <c r="C1435">
        <v>40357242</v>
      </c>
      <c r="D1435" t="s">
        <v>389</v>
      </c>
      <c r="E1435">
        <v>1011417</v>
      </c>
      <c r="F1435" t="s">
        <v>421</v>
      </c>
      <c r="G1435" s="9">
        <v>44968</v>
      </c>
      <c r="H1435" s="7"/>
      <c r="I1435" s="7"/>
      <c r="J1435" s="7"/>
      <c r="K1435" s="7"/>
      <c r="L1435" s="10">
        <v>5.5741092456127026</v>
      </c>
      <c r="M1435" s="9">
        <v>44973</v>
      </c>
      <c r="N1435" s="10">
        <v>5.5</v>
      </c>
      <c r="O1435" s="9">
        <v>44978</v>
      </c>
      <c r="P1435">
        <v>6</v>
      </c>
      <c r="Q1435" s="11" t="s">
        <v>49</v>
      </c>
      <c r="R1435" s="7"/>
      <c r="S1435" s="7"/>
      <c r="T1435" s="7"/>
      <c r="U1435" s="7"/>
      <c r="V1435" s="10">
        <v>7.5741092456127026</v>
      </c>
      <c r="W1435" s="9">
        <v>44975</v>
      </c>
      <c r="X1435" s="10">
        <v>7.5</v>
      </c>
      <c r="Y1435" s="9">
        <v>44978</v>
      </c>
      <c r="Z1435">
        <v>6</v>
      </c>
      <c r="AA1435" s="11" t="s">
        <v>49</v>
      </c>
    </row>
    <row r="1436" spans="2:27" ht="16" x14ac:dyDescent="0.2">
      <c r="B1436" t="s">
        <v>35</v>
      </c>
      <c r="C1436">
        <v>40357241</v>
      </c>
      <c r="D1436" t="s">
        <v>389</v>
      </c>
      <c r="E1436">
        <v>1011417</v>
      </c>
      <c r="F1436" t="s">
        <v>421</v>
      </c>
      <c r="G1436" s="9">
        <v>44962</v>
      </c>
      <c r="H1436" s="7"/>
      <c r="I1436" s="7"/>
      <c r="J1436" s="7"/>
      <c r="K1436" s="7"/>
      <c r="L1436" s="10">
        <v>5.5741092456127026</v>
      </c>
      <c r="M1436" s="9">
        <v>44967</v>
      </c>
      <c r="N1436" s="10">
        <v>5.5</v>
      </c>
      <c r="O1436" s="9">
        <v>44972</v>
      </c>
      <c r="P1436">
        <v>11</v>
      </c>
      <c r="Q1436" s="11" t="s">
        <v>49</v>
      </c>
      <c r="R1436" s="7"/>
      <c r="S1436" s="7"/>
      <c r="T1436" s="7"/>
      <c r="U1436" s="7"/>
      <c r="V1436" s="10">
        <v>7.5741092456127026</v>
      </c>
      <c r="W1436" s="9">
        <v>44969</v>
      </c>
      <c r="X1436" s="10">
        <v>7.5</v>
      </c>
      <c r="Y1436" s="9">
        <v>44972</v>
      </c>
      <c r="Z1436">
        <v>11</v>
      </c>
      <c r="AA1436" s="11" t="s">
        <v>49</v>
      </c>
    </row>
    <row r="1437" spans="2:27" ht="16" x14ac:dyDescent="0.2">
      <c r="B1437" t="s">
        <v>35</v>
      </c>
      <c r="C1437">
        <v>40357236</v>
      </c>
      <c r="D1437" t="s">
        <v>389</v>
      </c>
      <c r="E1437">
        <v>1011417</v>
      </c>
      <c r="F1437" t="s">
        <v>421</v>
      </c>
      <c r="G1437" s="9">
        <v>44964</v>
      </c>
      <c r="H1437" s="7"/>
      <c r="I1437" s="7"/>
      <c r="J1437" s="7"/>
      <c r="K1437" s="7"/>
      <c r="L1437" s="10">
        <v>5.5741092456127026</v>
      </c>
      <c r="M1437" s="9">
        <v>44969</v>
      </c>
      <c r="N1437" s="10">
        <v>5.5</v>
      </c>
      <c r="O1437" s="9">
        <v>44974</v>
      </c>
      <c r="P1437">
        <v>9</v>
      </c>
      <c r="Q1437" s="11" t="s">
        <v>49</v>
      </c>
      <c r="R1437" s="7"/>
      <c r="S1437" s="7"/>
      <c r="T1437" s="7"/>
      <c r="U1437" s="7"/>
      <c r="V1437" s="10">
        <v>7.5741092456127026</v>
      </c>
      <c r="W1437" s="9">
        <v>44971</v>
      </c>
      <c r="X1437" s="10">
        <v>7.5</v>
      </c>
      <c r="Y1437" s="9">
        <v>44974</v>
      </c>
      <c r="Z1437">
        <v>9</v>
      </c>
      <c r="AA1437" s="11" t="s">
        <v>49</v>
      </c>
    </row>
    <row r="1438" spans="2:27" ht="16" x14ac:dyDescent="0.2">
      <c r="B1438" t="s">
        <v>35</v>
      </c>
      <c r="C1438">
        <v>40357218</v>
      </c>
      <c r="D1438" t="s">
        <v>389</v>
      </c>
      <c r="E1438">
        <v>1012448</v>
      </c>
      <c r="F1438" t="s">
        <v>451</v>
      </c>
      <c r="G1438" s="9">
        <v>44968</v>
      </c>
      <c r="H1438" s="7"/>
      <c r="I1438" s="7"/>
      <c r="J1438" s="7"/>
      <c r="K1438" s="7"/>
      <c r="L1438" s="10">
        <v>5.5741092456127026</v>
      </c>
      <c r="M1438" s="9">
        <v>44973</v>
      </c>
      <c r="N1438" s="10">
        <v>5.5</v>
      </c>
      <c r="O1438" s="9">
        <v>44978</v>
      </c>
      <c r="P1438">
        <v>6</v>
      </c>
      <c r="Q1438" s="11" t="s">
        <v>49</v>
      </c>
      <c r="R1438" s="7"/>
      <c r="S1438" s="7"/>
      <c r="T1438" s="7"/>
      <c r="U1438" s="7"/>
      <c r="V1438" s="10">
        <v>7.5741092456127026</v>
      </c>
      <c r="W1438" s="9">
        <v>44975</v>
      </c>
      <c r="X1438" s="10">
        <v>7.5</v>
      </c>
      <c r="Y1438" s="9">
        <v>44978</v>
      </c>
      <c r="Z1438">
        <v>6</v>
      </c>
      <c r="AA1438" s="11" t="s">
        <v>49</v>
      </c>
    </row>
    <row r="1439" spans="2:27" x14ac:dyDescent="0.2">
      <c r="B1439" t="s">
        <v>394</v>
      </c>
      <c r="C1439">
        <v>40357160</v>
      </c>
      <c r="D1439" t="s">
        <v>485</v>
      </c>
      <c r="E1439">
        <v>1021105</v>
      </c>
      <c r="F1439" t="s">
        <v>499</v>
      </c>
      <c r="G1439" s="9">
        <v>44950</v>
      </c>
      <c r="H1439" s="7"/>
      <c r="I1439" s="7"/>
      <c r="J1439" s="7"/>
      <c r="K1439" s="7"/>
      <c r="L1439" s="10"/>
      <c r="N1439" s="10"/>
      <c r="Q1439" s="11"/>
      <c r="R1439" s="7"/>
      <c r="S1439" s="7"/>
      <c r="T1439" s="7"/>
      <c r="U1439" s="7"/>
      <c r="V1439" s="10"/>
      <c r="X1439" s="10"/>
      <c r="AA1439" s="11"/>
    </row>
    <row r="1440" spans="2:27" x14ac:dyDescent="0.2">
      <c r="B1440" t="s">
        <v>394</v>
      </c>
      <c r="C1440">
        <v>40357117</v>
      </c>
      <c r="D1440" t="s">
        <v>396</v>
      </c>
      <c r="E1440">
        <v>1022887</v>
      </c>
      <c r="F1440" t="s">
        <v>404</v>
      </c>
      <c r="G1440" s="9">
        <v>44980</v>
      </c>
      <c r="H1440" s="7"/>
      <c r="I1440" s="7"/>
      <c r="J1440" s="7"/>
      <c r="K1440" s="7"/>
      <c r="L1440" s="10"/>
      <c r="N1440" s="10"/>
      <c r="Q1440" s="11"/>
      <c r="R1440" s="7"/>
      <c r="S1440" s="7"/>
      <c r="T1440" s="7"/>
      <c r="U1440" s="7"/>
      <c r="V1440" s="10"/>
      <c r="X1440" s="10"/>
      <c r="AA1440" s="11"/>
    </row>
    <row r="1441" spans="2:27" x14ac:dyDescent="0.2">
      <c r="B1441" t="s">
        <v>394</v>
      </c>
      <c r="C1441">
        <v>40357116</v>
      </c>
      <c r="D1441" t="s">
        <v>396</v>
      </c>
      <c r="E1441">
        <v>1022887</v>
      </c>
      <c r="F1441" t="s">
        <v>404</v>
      </c>
      <c r="G1441" s="9">
        <v>44967</v>
      </c>
      <c r="H1441" s="7"/>
      <c r="I1441" s="7"/>
      <c r="J1441" s="7"/>
      <c r="K1441" s="7"/>
      <c r="L1441" s="10"/>
      <c r="N1441" s="10"/>
      <c r="Q1441" s="11"/>
      <c r="R1441" s="7"/>
      <c r="S1441" s="7"/>
      <c r="T1441" s="7"/>
      <c r="U1441" s="7"/>
      <c r="V1441" s="10"/>
      <c r="X1441" s="10"/>
      <c r="AA1441" s="11"/>
    </row>
    <row r="1442" spans="2:27" ht="16" x14ac:dyDescent="0.2">
      <c r="B1442" t="s">
        <v>35</v>
      </c>
      <c r="C1442">
        <v>40357083</v>
      </c>
      <c r="D1442" t="s">
        <v>409</v>
      </c>
      <c r="E1442">
        <v>1012109</v>
      </c>
      <c r="F1442" t="s">
        <v>68</v>
      </c>
      <c r="G1442" s="9">
        <v>44956</v>
      </c>
      <c r="H1442" s="7"/>
      <c r="I1442" s="7"/>
      <c r="J1442" s="7"/>
      <c r="K1442" s="7"/>
      <c r="L1442" s="10">
        <v>7.5</v>
      </c>
      <c r="M1442" s="9">
        <v>44963</v>
      </c>
      <c r="N1442" s="10">
        <v>9.5</v>
      </c>
      <c r="O1442" s="9">
        <v>44972</v>
      </c>
      <c r="P1442">
        <v>10</v>
      </c>
      <c r="Q1442" s="11" t="s">
        <v>49</v>
      </c>
      <c r="R1442" s="7"/>
      <c r="S1442" s="7"/>
      <c r="T1442" s="7"/>
      <c r="U1442" s="7"/>
      <c r="V1442" s="10">
        <v>9.5</v>
      </c>
      <c r="W1442" s="9">
        <v>44965</v>
      </c>
      <c r="X1442" s="10">
        <v>11.5</v>
      </c>
      <c r="Y1442" s="9">
        <v>44972</v>
      </c>
      <c r="Z1442">
        <v>10</v>
      </c>
      <c r="AA1442" s="11" t="s">
        <v>49</v>
      </c>
    </row>
    <row r="1443" spans="2:27" ht="16" x14ac:dyDescent="0.2">
      <c r="B1443" t="s">
        <v>35</v>
      </c>
      <c r="C1443">
        <v>40357078</v>
      </c>
      <c r="D1443" t="s">
        <v>409</v>
      </c>
      <c r="E1443">
        <v>1012165</v>
      </c>
      <c r="F1443" t="s">
        <v>61</v>
      </c>
      <c r="G1443" s="9">
        <v>44956</v>
      </c>
      <c r="H1443" s="7"/>
      <c r="I1443" s="7"/>
      <c r="J1443" s="7"/>
      <c r="K1443" s="7"/>
      <c r="L1443" s="10">
        <v>7.5</v>
      </c>
      <c r="M1443" s="9">
        <v>44963</v>
      </c>
      <c r="N1443" s="10">
        <v>9.5</v>
      </c>
      <c r="O1443" s="9">
        <v>44972</v>
      </c>
      <c r="P1443">
        <v>10</v>
      </c>
      <c r="Q1443" s="11" t="s">
        <v>49</v>
      </c>
      <c r="R1443" s="7"/>
      <c r="S1443" s="7"/>
      <c r="T1443" s="7"/>
      <c r="U1443" s="7"/>
      <c r="V1443" s="10">
        <v>9.5</v>
      </c>
      <c r="W1443" s="9">
        <v>44965</v>
      </c>
      <c r="X1443" s="10">
        <v>11.5</v>
      </c>
      <c r="Y1443" s="9">
        <v>44972</v>
      </c>
      <c r="Z1443">
        <v>10</v>
      </c>
      <c r="AA1443" s="11" t="s">
        <v>49</v>
      </c>
    </row>
    <row r="1444" spans="2:27" ht="16" x14ac:dyDescent="0.2">
      <c r="B1444" t="s">
        <v>35</v>
      </c>
      <c r="C1444">
        <v>40357077</v>
      </c>
      <c r="D1444" t="s">
        <v>409</v>
      </c>
      <c r="E1444">
        <v>1012165</v>
      </c>
      <c r="F1444" t="s">
        <v>61</v>
      </c>
      <c r="G1444" s="9">
        <v>44964</v>
      </c>
      <c r="H1444" s="7"/>
      <c r="I1444" s="7"/>
      <c r="J1444" s="7"/>
      <c r="K1444" s="7"/>
      <c r="L1444" s="10">
        <v>7.5</v>
      </c>
      <c r="M1444" s="9">
        <v>44971</v>
      </c>
      <c r="N1444" s="10">
        <v>9.5</v>
      </c>
      <c r="O1444" s="9">
        <v>44980</v>
      </c>
      <c r="P1444">
        <v>4</v>
      </c>
      <c r="Q1444" s="11" t="s">
        <v>49</v>
      </c>
      <c r="R1444" s="7"/>
      <c r="S1444" s="7"/>
      <c r="T1444" s="7"/>
      <c r="U1444" s="7"/>
      <c r="V1444" s="10">
        <v>9.5</v>
      </c>
      <c r="W1444" s="9">
        <v>44973</v>
      </c>
      <c r="X1444" s="10">
        <v>11.5</v>
      </c>
      <c r="Y1444" s="9">
        <v>44980</v>
      </c>
      <c r="Z1444">
        <v>4</v>
      </c>
      <c r="AA1444" s="11" t="s">
        <v>49</v>
      </c>
    </row>
    <row r="1445" spans="2:27" ht="16" x14ac:dyDescent="0.2">
      <c r="B1445" t="s">
        <v>35</v>
      </c>
      <c r="C1445">
        <v>40356919</v>
      </c>
      <c r="D1445" t="s">
        <v>409</v>
      </c>
      <c r="E1445">
        <v>1023190</v>
      </c>
      <c r="F1445" t="s">
        <v>257</v>
      </c>
      <c r="G1445" s="9">
        <v>44968</v>
      </c>
      <c r="H1445" s="7"/>
      <c r="I1445" s="7"/>
      <c r="J1445" s="7"/>
      <c r="K1445" s="7"/>
      <c r="L1445" s="10">
        <v>7.5</v>
      </c>
      <c r="M1445" s="9">
        <v>44975</v>
      </c>
      <c r="N1445" s="10">
        <v>9.5</v>
      </c>
      <c r="O1445" s="9">
        <v>44984</v>
      </c>
      <c r="P1445">
        <v>1</v>
      </c>
      <c r="Q1445" s="11" t="s">
        <v>594</v>
      </c>
      <c r="R1445" s="7"/>
      <c r="S1445" s="7"/>
      <c r="T1445" s="7"/>
      <c r="U1445" s="7"/>
      <c r="V1445" s="10">
        <v>9.5</v>
      </c>
      <c r="W1445" s="9">
        <v>44977</v>
      </c>
      <c r="X1445" s="10">
        <v>11.5</v>
      </c>
      <c r="Y1445" s="9">
        <v>44984</v>
      </c>
      <c r="Z1445">
        <v>1</v>
      </c>
      <c r="AA1445" s="11" t="s">
        <v>594</v>
      </c>
    </row>
    <row r="1446" spans="2:27" ht="16" x14ac:dyDescent="0.2">
      <c r="B1446" t="s">
        <v>35</v>
      </c>
      <c r="C1446">
        <v>40356377</v>
      </c>
      <c r="D1446" t="s">
        <v>386</v>
      </c>
      <c r="E1446">
        <v>1030804</v>
      </c>
      <c r="F1446" t="s">
        <v>623</v>
      </c>
      <c r="G1446" s="9">
        <v>44961</v>
      </c>
      <c r="H1446" s="7"/>
      <c r="I1446" s="7"/>
      <c r="J1446" s="7"/>
      <c r="K1446" s="7"/>
      <c r="L1446" s="10">
        <v>5.1420118343195256</v>
      </c>
      <c r="M1446" s="9">
        <v>44966</v>
      </c>
      <c r="N1446" s="10">
        <v>7.5</v>
      </c>
      <c r="O1446" s="9">
        <v>44973</v>
      </c>
      <c r="P1446">
        <v>10</v>
      </c>
      <c r="Q1446" s="11" t="s">
        <v>49</v>
      </c>
      <c r="R1446" s="7"/>
      <c r="S1446" s="7"/>
      <c r="T1446" s="7"/>
      <c r="U1446" s="7"/>
      <c r="V1446" s="10">
        <v>7.1420118343195256</v>
      </c>
      <c r="W1446" s="9">
        <v>44968</v>
      </c>
      <c r="X1446" s="10">
        <v>9.5</v>
      </c>
      <c r="Y1446" s="9">
        <v>44973</v>
      </c>
      <c r="Z1446">
        <v>10</v>
      </c>
      <c r="AA1446" s="11" t="s">
        <v>49</v>
      </c>
    </row>
    <row r="1447" spans="2:27" ht="16" x14ac:dyDescent="0.2">
      <c r="B1447" t="s">
        <v>35</v>
      </c>
      <c r="C1447">
        <v>40356377</v>
      </c>
      <c r="D1447" t="s">
        <v>386</v>
      </c>
      <c r="E1447">
        <v>1030711</v>
      </c>
      <c r="F1447" t="s">
        <v>544</v>
      </c>
      <c r="G1447" s="9">
        <v>44961</v>
      </c>
      <c r="H1447" s="7"/>
      <c r="I1447" s="7"/>
      <c r="J1447" s="7"/>
      <c r="K1447" s="7"/>
      <c r="L1447" s="10">
        <v>5.1420118343195256</v>
      </c>
      <c r="M1447" s="9">
        <v>44966</v>
      </c>
      <c r="N1447" s="10">
        <v>7.5</v>
      </c>
      <c r="O1447" s="9">
        <v>44973</v>
      </c>
      <c r="P1447">
        <v>10</v>
      </c>
      <c r="Q1447" s="11" t="s">
        <v>49</v>
      </c>
      <c r="R1447" s="7"/>
      <c r="S1447" s="7"/>
      <c r="T1447" s="7"/>
      <c r="U1447" s="7"/>
      <c r="V1447" s="10">
        <v>7.1420118343195256</v>
      </c>
      <c r="W1447" s="9">
        <v>44968</v>
      </c>
      <c r="X1447" s="10">
        <v>9.5</v>
      </c>
      <c r="Y1447" s="9">
        <v>44973</v>
      </c>
      <c r="Z1447">
        <v>10</v>
      </c>
      <c r="AA1447" s="11" t="s">
        <v>49</v>
      </c>
    </row>
    <row r="1448" spans="2:27" x14ac:dyDescent="0.2">
      <c r="B1448" t="s">
        <v>394</v>
      </c>
      <c r="C1448">
        <v>40356340</v>
      </c>
      <c r="D1448" t="s">
        <v>485</v>
      </c>
      <c r="E1448">
        <v>1020367</v>
      </c>
      <c r="F1448" t="s">
        <v>596</v>
      </c>
      <c r="G1448" s="9">
        <v>44953</v>
      </c>
      <c r="H1448" s="7"/>
      <c r="I1448" s="7"/>
      <c r="J1448" s="7"/>
      <c r="K1448" s="7"/>
      <c r="L1448" s="10"/>
      <c r="N1448" s="10"/>
      <c r="Q1448" s="11"/>
      <c r="R1448" s="7"/>
      <c r="S1448" s="7"/>
      <c r="T1448" s="7"/>
      <c r="U1448" s="7"/>
      <c r="V1448" s="10"/>
      <c r="X1448" s="10"/>
      <c r="AA1448" s="11"/>
    </row>
    <row r="1449" spans="2:27" ht="16" x14ac:dyDescent="0.2">
      <c r="B1449" t="s">
        <v>35</v>
      </c>
      <c r="C1449">
        <v>40356326</v>
      </c>
      <c r="D1449" t="s">
        <v>386</v>
      </c>
      <c r="E1449">
        <v>1030388</v>
      </c>
      <c r="F1449" t="s">
        <v>455</v>
      </c>
      <c r="G1449" s="9">
        <v>45015</v>
      </c>
      <c r="H1449" s="7"/>
      <c r="I1449" s="7">
        <v>24000</v>
      </c>
      <c r="J1449" s="7"/>
      <c r="K1449" s="7"/>
      <c r="L1449" s="10">
        <v>5.1420118343195256</v>
      </c>
      <c r="M1449" s="9">
        <v>45020</v>
      </c>
      <c r="N1449" s="10">
        <v>7.5</v>
      </c>
      <c r="O1449" s="9">
        <v>45027</v>
      </c>
      <c r="P1449">
        <v>15</v>
      </c>
      <c r="Q1449" s="11" t="s">
        <v>49</v>
      </c>
      <c r="R1449" s="7"/>
      <c r="S1449" s="7">
        <v>24000</v>
      </c>
      <c r="T1449" s="7"/>
      <c r="U1449" s="7"/>
      <c r="V1449" s="10">
        <v>7.1420118343195256</v>
      </c>
      <c r="W1449" s="9">
        <v>45022</v>
      </c>
      <c r="X1449" s="10">
        <v>9.5</v>
      </c>
      <c r="Y1449" s="9">
        <v>45027</v>
      </c>
      <c r="Z1449">
        <v>15</v>
      </c>
      <c r="AA1449" s="11" t="s">
        <v>49</v>
      </c>
    </row>
    <row r="1450" spans="2:27" x14ac:dyDescent="0.2">
      <c r="B1450" t="s">
        <v>394</v>
      </c>
      <c r="C1450">
        <v>40356301</v>
      </c>
      <c r="D1450" t="s">
        <v>396</v>
      </c>
      <c r="E1450">
        <v>1012612</v>
      </c>
      <c r="F1450" t="s">
        <v>429</v>
      </c>
      <c r="G1450" s="9">
        <v>44992</v>
      </c>
      <c r="H1450" s="7">
        <v>24291.34</v>
      </c>
      <c r="I1450" s="7"/>
      <c r="J1450" s="7"/>
      <c r="K1450" s="7"/>
      <c r="L1450" s="10"/>
      <c r="N1450" s="10"/>
      <c r="Q1450" s="11"/>
      <c r="R1450" s="7">
        <v>24291.34</v>
      </c>
      <c r="S1450" s="7"/>
      <c r="T1450" s="7"/>
      <c r="U1450" s="7"/>
      <c r="V1450" s="10"/>
      <c r="X1450" s="10"/>
      <c r="AA1450" s="11"/>
    </row>
    <row r="1451" spans="2:27" x14ac:dyDescent="0.2">
      <c r="B1451" t="s">
        <v>394</v>
      </c>
      <c r="C1451">
        <v>40356300</v>
      </c>
      <c r="D1451" t="s">
        <v>396</v>
      </c>
      <c r="E1451">
        <v>1012612</v>
      </c>
      <c r="F1451" t="s">
        <v>429</v>
      </c>
      <c r="G1451" s="9">
        <v>44986</v>
      </c>
      <c r="H1451" s="7">
        <v>24382.02</v>
      </c>
      <c r="I1451" s="7"/>
      <c r="J1451" s="7"/>
      <c r="K1451" s="7"/>
      <c r="L1451" s="10"/>
      <c r="N1451" s="10"/>
      <c r="Q1451" s="11"/>
      <c r="R1451" s="7">
        <v>24382.02</v>
      </c>
      <c r="S1451" s="7"/>
      <c r="T1451" s="7"/>
      <c r="U1451" s="7"/>
      <c r="V1451" s="10"/>
      <c r="X1451" s="10"/>
      <c r="AA1451" s="11"/>
    </row>
    <row r="1452" spans="2:27" x14ac:dyDescent="0.2">
      <c r="B1452" t="s">
        <v>394</v>
      </c>
      <c r="C1452">
        <v>40356299</v>
      </c>
      <c r="D1452" t="s">
        <v>396</v>
      </c>
      <c r="E1452">
        <v>1012612</v>
      </c>
      <c r="F1452" t="s">
        <v>429</v>
      </c>
      <c r="G1452" s="9">
        <v>44986</v>
      </c>
      <c r="H1452" s="7">
        <v>24356.28</v>
      </c>
      <c r="I1452" s="7"/>
      <c r="J1452" s="7"/>
      <c r="K1452" s="7"/>
      <c r="L1452" s="10"/>
      <c r="N1452" s="10"/>
      <c r="Q1452" s="11"/>
      <c r="R1452" s="7">
        <v>24356.28</v>
      </c>
      <c r="S1452" s="7"/>
      <c r="T1452" s="7"/>
      <c r="U1452" s="7"/>
      <c r="V1452" s="10"/>
      <c r="X1452" s="10"/>
      <c r="AA1452" s="11"/>
    </row>
    <row r="1453" spans="2:27" x14ac:dyDescent="0.2">
      <c r="B1453" t="s">
        <v>394</v>
      </c>
      <c r="C1453">
        <v>40356282</v>
      </c>
      <c r="D1453" t="s">
        <v>396</v>
      </c>
      <c r="E1453">
        <v>1022887</v>
      </c>
      <c r="F1453" t="s">
        <v>404</v>
      </c>
      <c r="G1453" s="9">
        <v>44967</v>
      </c>
      <c r="H1453" s="7"/>
      <c r="I1453" s="7"/>
      <c r="J1453" s="7"/>
      <c r="K1453" s="7"/>
      <c r="L1453" s="10"/>
      <c r="N1453" s="10"/>
      <c r="Q1453" s="11"/>
      <c r="R1453" s="7"/>
      <c r="S1453" s="7"/>
      <c r="T1453" s="7"/>
      <c r="U1453" s="7"/>
      <c r="V1453" s="10"/>
      <c r="X1453" s="10"/>
      <c r="AA1453" s="11"/>
    </row>
    <row r="1454" spans="2:27" x14ac:dyDescent="0.2">
      <c r="B1454" t="s">
        <v>394</v>
      </c>
      <c r="C1454">
        <v>40356280</v>
      </c>
      <c r="D1454" t="s">
        <v>396</v>
      </c>
      <c r="E1454">
        <v>1022182</v>
      </c>
      <c r="F1454" t="s">
        <v>519</v>
      </c>
      <c r="G1454" s="9">
        <v>44975</v>
      </c>
      <c r="H1454" s="7"/>
      <c r="I1454" s="7"/>
      <c r="J1454" s="7"/>
      <c r="K1454" s="7"/>
      <c r="L1454" s="10"/>
      <c r="N1454" s="10"/>
      <c r="Q1454" s="11"/>
      <c r="R1454" s="7"/>
      <c r="S1454" s="7"/>
      <c r="T1454" s="7"/>
      <c r="U1454" s="7"/>
      <c r="V1454" s="10"/>
      <c r="X1454" s="10"/>
      <c r="AA1454" s="11"/>
    </row>
    <row r="1455" spans="2:27" x14ac:dyDescent="0.2">
      <c r="B1455" t="s">
        <v>394</v>
      </c>
      <c r="C1455">
        <v>40356280</v>
      </c>
      <c r="D1455" t="s">
        <v>396</v>
      </c>
      <c r="E1455">
        <v>1022182</v>
      </c>
      <c r="F1455" t="s">
        <v>519</v>
      </c>
      <c r="G1455" s="9">
        <v>44975</v>
      </c>
      <c r="H1455" s="7"/>
      <c r="I1455" s="7"/>
      <c r="J1455" s="7"/>
      <c r="K1455" s="7"/>
      <c r="L1455" s="10"/>
      <c r="N1455" s="10"/>
      <c r="Q1455" s="11"/>
      <c r="R1455" s="7"/>
      <c r="S1455" s="7"/>
      <c r="T1455" s="7"/>
      <c r="U1455" s="7"/>
      <c r="V1455" s="10"/>
      <c r="X1455" s="10"/>
      <c r="AA1455" s="11"/>
    </row>
    <row r="1456" spans="2:27" x14ac:dyDescent="0.2">
      <c r="B1456" t="s">
        <v>394</v>
      </c>
      <c r="C1456">
        <v>40356277</v>
      </c>
      <c r="D1456" t="s">
        <v>396</v>
      </c>
      <c r="E1456">
        <v>1021012</v>
      </c>
      <c r="F1456" t="s">
        <v>612</v>
      </c>
      <c r="G1456" s="9">
        <v>44975</v>
      </c>
      <c r="H1456" s="7"/>
      <c r="I1456" s="7"/>
      <c r="J1456" s="7"/>
      <c r="K1456" s="7"/>
      <c r="L1456" s="10"/>
      <c r="N1456" s="10"/>
      <c r="Q1456" s="11"/>
      <c r="R1456" s="7"/>
      <c r="S1456" s="7"/>
      <c r="T1456" s="7"/>
      <c r="U1456" s="7"/>
      <c r="V1456" s="10"/>
      <c r="X1456" s="10"/>
      <c r="AA1456" s="11"/>
    </row>
    <row r="1457" spans="2:27" x14ac:dyDescent="0.2">
      <c r="B1457" t="s">
        <v>394</v>
      </c>
      <c r="C1457">
        <v>40356276</v>
      </c>
      <c r="D1457" t="s">
        <v>396</v>
      </c>
      <c r="E1457">
        <v>1021150</v>
      </c>
      <c r="F1457" t="s">
        <v>402</v>
      </c>
      <c r="G1457" s="9">
        <v>44975</v>
      </c>
      <c r="H1457" s="7"/>
      <c r="I1457" s="7"/>
      <c r="J1457" s="7"/>
      <c r="K1457" s="7"/>
      <c r="L1457" s="10"/>
      <c r="N1457" s="10"/>
      <c r="Q1457" s="11"/>
      <c r="R1457" s="7"/>
      <c r="S1457" s="7"/>
      <c r="T1457" s="7"/>
      <c r="U1457" s="7"/>
      <c r="V1457" s="10"/>
      <c r="X1457" s="10"/>
      <c r="AA1457" s="11"/>
    </row>
    <row r="1458" spans="2:27" x14ac:dyDescent="0.2">
      <c r="B1458" t="s">
        <v>394</v>
      </c>
      <c r="C1458">
        <v>40356275</v>
      </c>
      <c r="D1458" t="s">
        <v>396</v>
      </c>
      <c r="E1458">
        <v>1020860</v>
      </c>
      <c r="F1458" t="s">
        <v>403</v>
      </c>
      <c r="G1458" s="9">
        <v>44967</v>
      </c>
      <c r="H1458" s="7"/>
      <c r="I1458" s="7"/>
      <c r="J1458" s="7"/>
      <c r="K1458" s="7"/>
      <c r="L1458" s="10"/>
      <c r="N1458" s="10"/>
      <c r="Q1458" s="11"/>
      <c r="R1458" s="7"/>
      <c r="S1458" s="7"/>
      <c r="T1458" s="7"/>
      <c r="U1458" s="7"/>
      <c r="V1458" s="10"/>
      <c r="X1458" s="10"/>
      <c r="AA1458" s="11"/>
    </row>
    <row r="1459" spans="2:27" x14ac:dyDescent="0.2">
      <c r="B1459" t="s">
        <v>394</v>
      </c>
      <c r="C1459">
        <v>40356274</v>
      </c>
      <c r="D1459" t="s">
        <v>396</v>
      </c>
      <c r="E1459">
        <v>1020860</v>
      </c>
      <c r="F1459" t="s">
        <v>403</v>
      </c>
      <c r="G1459" s="9">
        <v>44967</v>
      </c>
      <c r="H1459" s="7"/>
      <c r="I1459" s="7"/>
      <c r="J1459" s="7"/>
      <c r="K1459" s="7"/>
      <c r="L1459" s="10"/>
      <c r="N1459" s="10"/>
      <c r="Q1459" s="11"/>
      <c r="R1459" s="7"/>
      <c r="S1459" s="7"/>
      <c r="T1459" s="7"/>
      <c r="U1459" s="7"/>
      <c r="V1459" s="10"/>
      <c r="X1459" s="10"/>
      <c r="AA1459" s="11"/>
    </row>
    <row r="1460" spans="2:27" x14ac:dyDescent="0.2">
      <c r="B1460" t="s">
        <v>394</v>
      </c>
      <c r="C1460">
        <v>40356270</v>
      </c>
      <c r="D1460" t="s">
        <v>396</v>
      </c>
      <c r="E1460">
        <v>1021665</v>
      </c>
      <c r="F1460" t="s">
        <v>453</v>
      </c>
      <c r="G1460" s="9">
        <v>44967</v>
      </c>
      <c r="H1460" s="7"/>
      <c r="I1460" s="7"/>
      <c r="J1460" s="7"/>
      <c r="K1460" s="7"/>
      <c r="L1460" s="10"/>
      <c r="N1460" s="10"/>
      <c r="Q1460" s="11"/>
      <c r="R1460" s="7"/>
      <c r="S1460" s="7"/>
      <c r="T1460" s="7"/>
      <c r="U1460" s="7"/>
      <c r="V1460" s="10"/>
      <c r="X1460" s="10"/>
      <c r="AA1460" s="11"/>
    </row>
    <row r="1461" spans="2:27" x14ac:dyDescent="0.2">
      <c r="B1461" t="s">
        <v>394</v>
      </c>
      <c r="C1461">
        <v>40356258</v>
      </c>
      <c r="D1461" t="s">
        <v>396</v>
      </c>
      <c r="E1461">
        <v>1021149</v>
      </c>
      <c r="F1461" t="s">
        <v>399</v>
      </c>
      <c r="G1461" s="9">
        <v>44967</v>
      </c>
      <c r="H1461" s="7"/>
      <c r="I1461" s="7"/>
      <c r="J1461" s="7"/>
      <c r="K1461" s="7"/>
      <c r="L1461" s="10"/>
      <c r="N1461" s="10"/>
      <c r="Q1461" s="11"/>
      <c r="R1461" s="7"/>
      <c r="S1461" s="7"/>
      <c r="T1461" s="7"/>
      <c r="U1461" s="7"/>
      <c r="V1461" s="10"/>
      <c r="X1461" s="10"/>
      <c r="AA1461" s="11"/>
    </row>
    <row r="1462" spans="2:27" x14ac:dyDescent="0.2">
      <c r="B1462" t="s">
        <v>394</v>
      </c>
      <c r="C1462">
        <v>40356251</v>
      </c>
      <c r="D1462" t="s">
        <v>396</v>
      </c>
      <c r="E1462">
        <v>1022885</v>
      </c>
      <c r="F1462" t="s">
        <v>401</v>
      </c>
      <c r="G1462" s="9">
        <v>44975</v>
      </c>
      <c r="H1462" s="7"/>
      <c r="I1462" s="7"/>
      <c r="J1462" s="7"/>
      <c r="K1462" s="7"/>
      <c r="L1462" s="10"/>
      <c r="N1462" s="10"/>
      <c r="Q1462" s="11"/>
      <c r="R1462" s="7"/>
      <c r="S1462" s="7"/>
      <c r="T1462" s="7"/>
      <c r="U1462" s="7"/>
      <c r="V1462" s="10"/>
      <c r="X1462" s="10"/>
      <c r="AA1462" s="11"/>
    </row>
    <row r="1463" spans="2:27" x14ac:dyDescent="0.2">
      <c r="B1463" t="s">
        <v>394</v>
      </c>
      <c r="C1463">
        <v>40356250</v>
      </c>
      <c r="D1463" t="s">
        <v>396</v>
      </c>
      <c r="E1463">
        <v>1022885</v>
      </c>
      <c r="F1463" t="s">
        <v>401</v>
      </c>
      <c r="G1463" s="9">
        <v>44975</v>
      </c>
      <c r="H1463" s="7"/>
      <c r="I1463" s="7"/>
      <c r="J1463" s="7"/>
      <c r="K1463" s="7"/>
      <c r="L1463" s="10"/>
      <c r="N1463" s="10"/>
      <c r="Q1463" s="11"/>
      <c r="R1463" s="7"/>
      <c r="S1463" s="7"/>
      <c r="T1463" s="7"/>
      <c r="U1463" s="7"/>
      <c r="V1463" s="10"/>
      <c r="X1463" s="10"/>
      <c r="AA1463" s="11"/>
    </row>
    <row r="1464" spans="2:27" x14ac:dyDescent="0.2">
      <c r="B1464" t="s">
        <v>394</v>
      </c>
      <c r="C1464">
        <v>40356249</v>
      </c>
      <c r="D1464" t="s">
        <v>396</v>
      </c>
      <c r="E1464">
        <v>1022885</v>
      </c>
      <c r="F1464" t="s">
        <v>401</v>
      </c>
      <c r="G1464" s="9">
        <v>44975</v>
      </c>
      <c r="H1464" s="7"/>
      <c r="I1464" s="7"/>
      <c r="J1464" s="7"/>
      <c r="K1464" s="7"/>
      <c r="L1464" s="10"/>
      <c r="N1464" s="10"/>
      <c r="Q1464" s="11"/>
      <c r="R1464" s="7"/>
      <c r="S1464" s="7"/>
      <c r="T1464" s="7"/>
      <c r="U1464" s="7"/>
      <c r="V1464" s="10"/>
      <c r="X1464" s="10"/>
      <c r="AA1464" s="11"/>
    </row>
    <row r="1465" spans="2:27" x14ac:dyDescent="0.2">
      <c r="B1465" t="s">
        <v>394</v>
      </c>
      <c r="C1465">
        <v>40356248</v>
      </c>
      <c r="D1465" t="s">
        <v>396</v>
      </c>
      <c r="E1465">
        <v>1022885</v>
      </c>
      <c r="F1465" t="s">
        <v>401</v>
      </c>
      <c r="G1465" s="9">
        <v>44975</v>
      </c>
      <c r="H1465" s="7"/>
      <c r="I1465" s="7"/>
      <c r="J1465" s="7"/>
      <c r="K1465" s="7"/>
      <c r="L1465" s="10"/>
      <c r="N1465" s="10"/>
      <c r="Q1465" s="11"/>
      <c r="R1465" s="7"/>
      <c r="S1465" s="7"/>
      <c r="T1465" s="7"/>
      <c r="U1465" s="7"/>
      <c r="V1465" s="10"/>
      <c r="X1465" s="10"/>
      <c r="AA1465" s="11"/>
    </row>
    <row r="1466" spans="2:27" x14ac:dyDescent="0.2">
      <c r="B1466" t="s">
        <v>394</v>
      </c>
      <c r="C1466">
        <v>40356247</v>
      </c>
      <c r="D1466" t="s">
        <v>396</v>
      </c>
      <c r="E1466">
        <v>1022885</v>
      </c>
      <c r="F1466" t="s">
        <v>401</v>
      </c>
      <c r="G1466" s="9">
        <v>44967</v>
      </c>
      <c r="H1466" s="7"/>
      <c r="I1466" s="7"/>
      <c r="J1466" s="7"/>
      <c r="K1466" s="7"/>
      <c r="L1466" s="10"/>
      <c r="N1466" s="10"/>
      <c r="Q1466" s="11"/>
      <c r="R1466" s="7"/>
      <c r="S1466" s="7"/>
      <c r="T1466" s="7"/>
      <c r="U1466" s="7"/>
      <c r="V1466" s="10"/>
      <c r="X1466" s="10"/>
      <c r="AA1466" s="11"/>
    </row>
    <row r="1467" spans="2:27" x14ac:dyDescent="0.2">
      <c r="B1467" t="s">
        <v>394</v>
      </c>
      <c r="C1467">
        <v>40356241</v>
      </c>
      <c r="D1467" t="s">
        <v>396</v>
      </c>
      <c r="E1467">
        <v>1022885</v>
      </c>
      <c r="F1467" t="s">
        <v>401</v>
      </c>
      <c r="G1467" s="9">
        <v>44967</v>
      </c>
      <c r="H1467" s="7"/>
      <c r="I1467" s="7"/>
      <c r="J1467" s="7"/>
      <c r="K1467" s="7"/>
      <c r="L1467" s="10"/>
      <c r="N1467" s="10"/>
      <c r="Q1467" s="11"/>
      <c r="R1467" s="7"/>
      <c r="S1467" s="7"/>
      <c r="T1467" s="7"/>
      <c r="U1467" s="7"/>
      <c r="V1467" s="10"/>
      <c r="X1467" s="10"/>
      <c r="AA1467" s="11"/>
    </row>
    <row r="1468" spans="2:27" x14ac:dyDescent="0.2">
      <c r="B1468" t="s">
        <v>394</v>
      </c>
      <c r="C1468">
        <v>40356216</v>
      </c>
      <c r="D1468" t="s">
        <v>396</v>
      </c>
      <c r="E1468">
        <v>1021012</v>
      </c>
      <c r="F1468" t="s">
        <v>612</v>
      </c>
      <c r="G1468" s="9">
        <v>44975</v>
      </c>
      <c r="H1468" s="7"/>
      <c r="I1468" s="7"/>
      <c r="J1468" s="7"/>
      <c r="K1468" s="7"/>
      <c r="L1468" s="10"/>
      <c r="N1468" s="10"/>
      <c r="Q1468" s="11"/>
      <c r="R1468" s="7"/>
      <c r="S1468" s="7"/>
      <c r="T1468" s="7"/>
      <c r="U1468" s="7"/>
      <c r="V1468" s="10"/>
      <c r="X1468" s="10"/>
      <c r="AA1468" s="11"/>
    </row>
    <row r="1469" spans="2:27" x14ac:dyDescent="0.2">
      <c r="B1469" t="s">
        <v>394</v>
      </c>
      <c r="C1469">
        <v>40356212</v>
      </c>
      <c r="D1469" t="s">
        <v>396</v>
      </c>
      <c r="E1469">
        <v>1023038</v>
      </c>
      <c r="F1469" t="s">
        <v>397</v>
      </c>
      <c r="G1469" s="9">
        <v>44967</v>
      </c>
      <c r="H1469" s="7"/>
      <c r="I1469" s="7"/>
      <c r="J1469" s="7"/>
      <c r="K1469" s="7"/>
      <c r="L1469" s="10"/>
      <c r="N1469" s="10"/>
      <c r="Q1469" s="11"/>
      <c r="R1469" s="7"/>
      <c r="S1469" s="7"/>
      <c r="T1469" s="7"/>
      <c r="U1469" s="7"/>
      <c r="V1469" s="10"/>
      <c r="X1469" s="10"/>
      <c r="AA1469" s="11"/>
    </row>
    <row r="1470" spans="2:27" x14ac:dyDescent="0.2">
      <c r="B1470" t="s">
        <v>394</v>
      </c>
      <c r="C1470">
        <v>40356182</v>
      </c>
      <c r="D1470" t="s">
        <v>485</v>
      </c>
      <c r="E1470">
        <v>1011290</v>
      </c>
      <c r="F1470" t="s">
        <v>624</v>
      </c>
      <c r="G1470" s="9">
        <v>44935</v>
      </c>
      <c r="H1470" s="7"/>
      <c r="I1470" s="7"/>
      <c r="J1470" s="7"/>
      <c r="K1470" s="7"/>
      <c r="L1470" s="10"/>
      <c r="N1470" s="10"/>
      <c r="Q1470" s="11"/>
      <c r="R1470" s="7"/>
      <c r="S1470" s="7"/>
      <c r="T1470" s="7"/>
      <c r="U1470" s="7"/>
      <c r="V1470" s="10"/>
      <c r="X1470" s="10"/>
      <c r="AA1470" s="11"/>
    </row>
    <row r="1471" spans="2:27" x14ac:dyDescent="0.2">
      <c r="B1471" t="s">
        <v>394</v>
      </c>
      <c r="C1471">
        <v>40356152</v>
      </c>
      <c r="D1471" t="s">
        <v>485</v>
      </c>
      <c r="E1471">
        <v>1030816</v>
      </c>
      <c r="F1471" t="s">
        <v>535</v>
      </c>
      <c r="G1471" s="9">
        <v>44938</v>
      </c>
      <c r="H1471" s="7"/>
      <c r="I1471" s="7"/>
      <c r="J1471" s="7"/>
      <c r="K1471" s="7"/>
      <c r="L1471" s="10"/>
      <c r="N1471" s="10"/>
      <c r="Q1471" s="11"/>
      <c r="R1471" s="7"/>
      <c r="S1471" s="7"/>
      <c r="T1471" s="7"/>
      <c r="U1471" s="7"/>
      <c r="V1471" s="10"/>
      <c r="X1471" s="10"/>
      <c r="AA1471" s="11"/>
    </row>
    <row r="1472" spans="2:27" ht="16" x14ac:dyDescent="0.2">
      <c r="B1472" t="s">
        <v>35</v>
      </c>
      <c r="C1472">
        <v>40355787</v>
      </c>
      <c r="D1472" t="s">
        <v>389</v>
      </c>
      <c r="E1472">
        <v>1023373</v>
      </c>
      <c r="F1472" t="s">
        <v>459</v>
      </c>
      <c r="G1472" s="9">
        <v>44972</v>
      </c>
      <c r="H1472" s="7"/>
      <c r="I1472" s="7"/>
      <c r="J1472" s="7"/>
      <c r="K1472" s="7"/>
      <c r="L1472" s="10">
        <v>5.5741092456127026</v>
      </c>
      <c r="M1472" s="9">
        <v>44977</v>
      </c>
      <c r="N1472" s="10">
        <v>5.5</v>
      </c>
      <c r="O1472" s="9">
        <v>44982</v>
      </c>
      <c r="P1472">
        <v>2</v>
      </c>
      <c r="Q1472" s="11" t="s">
        <v>594</v>
      </c>
      <c r="R1472" s="7"/>
      <c r="S1472" s="7"/>
      <c r="T1472" s="7"/>
      <c r="U1472" s="7"/>
      <c r="V1472" s="10">
        <v>7.5741092456127026</v>
      </c>
      <c r="W1472" s="9">
        <v>44979</v>
      </c>
      <c r="X1472" s="10">
        <v>7.5</v>
      </c>
      <c r="Y1472" s="9">
        <v>44982</v>
      </c>
      <c r="Z1472">
        <v>2</v>
      </c>
      <c r="AA1472" s="11" t="s">
        <v>594</v>
      </c>
    </row>
    <row r="1473" spans="2:27" x14ac:dyDescent="0.2">
      <c r="B1473" t="s">
        <v>394</v>
      </c>
      <c r="C1473">
        <v>40355350</v>
      </c>
      <c r="D1473" t="s">
        <v>485</v>
      </c>
      <c r="E1473">
        <v>1011421</v>
      </c>
      <c r="F1473" t="s">
        <v>484</v>
      </c>
      <c r="G1473" s="9">
        <v>44946</v>
      </c>
      <c r="H1473" s="7"/>
      <c r="I1473" s="7"/>
      <c r="J1473" s="7"/>
      <c r="K1473" s="7"/>
      <c r="L1473" s="10"/>
      <c r="N1473" s="10"/>
      <c r="Q1473" s="11"/>
      <c r="R1473" s="7"/>
      <c r="S1473" s="7"/>
      <c r="T1473" s="7"/>
      <c r="U1473" s="7"/>
      <c r="V1473" s="10"/>
      <c r="X1473" s="10"/>
      <c r="AA1473" s="11"/>
    </row>
    <row r="1474" spans="2:27" x14ac:dyDescent="0.2">
      <c r="B1474" t="s">
        <v>394</v>
      </c>
      <c r="C1474">
        <v>40355349</v>
      </c>
      <c r="D1474" t="s">
        <v>485</v>
      </c>
      <c r="E1474">
        <v>1011421</v>
      </c>
      <c r="F1474" t="s">
        <v>484</v>
      </c>
      <c r="G1474" s="9">
        <v>44946</v>
      </c>
      <c r="H1474" s="7"/>
      <c r="I1474" s="7"/>
      <c r="J1474" s="7"/>
      <c r="K1474" s="7"/>
      <c r="L1474" s="10"/>
      <c r="N1474" s="10"/>
      <c r="Q1474" s="11"/>
      <c r="R1474" s="7"/>
      <c r="S1474" s="7"/>
      <c r="T1474" s="7"/>
      <c r="U1474" s="7"/>
      <c r="V1474" s="10"/>
      <c r="X1474" s="10"/>
      <c r="AA1474" s="11"/>
    </row>
    <row r="1475" spans="2:27" x14ac:dyDescent="0.2">
      <c r="B1475" t="s">
        <v>394</v>
      </c>
      <c r="C1475">
        <v>40355344</v>
      </c>
      <c r="D1475" t="s">
        <v>485</v>
      </c>
      <c r="E1475">
        <v>1021868</v>
      </c>
      <c r="F1475" t="s">
        <v>509</v>
      </c>
      <c r="G1475" s="9">
        <v>44946</v>
      </c>
      <c r="H1475" s="7"/>
      <c r="I1475" s="7"/>
      <c r="J1475" s="7"/>
      <c r="K1475" s="7"/>
      <c r="L1475" s="10"/>
      <c r="N1475" s="10"/>
      <c r="Q1475" s="11"/>
      <c r="R1475" s="7"/>
      <c r="S1475" s="7"/>
      <c r="T1475" s="7"/>
      <c r="U1475" s="7"/>
      <c r="V1475" s="10"/>
      <c r="X1475" s="10"/>
      <c r="AA1475" s="11"/>
    </row>
    <row r="1476" spans="2:27" x14ac:dyDescent="0.2">
      <c r="B1476" t="s">
        <v>394</v>
      </c>
      <c r="C1476">
        <v>40355344</v>
      </c>
      <c r="D1476" t="s">
        <v>485</v>
      </c>
      <c r="E1476">
        <v>1022150</v>
      </c>
      <c r="F1476" t="s">
        <v>500</v>
      </c>
      <c r="G1476" s="9">
        <v>44946</v>
      </c>
      <c r="H1476" s="7"/>
      <c r="I1476" s="7"/>
      <c r="J1476" s="7"/>
      <c r="K1476" s="7"/>
      <c r="L1476" s="10"/>
      <c r="N1476" s="10"/>
      <c r="Q1476" s="11"/>
      <c r="R1476" s="7"/>
      <c r="S1476" s="7"/>
      <c r="T1476" s="7"/>
      <c r="U1476" s="7"/>
      <c r="V1476" s="10"/>
      <c r="X1476" s="10"/>
      <c r="AA1476" s="11"/>
    </row>
    <row r="1477" spans="2:27" x14ac:dyDescent="0.2">
      <c r="B1477" t="s">
        <v>394</v>
      </c>
      <c r="C1477">
        <v>40355344</v>
      </c>
      <c r="D1477" t="s">
        <v>485</v>
      </c>
      <c r="E1477">
        <v>1021868</v>
      </c>
      <c r="F1477" t="s">
        <v>509</v>
      </c>
      <c r="G1477" s="9">
        <v>44946</v>
      </c>
      <c r="H1477" s="7"/>
      <c r="I1477" s="7"/>
      <c r="J1477" s="7"/>
      <c r="K1477" s="7"/>
      <c r="L1477" s="10"/>
      <c r="N1477" s="10"/>
      <c r="Q1477" s="11"/>
      <c r="R1477" s="7"/>
      <c r="S1477" s="7"/>
      <c r="T1477" s="7"/>
      <c r="U1477" s="7"/>
      <c r="V1477" s="10"/>
      <c r="X1477" s="10"/>
      <c r="AA1477" s="11"/>
    </row>
    <row r="1478" spans="2:27" ht="16" x14ac:dyDescent="0.2">
      <c r="B1478" t="s">
        <v>35</v>
      </c>
      <c r="C1478">
        <v>40355304</v>
      </c>
      <c r="D1478" t="s">
        <v>423</v>
      </c>
      <c r="E1478">
        <v>1023434</v>
      </c>
      <c r="F1478" t="s">
        <v>625</v>
      </c>
      <c r="G1478" s="9">
        <v>44958</v>
      </c>
      <c r="H1478" s="7"/>
      <c r="I1478" s="7"/>
      <c r="J1478" s="7"/>
      <c r="K1478" s="7"/>
      <c r="L1478" s="10">
        <v>5.4496124031007751</v>
      </c>
      <c r="M1478" s="9">
        <v>44963</v>
      </c>
      <c r="N1478" s="10">
        <v>10</v>
      </c>
      <c r="O1478" s="9">
        <v>44973</v>
      </c>
      <c r="P1478">
        <v>10</v>
      </c>
      <c r="Q1478" s="11" t="s">
        <v>49</v>
      </c>
      <c r="R1478" s="7"/>
      <c r="S1478" s="7"/>
      <c r="T1478" s="7"/>
      <c r="U1478" s="7"/>
      <c r="V1478" s="10">
        <v>7.4496124031007751</v>
      </c>
      <c r="W1478" s="9">
        <v>44965</v>
      </c>
      <c r="X1478" s="10">
        <v>12</v>
      </c>
      <c r="Y1478" s="9">
        <v>44973</v>
      </c>
      <c r="Z1478">
        <v>10</v>
      </c>
      <c r="AA1478" s="11" t="s">
        <v>49</v>
      </c>
    </row>
    <row r="1479" spans="2:27" x14ac:dyDescent="0.2">
      <c r="B1479" t="s">
        <v>394</v>
      </c>
      <c r="C1479">
        <v>40355270</v>
      </c>
      <c r="D1479" t="s">
        <v>485</v>
      </c>
      <c r="E1479">
        <v>1012819</v>
      </c>
      <c r="F1479" t="s">
        <v>626</v>
      </c>
      <c r="G1479" s="9">
        <v>44935</v>
      </c>
      <c r="H1479" s="7"/>
      <c r="I1479" s="7"/>
      <c r="J1479" s="7"/>
      <c r="K1479" s="7"/>
      <c r="L1479" s="10"/>
      <c r="N1479" s="10"/>
      <c r="Q1479" s="11"/>
      <c r="R1479" s="7"/>
      <c r="S1479" s="7"/>
      <c r="T1479" s="7"/>
      <c r="U1479" s="7"/>
      <c r="V1479" s="10"/>
      <c r="X1479" s="10"/>
      <c r="AA1479" s="11"/>
    </row>
    <row r="1480" spans="2:27" x14ac:dyDescent="0.2">
      <c r="B1480" t="s">
        <v>394</v>
      </c>
      <c r="C1480">
        <v>40354557</v>
      </c>
      <c r="D1480" t="s">
        <v>485</v>
      </c>
      <c r="E1480">
        <v>1020017</v>
      </c>
      <c r="F1480" t="s">
        <v>524</v>
      </c>
      <c r="G1480" s="9">
        <v>44953</v>
      </c>
      <c r="H1480" s="7"/>
      <c r="I1480" s="7"/>
      <c r="J1480" s="7"/>
      <c r="K1480" s="7"/>
      <c r="L1480" s="10"/>
      <c r="N1480" s="10"/>
      <c r="Q1480" s="11"/>
      <c r="R1480" s="7"/>
      <c r="S1480" s="7"/>
      <c r="T1480" s="7"/>
      <c r="U1480" s="7"/>
      <c r="V1480" s="10"/>
      <c r="X1480" s="10"/>
      <c r="AA1480" s="11"/>
    </row>
    <row r="1481" spans="2:27" x14ac:dyDescent="0.2">
      <c r="B1481" t="s">
        <v>394</v>
      </c>
      <c r="C1481">
        <v>40354557</v>
      </c>
      <c r="D1481" t="s">
        <v>485</v>
      </c>
      <c r="E1481">
        <v>1020017</v>
      </c>
      <c r="F1481" t="s">
        <v>524</v>
      </c>
      <c r="G1481" s="9">
        <v>44953</v>
      </c>
      <c r="H1481" s="7"/>
      <c r="I1481" s="7"/>
      <c r="J1481" s="7"/>
      <c r="K1481" s="7"/>
      <c r="L1481" s="10"/>
      <c r="N1481" s="10"/>
      <c r="Q1481" s="11"/>
      <c r="R1481" s="7"/>
      <c r="S1481" s="7"/>
      <c r="T1481" s="7"/>
      <c r="U1481" s="7"/>
      <c r="V1481" s="10"/>
      <c r="X1481" s="10"/>
      <c r="AA1481" s="11"/>
    </row>
    <row r="1482" spans="2:27" x14ac:dyDescent="0.2">
      <c r="B1482" t="s">
        <v>394</v>
      </c>
      <c r="C1482">
        <v>40354512</v>
      </c>
      <c r="D1482" t="s">
        <v>485</v>
      </c>
      <c r="E1482">
        <v>1011558</v>
      </c>
      <c r="F1482" t="s">
        <v>603</v>
      </c>
      <c r="G1482" s="9">
        <v>44953</v>
      </c>
      <c r="H1482" s="7"/>
      <c r="I1482" s="7"/>
      <c r="J1482" s="7"/>
      <c r="K1482" s="7"/>
      <c r="L1482" s="10"/>
      <c r="N1482" s="10"/>
      <c r="Q1482" s="11"/>
      <c r="R1482" s="7"/>
      <c r="S1482" s="7"/>
      <c r="T1482" s="7"/>
      <c r="U1482" s="7"/>
      <c r="V1482" s="10"/>
      <c r="X1482" s="10"/>
      <c r="AA1482" s="11"/>
    </row>
    <row r="1483" spans="2:27" x14ac:dyDescent="0.2">
      <c r="B1483" t="s">
        <v>394</v>
      </c>
      <c r="C1483">
        <v>40354511</v>
      </c>
      <c r="D1483" t="s">
        <v>485</v>
      </c>
      <c r="E1483">
        <v>1011558</v>
      </c>
      <c r="F1483" t="s">
        <v>603</v>
      </c>
      <c r="G1483" s="9">
        <v>44953</v>
      </c>
      <c r="H1483" s="7"/>
      <c r="I1483" s="7"/>
      <c r="J1483" s="7"/>
      <c r="K1483" s="7"/>
      <c r="L1483" s="10"/>
      <c r="N1483" s="10"/>
      <c r="Q1483" s="11"/>
      <c r="R1483" s="7"/>
      <c r="S1483" s="7"/>
      <c r="T1483" s="7"/>
      <c r="U1483" s="7"/>
      <c r="V1483" s="10"/>
      <c r="X1483" s="10"/>
      <c r="AA1483" s="11"/>
    </row>
    <row r="1484" spans="2:27" ht="16" x14ac:dyDescent="0.2">
      <c r="B1484" t="s">
        <v>35</v>
      </c>
      <c r="C1484">
        <v>40354456</v>
      </c>
      <c r="D1484" t="s">
        <v>386</v>
      </c>
      <c r="E1484">
        <v>1012432</v>
      </c>
      <c r="F1484" t="s">
        <v>454</v>
      </c>
      <c r="G1484" s="9">
        <v>44959</v>
      </c>
      <c r="H1484" s="7"/>
      <c r="I1484" s="7"/>
      <c r="J1484" s="7"/>
      <c r="K1484" s="7"/>
      <c r="L1484" s="10">
        <v>5.1420118343195256</v>
      </c>
      <c r="M1484" s="9">
        <v>44964</v>
      </c>
      <c r="N1484" s="10">
        <v>7.5</v>
      </c>
      <c r="O1484" s="9">
        <v>44971</v>
      </c>
      <c r="P1484">
        <v>12</v>
      </c>
      <c r="Q1484" s="11" t="s">
        <v>49</v>
      </c>
      <c r="R1484" s="7"/>
      <c r="S1484" s="7"/>
      <c r="T1484" s="7"/>
      <c r="U1484" s="7"/>
      <c r="V1484" s="10">
        <v>7.1420118343195256</v>
      </c>
      <c r="W1484" s="9">
        <v>44966</v>
      </c>
      <c r="X1484" s="10">
        <v>9.5</v>
      </c>
      <c r="Y1484" s="9">
        <v>44971</v>
      </c>
      <c r="Z1484">
        <v>12</v>
      </c>
      <c r="AA1484" s="11" t="s">
        <v>49</v>
      </c>
    </row>
    <row r="1485" spans="2:27" x14ac:dyDescent="0.2">
      <c r="B1485" t="s">
        <v>394</v>
      </c>
      <c r="C1485">
        <v>40354448</v>
      </c>
      <c r="D1485" t="s">
        <v>396</v>
      </c>
      <c r="E1485">
        <v>1012612</v>
      </c>
      <c r="F1485" t="s">
        <v>429</v>
      </c>
      <c r="G1485" s="9">
        <v>44986</v>
      </c>
      <c r="H1485" s="7">
        <v>24800.36</v>
      </c>
      <c r="I1485" s="7"/>
      <c r="J1485" s="7"/>
      <c r="K1485" s="7"/>
      <c r="L1485" s="10"/>
      <c r="N1485" s="10"/>
      <c r="Q1485" s="11"/>
      <c r="R1485" s="7">
        <v>24800.36</v>
      </c>
      <c r="S1485" s="7"/>
      <c r="T1485" s="7"/>
      <c r="U1485" s="7"/>
      <c r="V1485" s="10"/>
      <c r="X1485" s="10"/>
      <c r="AA1485" s="11"/>
    </row>
    <row r="1486" spans="2:27" x14ac:dyDescent="0.2">
      <c r="B1486" t="s">
        <v>394</v>
      </c>
      <c r="C1486">
        <v>40354300</v>
      </c>
      <c r="D1486" t="s">
        <v>485</v>
      </c>
      <c r="E1486">
        <v>1020339</v>
      </c>
      <c r="F1486" t="s">
        <v>599</v>
      </c>
      <c r="G1486" s="9">
        <v>44936</v>
      </c>
      <c r="H1486" s="7"/>
      <c r="I1486" s="7"/>
      <c r="J1486" s="7"/>
      <c r="K1486" s="7"/>
      <c r="L1486" s="10"/>
      <c r="N1486" s="10"/>
      <c r="Q1486" s="11"/>
      <c r="R1486" s="7"/>
      <c r="S1486" s="7"/>
      <c r="T1486" s="7"/>
      <c r="U1486" s="7"/>
      <c r="V1486" s="10"/>
      <c r="X1486" s="10"/>
      <c r="AA1486" s="11"/>
    </row>
    <row r="1487" spans="2:27" x14ac:dyDescent="0.2">
      <c r="B1487" t="s">
        <v>394</v>
      </c>
      <c r="C1487">
        <v>40354300</v>
      </c>
      <c r="D1487" t="s">
        <v>485</v>
      </c>
      <c r="E1487">
        <v>1022149</v>
      </c>
      <c r="F1487" t="s">
        <v>537</v>
      </c>
      <c r="G1487" s="9">
        <v>44936</v>
      </c>
      <c r="H1487" s="7"/>
      <c r="I1487" s="7"/>
      <c r="J1487" s="7"/>
      <c r="K1487" s="7"/>
      <c r="L1487" s="10"/>
      <c r="N1487" s="10"/>
      <c r="Q1487" s="11"/>
      <c r="R1487" s="7"/>
      <c r="S1487" s="7"/>
      <c r="T1487" s="7"/>
      <c r="U1487" s="7"/>
      <c r="V1487" s="10"/>
      <c r="X1487" s="10"/>
      <c r="AA1487" s="11"/>
    </row>
    <row r="1488" spans="2:27" x14ac:dyDescent="0.2">
      <c r="B1488" t="s">
        <v>394</v>
      </c>
      <c r="C1488">
        <v>40354070</v>
      </c>
      <c r="D1488" t="s">
        <v>485</v>
      </c>
      <c r="E1488">
        <v>1012719</v>
      </c>
      <c r="F1488" t="s">
        <v>545</v>
      </c>
      <c r="G1488" s="9">
        <v>44938</v>
      </c>
      <c r="H1488" s="7"/>
      <c r="I1488" s="7"/>
      <c r="J1488" s="7"/>
      <c r="K1488" s="7"/>
      <c r="L1488" s="10"/>
      <c r="N1488" s="10"/>
      <c r="Q1488" s="11"/>
      <c r="R1488" s="7"/>
      <c r="S1488" s="7"/>
      <c r="T1488" s="7"/>
      <c r="U1488" s="7"/>
      <c r="V1488" s="10"/>
      <c r="X1488" s="10"/>
      <c r="AA1488" s="11"/>
    </row>
    <row r="1489" spans="2:27" x14ac:dyDescent="0.2">
      <c r="B1489" t="s">
        <v>394</v>
      </c>
      <c r="C1489">
        <v>40354069</v>
      </c>
      <c r="D1489" t="s">
        <v>485</v>
      </c>
      <c r="E1489">
        <v>1012719</v>
      </c>
      <c r="F1489" t="s">
        <v>545</v>
      </c>
      <c r="G1489" s="9">
        <v>44938</v>
      </c>
      <c r="H1489" s="7"/>
      <c r="I1489" s="7"/>
      <c r="J1489" s="7"/>
      <c r="K1489" s="7"/>
      <c r="L1489" s="10"/>
      <c r="N1489" s="10"/>
      <c r="Q1489" s="11"/>
      <c r="R1489" s="7"/>
      <c r="S1489" s="7"/>
      <c r="T1489" s="7"/>
      <c r="U1489" s="7"/>
      <c r="V1489" s="10"/>
      <c r="X1489" s="10"/>
      <c r="AA1489" s="11"/>
    </row>
    <row r="1490" spans="2:27" x14ac:dyDescent="0.2">
      <c r="B1490" t="s">
        <v>394</v>
      </c>
      <c r="C1490">
        <v>40353155</v>
      </c>
      <c r="D1490" t="s">
        <v>485</v>
      </c>
      <c r="E1490">
        <v>1020412</v>
      </c>
      <c r="F1490" t="s">
        <v>486</v>
      </c>
      <c r="G1490" s="9">
        <v>44954</v>
      </c>
      <c r="H1490" s="7"/>
      <c r="I1490" s="7"/>
      <c r="J1490" s="7"/>
      <c r="K1490" s="7"/>
      <c r="L1490" s="10"/>
      <c r="N1490" s="10"/>
      <c r="Q1490" s="11"/>
      <c r="R1490" s="7"/>
      <c r="S1490" s="7"/>
      <c r="T1490" s="7"/>
      <c r="U1490" s="7"/>
      <c r="V1490" s="10"/>
      <c r="X1490" s="10"/>
      <c r="AA1490" s="11"/>
    </row>
    <row r="1491" spans="2:27" x14ac:dyDescent="0.2">
      <c r="B1491" t="s">
        <v>394</v>
      </c>
      <c r="C1491">
        <v>40353155</v>
      </c>
      <c r="D1491" t="s">
        <v>485</v>
      </c>
      <c r="E1491">
        <v>1020412</v>
      </c>
      <c r="F1491" t="s">
        <v>486</v>
      </c>
      <c r="G1491" s="9">
        <v>44954</v>
      </c>
      <c r="H1491" s="7"/>
      <c r="I1491" s="7"/>
      <c r="J1491" s="7"/>
      <c r="K1491" s="7"/>
      <c r="L1491" s="10"/>
      <c r="N1491" s="10"/>
      <c r="Q1491" s="11"/>
      <c r="R1491" s="7"/>
      <c r="S1491" s="7"/>
      <c r="T1491" s="7"/>
      <c r="U1491" s="7"/>
      <c r="V1491" s="10"/>
      <c r="X1491" s="10"/>
      <c r="AA1491" s="11"/>
    </row>
    <row r="1492" spans="2:27" ht="16" x14ac:dyDescent="0.2">
      <c r="B1492" t="s">
        <v>35</v>
      </c>
      <c r="C1492">
        <v>40352839</v>
      </c>
      <c r="D1492" t="s">
        <v>389</v>
      </c>
      <c r="E1492">
        <v>1012455</v>
      </c>
      <c r="F1492" t="s">
        <v>450</v>
      </c>
      <c r="G1492" s="9">
        <v>44972</v>
      </c>
      <c r="H1492" s="7"/>
      <c r="I1492" s="7"/>
      <c r="J1492" s="7"/>
      <c r="K1492" s="7"/>
      <c r="L1492" s="10">
        <v>5.5741092456127026</v>
      </c>
      <c r="M1492" s="9">
        <v>44977</v>
      </c>
      <c r="N1492" s="10">
        <v>5.5</v>
      </c>
      <c r="O1492" s="9">
        <v>44982</v>
      </c>
      <c r="P1492">
        <v>2</v>
      </c>
      <c r="Q1492" s="11" t="s">
        <v>594</v>
      </c>
      <c r="R1492" s="7"/>
      <c r="S1492" s="7"/>
      <c r="T1492" s="7"/>
      <c r="U1492" s="7"/>
      <c r="V1492" s="10">
        <v>7.5741092456127026</v>
      </c>
      <c r="W1492" s="9">
        <v>44979</v>
      </c>
      <c r="X1492" s="10">
        <v>7.5</v>
      </c>
      <c r="Y1492" s="9">
        <v>44982</v>
      </c>
      <c r="Z1492">
        <v>2</v>
      </c>
      <c r="AA1492" s="11" t="s">
        <v>594</v>
      </c>
    </row>
    <row r="1493" spans="2:27" ht="16" x14ac:dyDescent="0.2">
      <c r="B1493" t="s">
        <v>35</v>
      </c>
      <c r="C1493">
        <v>40352838</v>
      </c>
      <c r="D1493" t="s">
        <v>389</v>
      </c>
      <c r="E1493">
        <v>1012455</v>
      </c>
      <c r="F1493" t="s">
        <v>450</v>
      </c>
      <c r="G1493" s="9">
        <v>44964</v>
      </c>
      <c r="H1493" s="7"/>
      <c r="I1493" s="7"/>
      <c r="J1493" s="7"/>
      <c r="K1493" s="7"/>
      <c r="L1493" s="10">
        <v>5.5741092456127026</v>
      </c>
      <c r="M1493" s="9">
        <v>44969</v>
      </c>
      <c r="N1493" s="10">
        <v>5.5</v>
      </c>
      <c r="O1493" s="9">
        <v>44974</v>
      </c>
      <c r="P1493">
        <v>9</v>
      </c>
      <c r="Q1493" s="11" t="s">
        <v>49</v>
      </c>
      <c r="R1493" s="7"/>
      <c r="S1493" s="7"/>
      <c r="T1493" s="7"/>
      <c r="U1493" s="7"/>
      <c r="V1493" s="10">
        <v>7.5741092456127026</v>
      </c>
      <c r="W1493" s="9">
        <v>44971</v>
      </c>
      <c r="X1493" s="10">
        <v>7.5</v>
      </c>
      <c r="Y1493" s="9">
        <v>44974</v>
      </c>
      <c r="Z1493">
        <v>9</v>
      </c>
      <c r="AA1493" s="11" t="s">
        <v>49</v>
      </c>
    </row>
    <row r="1494" spans="2:27" x14ac:dyDescent="0.2">
      <c r="B1494" t="s">
        <v>394</v>
      </c>
      <c r="C1494">
        <v>40352777</v>
      </c>
      <c r="D1494" t="s">
        <v>396</v>
      </c>
      <c r="E1494">
        <v>1022930</v>
      </c>
      <c r="F1494" t="s">
        <v>456</v>
      </c>
      <c r="G1494" s="9">
        <v>44985</v>
      </c>
      <c r="H1494" s="7"/>
      <c r="I1494" s="7"/>
      <c r="J1494" s="7"/>
      <c r="K1494" s="7"/>
      <c r="L1494" s="10"/>
      <c r="N1494" s="10"/>
      <c r="Q1494" s="11"/>
      <c r="R1494" s="7"/>
      <c r="S1494" s="7"/>
      <c r="T1494" s="7"/>
      <c r="U1494" s="7"/>
      <c r="V1494" s="10"/>
      <c r="X1494" s="10"/>
      <c r="AA1494" s="11"/>
    </row>
    <row r="1495" spans="2:27" x14ac:dyDescent="0.2">
      <c r="B1495" t="s">
        <v>394</v>
      </c>
      <c r="C1495">
        <v>40352776</v>
      </c>
      <c r="D1495" t="s">
        <v>396</v>
      </c>
      <c r="E1495">
        <v>1022930</v>
      </c>
      <c r="F1495" t="s">
        <v>456</v>
      </c>
      <c r="G1495" s="9">
        <v>44981</v>
      </c>
      <c r="H1495" s="7"/>
      <c r="I1495" s="7"/>
      <c r="J1495" s="7"/>
      <c r="K1495" s="7"/>
      <c r="L1495" s="10"/>
      <c r="N1495" s="10"/>
      <c r="Q1495" s="11"/>
      <c r="R1495" s="7"/>
      <c r="S1495" s="7"/>
      <c r="T1495" s="7"/>
      <c r="U1495" s="7"/>
      <c r="V1495" s="10"/>
      <c r="X1495" s="10"/>
      <c r="AA1495" s="11"/>
    </row>
    <row r="1496" spans="2:27" x14ac:dyDescent="0.2">
      <c r="B1496" t="s">
        <v>394</v>
      </c>
      <c r="C1496">
        <v>40352528</v>
      </c>
      <c r="D1496" t="s">
        <v>485</v>
      </c>
      <c r="E1496">
        <v>1023433</v>
      </c>
      <c r="F1496" t="s">
        <v>490</v>
      </c>
      <c r="G1496" s="9">
        <v>44948</v>
      </c>
      <c r="H1496" s="7"/>
      <c r="I1496" s="7"/>
      <c r="J1496" s="7"/>
      <c r="K1496" s="7"/>
      <c r="L1496" s="10"/>
      <c r="N1496" s="10"/>
      <c r="Q1496" s="11"/>
      <c r="R1496" s="7"/>
      <c r="S1496" s="7"/>
      <c r="T1496" s="7"/>
      <c r="U1496" s="7"/>
      <c r="V1496" s="10"/>
      <c r="X1496" s="10"/>
      <c r="AA1496" s="11"/>
    </row>
    <row r="1497" spans="2:27" x14ac:dyDescent="0.2">
      <c r="B1497" t="s">
        <v>394</v>
      </c>
      <c r="C1497">
        <v>40352345</v>
      </c>
      <c r="D1497" t="s">
        <v>485</v>
      </c>
      <c r="E1497">
        <v>1011558</v>
      </c>
      <c r="F1497" t="s">
        <v>603</v>
      </c>
      <c r="G1497" s="9">
        <v>44935</v>
      </c>
      <c r="H1497" s="7"/>
      <c r="I1497" s="7"/>
      <c r="J1497" s="7"/>
      <c r="K1497" s="7"/>
      <c r="L1497" s="10"/>
      <c r="N1497" s="10"/>
      <c r="Q1497" s="11"/>
      <c r="R1497" s="7"/>
      <c r="S1497" s="7"/>
      <c r="T1497" s="7"/>
      <c r="U1497" s="7"/>
      <c r="V1497" s="10"/>
      <c r="X1497" s="10"/>
      <c r="AA1497" s="11"/>
    </row>
    <row r="1498" spans="2:27" ht="16" x14ac:dyDescent="0.2">
      <c r="B1498" t="s">
        <v>35</v>
      </c>
      <c r="C1498">
        <v>40351980</v>
      </c>
      <c r="D1498" t="s">
        <v>423</v>
      </c>
      <c r="E1498">
        <v>1023450</v>
      </c>
      <c r="F1498" t="s">
        <v>532</v>
      </c>
      <c r="G1498" s="9">
        <v>44948</v>
      </c>
      <c r="H1498" s="7"/>
      <c r="I1498" s="7"/>
      <c r="J1498" s="7"/>
      <c r="K1498" s="7"/>
      <c r="L1498" s="10">
        <v>5.4496124031007751</v>
      </c>
      <c r="M1498" s="9">
        <v>44953</v>
      </c>
      <c r="N1498" s="10">
        <v>10</v>
      </c>
      <c r="O1498" s="9">
        <v>44963</v>
      </c>
      <c r="P1498">
        <v>19</v>
      </c>
      <c r="Q1498" s="11" t="s">
        <v>49</v>
      </c>
      <c r="R1498" s="7"/>
      <c r="S1498" s="7"/>
      <c r="T1498" s="7"/>
      <c r="U1498" s="7"/>
      <c r="V1498" s="10">
        <v>7.4496124031007751</v>
      </c>
      <c r="W1498" s="9">
        <v>44955</v>
      </c>
      <c r="X1498" s="10">
        <v>12</v>
      </c>
      <c r="Y1498" s="9">
        <v>44963</v>
      </c>
      <c r="Z1498">
        <v>19</v>
      </c>
      <c r="AA1498" s="11" t="s">
        <v>49</v>
      </c>
    </row>
    <row r="1499" spans="2:27" ht="16" x14ac:dyDescent="0.2">
      <c r="B1499" t="s">
        <v>35</v>
      </c>
      <c r="C1499">
        <v>40351980</v>
      </c>
      <c r="D1499" t="s">
        <v>423</v>
      </c>
      <c r="E1499">
        <v>1023450</v>
      </c>
      <c r="F1499" t="s">
        <v>532</v>
      </c>
      <c r="G1499" s="9">
        <v>44948</v>
      </c>
      <c r="H1499" s="7"/>
      <c r="I1499" s="7"/>
      <c r="J1499" s="7"/>
      <c r="K1499" s="7"/>
      <c r="L1499" s="10">
        <v>5.4496124031007751</v>
      </c>
      <c r="M1499" s="9">
        <v>44953</v>
      </c>
      <c r="N1499" s="10">
        <v>10</v>
      </c>
      <c r="O1499" s="9">
        <v>44963</v>
      </c>
      <c r="P1499">
        <v>19</v>
      </c>
      <c r="Q1499" s="11" t="s">
        <v>49</v>
      </c>
      <c r="R1499" s="7"/>
      <c r="S1499" s="7"/>
      <c r="T1499" s="7"/>
      <c r="U1499" s="7"/>
      <c r="V1499" s="10">
        <v>7.4496124031007751</v>
      </c>
      <c r="W1499" s="9">
        <v>44955</v>
      </c>
      <c r="X1499" s="10">
        <v>12</v>
      </c>
      <c r="Y1499" s="9">
        <v>44963</v>
      </c>
      <c r="Z1499">
        <v>19</v>
      </c>
      <c r="AA1499" s="11" t="s">
        <v>49</v>
      </c>
    </row>
    <row r="1500" spans="2:27" ht="16" x14ac:dyDescent="0.2">
      <c r="B1500" t="s">
        <v>35</v>
      </c>
      <c r="C1500">
        <v>40351941</v>
      </c>
      <c r="D1500" t="s">
        <v>409</v>
      </c>
      <c r="E1500">
        <v>1012797</v>
      </c>
      <c r="F1500" t="s">
        <v>627</v>
      </c>
      <c r="G1500" s="9">
        <v>44957</v>
      </c>
      <c r="H1500" s="7"/>
      <c r="I1500" s="7"/>
      <c r="J1500" s="7"/>
      <c r="K1500" s="7"/>
      <c r="L1500" s="10">
        <v>7.5</v>
      </c>
      <c r="M1500" s="9">
        <v>44964</v>
      </c>
      <c r="N1500" s="10">
        <v>9.5</v>
      </c>
      <c r="O1500" s="9">
        <v>44973</v>
      </c>
      <c r="P1500">
        <v>9</v>
      </c>
      <c r="Q1500" s="11" t="s">
        <v>49</v>
      </c>
      <c r="R1500" s="7"/>
      <c r="S1500" s="7"/>
      <c r="T1500" s="7"/>
      <c r="U1500" s="7"/>
      <c r="V1500" s="10">
        <v>9.5</v>
      </c>
      <c r="W1500" s="9">
        <v>44966</v>
      </c>
      <c r="X1500" s="10">
        <v>11.5</v>
      </c>
      <c r="Y1500" s="9">
        <v>44973</v>
      </c>
      <c r="Z1500">
        <v>9</v>
      </c>
      <c r="AA1500" s="11" t="s">
        <v>49</v>
      </c>
    </row>
    <row r="1501" spans="2:27" ht="16" x14ac:dyDescent="0.2">
      <c r="B1501" t="s">
        <v>35</v>
      </c>
      <c r="C1501">
        <v>40351930</v>
      </c>
      <c r="D1501" t="s">
        <v>409</v>
      </c>
      <c r="E1501">
        <v>1012167</v>
      </c>
      <c r="F1501" t="s">
        <v>70</v>
      </c>
      <c r="G1501" s="9">
        <v>44957</v>
      </c>
      <c r="H1501" s="7"/>
      <c r="I1501" s="7"/>
      <c r="J1501" s="7"/>
      <c r="K1501" s="7"/>
      <c r="L1501" s="10">
        <v>7.5</v>
      </c>
      <c r="M1501" s="9">
        <v>44964</v>
      </c>
      <c r="N1501" s="10">
        <v>9.5</v>
      </c>
      <c r="O1501" s="9">
        <v>44973</v>
      </c>
      <c r="P1501">
        <v>9</v>
      </c>
      <c r="Q1501" s="11" t="s">
        <v>49</v>
      </c>
      <c r="R1501" s="7"/>
      <c r="S1501" s="7"/>
      <c r="T1501" s="7"/>
      <c r="U1501" s="7"/>
      <c r="V1501" s="10">
        <v>9.5</v>
      </c>
      <c r="W1501" s="9">
        <v>44966</v>
      </c>
      <c r="X1501" s="10">
        <v>11.5</v>
      </c>
      <c r="Y1501" s="9">
        <v>44973</v>
      </c>
      <c r="Z1501">
        <v>9</v>
      </c>
      <c r="AA1501" s="11" t="s">
        <v>49</v>
      </c>
    </row>
    <row r="1502" spans="2:27" ht="16" x14ac:dyDescent="0.2">
      <c r="B1502" t="s">
        <v>35</v>
      </c>
      <c r="C1502">
        <v>40351930</v>
      </c>
      <c r="D1502" t="s">
        <v>409</v>
      </c>
      <c r="E1502">
        <v>1012532</v>
      </c>
      <c r="F1502" t="s">
        <v>558</v>
      </c>
      <c r="G1502" s="9">
        <v>44957</v>
      </c>
      <c r="H1502" s="7"/>
      <c r="I1502" s="7"/>
      <c r="J1502" s="7"/>
      <c r="K1502" s="7"/>
      <c r="L1502" s="10">
        <v>7.5</v>
      </c>
      <c r="M1502" s="9">
        <v>44964</v>
      </c>
      <c r="N1502" s="10">
        <v>9.5</v>
      </c>
      <c r="O1502" s="9">
        <v>44973</v>
      </c>
      <c r="P1502">
        <v>9</v>
      </c>
      <c r="Q1502" s="11" t="s">
        <v>49</v>
      </c>
      <c r="R1502" s="7"/>
      <c r="S1502" s="7"/>
      <c r="T1502" s="7"/>
      <c r="U1502" s="7"/>
      <c r="V1502" s="10">
        <v>9.5</v>
      </c>
      <c r="W1502" s="9">
        <v>44966</v>
      </c>
      <c r="X1502" s="10">
        <v>11.5</v>
      </c>
      <c r="Y1502" s="9">
        <v>44973</v>
      </c>
      <c r="Z1502">
        <v>9</v>
      </c>
      <c r="AA1502" s="11" t="s">
        <v>49</v>
      </c>
    </row>
    <row r="1503" spans="2:27" ht="16" x14ac:dyDescent="0.2">
      <c r="B1503" t="s">
        <v>35</v>
      </c>
      <c r="C1503">
        <v>40351520</v>
      </c>
      <c r="D1503" t="s">
        <v>389</v>
      </c>
      <c r="E1503">
        <v>1021766</v>
      </c>
      <c r="F1503" t="s">
        <v>286</v>
      </c>
      <c r="G1503" s="9">
        <v>44985</v>
      </c>
      <c r="H1503" s="7">
        <v>24138</v>
      </c>
      <c r="I1503" s="7"/>
      <c r="J1503" s="7"/>
      <c r="K1503" s="7"/>
      <c r="L1503" s="10">
        <v>5.5741092456127026</v>
      </c>
      <c r="M1503" s="9">
        <v>44990</v>
      </c>
      <c r="N1503" s="10">
        <v>5.5</v>
      </c>
      <c r="O1503" s="9">
        <v>44995</v>
      </c>
      <c r="P1503">
        <v>18</v>
      </c>
      <c r="Q1503" s="11" t="s">
        <v>49</v>
      </c>
      <c r="R1503" s="7">
        <v>24138</v>
      </c>
      <c r="S1503" s="7"/>
      <c r="T1503" s="7"/>
      <c r="U1503" s="7"/>
      <c r="V1503" s="10">
        <v>7.5741092456127026</v>
      </c>
      <c r="W1503" s="9">
        <v>44992</v>
      </c>
      <c r="X1503" s="10">
        <v>7.5</v>
      </c>
      <c r="Y1503" s="9">
        <v>44995</v>
      </c>
      <c r="Z1503">
        <v>18</v>
      </c>
      <c r="AA1503" s="11" t="s">
        <v>49</v>
      </c>
    </row>
    <row r="1504" spans="2:27" ht="16" x14ac:dyDescent="0.2">
      <c r="B1504" t="s">
        <v>35</v>
      </c>
      <c r="C1504">
        <v>40351505</v>
      </c>
      <c r="D1504" t="s">
        <v>389</v>
      </c>
      <c r="E1504">
        <v>1023306</v>
      </c>
      <c r="F1504" t="s">
        <v>330</v>
      </c>
      <c r="G1504" s="9">
        <v>44964</v>
      </c>
      <c r="H1504" s="7"/>
      <c r="I1504" s="7"/>
      <c r="J1504" s="7"/>
      <c r="K1504" s="7"/>
      <c r="L1504" s="10">
        <v>5.5741092456127026</v>
      </c>
      <c r="M1504" s="9">
        <v>44969</v>
      </c>
      <c r="N1504" s="10">
        <v>5.5</v>
      </c>
      <c r="O1504" s="9">
        <v>44974</v>
      </c>
      <c r="P1504">
        <v>9</v>
      </c>
      <c r="Q1504" s="11" t="s">
        <v>49</v>
      </c>
      <c r="R1504" s="7"/>
      <c r="S1504" s="7"/>
      <c r="T1504" s="7"/>
      <c r="U1504" s="7"/>
      <c r="V1504" s="10">
        <v>7.5741092456127026</v>
      </c>
      <c r="W1504" s="9">
        <v>44971</v>
      </c>
      <c r="X1504" s="10">
        <v>7.5</v>
      </c>
      <c r="Y1504" s="9">
        <v>44974</v>
      </c>
      <c r="Z1504">
        <v>9</v>
      </c>
      <c r="AA1504" s="11" t="s">
        <v>49</v>
      </c>
    </row>
    <row r="1505" spans="2:27" ht="16" x14ac:dyDescent="0.2">
      <c r="B1505" t="s">
        <v>35</v>
      </c>
      <c r="C1505">
        <v>40351489</v>
      </c>
      <c r="D1505" t="s">
        <v>389</v>
      </c>
      <c r="E1505">
        <v>1022125</v>
      </c>
      <c r="F1505" t="s">
        <v>296</v>
      </c>
      <c r="G1505" s="9">
        <v>44964</v>
      </c>
      <c r="H1505" s="7"/>
      <c r="I1505" s="7"/>
      <c r="J1505" s="7"/>
      <c r="K1505" s="7"/>
      <c r="L1505" s="10">
        <v>5.5741092456127026</v>
      </c>
      <c r="M1505" s="9">
        <v>44969</v>
      </c>
      <c r="N1505" s="10">
        <v>5.5</v>
      </c>
      <c r="O1505" s="9">
        <v>44974</v>
      </c>
      <c r="P1505">
        <v>9</v>
      </c>
      <c r="Q1505" s="11" t="s">
        <v>49</v>
      </c>
      <c r="R1505" s="7"/>
      <c r="S1505" s="7"/>
      <c r="T1505" s="7"/>
      <c r="U1505" s="7"/>
      <c r="V1505" s="10">
        <v>7.5741092456127026</v>
      </c>
      <c r="W1505" s="9">
        <v>44971</v>
      </c>
      <c r="X1505" s="10">
        <v>7.5</v>
      </c>
      <c r="Y1505" s="9">
        <v>44974</v>
      </c>
      <c r="Z1505">
        <v>9</v>
      </c>
      <c r="AA1505" s="11" t="s">
        <v>49</v>
      </c>
    </row>
    <row r="1506" spans="2:27" ht="16" x14ac:dyDescent="0.2">
      <c r="B1506" t="s">
        <v>35</v>
      </c>
      <c r="C1506">
        <v>40351480</v>
      </c>
      <c r="D1506" t="s">
        <v>389</v>
      </c>
      <c r="E1506">
        <v>1022943</v>
      </c>
      <c r="F1506" t="s">
        <v>324</v>
      </c>
      <c r="G1506" s="9">
        <v>44979</v>
      </c>
      <c r="H1506" s="7">
        <v>25004.5</v>
      </c>
      <c r="I1506" s="7"/>
      <c r="J1506" s="7"/>
      <c r="K1506" s="7"/>
      <c r="L1506" s="10">
        <v>5.5741092456127026</v>
      </c>
      <c r="M1506" s="9">
        <v>44984</v>
      </c>
      <c r="N1506" s="10">
        <v>5.5</v>
      </c>
      <c r="O1506" s="9">
        <v>44989</v>
      </c>
      <c r="P1506">
        <v>23</v>
      </c>
      <c r="Q1506" s="11" t="s">
        <v>49</v>
      </c>
      <c r="R1506" s="7">
        <v>25004.5</v>
      </c>
      <c r="S1506" s="7"/>
      <c r="T1506" s="7"/>
      <c r="U1506" s="7"/>
      <c r="V1506" s="10">
        <v>7.5741092456127026</v>
      </c>
      <c r="W1506" s="9">
        <v>44986</v>
      </c>
      <c r="X1506" s="10">
        <v>7.5</v>
      </c>
      <c r="Y1506" s="9">
        <v>44989</v>
      </c>
      <c r="Z1506">
        <v>23</v>
      </c>
      <c r="AA1506" s="11" t="s">
        <v>49</v>
      </c>
    </row>
    <row r="1507" spans="2:27" ht="16" x14ac:dyDescent="0.2">
      <c r="B1507" t="s">
        <v>35</v>
      </c>
      <c r="C1507">
        <v>40351446</v>
      </c>
      <c r="D1507" t="s">
        <v>389</v>
      </c>
      <c r="E1507">
        <v>1021774</v>
      </c>
      <c r="F1507" t="s">
        <v>443</v>
      </c>
      <c r="G1507" s="9">
        <v>44985</v>
      </c>
      <c r="H1507" s="7">
        <v>24060</v>
      </c>
      <c r="I1507" s="7"/>
      <c r="J1507" s="7"/>
      <c r="K1507" s="7"/>
      <c r="L1507" s="10">
        <v>5.5741092456127026</v>
      </c>
      <c r="M1507" s="9">
        <v>44990</v>
      </c>
      <c r="N1507" s="10">
        <v>5.5</v>
      </c>
      <c r="O1507" s="9">
        <v>44995</v>
      </c>
      <c r="P1507">
        <v>18</v>
      </c>
      <c r="Q1507" s="11" t="s">
        <v>49</v>
      </c>
      <c r="R1507" s="7">
        <v>24060</v>
      </c>
      <c r="S1507" s="7"/>
      <c r="T1507" s="7"/>
      <c r="U1507" s="7"/>
      <c r="V1507" s="10">
        <v>7.5741092456127026</v>
      </c>
      <c r="W1507" s="9">
        <v>44992</v>
      </c>
      <c r="X1507" s="10">
        <v>7.5</v>
      </c>
      <c r="Y1507" s="9">
        <v>44995</v>
      </c>
      <c r="Z1507">
        <v>18</v>
      </c>
      <c r="AA1507" s="11" t="s">
        <v>49</v>
      </c>
    </row>
    <row r="1508" spans="2:27" ht="16" x14ac:dyDescent="0.2">
      <c r="B1508" t="s">
        <v>35</v>
      </c>
      <c r="C1508">
        <v>40351394</v>
      </c>
      <c r="D1508" t="s">
        <v>389</v>
      </c>
      <c r="E1508">
        <v>1022748</v>
      </c>
      <c r="F1508" t="s">
        <v>444</v>
      </c>
      <c r="G1508" s="9">
        <v>44979</v>
      </c>
      <c r="H1508" s="7">
        <v>24530</v>
      </c>
      <c r="I1508" s="7"/>
      <c r="J1508" s="7"/>
      <c r="K1508" s="7"/>
      <c r="L1508" s="10">
        <v>5.5741092456127026</v>
      </c>
      <c r="M1508" s="9">
        <v>44984</v>
      </c>
      <c r="N1508" s="10">
        <v>5.5</v>
      </c>
      <c r="O1508" s="9">
        <v>44989</v>
      </c>
      <c r="P1508">
        <v>23</v>
      </c>
      <c r="Q1508" s="11" t="s">
        <v>49</v>
      </c>
      <c r="R1508" s="7">
        <v>24530</v>
      </c>
      <c r="S1508" s="7"/>
      <c r="T1508" s="7"/>
      <c r="U1508" s="7"/>
      <c r="V1508" s="10">
        <v>7.5741092456127026</v>
      </c>
      <c r="W1508" s="9">
        <v>44986</v>
      </c>
      <c r="X1508" s="10">
        <v>7.5</v>
      </c>
      <c r="Y1508" s="9">
        <v>44989</v>
      </c>
      <c r="Z1508">
        <v>23</v>
      </c>
      <c r="AA1508" s="11" t="s">
        <v>49</v>
      </c>
    </row>
    <row r="1509" spans="2:27" ht="16" x14ac:dyDescent="0.2">
      <c r="B1509" t="s">
        <v>35</v>
      </c>
      <c r="C1509">
        <v>40351387</v>
      </c>
      <c r="D1509" t="s">
        <v>389</v>
      </c>
      <c r="E1509">
        <v>1022753</v>
      </c>
      <c r="F1509" t="s">
        <v>320</v>
      </c>
      <c r="G1509" s="9">
        <v>44985</v>
      </c>
      <c r="H1509" s="7">
        <v>24540</v>
      </c>
      <c r="I1509" s="7"/>
      <c r="J1509" s="7"/>
      <c r="K1509" s="7"/>
      <c r="L1509" s="10">
        <v>5.5741092456127026</v>
      </c>
      <c r="M1509" s="9">
        <v>44990</v>
      </c>
      <c r="N1509" s="10">
        <v>5.5</v>
      </c>
      <c r="O1509" s="9">
        <v>44995</v>
      </c>
      <c r="P1509">
        <v>18</v>
      </c>
      <c r="Q1509" s="11" t="s">
        <v>49</v>
      </c>
      <c r="R1509" s="7">
        <v>24540</v>
      </c>
      <c r="S1509" s="7"/>
      <c r="T1509" s="7"/>
      <c r="U1509" s="7"/>
      <c r="V1509" s="10">
        <v>7.5741092456127026</v>
      </c>
      <c r="W1509" s="9">
        <v>44992</v>
      </c>
      <c r="X1509" s="10">
        <v>7.5</v>
      </c>
      <c r="Y1509" s="9">
        <v>44995</v>
      </c>
      <c r="Z1509">
        <v>18</v>
      </c>
      <c r="AA1509" s="11" t="s">
        <v>49</v>
      </c>
    </row>
    <row r="1510" spans="2:27" ht="16" x14ac:dyDescent="0.2">
      <c r="B1510" t="s">
        <v>35</v>
      </c>
      <c r="C1510">
        <v>40351367</v>
      </c>
      <c r="D1510" t="s">
        <v>389</v>
      </c>
      <c r="E1510">
        <v>1021732</v>
      </c>
      <c r="F1510" t="s">
        <v>275</v>
      </c>
      <c r="G1510" s="9">
        <v>44985</v>
      </c>
      <c r="H1510" s="7">
        <v>23920</v>
      </c>
      <c r="I1510" s="7"/>
      <c r="J1510" s="7"/>
      <c r="K1510" s="7"/>
      <c r="L1510" s="10">
        <v>5.5741092456127026</v>
      </c>
      <c r="M1510" s="9">
        <v>44990</v>
      </c>
      <c r="N1510" s="10">
        <v>5.5</v>
      </c>
      <c r="O1510" s="9">
        <v>44995</v>
      </c>
      <c r="P1510">
        <v>18</v>
      </c>
      <c r="Q1510" s="11" t="s">
        <v>49</v>
      </c>
      <c r="R1510" s="7">
        <v>23920</v>
      </c>
      <c r="S1510" s="7"/>
      <c r="T1510" s="7"/>
      <c r="U1510" s="7"/>
      <c r="V1510" s="10">
        <v>7.5741092456127026</v>
      </c>
      <c r="W1510" s="9">
        <v>44992</v>
      </c>
      <c r="X1510" s="10">
        <v>7.5</v>
      </c>
      <c r="Y1510" s="9">
        <v>44995</v>
      </c>
      <c r="Z1510">
        <v>18</v>
      </c>
      <c r="AA1510" s="11" t="s">
        <v>49</v>
      </c>
    </row>
    <row r="1511" spans="2:27" x14ac:dyDescent="0.2">
      <c r="B1511" t="s">
        <v>394</v>
      </c>
      <c r="C1511">
        <v>40350186</v>
      </c>
      <c r="D1511" t="s">
        <v>485</v>
      </c>
      <c r="E1511">
        <v>1020352</v>
      </c>
      <c r="F1511" t="s">
        <v>600</v>
      </c>
      <c r="G1511" s="9">
        <v>44936</v>
      </c>
      <c r="H1511" s="7"/>
      <c r="I1511" s="7"/>
      <c r="J1511" s="7"/>
      <c r="K1511" s="7"/>
      <c r="L1511" s="10"/>
      <c r="N1511" s="10"/>
      <c r="Q1511" s="11"/>
      <c r="R1511" s="7"/>
      <c r="S1511" s="7"/>
      <c r="T1511" s="7"/>
      <c r="U1511" s="7"/>
      <c r="V1511" s="10"/>
      <c r="X1511" s="10"/>
      <c r="AA1511" s="11"/>
    </row>
    <row r="1512" spans="2:27" x14ac:dyDescent="0.2">
      <c r="B1512" t="s">
        <v>394</v>
      </c>
      <c r="C1512">
        <v>40350183</v>
      </c>
      <c r="D1512" t="s">
        <v>485</v>
      </c>
      <c r="E1512">
        <v>1021385</v>
      </c>
      <c r="F1512" t="s">
        <v>495</v>
      </c>
      <c r="G1512" s="9">
        <v>44936</v>
      </c>
      <c r="H1512" s="7"/>
      <c r="I1512" s="7"/>
      <c r="J1512" s="7"/>
      <c r="K1512" s="7"/>
      <c r="L1512" s="10"/>
      <c r="N1512" s="10"/>
      <c r="Q1512" s="11"/>
      <c r="R1512" s="7"/>
      <c r="S1512" s="7"/>
      <c r="T1512" s="7"/>
      <c r="U1512" s="7"/>
      <c r="V1512" s="10"/>
      <c r="X1512" s="10"/>
      <c r="AA1512" s="11"/>
    </row>
    <row r="1513" spans="2:27" x14ac:dyDescent="0.2">
      <c r="B1513" t="s">
        <v>394</v>
      </c>
      <c r="C1513">
        <v>40350183</v>
      </c>
      <c r="D1513" t="s">
        <v>485</v>
      </c>
      <c r="E1513">
        <v>1021385</v>
      </c>
      <c r="F1513" t="s">
        <v>495</v>
      </c>
      <c r="G1513" s="9">
        <v>44936</v>
      </c>
      <c r="H1513" s="7"/>
      <c r="I1513" s="7"/>
      <c r="J1513" s="7"/>
      <c r="K1513" s="7"/>
      <c r="L1513" s="10"/>
      <c r="N1513" s="10"/>
      <c r="Q1513" s="11"/>
      <c r="R1513" s="7"/>
      <c r="S1513" s="7"/>
      <c r="T1513" s="7"/>
      <c r="U1513" s="7"/>
      <c r="V1513" s="10"/>
      <c r="X1513" s="10"/>
      <c r="AA1513" s="11"/>
    </row>
    <row r="1514" spans="2:27" x14ac:dyDescent="0.2">
      <c r="B1514" t="s">
        <v>394</v>
      </c>
      <c r="C1514">
        <v>40349809</v>
      </c>
      <c r="D1514" t="s">
        <v>485</v>
      </c>
      <c r="E1514">
        <v>1020944</v>
      </c>
      <c r="F1514" t="s">
        <v>498</v>
      </c>
      <c r="G1514" s="9">
        <v>44950</v>
      </c>
      <c r="H1514" s="7"/>
      <c r="I1514" s="7"/>
      <c r="J1514" s="7"/>
      <c r="K1514" s="7"/>
      <c r="L1514" s="10"/>
      <c r="N1514" s="10"/>
      <c r="Q1514" s="11"/>
      <c r="R1514" s="7"/>
      <c r="S1514" s="7"/>
      <c r="T1514" s="7"/>
      <c r="U1514" s="7"/>
      <c r="V1514" s="10"/>
      <c r="X1514" s="10"/>
      <c r="AA1514" s="11"/>
    </row>
    <row r="1515" spans="2:27" x14ac:dyDescent="0.2">
      <c r="B1515" t="s">
        <v>394</v>
      </c>
      <c r="C1515">
        <v>40349809</v>
      </c>
      <c r="D1515" t="s">
        <v>485</v>
      </c>
      <c r="E1515">
        <v>1020944</v>
      </c>
      <c r="F1515" t="s">
        <v>498</v>
      </c>
      <c r="G1515" s="9">
        <v>44950</v>
      </c>
      <c r="H1515" s="7"/>
      <c r="I1515" s="7"/>
      <c r="J1515" s="7"/>
      <c r="K1515" s="7"/>
      <c r="L1515" s="10"/>
      <c r="N1515" s="10"/>
      <c r="Q1515" s="11"/>
      <c r="R1515" s="7"/>
      <c r="S1515" s="7"/>
      <c r="T1515" s="7"/>
      <c r="U1515" s="7"/>
      <c r="V1515" s="10"/>
      <c r="X1515" s="10"/>
      <c r="AA1515" s="11"/>
    </row>
    <row r="1516" spans="2:27" x14ac:dyDescent="0.2">
      <c r="B1516" t="s">
        <v>394</v>
      </c>
      <c r="C1516">
        <v>40349433</v>
      </c>
      <c r="D1516" t="s">
        <v>396</v>
      </c>
      <c r="E1516">
        <v>1030535</v>
      </c>
      <c r="F1516" t="s">
        <v>395</v>
      </c>
      <c r="G1516" s="9">
        <v>44967</v>
      </c>
      <c r="H1516" s="7"/>
      <c r="I1516" s="7"/>
      <c r="J1516" s="7"/>
      <c r="K1516" s="7"/>
      <c r="L1516" s="10"/>
      <c r="N1516" s="10"/>
      <c r="Q1516" s="11"/>
      <c r="R1516" s="7"/>
      <c r="S1516" s="7"/>
      <c r="T1516" s="7"/>
      <c r="U1516" s="7"/>
      <c r="V1516" s="10"/>
      <c r="X1516" s="10"/>
      <c r="AA1516" s="11"/>
    </row>
    <row r="1517" spans="2:27" x14ac:dyDescent="0.2">
      <c r="B1517" t="s">
        <v>394</v>
      </c>
      <c r="C1517">
        <v>40348940</v>
      </c>
      <c r="D1517" t="s">
        <v>485</v>
      </c>
      <c r="E1517">
        <v>1022389</v>
      </c>
      <c r="F1517" t="s">
        <v>628</v>
      </c>
      <c r="G1517" s="9">
        <v>44936</v>
      </c>
      <c r="H1517" s="7"/>
      <c r="I1517" s="7"/>
      <c r="J1517" s="7"/>
      <c r="K1517" s="7"/>
      <c r="L1517" s="10"/>
      <c r="N1517" s="10"/>
      <c r="Q1517" s="11"/>
      <c r="R1517" s="7"/>
      <c r="S1517" s="7"/>
      <c r="T1517" s="7"/>
      <c r="U1517" s="7"/>
      <c r="V1517" s="10"/>
      <c r="X1517" s="10"/>
      <c r="AA1517" s="11"/>
    </row>
    <row r="1518" spans="2:27" x14ac:dyDescent="0.2">
      <c r="B1518" t="s">
        <v>394</v>
      </c>
      <c r="C1518">
        <v>40348940</v>
      </c>
      <c r="D1518" t="s">
        <v>485</v>
      </c>
      <c r="E1518">
        <v>1020352</v>
      </c>
      <c r="F1518" t="s">
        <v>600</v>
      </c>
      <c r="G1518" s="9">
        <v>44936</v>
      </c>
      <c r="H1518" s="7"/>
      <c r="I1518" s="7"/>
      <c r="J1518" s="7"/>
      <c r="K1518" s="7"/>
      <c r="L1518" s="10"/>
      <c r="N1518" s="10"/>
      <c r="Q1518" s="11"/>
      <c r="R1518" s="7"/>
      <c r="S1518" s="7"/>
      <c r="T1518" s="7"/>
      <c r="U1518" s="7"/>
      <c r="V1518" s="10"/>
      <c r="X1518" s="10"/>
      <c r="AA1518" s="11"/>
    </row>
    <row r="1519" spans="2:27" x14ac:dyDescent="0.2">
      <c r="B1519" t="s">
        <v>394</v>
      </c>
      <c r="C1519">
        <v>40348938</v>
      </c>
      <c r="D1519" t="s">
        <v>485</v>
      </c>
      <c r="E1519">
        <v>1022150</v>
      </c>
      <c r="F1519" t="s">
        <v>500</v>
      </c>
      <c r="G1519" s="9">
        <v>44936</v>
      </c>
      <c r="H1519" s="7"/>
      <c r="I1519" s="7"/>
      <c r="J1519" s="7"/>
      <c r="K1519" s="7"/>
      <c r="L1519" s="10"/>
      <c r="N1519" s="10"/>
      <c r="Q1519" s="11"/>
      <c r="R1519" s="7"/>
      <c r="S1519" s="7"/>
      <c r="T1519" s="7"/>
      <c r="U1519" s="7"/>
      <c r="V1519" s="10"/>
      <c r="X1519" s="10"/>
      <c r="AA1519" s="11"/>
    </row>
    <row r="1520" spans="2:27" x14ac:dyDescent="0.2">
      <c r="B1520" t="s">
        <v>394</v>
      </c>
      <c r="C1520">
        <v>40348386</v>
      </c>
      <c r="D1520" t="s">
        <v>485</v>
      </c>
      <c r="E1520">
        <v>1023324</v>
      </c>
      <c r="F1520" t="s">
        <v>629</v>
      </c>
      <c r="G1520" s="9">
        <v>44961</v>
      </c>
      <c r="H1520" s="7"/>
      <c r="I1520" s="7"/>
      <c r="J1520" s="7"/>
      <c r="K1520" s="7"/>
      <c r="L1520" s="10"/>
      <c r="N1520" s="10"/>
      <c r="Q1520" s="11"/>
      <c r="R1520" s="7"/>
      <c r="S1520" s="7"/>
      <c r="T1520" s="7"/>
      <c r="U1520" s="7"/>
      <c r="V1520" s="10"/>
      <c r="X1520" s="10"/>
      <c r="AA1520" s="11"/>
    </row>
    <row r="1521" spans="2:27" ht="16" x14ac:dyDescent="0.2">
      <c r="B1521" t="s">
        <v>35</v>
      </c>
      <c r="C1521">
        <v>40348359</v>
      </c>
      <c r="D1521" t="s">
        <v>409</v>
      </c>
      <c r="E1521">
        <v>1012164</v>
      </c>
      <c r="F1521" t="s">
        <v>142</v>
      </c>
      <c r="G1521" s="9">
        <v>44956</v>
      </c>
      <c r="H1521" s="7"/>
      <c r="I1521" s="7"/>
      <c r="J1521" s="7"/>
      <c r="K1521" s="7"/>
      <c r="L1521" s="10">
        <v>7.5</v>
      </c>
      <c r="M1521" s="9">
        <v>44963</v>
      </c>
      <c r="N1521" s="10">
        <v>9.5</v>
      </c>
      <c r="O1521" s="9">
        <v>44972</v>
      </c>
      <c r="P1521">
        <v>10</v>
      </c>
      <c r="Q1521" s="11" t="s">
        <v>49</v>
      </c>
      <c r="R1521" s="7"/>
      <c r="S1521" s="7"/>
      <c r="T1521" s="7"/>
      <c r="U1521" s="7"/>
      <c r="V1521" s="10">
        <v>9.5</v>
      </c>
      <c r="W1521" s="9">
        <v>44965</v>
      </c>
      <c r="X1521" s="10">
        <v>11.5</v>
      </c>
      <c r="Y1521" s="9">
        <v>44972</v>
      </c>
      <c r="Z1521">
        <v>10</v>
      </c>
      <c r="AA1521" s="11" t="s">
        <v>49</v>
      </c>
    </row>
    <row r="1522" spans="2:27" ht="16" x14ac:dyDescent="0.2">
      <c r="B1522" t="s">
        <v>35</v>
      </c>
      <c r="C1522">
        <v>40348359</v>
      </c>
      <c r="D1522" t="s">
        <v>409</v>
      </c>
      <c r="E1522">
        <v>1012157</v>
      </c>
      <c r="F1522" t="s">
        <v>99</v>
      </c>
      <c r="G1522" s="9">
        <v>44956</v>
      </c>
      <c r="H1522" s="7"/>
      <c r="I1522" s="7"/>
      <c r="J1522" s="7"/>
      <c r="K1522" s="7"/>
      <c r="L1522" s="10">
        <v>7.5</v>
      </c>
      <c r="M1522" s="9">
        <v>44963</v>
      </c>
      <c r="N1522" s="10">
        <v>9.5</v>
      </c>
      <c r="O1522" s="9">
        <v>44972</v>
      </c>
      <c r="P1522">
        <v>10</v>
      </c>
      <c r="Q1522" s="11" t="s">
        <v>49</v>
      </c>
      <c r="R1522" s="7"/>
      <c r="S1522" s="7"/>
      <c r="T1522" s="7"/>
      <c r="U1522" s="7"/>
      <c r="V1522" s="10">
        <v>9.5</v>
      </c>
      <c r="W1522" s="9">
        <v>44965</v>
      </c>
      <c r="X1522" s="10">
        <v>11.5</v>
      </c>
      <c r="Y1522" s="9">
        <v>44972</v>
      </c>
      <c r="Z1522">
        <v>10</v>
      </c>
      <c r="AA1522" s="11" t="s">
        <v>49</v>
      </c>
    </row>
    <row r="1523" spans="2:27" ht="16" x14ac:dyDescent="0.2">
      <c r="B1523" t="s">
        <v>35</v>
      </c>
      <c r="C1523">
        <v>40348359</v>
      </c>
      <c r="D1523" t="s">
        <v>409</v>
      </c>
      <c r="E1523">
        <v>1012167</v>
      </c>
      <c r="F1523" t="s">
        <v>70</v>
      </c>
      <c r="G1523" s="9">
        <v>44956</v>
      </c>
      <c r="H1523" s="7"/>
      <c r="I1523" s="7"/>
      <c r="J1523" s="7"/>
      <c r="K1523" s="7"/>
      <c r="L1523" s="10">
        <v>7.5</v>
      </c>
      <c r="M1523" s="9">
        <v>44963</v>
      </c>
      <c r="N1523" s="10">
        <v>9.5</v>
      </c>
      <c r="O1523" s="9">
        <v>44972</v>
      </c>
      <c r="P1523">
        <v>10</v>
      </c>
      <c r="Q1523" s="11" t="s">
        <v>49</v>
      </c>
      <c r="R1523" s="7"/>
      <c r="S1523" s="7"/>
      <c r="T1523" s="7"/>
      <c r="U1523" s="7"/>
      <c r="V1523" s="10">
        <v>9.5</v>
      </c>
      <c r="W1523" s="9">
        <v>44965</v>
      </c>
      <c r="X1523" s="10">
        <v>11.5</v>
      </c>
      <c r="Y1523" s="9">
        <v>44972</v>
      </c>
      <c r="Z1523">
        <v>10</v>
      </c>
      <c r="AA1523" s="11" t="s">
        <v>49</v>
      </c>
    </row>
    <row r="1524" spans="2:27" ht="16" x14ac:dyDescent="0.2">
      <c r="B1524" t="s">
        <v>35</v>
      </c>
      <c r="C1524">
        <v>40348359</v>
      </c>
      <c r="D1524" t="s">
        <v>409</v>
      </c>
      <c r="E1524">
        <v>1012159</v>
      </c>
      <c r="F1524" t="s">
        <v>88</v>
      </c>
      <c r="G1524" s="9">
        <v>44956</v>
      </c>
      <c r="H1524" s="7"/>
      <c r="I1524" s="7"/>
      <c r="J1524" s="7"/>
      <c r="K1524" s="7"/>
      <c r="L1524" s="10">
        <v>7.5</v>
      </c>
      <c r="M1524" s="9">
        <v>44963</v>
      </c>
      <c r="N1524" s="10">
        <v>9.5</v>
      </c>
      <c r="O1524" s="9">
        <v>44972</v>
      </c>
      <c r="P1524">
        <v>10</v>
      </c>
      <c r="Q1524" s="11" t="s">
        <v>49</v>
      </c>
      <c r="R1524" s="7"/>
      <c r="S1524" s="7"/>
      <c r="T1524" s="7"/>
      <c r="U1524" s="7"/>
      <c r="V1524" s="10">
        <v>9.5</v>
      </c>
      <c r="W1524" s="9">
        <v>44965</v>
      </c>
      <c r="X1524" s="10">
        <v>11.5</v>
      </c>
      <c r="Y1524" s="9">
        <v>44972</v>
      </c>
      <c r="Z1524">
        <v>10</v>
      </c>
      <c r="AA1524" s="11" t="s">
        <v>49</v>
      </c>
    </row>
    <row r="1525" spans="2:27" ht="16" x14ac:dyDescent="0.2">
      <c r="B1525" t="s">
        <v>35</v>
      </c>
      <c r="C1525">
        <v>40348359</v>
      </c>
      <c r="D1525" t="s">
        <v>409</v>
      </c>
      <c r="E1525">
        <v>1012158</v>
      </c>
      <c r="F1525" t="s">
        <v>86</v>
      </c>
      <c r="G1525" s="9">
        <v>44956</v>
      </c>
      <c r="H1525" s="7"/>
      <c r="I1525" s="7"/>
      <c r="J1525" s="7"/>
      <c r="K1525" s="7"/>
      <c r="L1525" s="10">
        <v>7.5</v>
      </c>
      <c r="M1525" s="9">
        <v>44963</v>
      </c>
      <c r="N1525" s="10">
        <v>9.5</v>
      </c>
      <c r="O1525" s="9">
        <v>44972</v>
      </c>
      <c r="P1525">
        <v>10</v>
      </c>
      <c r="Q1525" s="11" t="s">
        <v>49</v>
      </c>
      <c r="R1525" s="7"/>
      <c r="S1525" s="7"/>
      <c r="T1525" s="7"/>
      <c r="U1525" s="7"/>
      <c r="V1525" s="10">
        <v>9.5</v>
      </c>
      <c r="W1525" s="9">
        <v>44965</v>
      </c>
      <c r="X1525" s="10">
        <v>11.5</v>
      </c>
      <c r="Y1525" s="9">
        <v>44972</v>
      </c>
      <c r="Z1525">
        <v>10</v>
      </c>
      <c r="AA1525" s="11" t="s">
        <v>49</v>
      </c>
    </row>
    <row r="1526" spans="2:27" ht="16" x14ac:dyDescent="0.2">
      <c r="B1526" t="s">
        <v>35</v>
      </c>
      <c r="C1526">
        <v>40348359</v>
      </c>
      <c r="D1526" t="s">
        <v>409</v>
      </c>
      <c r="E1526">
        <v>1012160</v>
      </c>
      <c r="F1526" t="s">
        <v>72</v>
      </c>
      <c r="G1526" s="9">
        <v>44956</v>
      </c>
      <c r="H1526" s="7"/>
      <c r="I1526" s="7"/>
      <c r="J1526" s="7"/>
      <c r="K1526" s="7"/>
      <c r="L1526" s="10">
        <v>7.5</v>
      </c>
      <c r="M1526" s="9">
        <v>44963</v>
      </c>
      <c r="N1526" s="10">
        <v>9.5</v>
      </c>
      <c r="O1526" s="9">
        <v>44972</v>
      </c>
      <c r="P1526">
        <v>10</v>
      </c>
      <c r="Q1526" s="11" t="s">
        <v>49</v>
      </c>
      <c r="R1526" s="7"/>
      <c r="S1526" s="7"/>
      <c r="T1526" s="7"/>
      <c r="U1526" s="7"/>
      <c r="V1526" s="10">
        <v>9.5</v>
      </c>
      <c r="W1526" s="9">
        <v>44965</v>
      </c>
      <c r="X1526" s="10">
        <v>11.5</v>
      </c>
      <c r="Y1526" s="9">
        <v>44972</v>
      </c>
      <c r="Z1526">
        <v>10</v>
      </c>
      <c r="AA1526" s="11" t="s">
        <v>49</v>
      </c>
    </row>
    <row r="1527" spans="2:27" x14ac:dyDescent="0.2">
      <c r="B1527" t="s">
        <v>394</v>
      </c>
      <c r="C1527">
        <v>40347987</v>
      </c>
      <c r="D1527" t="s">
        <v>485</v>
      </c>
      <c r="E1527">
        <v>1021092</v>
      </c>
      <c r="F1527" t="s">
        <v>525</v>
      </c>
      <c r="G1527" s="9">
        <v>44961</v>
      </c>
      <c r="H1527" s="7"/>
      <c r="I1527" s="7"/>
      <c r="J1527" s="7"/>
      <c r="K1527" s="7"/>
      <c r="L1527" s="10"/>
      <c r="N1527" s="10"/>
      <c r="Q1527" s="11"/>
      <c r="R1527" s="7"/>
      <c r="S1527" s="7"/>
      <c r="T1527" s="7"/>
      <c r="U1527" s="7"/>
      <c r="V1527" s="10"/>
      <c r="X1527" s="10"/>
      <c r="AA1527" s="11"/>
    </row>
    <row r="1528" spans="2:27" x14ac:dyDescent="0.2">
      <c r="B1528" t="s">
        <v>394</v>
      </c>
      <c r="C1528">
        <v>40347987</v>
      </c>
      <c r="D1528" t="s">
        <v>485</v>
      </c>
      <c r="E1528">
        <v>1021092</v>
      </c>
      <c r="F1528" t="s">
        <v>525</v>
      </c>
      <c r="G1528" s="9">
        <v>44961</v>
      </c>
      <c r="H1528" s="7"/>
      <c r="I1528" s="7"/>
      <c r="J1528" s="7"/>
      <c r="K1528" s="7"/>
      <c r="L1528" s="10"/>
      <c r="N1528" s="10"/>
      <c r="Q1528" s="11"/>
      <c r="R1528" s="7"/>
      <c r="S1528" s="7"/>
      <c r="T1528" s="7"/>
      <c r="U1528" s="7"/>
      <c r="V1528" s="10"/>
      <c r="X1528" s="10"/>
      <c r="AA1528" s="11"/>
    </row>
    <row r="1529" spans="2:27" x14ac:dyDescent="0.2">
      <c r="B1529" t="s">
        <v>394</v>
      </c>
      <c r="C1529">
        <v>40347878</v>
      </c>
      <c r="D1529" t="s">
        <v>485</v>
      </c>
      <c r="E1529">
        <v>1021187</v>
      </c>
      <c r="F1529" t="s">
        <v>617</v>
      </c>
      <c r="G1529" s="9">
        <v>44936</v>
      </c>
      <c r="H1529" s="7"/>
      <c r="I1529" s="7"/>
      <c r="J1529" s="7"/>
      <c r="K1529" s="7"/>
      <c r="L1529" s="10"/>
      <c r="N1529" s="10"/>
      <c r="Q1529" s="11"/>
      <c r="R1529" s="7"/>
      <c r="S1529" s="7"/>
      <c r="T1529" s="7"/>
      <c r="U1529" s="7"/>
      <c r="V1529" s="10"/>
      <c r="X1529" s="10"/>
      <c r="AA1529" s="11"/>
    </row>
    <row r="1530" spans="2:27" ht="16" x14ac:dyDescent="0.2">
      <c r="B1530" t="s">
        <v>35</v>
      </c>
      <c r="C1530">
        <v>40347210</v>
      </c>
      <c r="D1530" t="s">
        <v>409</v>
      </c>
      <c r="E1530">
        <v>1012520</v>
      </c>
      <c r="F1530" t="s">
        <v>113</v>
      </c>
      <c r="G1530" s="9">
        <v>44964</v>
      </c>
      <c r="H1530" s="7"/>
      <c r="I1530" s="7"/>
      <c r="J1530" s="7"/>
      <c r="K1530" s="7"/>
      <c r="L1530" s="10">
        <v>7.5</v>
      </c>
      <c r="M1530" s="9">
        <v>44971</v>
      </c>
      <c r="N1530" s="10">
        <v>9.5</v>
      </c>
      <c r="O1530" s="9">
        <v>44980</v>
      </c>
      <c r="P1530">
        <v>4</v>
      </c>
      <c r="Q1530" s="11" t="s">
        <v>49</v>
      </c>
      <c r="R1530" s="7"/>
      <c r="S1530" s="7"/>
      <c r="T1530" s="7"/>
      <c r="U1530" s="7"/>
      <c r="V1530" s="10">
        <v>9.5</v>
      </c>
      <c r="W1530" s="9">
        <v>44973</v>
      </c>
      <c r="X1530" s="10">
        <v>11.5</v>
      </c>
      <c r="Y1530" s="9">
        <v>44980</v>
      </c>
      <c r="Z1530">
        <v>4</v>
      </c>
      <c r="AA1530" s="11" t="s">
        <v>49</v>
      </c>
    </row>
    <row r="1531" spans="2:27" ht="16" x14ac:dyDescent="0.2">
      <c r="B1531" t="s">
        <v>35</v>
      </c>
      <c r="C1531">
        <v>40347210</v>
      </c>
      <c r="D1531" t="s">
        <v>409</v>
      </c>
      <c r="E1531">
        <v>1012108</v>
      </c>
      <c r="F1531" t="s">
        <v>57</v>
      </c>
      <c r="G1531" s="9">
        <v>44964</v>
      </c>
      <c r="H1531" s="7"/>
      <c r="I1531" s="7"/>
      <c r="J1531" s="7"/>
      <c r="K1531" s="7"/>
      <c r="L1531" s="10">
        <v>7.5</v>
      </c>
      <c r="M1531" s="9">
        <v>44971</v>
      </c>
      <c r="N1531" s="10">
        <v>9.5</v>
      </c>
      <c r="O1531" s="9">
        <v>44980</v>
      </c>
      <c r="P1531">
        <v>4</v>
      </c>
      <c r="Q1531" s="11" t="s">
        <v>49</v>
      </c>
      <c r="R1531" s="7"/>
      <c r="S1531" s="7"/>
      <c r="T1531" s="7"/>
      <c r="U1531" s="7"/>
      <c r="V1531" s="10">
        <v>9.5</v>
      </c>
      <c r="W1531" s="9">
        <v>44973</v>
      </c>
      <c r="X1531" s="10">
        <v>11.5</v>
      </c>
      <c r="Y1531" s="9">
        <v>44980</v>
      </c>
      <c r="Z1531">
        <v>4</v>
      </c>
      <c r="AA1531" s="11" t="s">
        <v>49</v>
      </c>
    </row>
    <row r="1532" spans="2:27" x14ac:dyDescent="0.2">
      <c r="B1532" t="s">
        <v>394</v>
      </c>
      <c r="C1532">
        <v>40347174</v>
      </c>
      <c r="D1532" t="s">
        <v>485</v>
      </c>
      <c r="E1532">
        <v>1021596</v>
      </c>
      <c r="F1532" t="s">
        <v>630</v>
      </c>
      <c r="G1532" s="9">
        <v>44938</v>
      </c>
      <c r="H1532" s="7"/>
      <c r="I1532" s="7"/>
      <c r="J1532" s="7"/>
      <c r="K1532" s="7"/>
      <c r="L1532" s="10"/>
      <c r="N1532" s="10"/>
      <c r="Q1532" s="11"/>
      <c r="R1532" s="7"/>
      <c r="S1532" s="7"/>
      <c r="T1532" s="7"/>
      <c r="U1532" s="7"/>
      <c r="V1532" s="10"/>
      <c r="X1532" s="10"/>
      <c r="AA1532" s="11"/>
    </row>
    <row r="1533" spans="2:27" x14ac:dyDescent="0.2">
      <c r="B1533" t="s">
        <v>394</v>
      </c>
      <c r="C1533">
        <v>40347174</v>
      </c>
      <c r="D1533" t="s">
        <v>485</v>
      </c>
      <c r="E1533">
        <v>1021596</v>
      </c>
      <c r="F1533" t="s">
        <v>630</v>
      </c>
      <c r="G1533" s="9">
        <v>44938</v>
      </c>
      <c r="H1533" s="7"/>
      <c r="I1533" s="7"/>
      <c r="J1533" s="7"/>
      <c r="K1533" s="7"/>
      <c r="L1533" s="10"/>
      <c r="N1533" s="10"/>
      <c r="Q1533" s="11"/>
      <c r="R1533" s="7"/>
      <c r="S1533" s="7"/>
      <c r="T1533" s="7"/>
      <c r="U1533" s="7"/>
      <c r="V1533" s="10"/>
      <c r="X1533" s="10"/>
      <c r="AA1533" s="11"/>
    </row>
    <row r="1534" spans="2:27" x14ac:dyDescent="0.2">
      <c r="B1534" t="s">
        <v>394</v>
      </c>
      <c r="C1534">
        <v>40347174</v>
      </c>
      <c r="D1534" t="s">
        <v>485</v>
      </c>
      <c r="E1534">
        <v>1021385</v>
      </c>
      <c r="F1534" t="s">
        <v>495</v>
      </c>
      <c r="G1534" s="9">
        <v>44938</v>
      </c>
      <c r="H1534" s="7"/>
      <c r="I1534" s="7"/>
      <c r="J1534" s="7"/>
      <c r="K1534" s="7"/>
      <c r="L1534" s="10"/>
      <c r="N1534" s="10"/>
      <c r="Q1534" s="11"/>
      <c r="R1534" s="7"/>
      <c r="S1534" s="7"/>
      <c r="T1534" s="7"/>
      <c r="U1534" s="7"/>
      <c r="V1534" s="10"/>
      <c r="X1534" s="10"/>
      <c r="AA1534" s="11"/>
    </row>
    <row r="1535" spans="2:27" ht="16" x14ac:dyDescent="0.2">
      <c r="B1535" t="s">
        <v>35</v>
      </c>
      <c r="C1535">
        <v>40346559</v>
      </c>
      <c r="D1535" t="s">
        <v>389</v>
      </c>
      <c r="E1535">
        <v>1030683</v>
      </c>
      <c r="F1535" t="s">
        <v>379</v>
      </c>
      <c r="G1535" s="9">
        <v>44964</v>
      </c>
      <c r="H1535" s="7"/>
      <c r="I1535" s="7"/>
      <c r="J1535" s="7"/>
      <c r="K1535" s="7"/>
      <c r="L1535" s="10">
        <v>5.5741092456127026</v>
      </c>
      <c r="M1535" s="9">
        <v>44969</v>
      </c>
      <c r="N1535" s="10">
        <v>5.5</v>
      </c>
      <c r="O1535" s="9">
        <v>44974</v>
      </c>
      <c r="P1535">
        <v>9</v>
      </c>
      <c r="Q1535" s="11" t="s">
        <v>49</v>
      </c>
      <c r="R1535" s="7"/>
      <c r="S1535" s="7"/>
      <c r="T1535" s="7"/>
      <c r="U1535" s="7"/>
      <c r="V1535" s="10">
        <v>7.5741092456127026</v>
      </c>
      <c r="W1535" s="9">
        <v>44971</v>
      </c>
      <c r="X1535" s="10">
        <v>7.5</v>
      </c>
      <c r="Y1535" s="9">
        <v>44974</v>
      </c>
      <c r="Z1535">
        <v>9</v>
      </c>
      <c r="AA1535" s="11" t="s">
        <v>49</v>
      </c>
    </row>
    <row r="1536" spans="2:27" x14ac:dyDescent="0.2">
      <c r="B1536" t="s">
        <v>394</v>
      </c>
      <c r="C1536">
        <v>40346266</v>
      </c>
      <c r="D1536" t="s">
        <v>396</v>
      </c>
      <c r="E1536">
        <v>1020905</v>
      </c>
      <c r="F1536" t="s">
        <v>631</v>
      </c>
      <c r="G1536" s="9">
        <v>44975</v>
      </c>
      <c r="H1536" s="7"/>
      <c r="I1536" s="7"/>
      <c r="J1536" s="7"/>
      <c r="K1536" s="7"/>
      <c r="L1536" s="10"/>
      <c r="N1536" s="10"/>
      <c r="Q1536" s="11"/>
      <c r="R1536" s="7"/>
      <c r="S1536" s="7"/>
      <c r="T1536" s="7"/>
      <c r="U1536" s="7"/>
      <c r="V1536" s="10"/>
      <c r="X1536" s="10"/>
      <c r="AA1536" s="11"/>
    </row>
    <row r="1537" spans="2:27" x14ac:dyDescent="0.2">
      <c r="B1537" t="s">
        <v>394</v>
      </c>
      <c r="C1537">
        <v>40346266</v>
      </c>
      <c r="D1537" t="s">
        <v>396</v>
      </c>
      <c r="E1537">
        <v>1020905</v>
      </c>
      <c r="F1537" t="s">
        <v>631</v>
      </c>
      <c r="G1537" s="9">
        <v>44975</v>
      </c>
      <c r="H1537" s="7"/>
      <c r="I1537" s="7"/>
      <c r="J1537" s="7"/>
      <c r="K1537" s="7"/>
      <c r="L1537" s="10"/>
      <c r="N1537" s="10"/>
      <c r="Q1537" s="11"/>
      <c r="R1537" s="7"/>
      <c r="S1537" s="7"/>
      <c r="T1537" s="7"/>
      <c r="U1537" s="7"/>
      <c r="V1537" s="10"/>
      <c r="X1537" s="10"/>
      <c r="AA1537" s="11"/>
    </row>
    <row r="1538" spans="2:27" x14ac:dyDescent="0.2">
      <c r="B1538" t="s">
        <v>394</v>
      </c>
      <c r="C1538">
        <v>40346128</v>
      </c>
      <c r="D1538" t="s">
        <v>485</v>
      </c>
      <c r="E1538">
        <v>1020944</v>
      </c>
      <c r="F1538" t="s">
        <v>498</v>
      </c>
      <c r="G1538" s="9">
        <v>44949</v>
      </c>
      <c r="H1538" s="7"/>
      <c r="I1538" s="7"/>
      <c r="J1538" s="7"/>
      <c r="K1538" s="7"/>
      <c r="L1538" s="10"/>
      <c r="N1538" s="10"/>
      <c r="Q1538" s="11"/>
      <c r="R1538" s="7"/>
      <c r="S1538" s="7"/>
      <c r="T1538" s="7"/>
      <c r="U1538" s="7"/>
      <c r="V1538" s="10"/>
      <c r="X1538" s="10"/>
      <c r="AA1538" s="11"/>
    </row>
    <row r="1539" spans="2:27" ht="16" x14ac:dyDescent="0.2">
      <c r="B1539" t="s">
        <v>35</v>
      </c>
      <c r="C1539">
        <v>40345855</v>
      </c>
      <c r="D1539" t="s">
        <v>389</v>
      </c>
      <c r="E1539">
        <v>1022939</v>
      </c>
      <c r="F1539" t="s">
        <v>505</v>
      </c>
      <c r="G1539" s="9">
        <v>44972</v>
      </c>
      <c r="H1539" s="7"/>
      <c r="I1539" s="7"/>
      <c r="J1539" s="7"/>
      <c r="K1539" s="7"/>
      <c r="L1539" s="10">
        <v>5.5741092456127026</v>
      </c>
      <c r="M1539" s="9">
        <v>44977</v>
      </c>
      <c r="N1539" s="10">
        <v>5.5</v>
      </c>
      <c r="O1539" s="9">
        <v>44982</v>
      </c>
      <c r="P1539">
        <v>2</v>
      </c>
      <c r="Q1539" s="11" t="s">
        <v>594</v>
      </c>
      <c r="R1539" s="7"/>
      <c r="S1539" s="7"/>
      <c r="T1539" s="7"/>
      <c r="U1539" s="7"/>
      <c r="V1539" s="10">
        <v>7.5741092456127026</v>
      </c>
      <c r="W1539" s="9">
        <v>44979</v>
      </c>
      <c r="X1539" s="10">
        <v>7.5</v>
      </c>
      <c r="Y1539" s="9">
        <v>44982</v>
      </c>
      <c r="Z1539">
        <v>2</v>
      </c>
      <c r="AA1539" s="11" t="s">
        <v>594</v>
      </c>
    </row>
    <row r="1540" spans="2:27" ht="16" x14ac:dyDescent="0.2">
      <c r="B1540" t="s">
        <v>35</v>
      </c>
      <c r="C1540">
        <v>40345855</v>
      </c>
      <c r="D1540" t="s">
        <v>389</v>
      </c>
      <c r="E1540">
        <v>1022939</v>
      </c>
      <c r="F1540" t="s">
        <v>505</v>
      </c>
      <c r="G1540" s="9">
        <v>44972</v>
      </c>
      <c r="H1540" s="7"/>
      <c r="I1540" s="7"/>
      <c r="J1540" s="7"/>
      <c r="K1540" s="7"/>
      <c r="L1540" s="10">
        <v>5.5741092456127026</v>
      </c>
      <c r="M1540" s="9">
        <v>44977</v>
      </c>
      <c r="N1540" s="10">
        <v>5.5</v>
      </c>
      <c r="O1540" s="9">
        <v>44982</v>
      </c>
      <c r="P1540">
        <v>2</v>
      </c>
      <c r="Q1540" s="11" t="s">
        <v>594</v>
      </c>
      <c r="R1540" s="7"/>
      <c r="S1540" s="7"/>
      <c r="T1540" s="7"/>
      <c r="U1540" s="7"/>
      <c r="V1540" s="10">
        <v>7.5741092456127026</v>
      </c>
      <c r="W1540" s="9">
        <v>44979</v>
      </c>
      <c r="X1540" s="10">
        <v>7.5</v>
      </c>
      <c r="Y1540" s="9">
        <v>44982</v>
      </c>
      <c r="Z1540">
        <v>2</v>
      </c>
      <c r="AA1540" s="11" t="s">
        <v>594</v>
      </c>
    </row>
    <row r="1541" spans="2:27" x14ac:dyDescent="0.2">
      <c r="B1541" t="s">
        <v>394</v>
      </c>
      <c r="C1541">
        <v>40344727</v>
      </c>
      <c r="D1541" t="s">
        <v>485</v>
      </c>
      <c r="E1541">
        <v>1022855</v>
      </c>
      <c r="F1541" t="s">
        <v>632</v>
      </c>
      <c r="G1541" s="9">
        <v>44936</v>
      </c>
      <c r="H1541" s="7"/>
      <c r="I1541" s="7"/>
      <c r="J1541" s="7"/>
      <c r="K1541" s="7"/>
      <c r="L1541" s="10"/>
      <c r="N1541" s="10"/>
      <c r="Q1541" s="11"/>
      <c r="R1541" s="7"/>
      <c r="S1541" s="7"/>
      <c r="T1541" s="7"/>
      <c r="U1541" s="7"/>
      <c r="V1541" s="10"/>
      <c r="X1541" s="10"/>
      <c r="AA1541" s="11"/>
    </row>
    <row r="1542" spans="2:27" ht="16" x14ac:dyDescent="0.2">
      <c r="B1542" t="s">
        <v>35</v>
      </c>
      <c r="C1542">
        <v>40344589</v>
      </c>
      <c r="D1542" t="s">
        <v>389</v>
      </c>
      <c r="E1542">
        <v>1023111</v>
      </c>
      <c r="F1542" t="s">
        <v>328</v>
      </c>
      <c r="G1542" s="9">
        <v>44964</v>
      </c>
      <c r="H1542" s="7"/>
      <c r="I1542" s="7"/>
      <c r="J1542" s="7"/>
      <c r="K1542" s="7"/>
      <c r="L1542" s="10">
        <v>5.5741092456127026</v>
      </c>
      <c r="M1542" s="9">
        <v>44969</v>
      </c>
      <c r="N1542" s="10">
        <v>5.5</v>
      </c>
      <c r="O1542" s="9">
        <v>44974</v>
      </c>
      <c r="P1542">
        <v>9</v>
      </c>
      <c r="Q1542" s="11" t="s">
        <v>49</v>
      </c>
      <c r="R1542" s="7"/>
      <c r="S1542" s="7"/>
      <c r="T1542" s="7"/>
      <c r="U1542" s="7"/>
      <c r="V1542" s="10">
        <v>7.5741092456127026</v>
      </c>
      <c r="W1542" s="9">
        <v>44971</v>
      </c>
      <c r="X1542" s="10">
        <v>7.5</v>
      </c>
      <c r="Y1542" s="9">
        <v>44974</v>
      </c>
      <c r="Z1542">
        <v>9</v>
      </c>
      <c r="AA1542" s="11" t="s">
        <v>49</v>
      </c>
    </row>
    <row r="1543" spans="2:27" x14ac:dyDescent="0.2">
      <c r="B1543" t="s">
        <v>394</v>
      </c>
      <c r="C1543">
        <v>40343843</v>
      </c>
      <c r="D1543" t="s">
        <v>396</v>
      </c>
      <c r="E1543">
        <v>1023439</v>
      </c>
      <c r="F1543" t="s">
        <v>479</v>
      </c>
      <c r="G1543" s="9">
        <v>44986</v>
      </c>
      <c r="H1543" s="7">
        <v>13000</v>
      </c>
      <c r="I1543" s="7"/>
      <c r="J1543" s="7"/>
      <c r="K1543" s="7"/>
      <c r="L1543" s="10"/>
      <c r="N1543" s="10"/>
      <c r="Q1543" s="11"/>
      <c r="R1543" s="7">
        <v>13000</v>
      </c>
      <c r="S1543" s="7"/>
      <c r="T1543" s="7"/>
      <c r="U1543" s="7"/>
      <c r="V1543" s="10"/>
      <c r="X1543" s="10"/>
      <c r="AA1543" s="11"/>
    </row>
    <row r="1544" spans="2:27" x14ac:dyDescent="0.2">
      <c r="B1544" t="s">
        <v>394</v>
      </c>
      <c r="C1544">
        <v>40343843</v>
      </c>
      <c r="D1544" t="s">
        <v>396</v>
      </c>
      <c r="E1544">
        <v>1023397</v>
      </c>
      <c r="F1544" t="s">
        <v>463</v>
      </c>
      <c r="G1544" s="9">
        <v>44986</v>
      </c>
      <c r="H1544" s="7">
        <v>10914.69</v>
      </c>
      <c r="I1544" s="7"/>
      <c r="J1544" s="7"/>
      <c r="K1544" s="7"/>
      <c r="L1544" s="10"/>
      <c r="N1544" s="10"/>
      <c r="Q1544" s="11"/>
      <c r="R1544" s="7">
        <v>10914.69</v>
      </c>
      <c r="S1544" s="7"/>
      <c r="T1544" s="7"/>
      <c r="U1544" s="7"/>
      <c r="V1544" s="10"/>
      <c r="X1544" s="10"/>
      <c r="AA1544" s="11"/>
    </row>
    <row r="1545" spans="2:27" ht="16" x14ac:dyDescent="0.2">
      <c r="B1545" t="s">
        <v>35</v>
      </c>
      <c r="C1545">
        <v>40342756</v>
      </c>
      <c r="D1545" t="s">
        <v>409</v>
      </c>
      <c r="E1545">
        <v>1012806</v>
      </c>
      <c r="F1545" t="s">
        <v>222</v>
      </c>
      <c r="G1545" s="9">
        <v>44964</v>
      </c>
      <c r="H1545" s="7"/>
      <c r="I1545" s="7"/>
      <c r="J1545" s="7"/>
      <c r="K1545" s="7"/>
      <c r="L1545" s="10">
        <v>7.5</v>
      </c>
      <c r="M1545" s="9">
        <v>44971</v>
      </c>
      <c r="N1545" s="10">
        <v>9.5</v>
      </c>
      <c r="O1545" s="9">
        <v>44980</v>
      </c>
      <c r="P1545">
        <v>4</v>
      </c>
      <c r="Q1545" s="11" t="s">
        <v>49</v>
      </c>
      <c r="R1545" s="7"/>
      <c r="S1545" s="7"/>
      <c r="T1545" s="7"/>
      <c r="U1545" s="7"/>
      <c r="V1545" s="10">
        <v>9.5</v>
      </c>
      <c r="W1545" s="9">
        <v>44973</v>
      </c>
      <c r="X1545" s="10">
        <v>11.5</v>
      </c>
      <c r="Y1545" s="9">
        <v>44980</v>
      </c>
      <c r="Z1545">
        <v>4</v>
      </c>
      <c r="AA1545" s="11" t="s">
        <v>49</v>
      </c>
    </row>
    <row r="1546" spans="2:27" ht="16" x14ac:dyDescent="0.2">
      <c r="B1546" t="s">
        <v>35</v>
      </c>
      <c r="C1546">
        <v>40342756</v>
      </c>
      <c r="D1546" t="s">
        <v>409</v>
      </c>
      <c r="E1546">
        <v>1012167</v>
      </c>
      <c r="F1546" t="s">
        <v>70</v>
      </c>
      <c r="G1546" s="9">
        <v>44964</v>
      </c>
      <c r="H1546" s="7"/>
      <c r="I1546" s="7"/>
      <c r="J1546" s="7"/>
      <c r="K1546" s="7"/>
      <c r="L1546" s="10">
        <v>7.5</v>
      </c>
      <c r="M1546" s="9">
        <v>44971</v>
      </c>
      <c r="N1546" s="10">
        <v>9.5</v>
      </c>
      <c r="O1546" s="9">
        <v>44980</v>
      </c>
      <c r="P1546">
        <v>4</v>
      </c>
      <c r="Q1546" s="11" t="s">
        <v>49</v>
      </c>
      <c r="R1546" s="7"/>
      <c r="S1546" s="7"/>
      <c r="T1546" s="7"/>
      <c r="U1546" s="7"/>
      <c r="V1546" s="10">
        <v>9.5</v>
      </c>
      <c r="W1546" s="9">
        <v>44973</v>
      </c>
      <c r="X1546" s="10">
        <v>11.5</v>
      </c>
      <c r="Y1546" s="9">
        <v>44980</v>
      </c>
      <c r="Z1546">
        <v>4</v>
      </c>
      <c r="AA1546" s="11" t="s">
        <v>49</v>
      </c>
    </row>
    <row r="1547" spans="2:27" ht="16" x14ac:dyDescent="0.2">
      <c r="B1547" t="s">
        <v>35</v>
      </c>
      <c r="C1547">
        <v>40342756</v>
      </c>
      <c r="D1547" t="s">
        <v>409</v>
      </c>
      <c r="E1547">
        <v>1012158</v>
      </c>
      <c r="F1547" t="s">
        <v>86</v>
      </c>
      <c r="G1547" s="9">
        <v>44964</v>
      </c>
      <c r="H1547" s="7"/>
      <c r="I1547" s="7"/>
      <c r="J1547" s="7"/>
      <c r="K1547" s="7"/>
      <c r="L1547" s="10">
        <v>7.5</v>
      </c>
      <c r="M1547" s="9">
        <v>44971</v>
      </c>
      <c r="N1547" s="10">
        <v>9.5</v>
      </c>
      <c r="O1547" s="9">
        <v>44980</v>
      </c>
      <c r="P1547">
        <v>4</v>
      </c>
      <c r="Q1547" s="11" t="s">
        <v>49</v>
      </c>
      <c r="R1547" s="7"/>
      <c r="S1547" s="7"/>
      <c r="T1547" s="7"/>
      <c r="U1547" s="7"/>
      <c r="V1547" s="10">
        <v>9.5</v>
      </c>
      <c r="W1547" s="9">
        <v>44973</v>
      </c>
      <c r="X1547" s="10">
        <v>11.5</v>
      </c>
      <c r="Y1547" s="9">
        <v>44980</v>
      </c>
      <c r="Z1547">
        <v>4</v>
      </c>
      <c r="AA1547" s="11" t="s">
        <v>49</v>
      </c>
    </row>
    <row r="1548" spans="2:27" ht="16" x14ac:dyDescent="0.2">
      <c r="B1548" t="s">
        <v>35</v>
      </c>
      <c r="C1548">
        <v>40342756</v>
      </c>
      <c r="D1548" t="s">
        <v>409</v>
      </c>
      <c r="E1548">
        <v>1012165</v>
      </c>
      <c r="F1548" t="s">
        <v>61</v>
      </c>
      <c r="G1548" s="9">
        <v>44964</v>
      </c>
      <c r="H1548" s="7"/>
      <c r="I1548" s="7"/>
      <c r="J1548" s="7"/>
      <c r="K1548" s="7"/>
      <c r="L1548" s="10">
        <v>7.5</v>
      </c>
      <c r="M1548" s="9">
        <v>44971</v>
      </c>
      <c r="N1548" s="10">
        <v>9.5</v>
      </c>
      <c r="O1548" s="9">
        <v>44980</v>
      </c>
      <c r="P1548">
        <v>4</v>
      </c>
      <c r="Q1548" s="11" t="s">
        <v>49</v>
      </c>
      <c r="R1548" s="7"/>
      <c r="S1548" s="7"/>
      <c r="T1548" s="7"/>
      <c r="U1548" s="7"/>
      <c r="V1548" s="10">
        <v>9.5</v>
      </c>
      <c r="W1548" s="9">
        <v>44973</v>
      </c>
      <c r="X1548" s="10">
        <v>11.5</v>
      </c>
      <c r="Y1548" s="9">
        <v>44980</v>
      </c>
      <c r="Z1548">
        <v>4</v>
      </c>
      <c r="AA1548" s="11" t="s">
        <v>49</v>
      </c>
    </row>
    <row r="1549" spans="2:27" ht="16" x14ac:dyDescent="0.2">
      <c r="B1549" t="s">
        <v>35</v>
      </c>
      <c r="C1549">
        <v>40339724</v>
      </c>
      <c r="D1549" t="s">
        <v>386</v>
      </c>
      <c r="E1549">
        <v>1022145</v>
      </c>
      <c r="F1549" t="s">
        <v>480</v>
      </c>
      <c r="G1549" s="9">
        <v>44976</v>
      </c>
      <c r="H1549" s="7">
        <v>23102.31</v>
      </c>
      <c r="I1549" s="7"/>
      <c r="J1549" s="7"/>
      <c r="K1549" s="7"/>
      <c r="L1549" s="10">
        <v>5.1420118343195256</v>
      </c>
      <c r="M1549" s="9">
        <v>44981</v>
      </c>
      <c r="N1549" s="10">
        <v>7.5</v>
      </c>
      <c r="O1549" s="9">
        <v>44988</v>
      </c>
      <c r="P1549">
        <v>24</v>
      </c>
      <c r="Q1549" s="11" t="s">
        <v>49</v>
      </c>
      <c r="R1549" s="7">
        <v>23102.31</v>
      </c>
      <c r="S1549" s="7"/>
      <c r="T1549" s="7"/>
      <c r="U1549" s="7"/>
      <c r="V1549" s="10">
        <v>7.1420118343195256</v>
      </c>
      <c r="W1549" s="9">
        <v>44983</v>
      </c>
      <c r="X1549" s="10">
        <v>9.5</v>
      </c>
      <c r="Y1549" s="9">
        <v>44988</v>
      </c>
      <c r="Z1549">
        <v>24</v>
      </c>
      <c r="AA1549" s="11" t="s">
        <v>49</v>
      </c>
    </row>
    <row r="1550" spans="2:27" ht="16" x14ac:dyDescent="0.2">
      <c r="B1550" t="s">
        <v>35</v>
      </c>
      <c r="C1550">
        <v>40337858</v>
      </c>
      <c r="D1550" t="s">
        <v>389</v>
      </c>
      <c r="E1550">
        <v>1021905</v>
      </c>
      <c r="F1550" t="s">
        <v>554</v>
      </c>
      <c r="G1550" s="9">
        <v>44966</v>
      </c>
      <c r="H1550" s="7"/>
      <c r="I1550" s="7"/>
      <c r="J1550" s="7"/>
      <c r="K1550" s="7"/>
      <c r="L1550" s="10">
        <v>5.5741092456127026</v>
      </c>
      <c r="M1550" s="9">
        <v>44971</v>
      </c>
      <c r="N1550" s="10">
        <v>5.5</v>
      </c>
      <c r="O1550" s="9">
        <v>44976</v>
      </c>
      <c r="P1550">
        <v>8</v>
      </c>
      <c r="Q1550" s="11" t="s">
        <v>49</v>
      </c>
      <c r="R1550" s="7"/>
      <c r="S1550" s="7"/>
      <c r="T1550" s="7"/>
      <c r="U1550" s="7"/>
      <c r="V1550" s="10">
        <v>7.5741092456127026</v>
      </c>
      <c r="W1550" s="9">
        <v>44973</v>
      </c>
      <c r="X1550" s="10">
        <v>7.5</v>
      </c>
      <c r="Y1550" s="9">
        <v>44976</v>
      </c>
      <c r="Z1550">
        <v>8</v>
      </c>
      <c r="AA1550" s="11" t="s">
        <v>49</v>
      </c>
    </row>
    <row r="1551" spans="2:27" ht="16" x14ac:dyDescent="0.2">
      <c r="B1551" t="s">
        <v>35</v>
      </c>
      <c r="C1551">
        <v>40337857</v>
      </c>
      <c r="D1551" t="s">
        <v>389</v>
      </c>
      <c r="E1551">
        <v>1021905</v>
      </c>
      <c r="F1551" t="s">
        <v>554</v>
      </c>
      <c r="G1551" s="9">
        <v>44966</v>
      </c>
      <c r="H1551" s="7"/>
      <c r="I1551" s="7"/>
      <c r="J1551" s="7"/>
      <c r="K1551" s="7"/>
      <c r="L1551" s="10">
        <v>5.5741092456127026</v>
      </c>
      <c r="M1551" s="9">
        <v>44971</v>
      </c>
      <c r="N1551" s="10">
        <v>5.5</v>
      </c>
      <c r="O1551" s="9">
        <v>44976</v>
      </c>
      <c r="P1551">
        <v>8</v>
      </c>
      <c r="Q1551" s="11" t="s">
        <v>49</v>
      </c>
      <c r="R1551" s="7"/>
      <c r="S1551" s="7"/>
      <c r="T1551" s="7"/>
      <c r="U1551" s="7"/>
      <c r="V1551" s="10">
        <v>7.5741092456127026</v>
      </c>
      <c r="W1551" s="9">
        <v>44973</v>
      </c>
      <c r="X1551" s="10">
        <v>7.5</v>
      </c>
      <c r="Y1551" s="9">
        <v>44976</v>
      </c>
      <c r="Z1551">
        <v>8</v>
      </c>
      <c r="AA1551" s="11" t="s">
        <v>49</v>
      </c>
    </row>
    <row r="1552" spans="2:27" ht="16" x14ac:dyDescent="0.2">
      <c r="B1552" t="s">
        <v>35</v>
      </c>
      <c r="C1552">
        <v>40337856</v>
      </c>
      <c r="D1552" t="s">
        <v>389</v>
      </c>
      <c r="E1552">
        <v>1021905</v>
      </c>
      <c r="F1552" t="s">
        <v>554</v>
      </c>
      <c r="G1552" s="9">
        <v>44964</v>
      </c>
      <c r="H1552" s="7"/>
      <c r="I1552" s="7"/>
      <c r="J1552" s="7"/>
      <c r="K1552" s="7"/>
      <c r="L1552" s="10">
        <v>5.5741092456127026</v>
      </c>
      <c r="M1552" s="9">
        <v>44969</v>
      </c>
      <c r="N1552" s="10">
        <v>5.5</v>
      </c>
      <c r="O1552" s="9">
        <v>44974</v>
      </c>
      <c r="P1552">
        <v>9</v>
      </c>
      <c r="Q1552" s="11" t="s">
        <v>49</v>
      </c>
      <c r="R1552" s="7"/>
      <c r="S1552" s="7"/>
      <c r="T1552" s="7"/>
      <c r="U1552" s="7"/>
      <c r="V1552" s="10">
        <v>7.5741092456127026</v>
      </c>
      <c r="W1552" s="9">
        <v>44971</v>
      </c>
      <c r="X1552" s="10">
        <v>7.5</v>
      </c>
      <c r="Y1552" s="9">
        <v>44974</v>
      </c>
      <c r="Z1552">
        <v>9</v>
      </c>
      <c r="AA1552" s="11" t="s">
        <v>49</v>
      </c>
    </row>
    <row r="1553" spans="2:27" ht="16" x14ac:dyDescent="0.2">
      <c r="B1553" t="s">
        <v>35</v>
      </c>
      <c r="C1553">
        <v>40337544</v>
      </c>
      <c r="D1553" t="s">
        <v>389</v>
      </c>
      <c r="E1553">
        <v>1012503</v>
      </c>
      <c r="F1553" t="s">
        <v>448</v>
      </c>
      <c r="G1553" s="9">
        <v>44968</v>
      </c>
      <c r="H1553" s="7"/>
      <c r="I1553" s="7"/>
      <c r="J1553" s="7"/>
      <c r="K1553" s="7"/>
      <c r="L1553" s="10">
        <v>5.5741092456127026</v>
      </c>
      <c r="M1553" s="9">
        <v>44973</v>
      </c>
      <c r="N1553" s="10">
        <v>5.5</v>
      </c>
      <c r="O1553" s="9">
        <v>44978</v>
      </c>
      <c r="P1553">
        <v>6</v>
      </c>
      <c r="Q1553" s="11" t="s">
        <v>49</v>
      </c>
      <c r="R1553" s="7"/>
      <c r="S1553" s="7"/>
      <c r="T1553" s="7"/>
      <c r="U1553" s="7"/>
      <c r="V1553" s="10">
        <v>7.5741092456127026</v>
      </c>
      <c r="W1553" s="9">
        <v>44975</v>
      </c>
      <c r="X1553" s="10">
        <v>7.5</v>
      </c>
      <c r="Y1553" s="9">
        <v>44978</v>
      </c>
      <c r="Z1553">
        <v>6</v>
      </c>
      <c r="AA1553" s="11" t="s">
        <v>49</v>
      </c>
    </row>
    <row r="1554" spans="2:27" ht="16" x14ac:dyDescent="0.2">
      <c r="B1554" t="s">
        <v>35</v>
      </c>
      <c r="C1554">
        <v>40337543</v>
      </c>
      <c r="D1554" t="s">
        <v>389</v>
      </c>
      <c r="E1554">
        <v>1012503</v>
      </c>
      <c r="F1554" t="s">
        <v>448</v>
      </c>
      <c r="G1554" s="9">
        <v>44968</v>
      </c>
      <c r="H1554" s="7"/>
      <c r="I1554" s="7"/>
      <c r="J1554" s="7"/>
      <c r="K1554" s="7"/>
      <c r="L1554" s="10">
        <v>5.5741092456127026</v>
      </c>
      <c r="M1554" s="9">
        <v>44973</v>
      </c>
      <c r="N1554" s="10">
        <v>5.5</v>
      </c>
      <c r="O1554" s="9">
        <v>44978</v>
      </c>
      <c r="P1554">
        <v>6</v>
      </c>
      <c r="Q1554" s="11" t="s">
        <v>49</v>
      </c>
      <c r="R1554" s="7"/>
      <c r="S1554" s="7"/>
      <c r="T1554" s="7"/>
      <c r="U1554" s="7"/>
      <c r="V1554" s="10">
        <v>7.5741092456127026</v>
      </c>
      <c r="W1554" s="9">
        <v>44975</v>
      </c>
      <c r="X1554" s="10">
        <v>7.5</v>
      </c>
      <c r="Y1554" s="9">
        <v>44978</v>
      </c>
      <c r="Z1554">
        <v>6</v>
      </c>
      <c r="AA1554" s="11" t="s">
        <v>49</v>
      </c>
    </row>
    <row r="1555" spans="2:27" x14ac:dyDescent="0.2">
      <c r="B1555" t="s">
        <v>394</v>
      </c>
      <c r="C1555">
        <v>40335902</v>
      </c>
      <c r="D1555" t="s">
        <v>396</v>
      </c>
      <c r="E1555">
        <v>1023326</v>
      </c>
      <c r="F1555" t="s">
        <v>481</v>
      </c>
      <c r="G1555" s="9">
        <v>44986</v>
      </c>
      <c r="H1555" s="7">
        <v>24000.83</v>
      </c>
      <c r="I1555" s="7"/>
      <c r="J1555" s="7"/>
      <c r="K1555" s="7"/>
      <c r="L1555" s="10"/>
      <c r="N1555" s="10"/>
      <c r="Q1555" s="11"/>
      <c r="R1555" s="7">
        <v>24000.83</v>
      </c>
      <c r="S1555" s="7"/>
      <c r="T1555" s="7"/>
      <c r="U1555" s="7"/>
      <c r="V1555" s="10"/>
      <c r="X1555" s="10"/>
      <c r="AA1555" s="11"/>
    </row>
    <row r="1556" spans="2:27" x14ac:dyDescent="0.2">
      <c r="B1556" t="s">
        <v>394</v>
      </c>
      <c r="C1556">
        <v>40308767</v>
      </c>
      <c r="D1556" t="s">
        <v>485</v>
      </c>
      <c r="E1556">
        <v>1020925</v>
      </c>
      <c r="F1556" t="s">
        <v>494</v>
      </c>
      <c r="G1556" s="9">
        <v>44936</v>
      </c>
      <c r="H1556" s="7"/>
      <c r="I1556" s="7"/>
      <c r="J1556" s="7"/>
      <c r="K1556" s="7"/>
      <c r="L1556" s="10"/>
      <c r="N1556" s="10"/>
      <c r="Q1556" s="11"/>
      <c r="R1556" s="7"/>
      <c r="S1556" s="7"/>
      <c r="T1556" s="7"/>
      <c r="U1556" s="7"/>
      <c r="V1556" s="10"/>
      <c r="X1556" s="10"/>
      <c r="AA1556" s="11"/>
    </row>
    <row r="1557" spans="2:27" x14ac:dyDescent="0.2">
      <c r="B1557" t="s">
        <v>394</v>
      </c>
      <c r="C1557">
        <v>40308767</v>
      </c>
      <c r="D1557" t="s">
        <v>485</v>
      </c>
      <c r="E1557">
        <v>1020925</v>
      </c>
      <c r="F1557" t="s">
        <v>494</v>
      </c>
      <c r="G1557" s="9">
        <v>44936</v>
      </c>
      <c r="H1557" s="7"/>
      <c r="I1557" s="7"/>
      <c r="J1557" s="7"/>
      <c r="K1557" s="7"/>
      <c r="L1557" s="10"/>
      <c r="N1557" s="10"/>
      <c r="Q1557" s="11"/>
      <c r="R1557" s="7"/>
      <c r="S1557" s="7"/>
      <c r="T1557" s="7"/>
      <c r="U1557" s="7"/>
      <c r="V1557" s="10"/>
      <c r="X1557" s="10"/>
      <c r="AA1557" s="11"/>
    </row>
    <row r="1558" spans="2:27" ht="16" x14ac:dyDescent="0.2">
      <c r="B1558" t="s">
        <v>35</v>
      </c>
      <c r="C1558">
        <v>40351809</v>
      </c>
      <c r="D1558" t="s">
        <v>409</v>
      </c>
      <c r="E1558">
        <v>1030379</v>
      </c>
      <c r="F1558" t="s">
        <v>97</v>
      </c>
      <c r="G1558" s="9">
        <v>44953</v>
      </c>
      <c r="H1558" s="7"/>
      <c r="I1558" s="7"/>
      <c r="J1558" s="7"/>
      <c r="K1558" s="7"/>
      <c r="L1558" s="10">
        <v>7.5</v>
      </c>
      <c r="M1558" s="9">
        <v>44960</v>
      </c>
      <c r="N1558" s="10">
        <v>9.5</v>
      </c>
      <c r="O1558" s="9">
        <v>44969</v>
      </c>
      <c r="P1558">
        <v>13</v>
      </c>
      <c r="Q1558" s="11" t="s">
        <v>49</v>
      </c>
      <c r="R1558" s="7"/>
      <c r="S1558" s="7"/>
      <c r="T1558" s="7"/>
      <c r="U1558" s="7"/>
      <c r="V1558" s="10">
        <v>9.5</v>
      </c>
      <c r="W1558" s="9">
        <v>44962</v>
      </c>
      <c r="X1558" s="10">
        <v>11.5</v>
      </c>
      <c r="Y1558" s="9">
        <v>44969</v>
      </c>
      <c r="Z1558">
        <v>13</v>
      </c>
      <c r="AA1558" s="11" t="s">
        <v>49</v>
      </c>
    </row>
    <row r="1559" spans="2:27" ht="16" x14ac:dyDescent="0.2">
      <c r="B1559" t="s">
        <v>35</v>
      </c>
      <c r="C1559">
        <v>40369575</v>
      </c>
      <c r="D1559" t="s">
        <v>409</v>
      </c>
      <c r="E1559">
        <v>1030379</v>
      </c>
      <c r="F1559" t="s">
        <v>97</v>
      </c>
      <c r="G1559" s="9">
        <v>45006</v>
      </c>
      <c r="H1559" s="7"/>
      <c r="I1559" s="7">
        <v>24022.232319999999</v>
      </c>
      <c r="J1559" s="7"/>
      <c r="K1559" s="7"/>
      <c r="L1559" s="10">
        <v>7.5</v>
      </c>
      <c r="M1559" s="9">
        <v>45013</v>
      </c>
      <c r="N1559" s="10">
        <v>9.5</v>
      </c>
      <c r="O1559" s="9">
        <v>45022</v>
      </c>
      <c r="P1559">
        <v>20</v>
      </c>
      <c r="Q1559" s="11" t="s">
        <v>49</v>
      </c>
      <c r="R1559" s="7"/>
      <c r="S1559" s="7">
        <v>24022.232319999999</v>
      </c>
      <c r="T1559" s="7"/>
      <c r="U1559" s="7"/>
      <c r="V1559" s="10">
        <v>9.5</v>
      </c>
      <c r="W1559" s="9">
        <v>45015</v>
      </c>
      <c r="X1559" s="10">
        <v>11.5</v>
      </c>
      <c r="Y1559" s="9">
        <v>45022</v>
      </c>
      <c r="Z1559">
        <v>20</v>
      </c>
      <c r="AA1559" s="11" t="s">
        <v>49</v>
      </c>
    </row>
    <row r="1560" spans="2:27" ht="16" x14ac:dyDescent="0.2">
      <c r="B1560" t="s">
        <v>35</v>
      </c>
      <c r="C1560">
        <v>40369528</v>
      </c>
      <c r="D1560" t="s">
        <v>423</v>
      </c>
      <c r="E1560">
        <v>1011748</v>
      </c>
      <c r="F1560" t="s">
        <v>482</v>
      </c>
      <c r="G1560" s="9">
        <v>44995</v>
      </c>
      <c r="H1560" s="7">
        <v>21600</v>
      </c>
      <c r="I1560" s="7"/>
      <c r="J1560" s="7"/>
      <c r="K1560" s="7"/>
      <c r="L1560" s="10">
        <v>5.4496124031007751</v>
      </c>
      <c r="M1560" s="9">
        <v>45000</v>
      </c>
      <c r="N1560" s="10">
        <v>10</v>
      </c>
      <c r="O1560" s="9">
        <v>45010</v>
      </c>
      <c r="P1560">
        <v>5</v>
      </c>
      <c r="Q1560" s="11" t="s">
        <v>49</v>
      </c>
      <c r="R1560" s="7">
        <v>21600</v>
      </c>
      <c r="S1560" s="7"/>
      <c r="T1560" s="7"/>
      <c r="U1560" s="7"/>
      <c r="V1560" s="10">
        <v>7.4496124031007751</v>
      </c>
      <c r="W1560" s="9">
        <v>45002</v>
      </c>
      <c r="X1560" s="10">
        <v>12</v>
      </c>
      <c r="Y1560" s="9">
        <v>45010</v>
      </c>
      <c r="Z1560">
        <v>5</v>
      </c>
      <c r="AA1560" s="11" t="s">
        <v>49</v>
      </c>
    </row>
    <row r="1561" spans="2:27" ht="16" x14ac:dyDescent="0.2">
      <c r="B1561" t="s">
        <v>35</v>
      </c>
      <c r="C1561">
        <v>40369527</v>
      </c>
      <c r="D1561" t="s">
        <v>423</v>
      </c>
      <c r="E1561">
        <v>1011748</v>
      </c>
      <c r="F1561" t="s">
        <v>482</v>
      </c>
      <c r="G1561" s="9">
        <v>44995</v>
      </c>
      <c r="H1561" s="7">
        <v>22800</v>
      </c>
      <c r="I1561" s="7"/>
      <c r="J1561" s="7"/>
      <c r="K1561" s="7"/>
      <c r="L1561" s="10">
        <v>5.4496124031007751</v>
      </c>
      <c r="M1561" s="9">
        <v>45000</v>
      </c>
      <c r="N1561" s="10">
        <v>10</v>
      </c>
      <c r="O1561" s="9">
        <v>45010</v>
      </c>
      <c r="P1561">
        <v>5</v>
      </c>
      <c r="Q1561" s="11" t="s">
        <v>49</v>
      </c>
      <c r="R1561" s="7">
        <v>22800</v>
      </c>
      <c r="S1561" s="7"/>
      <c r="T1561" s="7"/>
      <c r="U1561" s="7"/>
      <c r="V1561" s="10">
        <v>7.4496124031007751</v>
      </c>
      <c r="W1561" s="9">
        <v>45002</v>
      </c>
      <c r="X1561" s="10">
        <v>12</v>
      </c>
      <c r="Y1561" s="9">
        <v>45010</v>
      </c>
      <c r="Z1561">
        <v>5</v>
      </c>
      <c r="AA1561" s="11" t="s">
        <v>49</v>
      </c>
    </row>
    <row r="1562" spans="2:27" ht="16" x14ac:dyDescent="0.2">
      <c r="B1562" t="s">
        <v>35</v>
      </c>
      <c r="C1562">
        <v>40369229</v>
      </c>
      <c r="D1562" t="s">
        <v>423</v>
      </c>
      <c r="E1562">
        <v>1023343</v>
      </c>
      <c r="F1562" t="s">
        <v>483</v>
      </c>
      <c r="G1562" s="9">
        <v>44997</v>
      </c>
      <c r="H1562" s="7">
        <v>24010.51</v>
      </c>
      <c r="I1562" s="7"/>
      <c r="J1562" s="7"/>
      <c r="K1562" s="7"/>
      <c r="L1562" s="10">
        <v>5.4496124031007751</v>
      </c>
      <c r="M1562" s="9">
        <v>45002</v>
      </c>
      <c r="N1562" s="10">
        <v>10</v>
      </c>
      <c r="O1562" s="9">
        <v>45012</v>
      </c>
      <c r="P1562">
        <v>4</v>
      </c>
      <c r="Q1562" s="11" t="s">
        <v>49</v>
      </c>
      <c r="R1562" s="7">
        <v>24010.51</v>
      </c>
      <c r="S1562" s="7"/>
      <c r="T1562" s="7"/>
      <c r="U1562" s="7"/>
      <c r="V1562" s="10">
        <v>7.4496124031007751</v>
      </c>
      <c r="W1562" s="9">
        <v>45004</v>
      </c>
      <c r="X1562" s="10">
        <v>12</v>
      </c>
      <c r="Y1562" s="9">
        <v>45012</v>
      </c>
      <c r="Z1562">
        <v>4</v>
      </c>
      <c r="AA1562" s="11" t="s">
        <v>49</v>
      </c>
    </row>
    <row r="1563" spans="2:27" ht="16" x14ac:dyDescent="0.2">
      <c r="B1563" t="s">
        <v>35</v>
      </c>
      <c r="C1563">
        <v>40369228</v>
      </c>
      <c r="D1563" t="s">
        <v>423</v>
      </c>
      <c r="E1563">
        <v>1023343</v>
      </c>
      <c r="F1563" t="s">
        <v>483</v>
      </c>
      <c r="G1563" s="9">
        <v>44997</v>
      </c>
      <c r="H1563" s="7">
        <v>24009.65</v>
      </c>
      <c r="I1563" s="7"/>
      <c r="J1563" s="7"/>
      <c r="K1563" s="7"/>
      <c r="L1563" s="10">
        <v>5.4496124031007751</v>
      </c>
      <c r="M1563" s="9">
        <v>45002</v>
      </c>
      <c r="N1563" s="10">
        <v>10</v>
      </c>
      <c r="O1563" s="9">
        <v>45012</v>
      </c>
      <c r="P1563">
        <v>4</v>
      </c>
      <c r="Q1563" s="11" t="s">
        <v>49</v>
      </c>
      <c r="R1563" s="7">
        <v>24009.65</v>
      </c>
      <c r="S1563" s="7"/>
      <c r="T1563" s="7"/>
      <c r="U1563" s="7"/>
      <c r="V1563" s="10">
        <v>7.4496124031007751</v>
      </c>
      <c r="W1563" s="9">
        <v>45004</v>
      </c>
      <c r="X1563" s="10">
        <v>12</v>
      </c>
      <c r="Y1563" s="9">
        <v>45012</v>
      </c>
      <c r="Z1563">
        <v>4</v>
      </c>
      <c r="AA1563" s="11" t="s">
        <v>49</v>
      </c>
    </row>
    <row r="1564" spans="2:27" ht="16" x14ac:dyDescent="0.2">
      <c r="B1564" t="s">
        <v>35</v>
      </c>
      <c r="C1564">
        <v>40369227</v>
      </c>
      <c r="D1564" t="s">
        <v>423</v>
      </c>
      <c r="E1564">
        <v>1030658</v>
      </c>
      <c r="F1564" t="s">
        <v>371</v>
      </c>
      <c r="G1564" s="9">
        <v>44995</v>
      </c>
      <c r="H1564" s="7">
        <v>24017.360000000001</v>
      </c>
      <c r="I1564" s="7"/>
      <c r="J1564" s="7"/>
      <c r="K1564" s="7"/>
      <c r="L1564" s="10">
        <v>5.4496124031007751</v>
      </c>
      <c r="M1564" s="9">
        <v>45000</v>
      </c>
      <c r="N1564" s="10">
        <v>10</v>
      </c>
      <c r="O1564" s="9">
        <v>45010</v>
      </c>
      <c r="P1564">
        <v>5</v>
      </c>
      <c r="Q1564" s="11" t="s">
        <v>49</v>
      </c>
      <c r="R1564" s="7">
        <v>24017.360000000001</v>
      </c>
      <c r="S1564" s="7"/>
      <c r="T1564" s="7"/>
      <c r="U1564" s="7"/>
      <c r="V1564" s="10">
        <v>7.4496124031007751</v>
      </c>
      <c r="W1564" s="9">
        <v>45002</v>
      </c>
      <c r="X1564" s="10">
        <v>12</v>
      </c>
      <c r="Y1564" s="9">
        <v>45010</v>
      </c>
      <c r="Z1564">
        <v>5</v>
      </c>
      <c r="AA1564" s="11" t="s">
        <v>49</v>
      </c>
    </row>
    <row r="1565" spans="2:27" ht="16" x14ac:dyDescent="0.2">
      <c r="B1565" t="s">
        <v>35</v>
      </c>
      <c r="C1565">
        <v>40369081</v>
      </c>
      <c r="D1565" t="s">
        <v>409</v>
      </c>
      <c r="E1565">
        <v>1030379</v>
      </c>
      <c r="F1565" t="s">
        <v>97</v>
      </c>
      <c r="G1565" s="9">
        <v>45025</v>
      </c>
      <c r="H1565" s="7"/>
      <c r="I1565" s="7">
        <v>24004.088640000002</v>
      </c>
      <c r="J1565" s="7"/>
      <c r="K1565" s="7"/>
      <c r="L1565" s="10">
        <v>7.5</v>
      </c>
      <c r="M1565" s="9">
        <v>45032</v>
      </c>
      <c r="N1565" s="10">
        <v>9.5</v>
      </c>
      <c r="O1565" s="9">
        <v>45041</v>
      </c>
      <c r="P1565">
        <v>4</v>
      </c>
      <c r="Q1565" s="11" t="s">
        <v>49</v>
      </c>
      <c r="R1565" s="7"/>
      <c r="S1565" s="7">
        <v>24004.088640000002</v>
      </c>
      <c r="T1565" s="7"/>
      <c r="U1565" s="7"/>
      <c r="V1565" s="10">
        <v>9.5</v>
      </c>
      <c r="W1565" s="9">
        <v>45034</v>
      </c>
      <c r="X1565" s="10">
        <v>11.5</v>
      </c>
      <c r="Y1565" s="9">
        <v>45041</v>
      </c>
      <c r="Z1565">
        <v>4</v>
      </c>
      <c r="AA1565" s="11" t="s">
        <v>49</v>
      </c>
    </row>
    <row r="1566" spans="2:27" ht="16" x14ac:dyDescent="0.2">
      <c r="B1566" t="s">
        <v>35</v>
      </c>
      <c r="C1566">
        <v>40369062</v>
      </c>
      <c r="D1566" t="s">
        <v>409</v>
      </c>
      <c r="E1566">
        <v>1012518</v>
      </c>
      <c r="F1566" t="s">
        <v>65</v>
      </c>
      <c r="G1566" s="9">
        <v>45003</v>
      </c>
      <c r="H1566" s="7"/>
      <c r="I1566" s="7">
        <v>18143.68</v>
      </c>
      <c r="J1566" s="7"/>
      <c r="K1566" s="7"/>
      <c r="L1566" s="10">
        <v>7.5</v>
      </c>
      <c r="M1566" s="9">
        <v>45010</v>
      </c>
      <c r="N1566" s="10">
        <v>9.5</v>
      </c>
      <c r="O1566" s="9">
        <v>45019</v>
      </c>
      <c r="P1566">
        <v>23</v>
      </c>
      <c r="Q1566" s="11" t="s">
        <v>49</v>
      </c>
      <c r="R1566" s="7"/>
      <c r="S1566" s="7">
        <v>18143.68</v>
      </c>
      <c r="T1566" s="7"/>
      <c r="U1566" s="7"/>
      <c r="V1566" s="10">
        <v>9.5</v>
      </c>
      <c r="W1566" s="9">
        <v>45012</v>
      </c>
      <c r="X1566" s="10">
        <v>11.5</v>
      </c>
      <c r="Y1566" s="9">
        <v>45019</v>
      </c>
      <c r="Z1566">
        <v>23</v>
      </c>
      <c r="AA1566" s="11" t="s">
        <v>49</v>
      </c>
    </row>
    <row r="1567" spans="2:27" x14ac:dyDescent="0.2">
      <c r="B1567" t="s">
        <v>394</v>
      </c>
      <c r="C1567">
        <v>40369060</v>
      </c>
      <c r="D1567" t="s">
        <v>485</v>
      </c>
      <c r="E1567">
        <v>1020339</v>
      </c>
      <c r="F1567" t="s">
        <v>599</v>
      </c>
      <c r="G1567" s="9">
        <v>44983</v>
      </c>
      <c r="H1567" s="7"/>
      <c r="I1567" s="7"/>
      <c r="J1567" s="7"/>
      <c r="K1567" s="7"/>
      <c r="L1567" s="10"/>
      <c r="N1567" s="10"/>
      <c r="Q1567" s="11"/>
      <c r="R1567" s="7"/>
      <c r="S1567" s="7"/>
      <c r="T1567" s="7"/>
      <c r="U1567" s="7"/>
      <c r="V1567" s="10"/>
      <c r="X1567" s="10"/>
      <c r="AA1567" s="11"/>
    </row>
    <row r="1568" spans="2:27" x14ac:dyDescent="0.2">
      <c r="B1568" t="s">
        <v>394</v>
      </c>
      <c r="C1568">
        <v>40369060</v>
      </c>
      <c r="D1568" t="s">
        <v>485</v>
      </c>
      <c r="E1568">
        <v>1020017</v>
      </c>
      <c r="F1568" t="s">
        <v>524</v>
      </c>
      <c r="G1568" s="9">
        <v>44983</v>
      </c>
      <c r="H1568" s="7"/>
      <c r="I1568" s="7"/>
      <c r="J1568" s="7"/>
      <c r="K1568" s="7"/>
      <c r="L1568" s="10"/>
      <c r="N1568" s="10"/>
      <c r="Q1568" s="11"/>
      <c r="R1568" s="7"/>
      <c r="S1568" s="7"/>
      <c r="T1568" s="7"/>
      <c r="U1568" s="7"/>
      <c r="V1568" s="10"/>
      <c r="X1568" s="10"/>
      <c r="AA1568" s="11"/>
    </row>
    <row r="1569" spans="2:27" x14ac:dyDescent="0.2">
      <c r="B1569" t="s">
        <v>394</v>
      </c>
      <c r="C1569">
        <v>40369060</v>
      </c>
      <c r="D1569" t="s">
        <v>485</v>
      </c>
      <c r="E1569">
        <v>1021092</v>
      </c>
      <c r="F1569" t="s">
        <v>525</v>
      </c>
      <c r="G1569" s="9">
        <v>44983</v>
      </c>
      <c r="H1569" s="7"/>
      <c r="I1569" s="7"/>
      <c r="J1569" s="7"/>
      <c r="K1569" s="7"/>
      <c r="L1569" s="10"/>
      <c r="N1569" s="10"/>
      <c r="Q1569" s="11"/>
      <c r="R1569" s="7"/>
      <c r="S1569" s="7"/>
      <c r="T1569" s="7"/>
      <c r="U1569" s="7"/>
      <c r="V1569" s="10"/>
      <c r="X1569" s="10"/>
      <c r="AA1569" s="11"/>
    </row>
    <row r="1570" spans="2:27" x14ac:dyDescent="0.2">
      <c r="B1570" t="s">
        <v>394</v>
      </c>
      <c r="C1570">
        <v>40369060</v>
      </c>
      <c r="D1570" t="s">
        <v>485</v>
      </c>
      <c r="E1570">
        <v>1020886</v>
      </c>
      <c r="F1570" t="s">
        <v>609</v>
      </c>
      <c r="G1570" s="9">
        <v>44983</v>
      </c>
      <c r="H1570" s="7"/>
      <c r="I1570" s="7"/>
      <c r="J1570" s="7"/>
      <c r="K1570" s="7"/>
      <c r="L1570" s="10"/>
      <c r="N1570" s="10"/>
      <c r="Q1570" s="11"/>
      <c r="R1570" s="7"/>
      <c r="S1570" s="7"/>
      <c r="T1570" s="7"/>
      <c r="U1570" s="7"/>
      <c r="V1570" s="10"/>
      <c r="X1570" s="10"/>
      <c r="AA1570" s="11"/>
    </row>
    <row r="1571" spans="2:27" x14ac:dyDescent="0.2">
      <c r="B1571" t="s">
        <v>394</v>
      </c>
      <c r="C1571">
        <v>40369060</v>
      </c>
      <c r="D1571" t="s">
        <v>485</v>
      </c>
      <c r="E1571">
        <v>1020339</v>
      </c>
      <c r="F1571" t="s">
        <v>599</v>
      </c>
      <c r="G1571" s="9">
        <v>44983</v>
      </c>
      <c r="H1571" s="7"/>
      <c r="I1571" s="7"/>
      <c r="J1571" s="7"/>
      <c r="K1571" s="7"/>
      <c r="L1571" s="10"/>
      <c r="N1571" s="10"/>
      <c r="Q1571" s="11"/>
      <c r="R1571" s="7"/>
      <c r="S1571" s="7"/>
      <c r="T1571" s="7"/>
      <c r="U1571" s="7"/>
      <c r="V1571" s="10"/>
      <c r="X1571" s="10"/>
      <c r="AA1571" s="11"/>
    </row>
    <row r="1572" spans="2:27" x14ac:dyDescent="0.2">
      <c r="B1572" t="s">
        <v>394</v>
      </c>
      <c r="C1572">
        <v>40369060</v>
      </c>
      <c r="D1572" t="s">
        <v>485</v>
      </c>
      <c r="E1572">
        <v>1022150</v>
      </c>
      <c r="F1572" t="s">
        <v>500</v>
      </c>
      <c r="G1572" s="9">
        <v>44983</v>
      </c>
      <c r="H1572" s="7"/>
      <c r="I1572" s="7"/>
      <c r="J1572" s="7"/>
      <c r="K1572" s="7"/>
      <c r="L1572" s="10"/>
      <c r="N1572" s="10"/>
      <c r="Q1572" s="11"/>
      <c r="R1572" s="7"/>
      <c r="S1572" s="7"/>
      <c r="T1572" s="7"/>
      <c r="U1572" s="7"/>
      <c r="V1572" s="10"/>
      <c r="X1572" s="10"/>
      <c r="AA1572" s="11"/>
    </row>
    <row r="1573" spans="2:27" x14ac:dyDescent="0.2">
      <c r="B1573" t="s">
        <v>394</v>
      </c>
      <c r="C1573">
        <v>40369059</v>
      </c>
      <c r="D1573" t="s">
        <v>485</v>
      </c>
      <c r="E1573">
        <v>1011421</v>
      </c>
      <c r="F1573" t="s">
        <v>484</v>
      </c>
      <c r="G1573" s="9">
        <v>44997</v>
      </c>
      <c r="H1573" s="7">
        <v>23995.58</v>
      </c>
      <c r="I1573" s="7"/>
      <c r="J1573" s="7"/>
      <c r="K1573" s="7"/>
      <c r="L1573" s="10"/>
      <c r="N1573" s="10"/>
      <c r="Q1573" s="11"/>
      <c r="R1573" s="7">
        <v>23995.58</v>
      </c>
      <c r="S1573" s="7"/>
      <c r="T1573" s="7"/>
      <c r="U1573" s="7"/>
      <c r="V1573" s="10"/>
      <c r="X1573" s="10"/>
      <c r="AA1573" s="11"/>
    </row>
    <row r="1574" spans="2:27" ht="16" x14ac:dyDescent="0.2">
      <c r="B1574" t="s">
        <v>35</v>
      </c>
      <c r="C1574">
        <v>40368917</v>
      </c>
      <c r="D1574" t="s">
        <v>409</v>
      </c>
      <c r="E1574">
        <v>1012145</v>
      </c>
      <c r="F1574" t="s">
        <v>84</v>
      </c>
      <c r="G1574" s="9">
        <v>45013</v>
      </c>
      <c r="H1574" s="7"/>
      <c r="I1574" s="7">
        <v>19758.467519999998</v>
      </c>
      <c r="J1574" s="7"/>
      <c r="K1574" s="7"/>
      <c r="L1574" s="10">
        <v>7.5</v>
      </c>
      <c r="M1574" s="9">
        <v>45020</v>
      </c>
      <c r="N1574" s="10">
        <v>9.5</v>
      </c>
      <c r="O1574" s="9">
        <v>45029</v>
      </c>
      <c r="P1574">
        <v>14</v>
      </c>
      <c r="Q1574" s="11" t="s">
        <v>49</v>
      </c>
      <c r="R1574" s="7"/>
      <c r="S1574" s="7">
        <v>19758.467519999998</v>
      </c>
      <c r="T1574" s="7"/>
      <c r="U1574" s="7"/>
      <c r="V1574" s="10">
        <v>9.5</v>
      </c>
      <c r="W1574" s="9">
        <v>45022</v>
      </c>
      <c r="X1574" s="10">
        <v>11.5</v>
      </c>
      <c r="Y1574" s="9">
        <v>45029</v>
      </c>
      <c r="Z1574">
        <v>14</v>
      </c>
      <c r="AA1574" s="11" t="s">
        <v>49</v>
      </c>
    </row>
    <row r="1575" spans="2:27" ht="16" x14ac:dyDescent="0.2">
      <c r="B1575" t="s">
        <v>35</v>
      </c>
      <c r="C1575">
        <v>40368670</v>
      </c>
      <c r="D1575" t="s">
        <v>391</v>
      </c>
      <c r="E1575">
        <v>1021944</v>
      </c>
      <c r="F1575" t="s">
        <v>192</v>
      </c>
      <c r="G1575" s="9">
        <v>45018</v>
      </c>
      <c r="H1575" s="7"/>
      <c r="I1575" s="7">
        <v>2000</v>
      </c>
      <c r="J1575" s="7"/>
      <c r="K1575" s="7"/>
      <c r="L1575" s="10">
        <v>4.830303030303031</v>
      </c>
      <c r="M1575" s="9">
        <v>45022</v>
      </c>
      <c r="N1575" s="10">
        <v>15</v>
      </c>
      <c r="O1575" s="9">
        <v>45037</v>
      </c>
      <c r="P1575">
        <v>7</v>
      </c>
      <c r="Q1575" s="11" t="s">
        <v>49</v>
      </c>
      <c r="R1575" s="7"/>
      <c r="S1575" s="7">
        <v>2000</v>
      </c>
      <c r="T1575" s="7"/>
      <c r="U1575" s="7"/>
      <c r="V1575" s="10">
        <v>6.830303030303031</v>
      </c>
      <c r="W1575" s="9">
        <v>45024</v>
      </c>
      <c r="X1575" s="10">
        <v>17</v>
      </c>
      <c r="Y1575" s="9">
        <v>45037</v>
      </c>
      <c r="Z1575">
        <v>7</v>
      </c>
      <c r="AA1575" s="11" t="s">
        <v>49</v>
      </c>
    </row>
    <row r="1576" spans="2:27" ht="16" x14ac:dyDescent="0.2">
      <c r="B1576" t="s">
        <v>35</v>
      </c>
      <c r="C1576">
        <v>40368669</v>
      </c>
      <c r="D1576" t="s">
        <v>391</v>
      </c>
      <c r="E1576">
        <v>1022866</v>
      </c>
      <c r="F1576" t="s">
        <v>203</v>
      </c>
      <c r="G1576" s="9">
        <v>45018</v>
      </c>
      <c r="H1576" s="7"/>
      <c r="I1576" s="7">
        <v>10009.530000000001</v>
      </c>
      <c r="J1576" s="7"/>
      <c r="K1576" s="7"/>
      <c r="L1576" s="10">
        <v>4.830303030303031</v>
      </c>
      <c r="M1576" s="9">
        <v>45022</v>
      </c>
      <c r="N1576" s="10">
        <v>15</v>
      </c>
      <c r="O1576" s="9">
        <v>45037</v>
      </c>
      <c r="P1576">
        <v>7</v>
      </c>
      <c r="Q1576" s="11" t="s">
        <v>49</v>
      </c>
      <c r="R1576" s="7"/>
      <c r="S1576" s="7">
        <v>10009.530000000001</v>
      </c>
      <c r="T1576" s="7"/>
      <c r="U1576" s="7"/>
      <c r="V1576" s="10">
        <v>6.830303030303031</v>
      </c>
      <c r="W1576" s="9">
        <v>45024</v>
      </c>
      <c r="X1576" s="10">
        <v>17</v>
      </c>
      <c r="Y1576" s="9">
        <v>45037</v>
      </c>
      <c r="Z1576">
        <v>7</v>
      </c>
      <c r="AA1576" s="11" t="s">
        <v>49</v>
      </c>
    </row>
    <row r="1577" spans="2:27" ht="16" x14ac:dyDescent="0.2">
      <c r="B1577" t="s">
        <v>35</v>
      </c>
      <c r="C1577">
        <v>40368669</v>
      </c>
      <c r="D1577" t="s">
        <v>391</v>
      </c>
      <c r="E1577">
        <v>1022864</v>
      </c>
      <c r="F1577" t="s">
        <v>41</v>
      </c>
      <c r="G1577" s="9">
        <v>45018</v>
      </c>
      <c r="H1577" s="7"/>
      <c r="I1577" s="7">
        <v>12005.74</v>
      </c>
      <c r="J1577" s="7"/>
      <c r="K1577" s="7"/>
      <c r="L1577" s="10">
        <v>4.830303030303031</v>
      </c>
      <c r="M1577" s="9">
        <v>45022</v>
      </c>
      <c r="N1577" s="10">
        <v>15</v>
      </c>
      <c r="O1577" s="9">
        <v>45037</v>
      </c>
      <c r="P1577">
        <v>7</v>
      </c>
      <c r="Q1577" s="11" t="s">
        <v>49</v>
      </c>
      <c r="R1577" s="7"/>
      <c r="S1577" s="7">
        <v>12005.74</v>
      </c>
      <c r="T1577" s="7"/>
      <c r="U1577" s="7"/>
      <c r="V1577" s="10">
        <v>6.830303030303031</v>
      </c>
      <c r="W1577" s="9">
        <v>45024</v>
      </c>
      <c r="X1577" s="10">
        <v>17</v>
      </c>
      <c r="Y1577" s="9">
        <v>45037</v>
      </c>
      <c r="Z1577">
        <v>7</v>
      </c>
      <c r="AA1577" s="11" t="s">
        <v>49</v>
      </c>
    </row>
    <row r="1578" spans="2:27" ht="16" x14ac:dyDescent="0.2">
      <c r="B1578" t="s">
        <v>35</v>
      </c>
      <c r="C1578">
        <v>40368665</v>
      </c>
      <c r="D1578" t="s">
        <v>391</v>
      </c>
      <c r="E1578">
        <v>1021921</v>
      </c>
      <c r="F1578" t="s">
        <v>184</v>
      </c>
      <c r="G1578" s="9">
        <v>45036</v>
      </c>
      <c r="H1578" s="7"/>
      <c r="I1578" s="7"/>
      <c r="J1578" s="7">
        <v>2016.73</v>
      </c>
      <c r="K1578" s="7"/>
      <c r="L1578" s="10">
        <v>4.830303030303031</v>
      </c>
      <c r="M1578" s="9">
        <v>45040</v>
      </c>
      <c r="N1578" s="10">
        <v>15</v>
      </c>
      <c r="O1578" s="9">
        <v>45055</v>
      </c>
      <c r="P1578">
        <v>18</v>
      </c>
      <c r="Q1578" s="11" t="s">
        <v>49</v>
      </c>
      <c r="R1578" s="7"/>
      <c r="S1578" s="7"/>
      <c r="T1578" s="7">
        <v>2016.73</v>
      </c>
      <c r="U1578" s="7"/>
      <c r="V1578" s="10">
        <v>6.830303030303031</v>
      </c>
      <c r="W1578" s="9">
        <v>45042</v>
      </c>
      <c r="X1578" s="10">
        <v>17</v>
      </c>
      <c r="Y1578" s="9">
        <v>45055</v>
      </c>
      <c r="Z1578">
        <v>18</v>
      </c>
      <c r="AA1578" s="11" t="s">
        <v>49</v>
      </c>
    </row>
    <row r="1579" spans="2:27" ht="16" x14ac:dyDescent="0.2">
      <c r="B1579" t="s">
        <v>35</v>
      </c>
      <c r="C1579">
        <v>40368665</v>
      </c>
      <c r="D1579" t="s">
        <v>391</v>
      </c>
      <c r="E1579">
        <v>1021924</v>
      </c>
      <c r="F1579" t="s">
        <v>187</v>
      </c>
      <c r="G1579" s="9">
        <v>45036</v>
      </c>
      <c r="H1579" s="7"/>
      <c r="I1579" s="7"/>
      <c r="J1579" s="7">
        <v>5002.96</v>
      </c>
      <c r="K1579" s="7"/>
      <c r="L1579" s="10">
        <v>4.830303030303031</v>
      </c>
      <c r="M1579" s="9">
        <v>45040</v>
      </c>
      <c r="N1579" s="10">
        <v>15</v>
      </c>
      <c r="O1579" s="9">
        <v>45055</v>
      </c>
      <c r="P1579">
        <v>18</v>
      </c>
      <c r="Q1579" s="11" t="s">
        <v>49</v>
      </c>
      <c r="R1579" s="7"/>
      <c r="S1579" s="7"/>
      <c r="T1579" s="7">
        <v>5002.96</v>
      </c>
      <c r="U1579" s="7"/>
      <c r="V1579" s="10">
        <v>6.830303030303031</v>
      </c>
      <c r="W1579" s="9">
        <v>45042</v>
      </c>
      <c r="X1579" s="10">
        <v>17</v>
      </c>
      <c r="Y1579" s="9">
        <v>45055</v>
      </c>
      <c r="Z1579">
        <v>18</v>
      </c>
      <c r="AA1579" s="11" t="s">
        <v>49</v>
      </c>
    </row>
    <row r="1580" spans="2:27" ht="16" x14ac:dyDescent="0.2">
      <c r="B1580" t="s">
        <v>35</v>
      </c>
      <c r="C1580">
        <v>40368665</v>
      </c>
      <c r="D1580" t="s">
        <v>391</v>
      </c>
      <c r="E1580">
        <v>1022864</v>
      </c>
      <c r="F1580" t="s">
        <v>41</v>
      </c>
      <c r="G1580" s="9">
        <v>45036</v>
      </c>
      <c r="H1580" s="7"/>
      <c r="I1580" s="7"/>
      <c r="J1580" s="7">
        <v>7002.14</v>
      </c>
      <c r="K1580" s="7"/>
      <c r="L1580" s="10">
        <v>4.830303030303031</v>
      </c>
      <c r="M1580" s="9">
        <v>45040</v>
      </c>
      <c r="N1580" s="10">
        <v>15</v>
      </c>
      <c r="O1580" s="9">
        <v>45055</v>
      </c>
      <c r="P1580">
        <v>18</v>
      </c>
      <c r="Q1580" s="11" t="s">
        <v>49</v>
      </c>
      <c r="R1580" s="7"/>
      <c r="S1580" s="7"/>
      <c r="T1580" s="7">
        <v>7002.14</v>
      </c>
      <c r="U1580" s="7"/>
      <c r="V1580" s="10">
        <v>6.830303030303031</v>
      </c>
      <c r="W1580" s="9">
        <v>45042</v>
      </c>
      <c r="X1580" s="10">
        <v>17</v>
      </c>
      <c r="Y1580" s="9">
        <v>45055</v>
      </c>
      <c r="Z1580">
        <v>18</v>
      </c>
      <c r="AA1580" s="11" t="s">
        <v>49</v>
      </c>
    </row>
    <row r="1581" spans="2:27" ht="16" x14ac:dyDescent="0.2">
      <c r="B1581" t="s">
        <v>35</v>
      </c>
      <c r="C1581">
        <v>40368665</v>
      </c>
      <c r="D1581" t="s">
        <v>391</v>
      </c>
      <c r="E1581">
        <v>1022866</v>
      </c>
      <c r="F1581" t="s">
        <v>203</v>
      </c>
      <c r="G1581" s="9">
        <v>45036</v>
      </c>
      <c r="H1581" s="7"/>
      <c r="I1581" s="7"/>
      <c r="J1581" s="7">
        <v>10060.200000000001</v>
      </c>
      <c r="K1581" s="7"/>
      <c r="L1581" s="10">
        <v>4.830303030303031</v>
      </c>
      <c r="M1581" s="9">
        <v>45040</v>
      </c>
      <c r="N1581" s="10">
        <v>15</v>
      </c>
      <c r="O1581" s="9">
        <v>45055</v>
      </c>
      <c r="P1581">
        <v>18</v>
      </c>
      <c r="Q1581" s="11" t="s">
        <v>49</v>
      </c>
      <c r="R1581" s="7"/>
      <c r="S1581" s="7"/>
      <c r="T1581" s="7">
        <v>10060.200000000001</v>
      </c>
      <c r="U1581" s="7"/>
      <c r="V1581" s="10">
        <v>6.830303030303031</v>
      </c>
      <c r="W1581" s="9">
        <v>45042</v>
      </c>
      <c r="X1581" s="10">
        <v>17</v>
      </c>
      <c r="Y1581" s="9">
        <v>45055</v>
      </c>
      <c r="Z1581">
        <v>18</v>
      </c>
      <c r="AA1581" s="11" t="s">
        <v>49</v>
      </c>
    </row>
    <row r="1582" spans="2:27" ht="16" x14ac:dyDescent="0.2">
      <c r="B1582" t="s">
        <v>35</v>
      </c>
      <c r="C1582">
        <v>40368663</v>
      </c>
      <c r="D1582" t="s">
        <v>391</v>
      </c>
      <c r="E1582">
        <v>1022864</v>
      </c>
      <c r="F1582" t="s">
        <v>41</v>
      </c>
      <c r="G1582" s="9">
        <v>45032</v>
      </c>
      <c r="H1582" s="7"/>
      <c r="I1582" s="7"/>
      <c r="J1582" s="7">
        <v>4015.59</v>
      </c>
      <c r="K1582" s="7"/>
      <c r="L1582" s="10">
        <v>4.830303030303031</v>
      </c>
      <c r="M1582" s="9">
        <v>45036</v>
      </c>
      <c r="N1582" s="10">
        <v>15</v>
      </c>
      <c r="O1582" s="9">
        <v>45051</v>
      </c>
      <c r="P1582">
        <v>21</v>
      </c>
      <c r="Q1582" s="11" t="s">
        <v>49</v>
      </c>
      <c r="R1582" s="7"/>
      <c r="S1582" s="7"/>
      <c r="T1582" s="7">
        <v>4015.59</v>
      </c>
      <c r="U1582" s="7"/>
      <c r="V1582" s="10">
        <v>6.830303030303031</v>
      </c>
      <c r="W1582" s="9">
        <v>45038</v>
      </c>
      <c r="X1582" s="10">
        <v>17</v>
      </c>
      <c r="Y1582" s="9">
        <v>45051</v>
      </c>
      <c r="Z1582">
        <v>21</v>
      </c>
      <c r="AA1582" s="11" t="s">
        <v>49</v>
      </c>
    </row>
    <row r="1583" spans="2:27" ht="16" x14ac:dyDescent="0.2">
      <c r="B1583" t="s">
        <v>35</v>
      </c>
      <c r="C1583">
        <v>40368663</v>
      </c>
      <c r="D1583" t="s">
        <v>391</v>
      </c>
      <c r="E1583">
        <v>1022621</v>
      </c>
      <c r="F1583" t="s">
        <v>199</v>
      </c>
      <c r="G1583" s="9">
        <v>45032</v>
      </c>
      <c r="H1583" s="7"/>
      <c r="I1583" s="7"/>
      <c r="J1583" s="7">
        <v>10005.74</v>
      </c>
      <c r="K1583" s="7"/>
      <c r="L1583" s="10">
        <v>4.830303030303031</v>
      </c>
      <c r="M1583" s="9">
        <v>45036</v>
      </c>
      <c r="N1583" s="10">
        <v>15</v>
      </c>
      <c r="O1583" s="9">
        <v>45051</v>
      </c>
      <c r="P1583">
        <v>21</v>
      </c>
      <c r="Q1583" s="11" t="s">
        <v>49</v>
      </c>
      <c r="R1583" s="7"/>
      <c r="S1583" s="7"/>
      <c r="T1583" s="7">
        <v>10005.74</v>
      </c>
      <c r="U1583" s="7"/>
      <c r="V1583" s="10">
        <v>6.830303030303031</v>
      </c>
      <c r="W1583" s="9">
        <v>45038</v>
      </c>
      <c r="X1583" s="10">
        <v>17</v>
      </c>
      <c r="Y1583" s="9">
        <v>45051</v>
      </c>
      <c r="Z1583">
        <v>21</v>
      </c>
      <c r="AA1583" s="11" t="s">
        <v>49</v>
      </c>
    </row>
    <row r="1584" spans="2:27" ht="16" x14ac:dyDescent="0.2">
      <c r="B1584" t="s">
        <v>35</v>
      </c>
      <c r="C1584">
        <v>40368663</v>
      </c>
      <c r="D1584" t="s">
        <v>391</v>
      </c>
      <c r="E1584">
        <v>1021925</v>
      </c>
      <c r="F1584" t="s">
        <v>432</v>
      </c>
      <c r="G1584" s="9">
        <v>45032</v>
      </c>
      <c r="H1584" s="7"/>
      <c r="I1584" s="7"/>
      <c r="J1584" s="7">
        <v>9978.99</v>
      </c>
      <c r="K1584" s="7"/>
      <c r="L1584" s="10">
        <v>4.830303030303031</v>
      </c>
      <c r="M1584" s="9">
        <v>45036</v>
      </c>
      <c r="N1584" s="10">
        <v>15</v>
      </c>
      <c r="O1584" s="9">
        <v>45051</v>
      </c>
      <c r="P1584">
        <v>21</v>
      </c>
      <c r="Q1584" s="11" t="s">
        <v>49</v>
      </c>
      <c r="R1584" s="7"/>
      <c r="S1584" s="7"/>
      <c r="T1584" s="7">
        <v>9978.99</v>
      </c>
      <c r="U1584" s="7"/>
      <c r="V1584" s="10">
        <v>6.830303030303031</v>
      </c>
      <c r="W1584" s="9">
        <v>45038</v>
      </c>
      <c r="X1584" s="10">
        <v>17</v>
      </c>
      <c r="Y1584" s="9">
        <v>45051</v>
      </c>
      <c r="Z1584">
        <v>21</v>
      </c>
      <c r="AA1584" s="11" t="s">
        <v>49</v>
      </c>
    </row>
    <row r="1585" spans="2:27" ht="16" x14ac:dyDescent="0.2">
      <c r="B1585" t="s">
        <v>35</v>
      </c>
      <c r="C1585">
        <v>40368661</v>
      </c>
      <c r="D1585" t="s">
        <v>391</v>
      </c>
      <c r="E1585">
        <v>1022293</v>
      </c>
      <c r="F1585" t="s">
        <v>339</v>
      </c>
      <c r="G1585" s="9">
        <v>45018</v>
      </c>
      <c r="H1585" s="7"/>
      <c r="I1585" s="7">
        <v>3030</v>
      </c>
      <c r="J1585" s="7"/>
      <c r="K1585" s="7"/>
      <c r="L1585" s="10">
        <v>4.830303030303031</v>
      </c>
      <c r="M1585" s="9">
        <v>45022</v>
      </c>
      <c r="N1585" s="10">
        <v>15</v>
      </c>
      <c r="O1585" s="9">
        <v>45037</v>
      </c>
      <c r="P1585">
        <v>7</v>
      </c>
      <c r="Q1585" s="11" t="s">
        <v>49</v>
      </c>
      <c r="R1585" s="7"/>
      <c r="S1585" s="7">
        <v>3030</v>
      </c>
      <c r="T1585" s="7"/>
      <c r="U1585" s="7"/>
      <c r="V1585" s="10">
        <v>6.830303030303031</v>
      </c>
      <c r="W1585" s="9">
        <v>45024</v>
      </c>
      <c r="X1585" s="10">
        <v>17</v>
      </c>
      <c r="Y1585" s="9">
        <v>45037</v>
      </c>
      <c r="Z1585">
        <v>7</v>
      </c>
      <c r="AA1585" s="11" t="s">
        <v>49</v>
      </c>
    </row>
    <row r="1586" spans="2:27" ht="16" x14ac:dyDescent="0.2">
      <c r="B1586" t="s">
        <v>35</v>
      </c>
      <c r="C1586">
        <v>40368661</v>
      </c>
      <c r="D1586" t="s">
        <v>391</v>
      </c>
      <c r="E1586">
        <v>1022863</v>
      </c>
      <c r="F1586" t="s">
        <v>201</v>
      </c>
      <c r="G1586" s="9">
        <v>45018</v>
      </c>
      <c r="H1586" s="7"/>
      <c r="I1586" s="7">
        <v>4021.88</v>
      </c>
      <c r="J1586" s="7"/>
      <c r="K1586" s="7"/>
      <c r="L1586" s="10">
        <v>4.830303030303031</v>
      </c>
      <c r="M1586" s="9">
        <v>45022</v>
      </c>
      <c r="N1586" s="10">
        <v>15</v>
      </c>
      <c r="O1586" s="9">
        <v>45037</v>
      </c>
      <c r="P1586">
        <v>7</v>
      </c>
      <c r="Q1586" s="11" t="s">
        <v>49</v>
      </c>
      <c r="R1586" s="7"/>
      <c r="S1586" s="7">
        <v>4021.88</v>
      </c>
      <c r="T1586" s="7"/>
      <c r="U1586" s="7"/>
      <c r="V1586" s="10">
        <v>6.830303030303031</v>
      </c>
      <c r="W1586" s="9">
        <v>45024</v>
      </c>
      <c r="X1586" s="10">
        <v>17</v>
      </c>
      <c r="Y1586" s="9">
        <v>45037</v>
      </c>
      <c r="Z1586">
        <v>7</v>
      </c>
      <c r="AA1586" s="11" t="s">
        <v>49</v>
      </c>
    </row>
    <row r="1587" spans="2:27" ht="16" x14ac:dyDescent="0.2">
      <c r="B1587" t="s">
        <v>35</v>
      </c>
      <c r="C1587">
        <v>40368661</v>
      </c>
      <c r="D1587" t="s">
        <v>391</v>
      </c>
      <c r="E1587">
        <v>1022865</v>
      </c>
      <c r="F1587" t="s">
        <v>343</v>
      </c>
      <c r="G1587" s="9">
        <v>45018</v>
      </c>
      <c r="H1587" s="7"/>
      <c r="I1587" s="7">
        <v>14010</v>
      </c>
      <c r="J1587" s="7"/>
      <c r="K1587" s="7"/>
      <c r="L1587" s="10">
        <v>4.830303030303031</v>
      </c>
      <c r="M1587" s="9">
        <v>45022</v>
      </c>
      <c r="N1587" s="10">
        <v>15</v>
      </c>
      <c r="O1587" s="9">
        <v>45037</v>
      </c>
      <c r="P1587">
        <v>7</v>
      </c>
      <c r="Q1587" s="11" t="s">
        <v>49</v>
      </c>
      <c r="R1587" s="7"/>
      <c r="S1587" s="7">
        <v>14010</v>
      </c>
      <c r="T1587" s="7"/>
      <c r="U1587" s="7"/>
      <c r="V1587" s="10">
        <v>6.830303030303031</v>
      </c>
      <c r="W1587" s="9">
        <v>45024</v>
      </c>
      <c r="X1587" s="10">
        <v>17</v>
      </c>
      <c r="Y1587" s="9">
        <v>45037</v>
      </c>
      <c r="Z1587">
        <v>7</v>
      </c>
      <c r="AA1587" s="11" t="s">
        <v>49</v>
      </c>
    </row>
    <row r="1588" spans="2:27" ht="16" x14ac:dyDescent="0.2">
      <c r="B1588" t="s">
        <v>35</v>
      </c>
      <c r="C1588">
        <v>40368661</v>
      </c>
      <c r="D1588" t="s">
        <v>391</v>
      </c>
      <c r="E1588">
        <v>1022975</v>
      </c>
      <c r="F1588" t="s">
        <v>433</v>
      </c>
      <c r="G1588" s="9">
        <v>45018</v>
      </c>
      <c r="H1588" s="7"/>
      <c r="I1588" s="7">
        <v>3000</v>
      </c>
      <c r="J1588" s="7"/>
      <c r="K1588" s="7"/>
      <c r="L1588" s="10">
        <v>4.830303030303031</v>
      </c>
      <c r="M1588" s="9">
        <v>45022</v>
      </c>
      <c r="N1588" s="10">
        <v>15</v>
      </c>
      <c r="O1588" s="9">
        <v>45037</v>
      </c>
      <c r="P1588">
        <v>7</v>
      </c>
      <c r="Q1588" s="11" t="s">
        <v>49</v>
      </c>
      <c r="R1588" s="7"/>
      <c r="S1588" s="7">
        <v>3000</v>
      </c>
      <c r="T1588" s="7"/>
      <c r="U1588" s="7"/>
      <c r="V1588" s="10">
        <v>6.830303030303031</v>
      </c>
      <c r="W1588" s="9">
        <v>45024</v>
      </c>
      <c r="X1588" s="10">
        <v>17</v>
      </c>
      <c r="Y1588" s="9">
        <v>45037</v>
      </c>
      <c r="Z1588">
        <v>7</v>
      </c>
      <c r="AA1588" s="11" t="s">
        <v>49</v>
      </c>
    </row>
    <row r="1589" spans="2:27" ht="16" x14ac:dyDescent="0.2">
      <c r="B1589" t="s">
        <v>35</v>
      </c>
      <c r="C1589">
        <v>40368651</v>
      </c>
      <c r="D1589" t="s">
        <v>391</v>
      </c>
      <c r="E1589">
        <v>1021925</v>
      </c>
      <c r="F1589" t="s">
        <v>432</v>
      </c>
      <c r="G1589" s="9">
        <v>45018</v>
      </c>
      <c r="H1589" s="7"/>
      <c r="I1589" s="7">
        <v>10045.09</v>
      </c>
      <c r="J1589" s="7"/>
      <c r="K1589" s="7"/>
      <c r="L1589" s="10">
        <v>4.830303030303031</v>
      </c>
      <c r="M1589" s="9">
        <v>45022</v>
      </c>
      <c r="N1589" s="10">
        <v>15</v>
      </c>
      <c r="O1589" s="9">
        <v>45037</v>
      </c>
      <c r="P1589">
        <v>7</v>
      </c>
      <c r="Q1589" s="11" t="s">
        <v>49</v>
      </c>
      <c r="R1589" s="7"/>
      <c r="S1589" s="7">
        <v>10045.09</v>
      </c>
      <c r="T1589" s="7"/>
      <c r="U1589" s="7"/>
      <c r="V1589" s="10">
        <v>6.830303030303031</v>
      </c>
      <c r="W1589" s="9">
        <v>45024</v>
      </c>
      <c r="X1589" s="10">
        <v>17</v>
      </c>
      <c r="Y1589" s="9">
        <v>45037</v>
      </c>
      <c r="Z1589">
        <v>7</v>
      </c>
      <c r="AA1589" s="11" t="s">
        <v>49</v>
      </c>
    </row>
    <row r="1590" spans="2:27" ht="16" x14ac:dyDescent="0.2">
      <c r="B1590" t="s">
        <v>35</v>
      </c>
      <c r="C1590">
        <v>40368651</v>
      </c>
      <c r="D1590" t="s">
        <v>391</v>
      </c>
      <c r="E1590">
        <v>1022866</v>
      </c>
      <c r="F1590" t="s">
        <v>203</v>
      </c>
      <c r="G1590" s="9">
        <v>45018</v>
      </c>
      <c r="H1590" s="7"/>
      <c r="I1590" s="7">
        <v>4061.13</v>
      </c>
      <c r="J1590" s="7"/>
      <c r="K1590" s="7"/>
      <c r="L1590" s="10">
        <v>4.830303030303031</v>
      </c>
      <c r="M1590" s="9">
        <v>45022</v>
      </c>
      <c r="N1590" s="10">
        <v>15</v>
      </c>
      <c r="O1590" s="9">
        <v>45037</v>
      </c>
      <c r="P1590">
        <v>7</v>
      </c>
      <c r="Q1590" s="11" t="s">
        <v>49</v>
      </c>
      <c r="R1590" s="7"/>
      <c r="S1590" s="7">
        <v>4061.13</v>
      </c>
      <c r="T1590" s="7"/>
      <c r="U1590" s="7"/>
      <c r="V1590" s="10">
        <v>6.830303030303031</v>
      </c>
      <c r="W1590" s="9">
        <v>45024</v>
      </c>
      <c r="X1590" s="10">
        <v>17</v>
      </c>
      <c r="Y1590" s="9">
        <v>45037</v>
      </c>
      <c r="Z1590">
        <v>7</v>
      </c>
      <c r="AA1590" s="11" t="s">
        <v>49</v>
      </c>
    </row>
    <row r="1591" spans="2:27" ht="16" x14ac:dyDescent="0.2">
      <c r="B1591" t="s">
        <v>35</v>
      </c>
      <c r="C1591">
        <v>40368651</v>
      </c>
      <c r="D1591" t="s">
        <v>391</v>
      </c>
      <c r="E1591">
        <v>1023269</v>
      </c>
      <c r="F1591" t="s">
        <v>436</v>
      </c>
      <c r="G1591" s="9">
        <v>45018</v>
      </c>
      <c r="H1591" s="7"/>
      <c r="I1591" s="7">
        <v>10006.25</v>
      </c>
      <c r="J1591" s="7"/>
      <c r="K1591" s="7"/>
      <c r="L1591" s="10">
        <v>4.830303030303031</v>
      </c>
      <c r="M1591" s="9">
        <v>45022</v>
      </c>
      <c r="N1591" s="10">
        <v>15</v>
      </c>
      <c r="O1591" s="9">
        <v>45037</v>
      </c>
      <c r="P1591">
        <v>7</v>
      </c>
      <c r="Q1591" s="11" t="s">
        <v>49</v>
      </c>
      <c r="R1591" s="7"/>
      <c r="S1591" s="7">
        <v>10006.25</v>
      </c>
      <c r="T1591" s="7"/>
      <c r="U1591" s="7"/>
      <c r="V1591" s="10">
        <v>6.830303030303031</v>
      </c>
      <c r="W1591" s="9">
        <v>45024</v>
      </c>
      <c r="X1591" s="10">
        <v>17</v>
      </c>
      <c r="Y1591" s="9">
        <v>45037</v>
      </c>
      <c r="Z1591">
        <v>7</v>
      </c>
      <c r="AA1591" s="11" t="s">
        <v>49</v>
      </c>
    </row>
    <row r="1592" spans="2:27" ht="16" x14ac:dyDescent="0.2">
      <c r="B1592" t="s">
        <v>35</v>
      </c>
      <c r="C1592">
        <v>40368637</v>
      </c>
      <c r="D1592" t="s">
        <v>391</v>
      </c>
      <c r="E1592">
        <v>1021936</v>
      </c>
      <c r="F1592" t="s">
        <v>411</v>
      </c>
      <c r="G1592" s="9">
        <v>45018</v>
      </c>
      <c r="H1592" s="7"/>
      <c r="I1592" s="7">
        <v>24000</v>
      </c>
      <c r="J1592" s="7"/>
      <c r="K1592" s="7"/>
      <c r="L1592" s="10">
        <v>4.830303030303031</v>
      </c>
      <c r="M1592" s="9">
        <v>45022</v>
      </c>
      <c r="N1592" s="10">
        <v>15</v>
      </c>
      <c r="O1592" s="9">
        <v>45037</v>
      </c>
      <c r="P1592">
        <v>7</v>
      </c>
      <c r="Q1592" s="11" t="s">
        <v>49</v>
      </c>
      <c r="R1592" s="7"/>
      <c r="S1592" s="7">
        <v>24000</v>
      </c>
      <c r="T1592" s="7"/>
      <c r="U1592" s="7"/>
      <c r="V1592" s="10">
        <v>6.830303030303031</v>
      </c>
      <c r="W1592" s="9">
        <v>45024</v>
      </c>
      <c r="X1592" s="10">
        <v>17</v>
      </c>
      <c r="Y1592" s="9">
        <v>45037</v>
      </c>
      <c r="Z1592">
        <v>7</v>
      </c>
      <c r="AA1592" s="11" t="s">
        <v>49</v>
      </c>
    </row>
    <row r="1593" spans="2:27" ht="16" x14ac:dyDescent="0.2">
      <c r="B1593" t="s">
        <v>35</v>
      </c>
      <c r="C1593">
        <v>40368636</v>
      </c>
      <c r="D1593" t="s">
        <v>391</v>
      </c>
      <c r="E1593">
        <v>1021936</v>
      </c>
      <c r="F1593" t="s">
        <v>411</v>
      </c>
      <c r="G1593" s="9">
        <v>45018</v>
      </c>
      <c r="H1593" s="7"/>
      <c r="I1593" s="7">
        <v>24000</v>
      </c>
      <c r="J1593" s="7"/>
      <c r="K1593" s="7"/>
      <c r="L1593" s="10">
        <v>4.830303030303031</v>
      </c>
      <c r="M1593" s="9">
        <v>45022</v>
      </c>
      <c r="N1593" s="10">
        <v>15</v>
      </c>
      <c r="O1593" s="9">
        <v>45037</v>
      </c>
      <c r="P1593">
        <v>7</v>
      </c>
      <c r="Q1593" s="11" t="s">
        <v>49</v>
      </c>
      <c r="R1593" s="7"/>
      <c r="S1593" s="7">
        <v>24000</v>
      </c>
      <c r="T1593" s="7"/>
      <c r="U1593" s="7"/>
      <c r="V1593" s="10">
        <v>6.830303030303031</v>
      </c>
      <c r="W1593" s="9">
        <v>45024</v>
      </c>
      <c r="X1593" s="10">
        <v>17</v>
      </c>
      <c r="Y1593" s="9">
        <v>45037</v>
      </c>
      <c r="Z1593">
        <v>7</v>
      </c>
      <c r="AA1593" s="11" t="s">
        <v>49</v>
      </c>
    </row>
    <row r="1594" spans="2:27" ht="16" x14ac:dyDescent="0.2">
      <c r="B1594" t="s">
        <v>35</v>
      </c>
      <c r="C1594">
        <v>40368632</v>
      </c>
      <c r="D1594" t="s">
        <v>391</v>
      </c>
      <c r="E1594">
        <v>1021936</v>
      </c>
      <c r="F1594" t="s">
        <v>411</v>
      </c>
      <c r="G1594" s="9">
        <v>45018</v>
      </c>
      <c r="H1594" s="7"/>
      <c r="I1594" s="7">
        <v>24000</v>
      </c>
      <c r="J1594" s="7"/>
      <c r="K1594" s="7"/>
      <c r="L1594" s="10">
        <v>4.830303030303031</v>
      </c>
      <c r="M1594" s="9">
        <v>45022</v>
      </c>
      <c r="N1594" s="10">
        <v>15</v>
      </c>
      <c r="O1594" s="9">
        <v>45037</v>
      </c>
      <c r="P1594">
        <v>7</v>
      </c>
      <c r="Q1594" s="11" t="s">
        <v>49</v>
      </c>
      <c r="R1594" s="7"/>
      <c r="S1594" s="7">
        <v>24000</v>
      </c>
      <c r="T1594" s="7"/>
      <c r="U1594" s="7"/>
      <c r="V1594" s="10">
        <v>6.830303030303031</v>
      </c>
      <c r="W1594" s="9">
        <v>45024</v>
      </c>
      <c r="X1594" s="10">
        <v>17</v>
      </c>
      <c r="Y1594" s="9">
        <v>45037</v>
      </c>
      <c r="Z1594">
        <v>7</v>
      </c>
      <c r="AA1594" s="11" t="s">
        <v>49</v>
      </c>
    </row>
    <row r="1595" spans="2:27" ht="16" x14ac:dyDescent="0.2">
      <c r="B1595" t="s">
        <v>35</v>
      </c>
      <c r="C1595">
        <v>40368631</v>
      </c>
      <c r="D1595" t="s">
        <v>391</v>
      </c>
      <c r="E1595">
        <v>1021936</v>
      </c>
      <c r="F1595" t="s">
        <v>411</v>
      </c>
      <c r="G1595" s="9">
        <v>45021</v>
      </c>
      <c r="H1595" s="7"/>
      <c r="I1595" s="7">
        <v>24000</v>
      </c>
      <c r="J1595" s="7"/>
      <c r="K1595" s="7"/>
      <c r="L1595" s="10">
        <v>4.830303030303031</v>
      </c>
      <c r="M1595" s="9">
        <v>45025</v>
      </c>
      <c r="N1595" s="10">
        <v>15</v>
      </c>
      <c r="O1595" s="9">
        <v>45040</v>
      </c>
      <c r="P1595">
        <v>5</v>
      </c>
      <c r="Q1595" s="11" t="s">
        <v>49</v>
      </c>
      <c r="R1595" s="7"/>
      <c r="S1595" s="7">
        <v>24000</v>
      </c>
      <c r="T1595" s="7"/>
      <c r="U1595" s="7"/>
      <c r="V1595" s="10">
        <v>6.830303030303031</v>
      </c>
      <c r="W1595" s="9">
        <v>45027</v>
      </c>
      <c r="X1595" s="10">
        <v>17</v>
      </c>
      <c r="Y1595" s="9">
        <v>45040</v>
      </c>
      <c r="Z1595">
        <v>5</v>
      </c>
      <c r="AA1595" s="11" t="s">
        <v>49</v>
      </c>
    </row>
    <row r="1596" spans="2:27" ht="16" x14ac:dyDescent="0.2">
      <c r="B1596" t="s">
        <v>35</v>
      </c>
      <c r="C1596">
        <v>40368630</v>
      </c>
      <c r="D1596" t="s">
        <v>391</v>
      </c>
      <c r="E1596">
        <v>1021936</v>
      </c>
      <c r="F1596" t="s">
        <v>411</v>
      </c>
      <c r="G1596" s="9">
        <v>45013</v>
      </c>
      <c r="H1596" s="7"/>
      <c r="I1596" s="7">
        <v>24000</v>
      </c>
      <c r="J1596" s="7"/>
      <c r="K1596" s="7"/>
      <c r="L1596" s="10">
        <v>4.830303030303031</v>
      </c>
      <c r="M1596" s="9">
        <v>45017</v>
      </c>
      <c r="N1596" s="10">
        <v>15</v>
      </c>
      <c r="O1596" s="9">
        <v>45032</v>
      </c>
      <c r="P1596">
        <v>12</v>
      </c>
      <c r="Q1596" s="11" t="s">
        <v>49</v>
      </c>
      <c r="R1596" s="7"/>
      <c r="S1596" s="7">
        <v>24000</v>
      </c>
      <c r="T1596" s="7"/>
      <c r="U1596" s="7"/>
      <c r="V1596" s="10">
        <v>6.830303030303031</v>
      </c>
      <c r="W1596" s="9">
        <v>45019</v>
      </c>
      <c r="X1596" s="10">
        <v>17</v>
      </c>
      <c r="Y1596" s="9">
        <v>45032</v>
      </c>
      <c r="Z1596">
        <v>12</v>
      </c>
      <c r="AA1596" s="11" t="s">
        <v>49</v>
      </c>
    </row>
    <row r="1597" spans="2:27" ht="16" x14ac:dyDescent="0.2">
      <c r="B1597" t="s">
        <v>35</v>
      </c>
      <c r="C1597">
        <v>40368629</v>
      </c>
      <c r="D1597" t="s">
        <v>391</v>
      </c>
      <c r="E1597">
        <v>1021936</v>
      </c>
      <c r="F1597" t="s">
        <v>411</v>
      </c>
      <c r="G1597" s="9">
        <v>45032</v>
      </c>
      <c r="H1597" s="7"/>
      <c r="I1597" s="7"/>
      <c r="J1597" s="7">
        <v>24000</v>
      </c>
      <c r="K1597" s="7"/>
      <c r="L1597" s="10">
        <v>4.830303030303031</v>
      </c>
      <c r="M1597" s="9">
        <v>45036</v>
      </c>
      <c r="N1597" s="10">
        <v>15</v>
      </c>
      <c r="O1597" s="9">
        <v>45051</v>
      </c>
      <c r="P1597">
        <v>21</v>
      </c>
      <c r="Q1597" s="11" t="s">
        <v>49</v>
      </c>
      <c r="R1597" s="7"/>
      <c r="S1597" s="7"/>
      <c r="T1597" s="7">
        <v>24000</v>
      </c>
      <c r="U1597" s="7"/>
      <c r="V1597" s="10">
        <v>6.830303030303031</v>
      </c>
      <c r="W1597" s="9">
        <v>45038</v>
      </c>
      <c r="X1597" s="10">
        <v>17</v>
      </c>
      <c r="Y1597" s="9">
        <v>45051</v>
      </c>
      <c r="Z1597">
        <v>21</v>
      </c>
      <c r="AA1597" s="11" t="s">
        <v>49</v>
      </c>
    </row>
    <row r="1598" spans="2:27" ht="16" x14ac:dyDescent="0.2">
      <c r="B1598" t="s">
        <v>35</v>
      </c>
      <c r="C1598">
        <v>40368628</v>
      </c>
      <c r="D1598" t="s">
        <v>391</v>
      </c>
      <c r="E1598">
        <v>1021936</v>
      </c>
      <c r="F1598" t="s">
        <v>411</v>
      </c>
      <c r="G1598" s="9">
        <v>45032</v>
      </c>
      <c r="H1598" s="7"/>
      <c r="I1598" s="7"/>
      <c r="J1598" s="7">
        <v>24000</v>
      </c>
      <c r="K1598" s="7"/>
      <c r="L1598" s="10">
        <v>4.830303030303031</v>
      </c>
      <c r="M1598" s="9">
        <v>45036</v>
      </c>
      <c r="N1598" s="10">
        <v>15</v>
      </c>
      <c r="O1598" s="9">
        <v>45051</v>
      </c>
      <c r="P1598">
        <v>21</v>
      </c>
      <c r="Q1598" s="11" t="s">
        <v>49</v>
      </c>
      <c r="R1598" s="7"/>
      <c r="S1598" s="7"/>
      <c r="T1598" s="7">
        <v>24000</v>
      </c>
      <c r="U1598" s="7"/>
      <c r="V1598" s="10">
        <v>6.830303030303031</v>
      </c>
      <c r="W1598" s="9">
        <v>45038</v>
      </c>
      <c r="X1598" s="10">
        <v>17</v>
      </c>
      <c r="Y1598" s="9">
        <v>45051</v>
      </c>
      <c r="Z1598">
        <v>21</v>
      </c>
      <c r="AA1598" s="11" t="s">
        <v>49</v>
      </c>
    </row>
    <row r="1599" spans="2:27" ht="16" x14ac:dyDescent="0.2">
      <c r="B1599" t="s">
        <v>35</v>
      </c>
      <c r="C1599">
        <v>40368627</v>
      </c>
      <c r="D1599" t="s">
        <v>423</v>
      </c>
      <c r="E1599">
        <v>1011748</v>
      </c>
      <c r="F1599" t="s">
        <v>482</v>
      </c>
      <c r="G1599" s="9">
        <v>44988</v>
      </c>
      <c r="H1599" s="7">
        <v>21600</v>
      </c>
      <c r="I1599" s="7"/>
      <c r="J1599" s="7"/>
      <c r="K1599" s="7"/>
      <c r="L1599" s="10">
        <v>5.4496124031007751</v>
      </c>
      <c r="M1599" s="9">
        <v>44993</v>
      </c>
      <c r="N1599" s="10">
        <v>10</v>
      </c>
      <c r="O1599" s="9">
        <v>45003</v>
      </c>
      <c r="P1599">
        <v>9</v>
      </c>
      <c r="Q1599" s="11" t="s">
        <v>49</v>
      </c>
      <c r="R1599" s="7">
        <v>21600</v>
      </c>
      <c r="S1599" s="7"/>
      <c r="T1599" s="7"/>
      <c r="U1599" s="7"/>
      <c r="V1599" s="10">
        <v>7.4496124031007751</v>
      </c>
      <c r="W1599" s="9">
        <v>44995</v>
      </c>
      <c r="X1599" s="10">
        <v>12</v>
      </c>
      <c r="Y1599" s="9">
        <v>45003</v>
      </c>
      <c r="Z1599">
        <v>9</v>
      </c>
      <c r="AA1599" s="11" t="s">
        <v>49</v>
      </c>
    </row>
    <row r="1600" spans="2:27" ht="16" x14ac:dyDescent="0.2">
      <c r="B1600" t="s">
        <v>35</v>
      </c>
      <c r="C1600">
        <v>40368626</v>
      </c>
      <c r="D1600" t="s">
        <v>423</v>
      </c>
      <c r="E1600">
        <v>1011748</v>
      </c>
      <c r="F1600" t="s">
        <v>482</v>
      </c>
      <c r="G1600" s="9">
        <v>44991</v>
      </c>
      <c r="H1600" s="7">
        <v>22800</v>
      </c>
      <c r="I1600" s="7"/>
      <c r="J1600" s="7"/>
      <c r="K1600" s="7"/>
      <c r="L1600" s="10">
        <v>5.4496124031007751</v>
      </c>
      <c r="M1600" s="9">
        <v>44996</v>
      </c>
      <c r="N1600" s="10">
        <v>10</v>
      </c>
      <c r="O1600" s="9">
        <v>45006</v>
      </c>
      <c r="P1600">
        <v>9</v>
      </c>
      <c r="Q1600" s="11" t="s">
        <v>49</v>
      </c>
      <c r="R1600" s="7">
        <v>22800</v>
      </c>
      <c r="S1600" s="7"/>
      <c r="T1600" s="7"/>
      <c r="U1600" s="7"/>
      <c r="V1600" s="10">
        <v>7.4496124031007751</v>
      </c>
      <c r="W1600" s="9">
        <v>44998</v>
      </c>
      <c r="X1600" s="10">
        <v>12</v>
      </c>
      <c r="Y1600" s="9">
        <v>45006</v>
      </c>
      <c r="Z1600">
        <v>9</v>
      </c>
      <c r="AA1600" s="11" t="s">
        <v>49</v>
      </c>
    </row>
    <row r="1601" spans="2:27" ht="16" x14ac:dyDescent="0.2">
      <c r="B1601" t="s">
        <v>35</v>
      </c>
      <c r="C1601">
        <v>40368625</v>
      </c>
      <c r="D1601" t="s">
        <v>423</v>
      </c>
      <c r="E1601">
        <v>1011748</v>
      </c>
      <c r="F1601" t="s">
        <v>482</v>
      </c>
      <c r="G1601" s="9">
        <v>44991</v>
      </c>
      <c r="H1601" s="7">
        <v>22800</v>
      </c>
      <c r="I1601" s="7"/>
      <c r="J1601" s="7"/>
      <c r="K1601" s="7"/>
      <c r="L1601" s="10">
        <v>5.4496124031007751</v>
      </c>
      <c r="M1601" s="9">
        <v>44996</v>
      </c>
      <c r="N1601" s="10">
        <v>10</v>
      </c>
      <c r="O1601" s="9">
        <v>45006</v>
      </c>
      <c r="P1601">
        <v>9</v>
      </c>
      <c r="Q1601" s="11" t="s">
        <v>49</v>
      </c>
      <c r="R1601" s="7">
        <v>22800</v>
      </c>
      <c r="S1601" s="7"/>
      <c r="T1601" s="7"/>
      <c r="U1601" s="7"/>
      <c r="V1601" s="10">
        <v>7.4496124031007751</v>
      </c>
      <c r="W1601" s="9">
        <v>44998</v>
      </c>
      <c r="X1601" s="10">
        <v>12</v>
      </c>
      <c r="Y1601" s="9">
        <v>45006</v>
      </c>
      <c r="Z1601">
        <v>9</v>
      </c>
      <c r="AA1601" s="11" t="s">
        <v>49</v>
      </c>
    </row>
    <row r="1602" spans="2:27" ht="16" x14ac:dyDescent="0.2">
      <c r="B1602" t="s">
        <v>35</v>
      </c>
      <c r="C1602">
        <v>40368624</v>
      </c>
      <c r="D1602" t="s">
        <v>423</v>
      </c>
      <c r="E1602">
        <v>1011748</v>
      </c>
      <c r="F1602" t="s">
        <v>482</v>
      </c>
      <c r="G1602" s="9">
        <v>44988</v>
      </c>
      <c r="H1602" s="7">
        <v>21780</v>
      </c>
      <c r="I1602" s="7"/>
      <c r="J1602" s="7"/>
      <c r="K1602" s="7"/>
      <c r="L1602" s="10">
        <v>5.4496124031007751</v>
      </c>
      <c r="M1602" s="9">
        <v>44993</v>
      </c>
      <c r="N1602" s="10">
        <v>10</v>
      </c>
      <c r="O1602" s="9">
        <v>45003</v>
      </c>
      <c r="P1602">
        <v>9</v>
      </c>
      <c r="Q1602" s="11" t="s">
        <v>49</v>
      </c>
      <c r="R1602" s="7">
        <v>21780</v>
      </c>
      <c r="S1602" s="7"/>
      <c r="T1602" s="7"/>
      <c r="U1602" s="7"/>
      <c r="V1602" s="10">
        <v>7.4496124031007751</v>
      </c>
      <c r="W1602" s="9">
        <v>44995</v>
      </c>
      <c r="X1602" s="10">
        <v>12</v>
      </c>
      <c r="Y1602" s="9">
        <v>45003</v>
      </c>
      <c r="Z1602">
        <v>9</v>
      </c>
      <c r="AA1602" s="11" t="s">
        <v>49</v>
      </c>
    </row>
    <row r="1603" spans="2:27" ht="16" x14ac:dyDescent="0.2">
      <c r="B1603" t="s">
        <v>35</v>
      </c>
      <c r="C1603">
        <v>40368623</v>
      </c>
      <c r="D1603" t="s">
        <v>423</v>
      </c>
      <c r="E1603">
        <v>1011748</v>
      </c>
      <c r="F1603" t="s">
        <v>482</v>
      </c>
      <c r="G1603" s="9">
        <v>44991</v>
      </c>
      <c r="H1603" s="7">
        <v>22800</v>
      </c>
      <c r="I1603" s="7"/>
      <c r="J1603" s="7"/>
      <c r="K1603" s="7"/>
      <c r="L1603" s="10">
        <v>5.4496124031007751</v>
      </c>
      <c r="M1603" s="9">
        <v>44996</v>
      </c>
      <c r="N1603" s="10">
        <v>10</v>
      </c>
      <c r="O1603" s="9">
        <v>45006</v>
      </c>
      <c r="P1603">
        <v>9</v>
      </c>
      <c r="Q1603" s="11" t="s">
        <v>49</v>
      </c>
      <c r="R1603" s="7">
        <v>22800</v>
      </c>
      <c r="S1603" s="7"/>
      <c r="T1603" s="7"/>
      <c r="U1603" s="7"/>
      <c r="V1603" s="10">
        <v>7.4496124031007751</v>
      </c>
      <c r="W1603" s="9">
        <v>44998</v>
      </c>
      <c r="X1603" s="10">
        <v>12</v>
      </c>
      <c r="Y1603" s="9">
        <v>45006</v>
      </c>
      <c r="Z1603">
        <v>9</v>
      </c>
      <c r="AA1603" s="11" t="s">
        <v>49</v>
      </c>
    </row>
    <row r="1604" spans="2:27" ht="16" x14ac:dyDescent="0.2">
      <c r="B1604" t="s">
        <v>35</v>
      </c>
      <c r="C1604">
        <v>40368622</v>
      </c>
      <c r="D1604" t="s">
        <v>423</v>
      </c>
      <c r="E1604">
        <v>1011748</v>
      </c>
      <c r="F1604" t="s">
        <v>482</v>
      </c>
      <c r="G1604" s="9">
        <v>44991</v>
      </c>
      <c r="H1604" s="7">
        <v>22800</v>
      </c>
      <c r="I1604" s="7"/>
      <c r="J1604" s="7"/>
      <c r="K1604" s="7"/>
      <c r="L1604" s="10">
        <v>5.4496124031007751</v>
      </c>
      <c r="M1604" s="9">
        <v>44996</v>
      </c>
      <c r="N1604" s="10">
        <v>10</v>
      </c>
      <c r="O1604" s="9">
        <v>45006</v>
      </c>
      <c r="P1604">
        <v>9</v>
      </c>
      <c r="Q1604" s="11" t="s">
        <v>49</v>
      </c>
      <c r="R1604" s="7">
        <v>22800</v>
      </c>
      <c r="S1604" s="7"/>
      <c r="T1604" s="7"/>
      <c r="U1604" s="7"/>
      <c r="V1604" s="10">
        <v>7.4496124031007751</v>
      </c>
      <c r="W1604" s="9">
        <v>44998</v>
      </c>
      <c r="X1604" s="10">
        <v>12</v>
      </c>
      <c r="Y1604" s="9">
        <v>45006</v>
      </c>
      <c r="Z1604">
        <v>9</v>
      </c>
      <c r="AA1604" s="11" t="s">
        <v>49</v>
      </c>
    </row>
    <row r="1605" spans="2:27" ht="16" x14ac:dyDescent="0.2">
      <c r="B1605" t="s">
        <v>35</v>
      </c>
      <c r="C1605">
        <v>40368621</v>
      </c>
      <c r="D1605" t="s">
        <v>423</v>
      </c>
      <c r="E1605">
        <v>1011748</v>
      </c>
      <c r="F1605" t="s">
        <v>482</v>
      </c>
      <c r="G1605" s="9">
        <v>44988</v>
      </c>
      <c r="H1605" s="7">
        <v>22800</v>
      </c>
      <c r="I1605" s="7"/>
      <c r="J1605" s="7"/>
      <c r="K1605" s="7"/>
      <c r="L1605" s="10">
        <v>5.4496124031007751</v>
      </c>
      <c r="M1605" s="9">
        <v>44993</v>
      </c>
      <c r="N1605" s="10">
        <v>10</v>
      </c>
      <c r="O1605" s="9">
        <v>45003</v>
      </c>
      <c r="P1605">
        <v>9</v>
      </c>
      <c r="Q1605" s="11" t="s">
        <v>49</v>
      </c>
      <c r="R1605" s="7">
        <v>22800</v>
      </c>
      <c r="S1605" s="7"/>
      <c r="T1605" s="7"/>
      <c r="U1605" s="7"/>
      <c r="V1605" s="10">
        <v>7.4496124031007751</v>
      </c>
      <c r="W1605" s="9">
        <v>44995</v>
      </c>
      <c r="X1605" s="10">
        <v>12</v>
      </c>
      <c r="Y1605" s="9">
        <v>45003</v>
      </c>
      <c r="Z1605">
        <v>9</v>
      </c>
      <c r="AA1605" s="11" t="s">
        <v>49</v>
      </c>
    </row>
    <row r="1606" spans="2:27" ht="16" x14ac:dyDescent="0.2">
      <c r="B1606" t="s">
        <v>35</v>
      </c>
      <c r="C1606">
        <v>40368620</v>
      </c>
      <c r="D1606" t="s">
        <v>423</v>
      </c>
      <c r="E1606">
        <v>1011748</v>
      </c>
      <c r="F1606" t="s">
        <v>482</v>
      </c>
      <c r="G1606" s="9">
        <v>44991</v>
      </c>
      <c r="H1606" s="7">
        <v>22800</v>
      </c>
      <c r="I1606" s="7"/>
      <c r="J1606" s="7"/>
      <c r="K1606" s="7"/>
      <c r="L1606" s="10">
        <v>5.4496124031007751</v>
      </c>
      <c r="M1606" s="9">
        <v>44996</v>
      </c>
      <c r="N1606" s="10">
        <v>10</v>
      </c>
      <c r="O1606" s="9">
        <v>45006</v>
      </c>
      <c r="P1606">
        <v>9</v>
      </c>
      <c r="Q1606" s="11" t="s">
        <v>49</v>
      </c>
      <c r="R1606" s="7">
        <v>22800</v>
      </c>
      <c r="S1606" s="7"/>
      <c r="T1606" s="7"/>
      <c r="U1606" s="7"/>
      <c r="V1606" s="10">
        <v>7.4496124031007751</v>
      </c>
      <c r="W1606" s="9">
        <v>44998</v>
      </c>
      <c r="X1606" s="10">
        <v>12</v>
      </c>
      <c r="Y1606" s="9">
        <v>45006</v>
      </c>
      <c r="Z1606">
        <v>9</v>
      </c>
      <c r="AA1606" s="11" t="s">
        <v>49</v>
      </c>
    </row>
    <row r="1607" spans="2:27" x14ac:dyDescent="0.2">
      <c r="B1607" t="s">
        <v>394</v>
      </c>
      <c r="C1607">
        <v>40368451</v>
      </c>
      <c r="D1607" t="s">
        <v>485</v>
      </c>
      <c r="E1607">
        <v>1020412</v>
      </c>
      <c r="F1607" t="s">
        <v>486</v>
      </c>
      <c r="G1607" s="9">
        <v>44998</v>
      </c>
      <c r="H1607" s="7">
        <v>23982.49</v>
      </c>
      <c r="I1607" s="7"/>
      <c r="J1607" s="7"/>
      <c r="K1607" s="7"/>
      <c r="L1607" s="10"/>
      <c r="N1607" s="10"/>
      <c r="Q1607" s="11"/>
      <c r="R1607" s="7">
        <v>23982.49</v>
      </c>
      <c r="S1607" s="7"/>
      <c r="T1607" s="7"/>
      <c r="U1607" s="7"/>
      <c r="V1607" s="10"/>
      <c r="X1607" s="10"/>
      <c r="AA1607" s="11"/>
    </row>
    <row r="1608" spans="2:27" x14ac:dyDescent="0.2">
      <c r="B1608" t="s">
        <v>394</v>
      </c>
      <c r="C1608">
        <v>40368450</v>
      </c>
      <c r="D1608" t="s">
        <v>485</v>
      </c>
      <c r="E1608">
        <v>1020412</v>
      </c>
      <c r="F1608" t="s">
        <v>486</v>
      </c>
      <c r="G1608" s="9">
        <v>44998</v>
      </c>
      <c r="H1608" s="7">
        <v>23932.880000000001</v>
      </c>
      <c r="I1608" s="7"/>
      <c r="J1608" s="7"/>
      <c r="K1608" s="7"/>
      <c r="L1608" s="10"/>
      <c r="N1608" s="10"/>
      <c r="Q1608" s="11"/>
      <c r="R1608" s="7">
        <v>23932.880000000001</v>
      </c>
      <c r="S1608" s="7"/>
      <c r="T1608" s="7"/>
      <c r="U1608" s="7"/>
      <c r="V1608" s="10"/>
      <c r="X1608" s="10"/>
      <c r="AA1608" s="11"/>
    </row>
    <row r="1609" spans="2:27" ht="16" x14ac:dyDescent="0.2">
      <c r="B1609" t="s">
        <v>35</v>
      </c>
      <c r="C1609">
        <v>40368358</v>
      </c>
      <c r="D1609" t="s">
        <v>423</v>
      </c>
      <c r="E1609">
        <v>1011614</v>
      </c>
      <c r="F1609" t="s">
        <v>487</v>
      </c>
      <c r="G1609" s="9">
        <v>44991</v>
      </c>
      <c r="H1609" s="7">
        <v>19954</v>
      </c>
      <c r="I1609" s="7"/>
      <c r="J1609" s="7"/>
      <c r="K1609" s="7"/>
      <c r="L1609" s="10">
        <v>5.4496124031007751</v>
      </c>
      <c r="M1609" s="9">
        <v>44996</v>
      </c>
      <c r="N1609" s="10">
        <v>10</v>
      </c>
      <c r="O1609" s="9">
        <v>45006</v>
      </c>
      <c r="P1609">
        <v>9</v>
      </c>
      <c r="Q1609" s="11" t="s">
        <v>49</v>
      </c>
      <c r="R1609" s="7">
        <v>19954</v>
      </c>
      <c r="S1609" s="7"/>
      <c r="T1609" s="7"/>
      <c r="U1609" s="7"/>
      <c r="V1609" s="10">
        <v>7.4496124031007751</v>
      </c>
      <c r="W1609" s="9">
        <v>44998</v>
      </c>
      <c r="X1609" s="10">
        <v>12</v>
      </c>
      <c r="Y1609" s="9">
        <v>45006</v>
      </c>
      <c r="Z1609">
        <v>9</v>
      </c>
      <c r="AA1609" s="11" t="s">
        <v>49</v>
      </c>
    </row>
    <row r="1610" spans="2:27" ht="16" x14ac:dyDescent="0.2">
      <c r="B1610" t="s">
        <v>35</v>
      </c>
      <c r="C1610">
        <v>40368357</v>
      </c>
      <c r="D1610" t="s">
        <v>423</v>
      </c>
      <c r="E1610">
        <v>1023343</v>
      </c>
      <c r="F1610" t="s">
        <v>483</v>
      </c>
      <c r="G1610" s="9">
        <v>44991</v>
      </c>
      <c r="H1610" s="7">
        <v>24005.759999999998</v>
      </c>
      <c r="I1610" s="7"/>
      <c r="J1610" s="7"/>
      <c r="K1610" s="7"/>
      <c r="L1610" s="10">
        <v>5.4496124031007751</v>
      </c>
      <c r="M1610" s="9">
        <v>44996</v>
      </c>
      <c r="N1610" s="10">
        <v>10</v>
      </c>
      <c r="O1610" s="9">
        <v>45006</v>
      </c>
      <c r="P1610">
        <v>9</v>
      </c>
      <c r="Q1610" s="11" t="s">
        <v>49</v>
      </c>
      <c r="R1610" s="7">
        <v>24005.759999999998</v>
      </c>
      <c r="S1610" s="7"/>
      <c r="T1610" s="7"/>
      <c r="U1610" s="7"/>
      <c r="V1610" s="10">
        <v>7.4496124031007751</v>
      </c>
      <c r="W1610" s="9">
        <v>44998</v>
      </c>
      <c r="X1610" s="10">
        <v>12</v>
      </c>
      <c r="Y1610" s="9">
        <v>45006</v>
      </c>
      <c r="Z1610">
        <v>9</v>
      </c>
      <c r="AA1610" s="11" t="s">
        <v>49</v>
      </c>
    </row>
    <row r="1611" spans="2:27" ht="16" x14ac:dyDescent="0.2">
      <c r="B1611" t="s">
        <v>35</v>
      </c>
      <c r="C1611">
        <v>40368356</v>
      </c>
      <c r="D1611" t="s">
        <v>423</v>
      </c>
      <c r="E1611">
        <v>1023343</v>
      </c>
      <c r="F1611" t="s">
        <v>483</v>
      </c>
      <c r="G1611" s="9">
        <v>44991</v>
      </c>
      <c r="H1611" s="7">
        <v>24005.22</v>
      </c>
      <c r="I1611" s="7"/>
      <c r="J1611" s="7"/>
      <c r="K1611" s="7"/>
      <c r="L1611" s="10">
        <v>5.4496124031007751</v>
      </c>
      <c r="M1611" s="9">
        <v>44996</v>
      </c>
      <c r="N1611" s="10">
        <v>10</v>
      </c>
      <c r="O1611" s="9">
        <v>45006</v>
      </c>
      <c r="P1611">
        <v>9</v>
      </c>
      <c r="Q1611" s="11" t="s">
        <v>49</v>
      </c>
      <c r="R1611" s="7">
        <v>24005.22</v>
      </c>
      <c r="S1611" s="7"/>
      <c r="T1611" s="7"/>
      <c r="U1611" s="7"/>
      <c r="V1611" s="10">
        <v>7.4496124031007751</v>
      </c>
      <c r="W1611" s="9">
        <v>44998</v>
      </c>
      <c r="X1611" s="10">
        <v>12</v>
      </c>
      <c r="Y1611" s="9">
        <v>45006</v>
      </c>
      <c r="Z1611">
        <v>9</v>
      </c>
      <c r="AA1611" s="11" t="s">
        <v>49</v>
      </c>
    </row>
    <row r="1612" spans="2:27" ht="16" x14ac:dyDescent="0.2">
      <c r="B1612" t="s">
        <v>35</v>
      </c>
      <c r="C1612">
        <v>40368326</v>
      </c>
      <c r="D1612" t="s">
        <v>409</v>
      </c>
      <c r="E1612">
        <v>1030379</v>
      </c>
      <c r="F1612" t="s">
        <v>97</v>
      </c>
      <c r="G1612" s="9">
        <v>45025</v>
      </c>
      <c r="H1612" s="7"/>
      <c r="I1612" s="7">
        <v>24022.232319999999</v>
      </c>
      <c r="J1612" s="7"/>
      <c r="K1612" s="7"/>
      <c r="L1612" s="10">
        <v>7.5</v>
      </c>
      <c r="M1612" s="9">
        <v>45032</v>
      </c>
      <c r="N1612" s="10">
        <v>9.5</v>
      </c>
      <c r="O1612" s="9">
        <v>45041</v>
      </c>
      <c r="P1612">
        <v>4</v>
      </c>
      <c r="Q1612" s="11" t="s">
        <v>49</v>
      </c>
      <c r="R1612" s="7"/>
      <c r="S1612" s="7">
        <v>24022.232319999999</v>
      </c>
      <c r="T1612" s="7"/>
      <c r="U1612" s="7"/>
      <c r="V1612" s="10">
        <v>9.5</v>
      </c>
      <c r="W1612" s="9">
        <v>45034</v>
      </c>
      <c r="X1612" s="10">
        <v>11.5</v>
      </c>
      <c r="Y1612" s="9">
        <v>45041</v>
      </c>
      <c r="Z1612">
        <v>4</v>
      </c>
      <c r="AA1612" s="11" t="s">
        <v>49</v>
      </c>
    </row>
    <row r="1613" spans="2:27" ht="16" x14ac:dyDescent="0.2">
      <c r="B1613" t="s">
        <v>35</v>
      </c>
      <c r="C1613">
        <v>40368325</v>
      </c>
      <c r="D1613" t="s">
        <v>409</v>
      </c>
      <c r="E1613">
        <v>1030379</v>
      </c>
      <c r="F1613" t="s">
        <v>97</v>
      </c>
      <c r="G1613" s="9">
        <v>45025</v>
      </c>
      <c r="H1613" s="7"/>
      <c r="I1613" s="7">
        <v>24022.232319999999</v>
      </c>
      <c r="J1613" s="7"/>
      <c r="K1613" s="7"/>
      <c r="L1613" s="10">
        <v>7.5</v>
      </c>
      <c r="M1613" s="9">
        <v>45032</v>
      </c>
      <c r="N1613" s="10">
        <v>9.5</v>
      </c>
      <c r="O1613" s="9">
        <v>45041</v>
      </c>
      <c r="P1613">
        <v>4</v>
      </c>
      <c r="Q1613" s="11" t="s">
        <v>49</v>
      </c>
      <c r="R1613" s="7"/>
      <c r="S1613" s="7">
        <v>24022.232319999999</v>
      </c>
      <c r="T1613" s="7"/>
      <c r="U1613" s="7"/>
      <c r="V1613" s="10">
        <v>9.5</v>
      </c>
      <c r="W1613" s="9">
        <v>45034</v>
      </c>
      <c r="X1613" s="10">
        <v>11.5</v>
      </c>
      <c r="Y1613" s="9">
        <v>45041</v>
      </c>
      <c r="Z1613">
        <v>4</v>
      </c>
      <c r="AA1613" s="11" t="s">
        <v>49</v>
      </c>
    </row>
    <row r="1614" spans="2:27" ht="16" x14ac:dyDescent="0.2">
      <c r="B1614" t="s">
        <v>35</v>
      </c>
      <c r="C1614">
        <v>40368324</v>
      </c>
      <c r="D1614" t="s">
        <v>409</v>
      </c>
      <c r="E1614">
        <v>1030379</v>
      </c>
      <c r="F1614" t="s">
        <v>97</v>
      </c>
      <c r="G1614" s="9">
        <v>45025</v>
      </c>
      <c r="H1614" s="7"/>
      <c r="I1614" s="7">
        <v>24022.232319999999</v>
      </c>
      <c r="J1614" s="7"/>
      <c r="K1614" s="7"/>
      <c r="L1614" s="10">
        <v>7.5</v>
      </c>
      <c r="M1614" s="9">
        <v>45032</v>
      </c>
      <c r="N1614" s="10">
        <v>9.5</v>
      </c>
      <c r="O1614" s="9">
        <v>45041</v>
      </c>
      <c r="P1614">
        <v>4</v>
      </c>
      <c r="Q1614" s="11" t="s">
        <v>49</v>
      </c>
      <c r="R1614" s="7"/>
      <c r="S1614" s="7">
        <v>24022.232319999999</v>
      </c>
      <c r="T1614" s="7"/>
      <c r="U1614" s="7"/>
      <c r="V1614" s="10">
        <v>9.5</v>
      </c>
      <c r="W1614" s="9">
        <v>45034</v>
      </c>
      <c r="X1614" s="10">
        <v>11.5</v>
      </c>
      <c r="Y1614" s="9">
        <v>45041</v>
      </c>
      <c r="Z1614">
        <v>4</v>
      </c>
      <c r="AA1614" s="11" t="s">
        <v>49</v>
      </c>
    </row>
    <row r="1615" spans="2:27" ht="16" x14ac:dyDescent="0.2">
      <c r="B1615" t="s">
        <v>35</v>
      </c>
      <c r="C1615">
        <v>40368323</v>
      </c>
      <c r="D1615" t="s">
        <v>409</v>
      </c>
      <c r="E1615">
        <v>1030379</v>
      </c>
      <c r="F1615" t="s">
        <v>97</v>
      </c>
      <c r="G1615" s="9">
        <v>45025</v>
      </c>
      <c r="H1615" s="7"/>
      <c r="I1615" s="7">
        <v>24022.232319999999</v>
      </c>
      <c r="J1615" s="7"/>
      <c r="K1615" s="7"/>
      <c r="L1615" s="10">
        <v>7.5</v>
      </c>
      <c r="M1615" s="9">
        <v>45032</v>
      </c>
      <c r="N1615" s="10">
        <v>9.5</v>
      </c>
      <c r="O1615" s="9">
        <v>45041</v>
      </c>
      <c r="P1615">
        <v>4</v>
      </c>
      <c r="Q1615" s="11" t="s">
        <v>49</v>
      </c>
      <c r="R1615" s="7"/>
      <c r="S1615" s="7">
        <v>24022.232319999999</v>
      </c>
      <c r="T1615" s="7"/>
      <c r="U1615" s="7"/>
      <c r="V1615" s="10">
        <v>9.5</v>
      </c>
      <c r="W1615" s="9">
        <v>45034</v>
      </c>
      <c r="X1615" s="10">
        <v>11.5</v>
      </c>
      <c r="Y1615" s="9">
        <v>45041</v>
      </c>
      <c r="Z1615">
        <v>4</v>
      </c>
      <c r="AA1615" s="11" t="s">
        <v>49</v>
      </c>
    </row>
    <row r="1616" spans="2:27" ht="16" x14ac:dyDescent="0.2">
      <c r="B1616" t="s">
        <v>35</v>
      </c>
      <c r="C1616">
        <v>40368322</v>
      </c>
      <c r="D1616" t="s">
        <v>409</v>
      </c>
      <c r="E1616">
        <v>1030379</v>
      </c>
      <c r="F1616" t="s">
        <v>97</v>
      </c>
      <c r="G1616" s="9">
        <v>45021</v>
      </c>
      <c r="H1616" s="7"/>
      <c r="I1616" s="7">
        <v>24022.232319999999</v>
      </c>
      <c r="J1616" s="7"/>
      <c r="K1616" s="7"/>
      <c r="L1616" s="10">
        <v>7.5</v>
      </c>
      <c r="M1616" s="9">
        <v>45028</v>
      </c>
      <c r="N1616" s="10">
        <v>9.5</v>
      </c>
      <c r="O1616" s="9">
        <v>45037</v>
      </c>
      <c r="P1616">
        <v>7</v>
      </c>
      <c r="Q1616" s="11" t="s">
        <v>49</v>
      </c>
      <c r="R1616" s="7"/>
      <c r="S1616" s="7">
        <v>24022.232319999999</v>
      </c>
      <c r="T1616" s="7"/>
      <c r="U1616" s="7"/>
      <c r="V1616" s="10">
        <v>9.5</v>
      </c>
      <c r="W1616" s="9">
        <v>45030</v>
      </c>
      <c r="X1616" s="10">
        <v>11.5</v>
      </c>
      <c r="Y1616" s="9">
        <v>45037</v>
      </c>
      <c r="Z1616">
        <v>7</v>
      </c>
      <c r="AA1616" s="11" t="s">
        <v>49</v>
      </c>
    </row>
    <row r="1617" spans="2:27" x14ac:dyDescent="0.2">
      <c r="B1617" t="s">
        <v>394</v>
      </c>
      <c r="C1617">
        <v>40368281</v>
      </c>
      <c r="D1617" t="s">
        <v>485</v>
      </c>
      <c r="E1617">
        <v>1011042</v>
      </c>
      <c r="F1617" t="s">
        <v>510</v>
      </c>
      <c r="G1617" s="9">
        <v>44983</v>
      </c>
      <c r="H1617" s="7"/>
      <c r="I1617" s="7"/>
      <c r="J1617" s="7"/>
      <c r="K1617" s="7"/>
      <c r="L1617" s="10"/>
      <c r="N1617" s="10"/>
      <c r="Q1617" s="11"/>
      <c r="R1617" s="7"/>
      <c r="S1617" s="7"/>
      <c r="T1617" s="7"/>
      <c r="U1617" s="7"/>
      <c r="V1617" s="10"/>
      <c r="X1617" s="10"/>
      <c r="AA1617" s="11"/>
    </row>
    <row r="1618" spans="2:27" ht="16" x14ac:dyDescent="0.2">
      <c r="B1618" t="s">
        <v>35</v>
      </c>
      <c r="C1618">
        <v>40368194</v>
      </c>
      <c r="D1618" t="s">
        <v>409</v>
      </c>
      <c r="E1618">
        <v>1030818</v>
      </c>
      <c r="F1618" t="s">
        <v>133</v>
      </c>
      <c r="G1618" s="9">
        <v>45021</v>
      </c>
      <c r="H1618" s="7"/>
      <c r="I1618" s="7">
        <v>24022.232319999999</v>
      </c>
      <c r="J1618" s="7"/>
      <c r="K1618" s="7"/>
      <c r="L1618" s="10">
        <v>7.5</v>
      </c>
      <c r="M1618" s="9">
        <v>45028</v>
      </c>
      <c r="N1618" s="10">
        <v>9.5</v>
      </c>
      <c r="O1618" s="9">
        <v>45037</v>
      </c>
      <c r="P1618">
        <v>7</v>
      </c>
      <c r="Q1618" s="11" t="s">
        <v>49</v>
      </c>
      <c r="R1618" s="7"/>
      <c r="S1618" s="7">
        <v>24022.232319999999</v>
      </c>
      <c r="T1618" s="7"/>
      <c r="U1618" s="7"/>
      <c r="V1618" s="10">
        <v>9.5</v>
      </c>
      <c r="W1618" s="9">
        <v>45030</v>
      </c>
      <c r="X1618" s="10">
        <v>11.5</v>
      </c>
      <c r="Y1618" s="9">
        <v>45037</v>
      </c>
      <c r="Z1618">
        <v>7</v>
      </c>
      <c r="AA1618" s="11" t="s">
        <v>49</v>
      </c>
    </row>
    <row r="1619" spans="2:27" ht="16" x14ac:dyDescent="0.2">
      <c r="B1619" t="s">
        <v>35</v>
      </c>
      <c r="C1619">
        <v>40368098</v>
      </c>
      <c r="D1619" t="s">
        <v>409</v>
      </c>
      <c r="E1619">
        <v>1030379</v>
      </c>
      <c r="F1619" t="s">
        <v>97</v>
      </c>
      <c r="G1619" s="9">
        <v>45018</v>
      </c>
      <c r="H1619" s="7"/>
      <c r="I1619" s="7">
        <v>24022.232319999999</v>
      </c>
      <c r="J1619" s="7"/>
      <c r="K1619" s="7"/>
      <c r="L1619" s="10">
        <v>7.5</v>
      </c>
      <c r="M1619" s="9">
        <v>45025</v>
      </c>
      <c r="N1619" s="10">
        <v>9.5</v>
      </c>
      <c r="O1619" s="9">
        <v>45034</v>
      </c>
      <c r="P1619">
        <v>10</v>
      </c>
      <c r="Q1619" s="11" t="s">
        <v>49</v>
      </c>
      <c r="R1619" s="7"/>
      <c r="S1619" s="7">
        <v>24022.232319999999</v>
      </c>
      <c r="T1619" s="7"/>
      <c r="U1619" s="7"/>
      <c r="V1619" s="10">
        <v>9.5</v>
      </c>
      <c r="W1619" s="9">
        <v>45027</v>
      </c>
      <c r="X1619" s="10">
        <v>11.5</v>
      </c>
      <c r="Y1619" s="9">
        <v>45034</v>
      </c>
      <c r="Z1619">
        <v>10</v>
      </c>
      <c r="AA1619" s="11" t="s">
        <v>49</v>
      </c>
    </row>
    <row r="1620" spans="2:27" ht="16" x14ac:dyDescent="0.2">
      <c r="B1620" t="s">
        <v>35</v>
      </c>
      <c r="C1620">
        <v>40368097</v>
      </c>
      <c r="D1620" t="s">
        <v>409</v>
      </c>
      <c r="E1620">
        <v>1030379</v>
      </c>
      <c r="F1620" t="s">
        <v>97</v>
      </c>
      <c r="G1620" s="9">
        <v>45018</v>
      </c>
      <c r="H1620" s="7"/>
      <c r="I1620" s="7">
        <v>24022.232319999999</v>
      </c>
      <c r="J1620" s="7"/>
      <c r="K1620" s="7"/>
      <c r="L1620" s="10">
        <v>7.5</v>
      </c>
      <c r="M1620" s="9">
        <v>45025</v>
      </c>
      <c r="N1620" s="10">
        <v>9.5</v>
      </c>
      <c r="O1620" s="9">
        <v>45034</v>
      </c>
      <c r="P1620">
        <v>10</v>
      </c>
      <c r="Q1620" s="11" t="s">
        <v>49</v>
      </c>
      <c r="R1620" s="7"/>
      <c r="S1620" s="7">
        <v>24022.232319999999</v>
      </c>
      <c r="T1620" s="7"/>
      <c r="U1620" s="7"/>
      <c r="V1620" s="10">
        <v>9.5</v>
      </c>
      <c r="W1620" s="9">
        <v>45027</v>
      </c>
      <c r="X1620" s="10">
        <v>11.5</v>
      </c>
      <c r="Y1620" s="9">
        <v>45034</v>
      </c>
      <c r="Z1620">
        <v>10</v>
      </c>
      <c r="AA1620" s="11" t="s">
        <v>49</v>
      </c>
    </row>
    <row r="1621" spans="2:27" ht="16" x14ac:dyDescent="0.2">
      <c r="B1621" t="s">
        <v>35</v>
      </c>
      <c r="C1621">
        <v>40368096</v>
      </c>
      <c r="D1621" t="s">
        <v>409</v>
      </c>
      <c r="E1621">
        <v>1030379</v>
      </c>
      <c r="F1621" t="s">
        <v>97</v>
      </c>
      <c r="G1621" s="9">
        <v>45012</v>
      </c>
      <c r="H1621" s="7"/>
      <c r="I1621" s="7">
        <v>23949.657599999999</v>
      </c>
      <c r="J1621" s="7"/>
      <c r="K1621" s="7"/>
      <c r="L1621" s="10">
        <v>7.5</v>
      </c>
      <c r="M1621" s="9">
        <v>45019</v>
      </c>
      <c r="N1621" s="10">
        <v>9.5</v>
      </c>
      <c r="O1621" s="9">
        <v>45028</v>
      </c>
      <c r="P1621">
        <v>15</v>
      </c>
      <c r="Q1621" s="11" t="s">
        <v>49</v>
      </c>
      <c r="R1621" s="7"/>
      <c r="S1621" s="7">
        <v>23949.657599999999</v>
      </c>
      <c r="T1621" s="7"/>
      <c r="U1621" s="7"/>
      <c r="V1621" s="10">
        <v>9.5</v>
      </c>
      <c r="W1621" s="9">
        <v>45021</v>
      </c>
      <c r="X1621" s="10">
        <v>11.5</v>
      </c>
      <c r="Y1621" s="9">
        <v>45028</v>
      </c>
      <c r="Z1621">
        <v>15</v>
      </c>
      <c r="AA1621" s="11" t="s">
        <v>49</v>
      </c>
    </row>
    <row r="1622" spans="2:27" ht="16" x14ac:dyDescent="0.2">
      <c r="B1622" t="s">
        <v>35</v>
      </c>
      <c r="C1622">
        <v>40368093</v>
      </c>
      <c r="D1622" t="s">
        <v>409</v>
      </c>
      <c r="E1622">
        <v>1030379</v>
      </c>
      <c r="F1622" t="s">
        <v>97</v>
      </c>
      <c r="G1622" s="9">
        <v>45012</v>
      </c>
      <c r="H1622" s="7"/>
      <c r="I1622" s="7">
        <v>24022.232319999999</v>
      </c>
      <c r="J1622" s="7"/>
      <c r="K1622" s="7"/>
      <c r="L1622" s="10">
        <v>7.5</v>
      </c>
      <c r="M1622" s="9">
        <v>45019</v>
      </c>
      <c r="N1622" s="10">
        <v>9.5</v>
      </c>
      <c r="O1622" s="9">
        <v>45028</v>
      </c>
      <c r="P1622">
        <v>15</v>
      </c>
      <c r="Q1622" s="11" t="s">
        <v>49</v>
      </c>
      <c r="R1622" s="7"/>
      <c r="S1622" s="7">
        <v>24022.232319999999</v>
      </c>
      <c r="T1622" s="7"/>
      <c r="U1622" s="7"/>
      <c r="V1622" s="10">
        <v>9.5</v>
      </c>
      <c r="W1622" s="9">
        <v>45021</v>
      </c>
      <c r="X1622" s="10">
        <v>11.5</v>
      </c>
      <c r="Y1622" s="9">
        <v>45028</v>
      </c>
      <c r="Z1622">
        <v>15</v>
      </c>
      <c r="AA1622" s="11" t="s">
        <v>49</v>
      </c>
    </row>
    <row r="1623" spans="2:27" ht="16" x14ac:dyDescent="0.2">
      <c r="B1623" t="s">
        <v>35</v>
      </c>
      <c r="C1623">
        <v>40368063</v>
      </c>
      <c r="D1623" t="s">
        <v>409</v>
      </c>
      <c r="E1623">
        <v>1030818</v>
      </c>
      <c r="F1623" t="s">
        <v>133</v>
      </c>
      <c r="G1623" s="9">
        <v>45006</v>
      </c>
      <c r="H1623" s="7"/>
      <c r="I1623" s="7">
        <v>24022.232319999999</v>
      </c>
      <c r="J1623" s="7"/>
      <c r="K1623" s="7"/>
      <c r="L1623" s="10">
        <v>7.5</v>
      </c>
      <c r="M1623" s="9">
        <v>45013</v>
      </c>
      <c r="N1623" s="10">
        <v>9.5</v>
      </c>
      <c r="O1623" s="9">
        <v>45022</v>
      </c>
      <c r="P1623">
        <v>20</v>
      </c>
      <c r="Q1623" s="11" t="s">
        <v>49</v>
      </c>
      <c r="R1623" s="7"/>
      <c r="S1623" s="7">
        <v>24022.232319999999</v>
      </c>
      <c r="T1623" s="7"/>
      <c r="U1623" s="7"/>
      <c r="V1623" s="10">
        <v>9.5</v>
      </c>
      <c r="W1623" s="9">
        <v>45015</v>
      </c>
      <c r="X1623" s="10">
        <v>11.5</v>
      </c>
      <c r="Y1623" s="9">
        <v>45022</v>
      </c>
      <c r="Z1623">
        <v>20</v>
      </c>
      <c r="AA1623" s="11" t="s">
        <v>49</v>
      </c>
    </row>
    <row r="1624" spans="2:27" ht="16" x14ac:dyDescent="0.2">
      <c r="B1624" t="s">
        <v>35</v>
      </c>
      <c r="C1624">
        <v>40368062</v>
      </c>
      <c r="D1624" t="s">
        <v>409</v>
      </c>
      <c r="E1624">
        <v>1030379</v>
      </c>
      <c r="F1624" t="s">
        <v>97</v>
      </c>
      <c r="G1624" s="9">
        <v>44998</v>
      </c>
      <c r="H1624" s="7">
        <v>24004.088640000002</v>
      </c>
      <c r="I1624" s="7"/>
      <c r="J1624" s="7"/>
      <c r="K1624" s="7"/>
      <c r="L1624" s="10">
        <v>7.5</v>
      </c>
      <c r="M1624" s="9">
        <v>45005</v>
      </c>
      <c r="N1624" s="10">
        <v>9.5</v>
      </c>
      <c r="O1624" s="9">
        <v>45014</v>
      </c>
      <c r="P1624">
        <v>2</v>
      </c>
      <c r="Q1624" s="11" t="s">
        <v>598</v>
      </c>
      <c r="R1624" s="7">
        <v>24004.088640000002</v>
      </c>
      <c r="S1624" s="7"/>
      <c r="T1624" s="7"/>
      <c r="U1624" s="7"/>
      <c r="V1624" s="10">
        <v>9.5</v>
      </c>
      <c r="W1624" s="9">
        <v>45007</v>
      </c>
      <c r="X1624" s="10">
        <v>11.5</v>
      </c>
      <c r="Y1624" s="9">
        <v>45014</v>
      </c>
      <c r="Z1624">
        <v>2</v>
      </c>
      <c r="AA1624" s="11" t="s">
        <v>598</v>
      </c>
    </row>
    <row r="1625" spans="2:27" ht="16" x14ac:dyDescent="0.2">
      <c r="B1625" t="s">
        <v>35</v>
      </c>
      <c r="C1625">
        <v>40368050</v>
      </c>
      <c r="D1625" t="s">
        <v>409</v>
      </c>
      <c r="E1625">
        <v>1012163</v>
      </c>
      <c r="F1625" t="s">
        <v>140</v>
      </c>
      <c r="G1625" s="9">
        <v>45000</v>
      </c>
      <c r="H1625" s="7">
        <v>19958.047999999999</v>
      </c>
      <c r="I1625" s="7"/>
      <c r="J1625" s="7"/>
      <c r="K1625" s="7"/>
      <c r="L1625" s="10">
        <v>7.5</v>
      </c>
      <c r="M1625" s="9">
        <v>45007</v>
      </c>
      <c r="N1625" s="10">
        <v>9.5</v>
      </c>
      <c r="O1625" s="9">
        <v>45016</v>
      </c>
      <c r="P1625">
        <v>0</v>
      </c>
      <c r="Q1625" s="11" t="s">
        <v>598</v>
      </c>
      <c r="R1625" s="7">
        <v>19958.047999999999</v>
      </c>
      <c r="S1625" s="7"/>
      <c r="T1625" s="7"/>
      <c r="U1625" s="7"/>
      <c r="V1625" s="10">
        <v>9.5</v>
      </c>
      <c r="W1625" s="9">
        <v>45009</v>
      </c>
      <c r="X1625" s="10">
        <v>11.5</v>
      </c>
      <c r="Y1625" s="9">
        <v>45016</v>
      </c>
      <c r="Z1625">
        <v>0</v>
      </c>
      <c r="AA1625" s="11" t="s">
        <v>598</v>
      </c>
    </row>
    <row r="1626" spans="2:27" ht="16" x14ac:dyDescent="0.2">
      <c r="B1626" t="s">
        <v>35</v>
      </c>
      <c r="C1626">
        <v>40368049</v>
      </c>
      <c r="D1626" t="s">
        <v>409</v>
      </c>
      <c r="E1626">
        <v>1012163</v>
      </c>
      <c r="F1626" t="s">
        <v>140</v>
      </c>
      <c r="G1626" s="9">
        <v>44998</v>
      </c>
      <c r="H1626" s="7">
        <v>19958.047999999999</v>
      </c>
      <c r="I1626" s="7"/>
      <c r="J1626" s="7"/>
      <c r="K1626" s="7"/>
      <c r="L1626" s="10">
        <v>7.5</v>
      </c>
      <c r="M1626" s="9">
        <v>45005</v>
      </c>
      <c r="N1626" s="10">
        <v>9.5</v>
      </c>
      <c r="O1626" s="9">
        <v>45014</v>
      </c>
      <c r="P1626">
        <v>2</v>
      </c>
      <c r="Q1626" s="11" t="s">
        <v>598</v>
      </c>
      <c r="R1626" s="7">
        <v>19958.047999999999</v>
      </c>
      <c r="S1626" s="7"/>
      <c r="T1626" s="7"/>
      <c r="U1626" s="7"/>
      <c r="V1626" s="10">
        <v>9.5</v>
      </c>
      <c r="W1626" s="9">
        <v>45007</v>
      </c>
      <c r="X1626" s="10">
        <v>11.5</v>
      </c>
      <c r="Y1626" s="9">
        <v>45014</v>
      </c>
      <c r="Z1626">
        <v>2</v>
      </c>
      <c r="AA1626" s="11" t="s">
        <v>598</v>
      </c>
    </row>
    <row r="1627" spans="2:27" ht="16" x14ac:dyDescent="0.2">
      <c r="B1627" t="s">
        <v>35</v>
      </c>
      <c r="C1627">
        <v>40368048</v>
      </c>
      <c r="D1627" t="s">
        <v>409</v>
      </c>
      <c r="E1627">
        <v>1012148</v>
      </c>
      <c r="F1627" t="s">
        <v>111</v>
      </c>
      <c r="G1627" s="9">
        <v>44998</v>
      </c>
      <c r="H1627" s="7">
        <v>19758.467519999998</v>
      </c>
      <c r="I1627" s="7"/>
      <c r="J1627" s="7"/>
      <c r="K1627" s="7"/>
      <c r="L1627" s="10">
        <v>7.5</v>
      </c>
      <c r="M1627" s="9">
        <v>45005</v>
      </c>
      <c r="N1627" s="10">
        <v>9.5</v>
      </c>
      <c r="O1627" s="9">
        <v>45014</v>
      </c>
      <c r="P1627">
        <v>2</v>
      </c>
      <c r="Q1627" s="11" t="s">
        <v>598</v>
      </c>
      <c r="R1627" s="7">
        <v>19758.467519999998</v>
      </c>
      <c r="S1627" s="7"/>
      <c r="T1627" s="7"/>
      <c r="U1627" s="7"/>
      <c r="V1627" s="10">
        <v>9.5</v>
      </c>
      <c r="W1627" s="9">
        <v>45007</v>
      </c>
      <c r="X1627" s="10">
        <v>11.5</v>
      </c>
      <c r="Y1627" s="9">
        <v>45014</v>
      </c>
      <c r="Z1627">
        <v>2</v>
      </c>
      <c r="AA1627" s="11" t="s">
        <v>598</v>
      </c>
    </row>
    <row r="1628" spans="2:27" ht="16" x14ac:dyDescent="0.2">
      <c r="B1628" t="s">
        <v>35</v>
      </c>
      <c r="C1628">
        <v>40368047</v>
      </c>
      <c r="D1628" t="s">
        <v>409</v>
      </c>
      <c r="E1628">
        <v>1012148</v>
      </c>
      <c r="F1628" t="s">
        <v>111</v>
      </c>
      <c r="G1628" s="9">
        <v>44998</v>
      </c>
      <c r="H1628" s="7">
        <v>19758.467519999998</v>
      </c>
      <c r="I1628" s="7"/>
      <c r="J1628" s="7"/>
      <c r="K1628" s="7"/>
      <c r="L1628" s="10">
        <v>7.5</v>
      </c>
      <c r="M1628" s="9">
        <v>45005</v>
      </c>
      <c r="N1628" s="10">
        <v>9.5</v>
      </c>
      <c r="O1628" s="9">
        <v>45014</v>
      </c>
      <c r="P1628">
        <v>2</v>
      </c>
      <c r="Q1628" s="11" t="s">
        <v>598</v>
      </c>
      <c r="R1628" s="7">
        <v>19758.467519999998</v>
      </c>
      <c r="S1628" s="7"/>
      <c r="T1628" s="7"/>
      <c r="U1628" s="7"/>
      <c r="V1628" s="10">
        <v>9.5</v>
      </c>
      <c r="W1628" s="9">
        <v>45007</v>
      </c>
      <c r="X1628" s="10">
        <v>11.5</v>
      </c>
      <c r="Y1628" s="9">
        <v>45014</v>
      </c>
      <c r="Z1628">
        <v>2</v>
      </c>
      <c r="AA1628" s="11" t="s">
        <v>598</v>
      </c>
    </row>
    <row r="1629" spans="2:27" ht="16" x14ac:dyDescent="0.2">
      <c r="B1629" t="s">
        <v>35</v>
      </c>
      <c r="C1629">
        <v>40368046</v>
      </c>
      <c r="D1629" t="s">
        <v>409</v>
      </c>
      <c r="E1629">
        <v>1012147</v>
      </c>
      <c r="F1629" t="s">
        <v>217</v>
      </c>
      <c r="G1629" s="9">
        <v>45000</v>
      </c>
      <c r="H1629" s="7">
        <v>18660.774880000001</v>
      </c>
      <c r="I1629" s="7"/>
      <c r="J1629" s="7"/>
      <c r="K1629" s="7"/>
      <c r="L1629" s="10">
        <v>7.5</v>
      </c>
      <c r="M1629" s="9">
        <v>45007</v>
      </c>
      <c r="N1629" s="10">
        <v>9.5</v>
      </c>
      <c r="O1629" s="9">
        <v>45016</v>
      </c>
      <c r="P1629">
        <v>0</v>
      </c>
      <c r="Q1629" s="11" t="s">
        <v>598</v>
      </c>
      <c r="R1629" s="7">
        <v>18660.774880000001</v>
      </c>
      <c r="S1629" s="7"/>
      <c r="T1629" s="7"/>
      <c r="U1629" s="7"/>
      <c r="V1629" s="10">
        <v>9.5</v>
      </c>
      <c r="W1629" s="9">
        <v>45009</v>
      </c>
      <c r="X1629" s="10">
        <v>11.5</v>
      </c>
      <c r="Y1629" s="9">
        <v>45016</v>
      </c>
      <c r="Z1629">
        <v>0</v>
      </c>
      <c r="AA1629" s="11" t="s">
        <v>598</v>
      </c>
    </row>
    <row r="1630" spans="2:27" ht="16" x14ac:dyDescent="0.2">
      <c r="B1630" t="s">
        <v>35</v>
      </c>
      <c r="C1630">
        <v>40368045</v>
      </c>
      <c r="D1630" t="s">
        <v>409</v>
      </c>
      <c r="E1630">
        <v>1012147</v>
      </c>
      <c r="F1630" t="s">
        <v>217</v>
      </c>
      <c r="G1630" s="9">
        <v>45000</v>
      </c>
      <c r="H1630" s="7">
        <v>18660.774880000001</v>
      </c>
      <c r="I1630" s="7"/>
      <c r="J1630" s="7"/>
      <c r="K1630" s="7"/>
      <c r="L1630" s="10">
        <v>7.5</v>
      </c>
      <c r="M1630" s="9">
        <v>45007</v>
      </c>
      <c r="N1630" s="10">
        <v>9.5</v>
      </c>
      <c r="O1630" s="9">
        <v>45016</v>
      </c>
      <c r="P1630">
        <v>0</v>
      </c>
      <c r="Q1630" s="11" t="s">
        <v>598</v>
      </c>
      <c r="R1630" s="7">
        <v>18660.774880000001</v>
      </c>
      <c r="S1630" s="7"/>
      <c r="T1630" s="7"/>
      <c r="U1630" s="7"/>
      <c r="V1630" s="10">
        <v>9.5</v>
      </c>
      <c r="W1630" s="9">
        <v>45009</v>
      </c>
      <c r="X1630" s="10">
        <v>11.5</v>
      </c>
      <c r="Y1630" s="9">
        <v>45016</v>
      </c>
      <c r="Z1630">
        <v>0</v>
      </c>
      <c r="AA1630" s="11" t="s">
        <v>598</v>
      </c>
    </row>
    <row r="1631" spans="2:27" ht="16" x14ac:dyDescent="0.2">
      <c r="B1631" t="s">
        <v>35</v>
      </c>
      <c r="C1631">
        <v>40368044</v>
      </c>
      <c r="D1631" t="s">
        <v>409</v>
      </c>
      <c r="E1631">
        <v>1012147</v>
      </c>
      <c r="F1631" t="s">
        <v>217</v>
      </c>
      <c r="G1631" s="9">
        <v>45000</v>
      </c>
      <c r="H1631" s="7">
        <v>18660.774880000001</v>
      </c>
      <c r="I1631" s="7"/>
      <c r="J1631" s="7"/>
      <c r="K1631" s="7"/>
      <c r="L1631" s="10">
        <v>7.5</v>
      </c>
      <c r="M1631" s="9">
        <v>45007</v>
      </c>
      <c r="N1631" s="10">
        <v>9.5</v>
      </c>
      <c r="O1631" s="9">
        <v>45016</v>
      </c>
      <c r="P1631">
        <v>0</v>
      </c>
      <c r="Q1631" s="11" t="s">
        <v>598</v>
      </c>
      <c r="R1631" s="7">
        <v>18660.774880000001</v>
      </c>
      <c r="S1631" s="7"/>
      <c r="T1631" s="7"/>
      <c r="U1631" s="7"/>
      <c r="V1631" s="10">
        <v>9.5</v>
      </c>
      <c r="W1631" s="9">
        <v>45009</v>
      </c>
      <c r="X1631" s="10">
        <v>11.5</v>
      </c>
      <c r="Y1631" s="9">
        <v>45016</v>
      </c>
      <c r="Z1631">
        <v>0</v>
      </c>
      <c r="AA1631" s="11" t="s">
        <v>598</v>
      </c>
    </row>
    <row r="1632" spans="2:27" ht="16" x14ac:dyDescent="0.2">
      <c r="B1632" t="s">
        <v>35</v>
      </c>
      <c r="C1632">
        <v>40368043</v>
      </c>
      <c r="D1632" t="s">
        <v>409</v>
      </c>
      <c r="E1632">
        <v>1012147</v>
      </c>
      <c r="F1632" t="s">
        <v>217</v>
      </c>
      <c r="G1632" s="9">
        <v>45006</v>
      </c>
      <c r="H1632" s="7"/>
      <c r="I1632" s="7">
        <v>18660.774880000001</v>
      </c>
      <c r="J1632" s="7"/>
      <c r="K1632" s="7"/>
      <c r="L1632" s="10">
        <v>7.5</v>
      </c>
      <c r="M1632" s="9">
        <v>45013</v>
      </c>
      <c r="N1632" s="10">
        <v>9.5</v>
      </c>
      <c r="O1632" s="9">
        <v>45022</v>
      </c>
      <c r="P1632">
        <v>20</v>
      </c>
      <c r="Q1632" s="11" t="s">
        <v>49</v>
      </c>
      <c r="R1632" s="7"/>
      <c r="S1632" s="7">
        <v>18660.774880000001</v>
      </c>
      <c r="T1632" s="7"/>
      <c r="U1632" s="7"/>
      <c r="V1632" s="10">
        <v>9.5</v>
      </c>
      <c r="W1632" s="9">
        <v>45015</v>
      </c>
      <c r="X1632" s="10">
        <v>11.5</v>
      </c>
      <c r="Y1632" s="9">
        <v>45022</v>
      </c>
      <c r="Z1632">
        <v>20</v>
      </c>
      <c r="AA1632" s="11" t="s">
        <v>49</v>
      </c>
    </row>
    <row r="1633" spans="2:27" ht="16" x14ac:dyDescent="0.2">
      <c r="B1633" t="s">
        <v>35</v>
      </c>
      <c r="C1633">
        <v>40368042</v>
      </c>
      <c r="D1633" t="s">
        <v>409</v>
      </c>
      <c r="E1633">
        <v>1012147</v>
      </c>
      <c r="F1633" t="s">
        <v>217</v>
      </c>
      <c r="G1633" s="9">
        <v>45006</v>
      </c>
      <c r="H1633" s="7"/>
      <c r="I1633" s="7">
        <v>18660.774880000001</v>
      </c>
      <c r="J1633" s="7"/>
      <c r="K1633" s="7"/>
      <c r="L1633" s="10">
        <v>7.5</v>
      </c>
      <c r="M1633" s="9">
        <v>45013</v>
      </c>
      <c r="N1633" s="10">
        <v>9.5</v>
      </c>
      <c r="O1633" s="9">
        <v>45022</v>
      </c>
      <c r="P1633">
        <v>20</v>
      </c>
      <c r="Q1633" s="11" t="s">
        <v>49</v>
      </c>
      <c r="R1633" s="7"/>
      <c r="S1633" s="7">
        <v>18660.774880000001</v>
      </c>
      <c r="T1633" s="7"/>
      <c r="U1633" s="7"/>
      <c r="V1633" s="10">
        <v>9.5</v>
      </c>
      <c r="W1633" s="9">
        <v>45015</v>
      </c>
      <c r="X1633" s="10">
        <v>11.5</v>
      </c>
      <c r="Y1633" s="9">
        <v>45022</v>
      </c>
      <c r="Z1633">
        <v>20</v>
      </c>
      <c r="AA1633" s="11" t="s">
        <v>49</v>
      </c>
    </row>
    <row r="1634" spans="2:27" ht="16" x14ac:dyDescent="0.2">
      <c r="B1634" t="s">
        <v>35</v>
      </c>
      <c r="C1634">
        <v>40368038</v>
      </c>
      <c r="D1634" t="s">
        <v>409</v>
      </c>
      <c r="E1634">
        <v>1012334</v>
      </c>
      <c r="F1634" t="s">
        <v>488</v>
      </c>
      <c r="G1634" s="9">
        <v>45005</v>
      </c>
      <c r="H1634" s="7"/>
      <c r="I1634" s="7">
        <v>19958.047999999999</v>
      </c>
      <c r="J1634" s="7"/>
      <c r="K1634" s="7"/>
      <c r="L1634" s="10">
        <v>7.5</v>
      </c>
      <c r="M1634" s="9">
        <v>45012</v>
      </c>
      <c r="N1634" s="10">
        <v>9.5</v>
      </c>
      <c r="O1634" s="9">
        <v>45021</v>
      </c>
      <c r="P1634">
        <v>21</v>
      </c>
      <c r="Q1634" s="11" t="s">
        <v>49</v>
      </c>
      <c r="R1634" s="7"/>
      <c r="S1634" s="7">
        <v>19958.047999999999</v>
      </c>
      <c r="T1634" s="7"/>
      <c r="U1634" s="7"/>
      <c r="V1634" s="10">
        <v>9.5</v>
      </c>
      <c r="W1634" s="9">
        <v>45014</v>
      </c>
      <c r="X1634" s="10">
        <v>11.5</v>
      </c>
      <c r="Y1634" s="9">
        <v>45021</v>
      </c>
      <c r="Z1634">
        <v>21</v>
      </c>
      <c r="AA1634" s="11" t="s">
        <v>49</v>
      </c>
    </row>
    <row r="1635" spans="2:27" ht="16" x14ac:dyDescent="0.2">
      <c r="B1635" t="s">
        <v>35</v>
      </c>
      <c r="C1635">
        <v>40368037</v>
      </c>
      <c r="D1635" t="s">
        <v>409</v>
      </c>
      <c r="E1635">
        <v>1012334</v>
      </c>
      <c r="F1635" t="s">
        <v>488</v>
      </c>
      <c r="G1635" s="9">
        <v>45006</v>
      </c>
      <c r="H1635" s="7"/>
      <c r="I1635" s="7">
        <v>19958.047999999999</v>
      </c>
      <c r="J1635" s="7"/>
      <c r="K1635" s="7"/>
      <c r="L1635" s="10">
        <v>7.5</v>
      </c>
      <c r="M1635" s="9">
        <v>45013</v>
      </c>
      <c r="N1635" s="10">
        <v>9.5</v>
      </c>
      <c r="O1635" s="9">
        <v>45022</v>
      </c>
      <c r="P1635">
        <v>20</v>
      </c>
      <c r="Q1635" s="11" t="s">
        <v>49</v>
      </c>
      <c r="R1635" s="7"/>
      <c r="S1635" s="7">
        <v>19958.047999999999</v>
      </c>
      <c r="T1635" s="7"/>
      <c r="U1635" s="7"/>
      <c r="V1635" s="10">
        <v>9.5</v>
      </c>
      <c r="W1635" s="9">
        <v>45015</v>
      </c>
      <c r="X1635" s="10">
        <v>11.5</v>
      </c>
      <c r="Y1635" s="9">
        <v>45022</v>
      </c>
      <c r="Z1635">
        <v>20</v>
      </c>
      <c r="AA1635" s="11" t="s">
        <v>49</v>
      </c>
    </row>
    <row r="1636" spans="2:27" ht="16" x14ac:dyDescent="0.2">
      <c r="B1636" t="s">
        <v>35</v>
      </c>
      <c r="C1636">
        <v>40368028</v>
      </c>
      <c r="D1636" t="s">
        <v>409</v>
      </c>
      <c r="E1636">
        <v>1012167</v>
      </c>
      <c r="F1636" t="s">
        <v>70</v>
      </c>
      <c r="G1636" s="9">
        <v>45000</v>
      </c>
      <c r="H1636" s="7">
        <v>19958.047999999999</v>
      </c>
      <c r="I1636" s="7"/>
      <c r="J1636" s="7"/>
      <c r="K1636" s="7"/>
      <c r="L1636" s="10">
        <v>7.5</v>
      </c>
      <c r="M1636" s="9">
        <v>45007</v>
      </c>
      <c r="N1636" s="10">
        <v>9.5</v>
      </c>
      <c r="O1636" s="9">
        <v>45016</v>
      </c>
      <c r="P1636">
        <v>0</v>
      </c>
      <c r="Q1636" s="11" t="s">
        <v>598</v>
      </c>
      <c r="R1636" s="7">
        <v>19958.047999999999</v>
      </c>
      <c r="S1636" s="7"/>
      <c r="T1636" s="7"/>
      <c r="U1636" s="7"/>
      <c r="V1636" s="10">
        <v>9.5</v>
      </c>
      <c r="W1636" s="9">
        <v>45009</v>
      </c>
      <c r="X1636" s="10">
        <v>11.5</v>
      </c>
      <c r="Y1636" s="9">
        <v>45016</v>
      </c>
      <c r="Z1636">
        <v>0</v>
      </c>
      <c r="AA1636" s="11" t="s">
        <v>598</v>
      </c>
    </row>
    <row r="1637" spans="2:27" ht="16" x14ac:dyDescent="0.2">
      <c r="B1637" t="s">
        <v>35</v>
      </c>
      <c r="C1637">
        <v>40368027</v>
      </c>
      <c r="D1637" t="s">
        <v>409</v>
      </c>
      <c r="E1637">
        <v>1012167</v>
      </c>
      <c r="F1637" t="s">
        <v>70</v>
      </c>
      <c r="G1637" s="9">
        <v>45004</v>
      </c>
      <c r="H1637" s="7"/>
      <c r="I1637" s="7">
        <v>19958.047999999999</v>
      </c>
      <c r="J1637" s="7"/>
      <c r="K1637" s="7"/>
      <c r="L1637" s="10">
        <v>7.5</v>
      </c>
      <c r="M1637" s="9">
        <v>45011</v>
      </c>
      <c r="N1637" s="10">
        <v>9.5</v>
      </c>
      <c r="O1637" s="9">
        <v>45020</v>
      </c>
      <c r="P1637">
        <v>22</v>
      </c>
      <c r="Q1637" s="11" t="s">
        <v>49</v>
      </c>
      <c r="R1637" s="7"/>
      <c r="S1637" s="7">
        <v>19958.047999999999</v>
      </c>
      <c r="T1637" s="7"/>
      <c r="U1637" s="7"/>
      <c r="V1637" s="10">
        <v>9.5</v>
      </c>
      <c r="W1637" s="9">
        <v>45013</v>
      </c>
      <c r="X1637" s="10">
        <v>11.5</v>
      </c>
      <c r="Y1637" s="9">
        <v>45020</v>
      </c>
      <c r="Z1637">
        <v>22</v>
      </c>
      <c r="AA1637" s="11" t="s">
        <v>49</v>
      </c>
    </row>
    <row r="1638" spans="2:27" ht="16" x14ac:dyDescent="0.2">
      <c r="B1638" t="s">
        <v>35</v>
      </c>
      <c r="C1638">
        <v>40368025</v>
      </c>
      <c r="D1638" t="s">
        <v>409</v>
      </c>
      <c r="E1638">
        <v>1012167</v>
      </c>
      <c r="F1638" t="s">
        <v>70</v>
      </c>
      <c r="G1638" s="9">
        <v>45006</v>
      </c>
      <c r="H1638" s="7"/>
      <c r="I1638" s="7">
        <v>19958.047999999999</v>
      </c>
      <c r="J1638" s="7"/>
      <c r="K1638" s="7"/>
      <c r="L1638" s="10">
        <v>7.5</v>
      </c>
      <c r="M1638" s="9">
        <v>45013</v>
      </c>
      <c r="N1638" s="10">
        <v>9.5</v>
      </c>
      <c r="O1638" s="9">
        <v>45022</v>
      </c>
      <c r="P1638">
        <v>20</v>
      </c>
      <c r="Q1638" s="11" t="s">
        <v>49</v>
      </c>
      <c r="R1638" s="7"/>
      <c r="S1638" s="7">
        <v>19958.047999999999</v>
      </c>
      <c r="T1638" s="7"/>
      <c r="U1638" s="7"/>
      <c r="V1638" s="10">
        <v>9.5</v>
      </c>
      <c r="W1638" s="9">
        <v>45015</v>
      </c>
      <c r="X1638" s="10">
        <v>11.5</v>
      </c>
      <c r="Y1638" s="9">
        <v>45022</v>
      </c>
      <c r="Z1638">
        <v>20</v>
      </c>
      <c r="AA1638" s="11" t="s">
        <v>49</v>
      </c>
    </row>
    <row r="1639" spans="2:27" ht="16" x14ac:dyDescent="0.2">
      <c r="B1639" t="s">
        <v>35</v>
      </c>
      <c r="C1639">
        <v>40368024</v>
      </c>
      <c r="D1639" t="s">
        <v>409</v>
      </c>
      <c r="E1639">
        <v>1012160</v>
      </c>
      <c r="F1639" t="s">
        <v>72</v>
      </c>
      <c r="G1639" s="9">
        <v>45000</v>
      </c>
      <c r="H1639" s="7">
        <v>19958.047999999999</v>
      </c>
      <c r="I1639" s="7"/>
      <c r="J1639" s="7"/>
      <c r="K1639" s="7"/>
      <c r="L1639" s="10">
        <v>7.5</v>
      </c>
      <c r="M1639" s="9">
        <v>45007</v>
      </c>
      <c r="N1639" s="10">
        <v>9.5</v>
      </c>
      <c r="O1639" s="9">
        <v>45016</v>
      </c>
      <c r="P1639">
        <v>0</v>
      </c>
      <c r="Q1639" s="11" t="s">
        <v>598</v>
      </c>
      <c r="R1639" s="7">
        <v>19958.047999999999</v>
      </c>
      <c r="S1639" s="7"/>
      <c r="T1639" s="7"/>
      <c r="U1639" s="7"/>
      <c r="V1639" s="10">
        <v>9.5</v>
      </c>
      <c r="W1639" s="9">
        <v>45009</v>
      </c>
      <c r="X1639" s="10">
        <v>11.5</v>
      </c>
      <c r="Y1639" s="9">
        <v>45016</v>
      </c>
      <c r="Z1639">
        <v>0</v>
      </c>
      <c r="AA1639" s="11" t="s">
        <v>598</v>
      </c>
    </row>
    <row r="1640" spans="2:27" ht="16" x14ac:dyDescent="0.2">
      <c r="B1640" t="s">
        <v>35</v>
      </c>
      <c r="C1640">
        <v>40368020</v>
      </c>
      <c r="D1640" t="s">
        <v>386</v>
      </c>
      <c r="E1640">
        <v>1012730</v>
      </c>
      <c r="F1640" t="s">
        <v>426</v>
      </c>
      <c r="G1640" s="9">
        <v>45011</v>
      </c>
      <c r="H1640" s="7"/>
      <c r="I1640" s="7">
        <v>23995.87</v>
      </c>
      <c r="J1640" s="7"/>
      <c r="K1640" s="7"/>
      <c r="L1640" s="10">
        <v>5.1420118343195256</v>
      </c>
      <c r="M1640" s="9">
        <v>45016</v>
      </c>
      <c r="N1640" s="10">
        <v>7.5</v>
      </c>
      <c r="O1640" s="9">
        <v>45023</v>
      </c>
      <c r="P1640">
        <v>17</v>
      </c>
      <c r="Q1640" s="11" t="s">
        <v>49</v>
      </c>
      <c r="R1640" s="7"/>
      <c r="S1640" s="7">
        <v>23995.87</v>
      </c>
      <c r="T1640" s="7"/>
      <c r="U1640" s="7"/>
      <c r="V1640" s="10">
        <v>7.1420118343195256</v>
      </c>
      <c r="W1640" s="9">
        <v>45018</v>
      </c>
      <c r="X1640" s="10">
        <v>9.5</v>
      </c>
      <c r="Y1640" s="9">
        <v>45023</v>
      </c>
      <c r="Z1640">
        <v>17</v>
      </c>
      <c r="AA1640" s="11" t="s">
        <v>49</v>
      </c>
    </row>
    <row r="1641" spans="2:27" ht="16" x14ac:dyDescent="0.2">
      <c r="B1641" t="s">
        <v>35</v>
      </c>
      <c r="C1641">
        <v>40368018</v>
      </c>
      <c r="D1641" t="s">
        <v>391</v>
      </c>
      <c r="E1641">
        <v>1022918</v>
      </c>
      <c r="F1641" t="s">
        <v>410</v>
      </c>
      <c r="G1641" s="9">
        <v>45036</v>
      </c>
      <c r="H1641" s="7"/>
      <c r="I1641" s="7"/>
      <c r="J1641" s="7">
        <v>23960</v>
      </c>
      <c r="K1641" s="7"/>
      <c r="L1641" s="10">
        <v>4.830303030303031</v>
      </c>
      <c r="M1641" s="9">
        <v>45040</v>
      </c>
      <c r="N1641" s="10">
        <v>15</v>
      </c>
      <c r="O1641" s="9">
        <v>45055</v>
      </c>
      <c r="P1641">
        <v>18</v>
      </c>
      <c r="Q1641" s="11" t="s">
        <v>49</v>
      </c>
      <c r="R1641" s="7"/>
      <c r="S1641" s="7"/>
      <c r="T1641" s="7">
        <v>23960</v>
      </c>
      <c r="U1641" s="7"/>
      <c r="V1641" s="10">
        <v>6.830303030303031</v>
      </c>
      <c r="W1641" s="9">
        <v>45042</v>
      </c>
      <c r="X1641" s="10">
        <v>17</v>
      </c>
      <c r="Y1641" s="9">
        <v>45055</v>
      </c>
      <c r="Z1641">
        <v>18</v>
      </c>
      <c r="AA1641" s="11" t="s">
        <v>49</v>
      </c>
    </row>
    <row r="1642" spans="2:27" ht="16" x14ac:dyDescent="0.2">
      <c r="B1642" t="s">
        <v>35</v>
      </c>
      <c r="C1642">
        <v>40368017</v>
      </c>
      <c r="D1642" t="s">
        <v>391</v>
      </c>
      <c r="E1642">
        <v>1022918</v>
      </c>
      <c r="F1642" t="s">
        <v>410</v>
      </c>
      <c r="G1642" s="9">
        <v>45018</v>
      </c>
      <c r="H1642" s="7"/>
      <c r="I1642" s="7">
        <v>24000</v>
      </c>
      <c r="J1642" s="7"/>
      <c r="K1642" s="7"/>
      <c r="L1642" s="10">
        <v>4.830303030303031</v>
      </c>
      <c r="M1642" s="9">
        <v>45022</v>
      </c>
      <c r="N1642" s="10">
        <v>15</v>
      </c>
      <c r="O1642" s="9">
        <v>45037</v>
      </c>
      <c r="P1642">
        <v>7</v>
      </c>
      <c r="Q1642" s="11" t="s">
        <v>49</v>
      </c>
      <c r="R1642" s="7"/>
      <c r="S1642" s="7">
        <v>24000</v>
      </c>
      <c r="T1642" s="7"/>
      <c r="U1642" s="7"/>
      <c r="V1642" s="10">
        <v>6.830303030303031</v>
      </c>
      <c r="W1642" s="9">
        <v>45024</v>
      </c>
      <c r="X1642" s="10">
        <v>17</v>
      </c>
      <c r="Y1642" s="9">
        <v>45037</v>
      </c>
      <c r="Z1642">
        <v>7</v>
      </c>
      <c r="AA1642" s="11" t="s">
        <v>49</v>
      </c>
    </row>
    <row r="1643" spans="2:27" ht="16" x14ac:dyDescent="0.2">
      <c r="B1643" t="s">
        <v>35</v>
      </c>
      <c r="C1643">
        <v>40368016</v>
      </c>
      <c r="D1643" t="s">
        <v>391</v>
      </c>
      <c r="E1643">
        <v>1022918</v>
      </c>
      <c r="F1643" t="s">
        <v>410</v>
      </c>
      <c r="G1643" s="9">
        <v>45029</v>
      </c>
      <c r="H1643" s="7"/>
      <c r="I1643" s="7"/>
      <c r="J1643" s="7">
        <v>24000</v>
      </c>
      <c r="K1643" s="7"/>
      <c r="L1643" s="10">
        <v>4.830303030303031</v>
      </c>
      <c r="M1643" s="9">
        <v>45033</v>
      </c>
      <c r="N1643" s="10">
        <v>15</v>
      </c>
      <c r="O1643" s="9">
        <v>45048</v>
      </c>
      <c r="P1643">
        <v>23</v>
      </c>
      <c r="Q1643" s="11" t="s">
        <v>49</v>
      </c>
      <c r="R1643" s="7"/>
      <c r="S1643" s="7"/>
      <c r="T1643" s="7">
        <v>24000</v>
      </c>
      <c r="U1643" s="7"/>
      <c r="V1643" s="10">
        <v>6.830303030303031</v>
      </c>
      <c r="W1643" s="9">
        <v>45035</v>
      </c>
      <c r="X1643" s="10">
        <v>17</v>
      </c>
      <c r="Y1643" s="9">
        <v>45048</v>
      </c>
      <c r="Z1643">
        <v>23</v>
      </c>
      <c r="AA1643" s="11" t="s">
        <v>49</v>
      </c>
    </row>
    <row r="1644" spans="2:27" ht="16" x14ac:dyDescent="0.2">
      <c r="B1644" t="s">
        <v>35</v>
      </c>
      <c r="C1644">
        <v>40368006</v>
      </c>
      <c r="D1644" t="s">
        <v>391</v>
      </c>
      <c r="E1644">
        <v>1021924</v>
      </c>
      <c r="F1644" t="s">
        <v>187</v>
      </c>
      <c r="G1644" s="9">
        <v>45029</v>
      </c>
      <c r="H1644" s="7"/>
      <c r="I1644" s="7"/>
      <c r="J1644" s="7">
        <v>14004.02</v>
      </c>
      <c r="K1644" s="7"/>
      <c r="L1644" s="10">
        <v>4.830303030303031</v>
      </c>
      <c r="M1644" s="9">
        <v>45033</v>
      </c>
      <c r="N1644" s="10">
        <v>15</v>
      </c>
      <c r="O1644" s="9">
        <v>45048</v>
      </c>
      <c r="P1644">
        <v>23</v>
      </c>
      <c r="Q1644" s="11" t="s">
        <v>49</v>
      </c>
      <c r="R1644" s="7"/>
      <c r="S1644" s="7"/>
      <c r="T1644" s="7">
        <v>14004.02</v>
      </c>
      <c r="U1644" s="7"/>
      <c r="V1644" s="10">
        <v>6.830303030303031</v>
      </c>
      <c r="W1644" s="9">
        <v>45035</v>
      </c>
      <c r="X1644" s="10">
        <v>17</v>
      </c>
      <c r="Y1644" s="9">
        <v>45048</v>
      </c>
      <c r="Z1644">
        <v>23</v>
      </c>
      <c r="AA1644" s="11" t="s">
        <v>49</v>
      </c>
    </row>
    <row r="1645" spans="2:27" ht="16" x14ac:dyDescent="0.2">
      <c r="B1645" t="s">
        <v>35</v>
      </c>
      <c r="C1645">
        <v>40368006</v>
      </c>
      <c r="D1645" t="s">
        <v>391</v>
      </c>
      <c r="E1645">
        <v>1021925</v>
      </c>
      <c r="F1645" t="s">
        <v>432</v>
      </c>
      <c r="G1645" s="9">
        <v>45029</v>
      </c>
      <c r="H1645" s="7"/>
      <c r="I1645" s="7"/>
      <c r="J1645" s="7">
        <v>3001.94</v>
      </c>
      <c r="K1645" s="7"/>
      <c r="L1645" s="10">
        <v>4.830303030303031</v>
      </c>
      <c r="M1645" s="9">
        <v>45033</v>
      </c>
      <c r="N1645" s="10">
        <v>15</v>
      </c>
      <c r="O1645" s="9">
        <v>45048</v>
      </c>
      <c r="P1645">
        <v>23</v>
      </c>
      <c r="Q1645" s="11" t="s">
        <v>49</v>
      </c>
      <c r="R1645" s="7"/>
      <c r="S1645" s="7"/>
      <c r="T1645" s="7">
        <v>3001.94</v>
      </c>
      <c r="U1645" s="7"/>
      <c r="V1645" s="10">
        <v>6.830303030303031</v>
      </c>
      <c r="W1645" s="9">
        <v>45035</v>
      </c>
      <c r="X1645" s="10">
        <v>17</v>
      </c>
      <c r="Y1645" s="9">
        <v>45048</v>
      </c>
      <c r="Z1645">
        <v>23</v>
      </c>
      <c r="AA1645" s="11" t="s">
        <v>49</v>
      </c>
    </row>
    <row r="1646" spans="2:27" ht="16" x14ac:dyDescent="0.2">
      <c r="B1646" t="s">
        <v>35</v>
      </c>
      <c r="C1646">
        <v>40368006</v>
      </c>
      <c r="D1646" t="s">
        <v>391</v>
      </c>
      <c r="E1646">
        <v>1022141</v>
      </c>
      <c r="F1646" t="s">
        <v>126</v>
      </c>
      <c r="G1646" s="9">
        <v>45029</v>
      </c>
      <c r="H1646" s="7"/>
      <c r="I1646" s="7"/>
      <c r="J1646" s="7">
        <v>3006.18</v>
      </c>
      <c r="K1646" s="7"/>
      <c r="L1646" s="10">
        <v>4.830303030303031</v>
      </c>
      <c r="M1646" s="9">
        <v>45033</v>
      </c>
      <c r="N1646" s="10">
        <v>15</v>
      </c>
      <c r="O1646" s="9">
        <v>45048</v>
      </c>
      <c r="P1646">
        <v>23</v>
      </c>
      <c r="Q1646" s="11" t="s">
        <v>49</v>
      </c>
      <c r="R1646" s="7"/>
      <c r="S1646" s="7"/>
      <c r="T1646" s="7">
        <v>3006.18</v>
      </c>
      <c r="U1646" s="7"/>
      <c r="V1646" s="10">
        <v>6.830303030303031</v>
      </c>
      <c r="W1646" s="9">
        <v>45035</v>
      </c>
      <c r="X1646" s="10">
        <v>17</v>
      </c>
      <c r="Y1646" s="9">
        <v>45048</v>
      </c>
      <c r="Z1646">
        <v>23</v>
      </c>
      <c r="AA1646" s="11" t="s">
        <v>49</v>
      </c>
    </row>
    <row r="1647" spans="2:27" ht="16" x14ac:dyDescent="0.2">
      <c r="B1647" t="s">
        <v>35</v>
      </c>
      <c r="C1647">
        <v>40368006</v>
      </c>
      <c r="D1647" t="s">
        <v>391</v>
      </c>
      <c r="E1647">
        <v>1022142</v>
      </c>
      <c r="F1647" t="s">
        <v>390</v>
      </c>
      <c r="G1647" s="9">
        <v>45029</v>
      </c>
      <c r="H1647" s="7"/>
      <c r="I1647" s="7"/>
      <c r="J1647" s="7">
        <v>4006.9</v>
      </c>
      <c r="K1647" s="7"/>
      <c r="L1647" s="10">
        <v>4.830303030303031</v>
      </c>
      <c r="M1647" s="9">
        <v>45033</v>
      </c>
      <c r="N1647" s="10">
        <v>15</v>
      </c>
      <c r="O1647" s="9">
        <v>45048</v>
      </c>
      <c r="P1647">
        <v>23</v>
      </c>
      <c r="Q1647" s="11" t="s">
        <v>49</v>
      </c>
      <c r="R1647" s="7"/>
      <c r="S1647" s="7"/>
      <c r="T1647" s="7">
        <v>4006.9</v>
      </c>
      <c r="U1647" s="7"/>
      <c r="V1647" s="10">
        <v>6.830303030303031</v>
      </c>
      <c r="W1647" s="9">
        <v>45035</v>
      </c>
      <c r="X1647" s="10">
        <v>17</v>
      </c>
      <c r="Y1647" s="9">
        <v>45048</v>
      </c>
      <c r="Z1647">
        <v>23</v>
      </c>
      <c r="AA1647" s="11" t="s">
        <v>49</v>
      </c>
    </row>
    <row r="1648" spans="2:27" ht="16" x14ac:dyDescent="0.2">
      <c r="B1648" t="s">
        <v>35</v>
      </c>
      <c r="C1648">
        <v>40368005</v>
      </c>
      <c r="D1648" t="s">
        <v>391</v>
      </c>
      <c r="E1648">
        <v>1022142</v>
      </c>
      <c r="F1648" t="s">
        <v>390</v>
      </c>
      <c r="G1648" s="9">
        <v>45029</v>
      </c>
      <c r="H1648" s="7"/>
      <c r="I1648" s="7"/>
      <c r="J1648" s="7">
        <v>4017.34</v>
      </c>
      <c r="K1648" s="7"/>
      <c r="L1648" s="10">
        <v>4.830303030303031</v>
      </c>
      <c r="M1648" s="9">
        <v>45033</v>
      </c>
      <c r="N1648" s="10">
        <v>15</v>
      </c>
      <c r="O1648" s="9">
        <v>45048</v>
      </c>
      <c r="P1648">
        <v>23</v>
      </c>
      <c r="Q1648" s="11" t="s">
        <v>49</v>
      </c>
      <c r="R1648" s="7"/>
      <c r="S1648" s="7"/>
      <c r="T1648" s="7">
        <v>4017.34</v>
      </c>
      <c r="U1648" s="7"/>
      <c r="V1648" s="10">
        <v>6.830303030303031</v>
      </c>
      <c r="W1648" s="9">
        <v>45035</v>
      </c>
      <c r="X1648" s="10">
        <v>17</v>
      </c>
      <c r="Y1648" s="9">
        <v>45048</v>
      </c>
      <c r="Z1648">
        <v>23</v>
      </c>
      <c r="AA1648" s="11" t="s">
        <v>49</v>
      </c>
    </row>
    <row r="1649" spans="2:27" ht="16" x14ac:dyDescent="0.2">
      <c r="B1649" t="s">
        <v>35</v>
      </c>
      <c r="C1649">
        <v>40368005</v>
      </c>
      <c r="D1649" t="s">
        <v>391</v>
      </c>
      <c r="E1649">
        <v>1022141</v>
      </c>
      <c r="F1649" t="s">
        <v>126</v>
      </c>
      <c r="G1649" s="9">
        <v>45029</v>
      </c>
      <c r="H1649" s="7"/>
      <c r="I1649" s="7"/>
      <c r="J1649" s="7">
        <v>3006.5</v>
      </c>
      <c r="K1649" s="7"/>
      <c r="L1649" s="10">
        <v>4.830303030303031</v>
      </c>
      <c r="M1649" s="9">
        <v>45033</v>
      </c>
      <c r="N1649" s="10">
        <v>15</v>
      </c>
      <c r="O1649" s="9">
        <v>45048</v>
      </c>
      <c r="P1649">
        <v>23</v>
      </c>
      <c r="Q1649" s="11" t="s">
        <v>49</v>
      </c>
      <c r="R1649" s="7"/>
      <c r="S1649" s="7"/>
      <c r="T1649" s="7">
        <v>3006.5</v>
      </c>
      <c r="U1649" s="7"/>
      <c r="V1649" s="10">
        <v>6.830303030303031</v>
      </c>
      <c r="W1649" s="9">
        <v>45035</v>
      </c>
      <c r="X1649" s="10">
        <v>17</v>
      </c>
      <c r="Y1649" s="9">
        <v>45048</v>
      </c>
      <c r="Z1649">
        <v>23</v>
      </c>
      <c r="AA1649" s="11" t="s">
        <v>49</v>
      </c>
    </row>
    <row r="1650" spans="2:27" ht="16" x14ac:dyDescent="0.2">
      <c r="B1650" t="s">
        <v>35</v>
      </c>
      <c r="C1650">
        <v>40368005</v>
      </c>
      <c r="D1650" t="s">
        <v>391</v>
      </c>
      <c r="E1650">
        <v>1021925</v>
      </c>
      <c r="F1650" t="s">
        <v>432</v>
      </c>
      <c r="G1650" s="9">
        <v>45029</v>
      </c>
      <c r="H1650" s="7"/>
      <c r="I1650" s="7"/>
      <c r="J1650" s="7">
        <v>3010.78</v>
      </c>
      <c r="K1650" s="7"/>
      <c r="L1650" s="10">
        <v>4.830303030303031</v>
      </c>
      <c r="M1650" s="9">
        <v>45033</v>
      </c>
      <c r="N1650" s="10">
        <v>15</v>
      </c>
      <c r="O1650" s="9">
        <v>45048</v>
      </c>
      <c r="P1650">
        <v>23</v>
      </c>
      <c r="Q1650" s="11" t="s">
        <v>49</v>
      </c>
      <c r="R1650" s="7"/>
      <c r="S1650" s="7"/>
      <c r="T1650" s="7">
        <v>3010.78</v>
      </c>
      <c r="U1650" s="7"/>
      <c r="V1650" s="10">
        <v>6.830303030303031</v>
      </c>
      <c r="W1650" s="9">
        <v>45035</v>
      </c>
      <c r="X1650" s="10">
        <v>17</v>
      </c>
      <c r="Y1650" s="9">
        <v>45048</v>
      </c>
      <c r="Z1650">
        <v>23</v>
      </c>
      <c r="AA1650" s="11" t="s">
        <v>49</v>
      </c>
    </row>
    <row r="1651" spans="2:27" ht="16" x14ac:dyDescent="0.2">
      <c r="B1651" t="s">
        <v>35</v>
      </c>
      <c r="C1651">
        <v>40368005</v>
      </c>
      <c r="D1651" t="s">
        <v>391</v>
      </c>
      <c r="E1651">
        <v>1021924</v>
      </c>
      <c r="F1651" t="s">
        <v>187</v>
      </c>
      <c r="G1651" s="9">
        <v>45029</v>
      </c>
      <c r="H1651" s="7"/>
      <c r="I1651" s="7"/>
      <c r="J1651" s="7">
        <v>14004.97</v>
      </c>
      <c r="K1651" s="7"/>
      <c r="L1651" s="10">
        <v>4.830303030303031</v>
      </c>
      <c r="M1651" s="9">
        <v>45033</v>
      </c>
      <c r="N1651" s="10">
        <v>15</v>
      </c>
      <c r="O1651" s="9">
        <v>45048</v>
      </c>
      <c r="P1651">
        <v>23</v>
      </c>
      <c r="Q1651" s="11" t="s">
        <v>49</v>
      </c>
      <c r="R1651" s="7"/>
      <c r="S1651" s="7"/>
      <c r="T1651" s="7">
        <v>14004.97</v>
      </c>
      <c r="U1651" s="7"/>
      <c r="V1651" s="10">
        <v>6.830303030303031</v>
      </c>
      <c r="W1651" s="9">
        <v>45035</v>
      </c>
      <c r="X1651" s="10">
        <v>17</v>
      </c>
      <c r="Y1651" s="9">
        <v>45048</v>
      </c>
      <c r="Z1651">
        <v>23</v>
      </c>
      <c r="AA1651" s="11" t="s">
        <v>49</v>
      </c>
    </row>
    <row r="1652" spans="2:27" ht="16" x14ac:dyDescent="0.2">
      <c r="B1652" t="s">
        <v>35</v>
      </c>
      <c r="C1652">
        <v>40368004</v>
      </c>
      <c r="D1652" t="s">
        <v>391</v>
      </c>
      <c r="E1652">
        <v>1022142</v>
      </c>
      <c r="F1652" t="s">
        <v>390</v>
      </c>
      <c r="G1652" s="9">
        <v>45012</v>
      </c>
      <c r="H1652" s="7"/>
      <c r="I1652" s="7">
        <v>4006.86</v>
      </c>
      <c r="J1652" s="7"/>
      <c r="K1652" s="7"/>
      <c r="L1652" s="10">
        <v>4.830303030303031</v>
      </c>
      <c r="M1652" s="9">
        <v>45016</v>
      </c>
      <c r="N1652" s="10">
        <v>15</v>
      </c>
      <c r="O1652" s="9">
        <v>45031</v>
      </c>
      <c r="P1652">
        <v>12</v>
      </c>
      <c r="Q1652" s="11" t="s">
        <v>49</v>
      </c>
      <c r="R1652" s="7"/>
      <c r="S1652" s="7">
        <v>4006.86</v>
      </c>
      <c r="T1652" s="7"/>
      <c r="U1652" s="7"/>
      <c r="V1652" s="10">
        <v>6.830303030303031</v>
      </c>
      <c r="W1652" s="9">
        <v>45018</v>
      </c>
      <c r="X1652" s="10">
        <v>17</v>
      </c>
      <c r="Y1652" s="9">
        <v>45031</v>
      </c>
      <c r="Z1652">
        <v>12</v>
      </c>
      <c r="AA1652" s="11" t="s">
        <v>49</v>
      </c>
    </row>
    <row r="1653" spans="2:27" ht="16" x14ac:dyDescent="0.2">
      <c r="B1653" t="s">
        <v>35</v>
      </c>
      <c r="C1653">
        <v>40368004</v>
      </c>
      <c r="D1653" t="s">
        <v>391</v>
      </c>
      <c r="E1653">
        <v>1022141</v>
      </c>
      <c r="F1653" t="s">
        <v>126</v>
      </c>
      <c r="G1653" s="9">
        <v>45012</v>
      </c>
      <c r="H1653" s="7"/>
      <c r="I1653" s="7">
        <v>3021.02</v>
      </c>
      <c r="J1653" s="7"/>
      <c r="K1653" s="7"/>
      <c r="L1653" s="10">
        <v>4.830303030303031</v>
      </c>
      <c r="M1653" s="9">
        <v>45016</v>
      </c>
      <c r="N1653" s="10">
        <v>15</v>
      </c>
      <c r="O1653" s="9">
        <v>45031</v>
      </c>
      <c r="P1653">
        <v>12</v>
      </c>
      <c r="Q1653" s="11" t="s">
        <v>49</v>
      </c>
      <c r="R1653" s="7"/>
      <c r="S1653" s="7">
        <v>3021.02</v>
      </c>
      <c r="T1653" s="7"/>
      <c r="U1653" s="7"/>
      <c r="V1653" s="10">
        <v>6.830303030303031</v>
      </c>
      <c r="W1653" s="9">
        <v>45018</v>
      </c>
      <c r="X1653" s="10">
        <v>17</v>
      </c>
      <c r="Y1653" s="9">
        <v>45031</v>
      </c>
      <c r="Z1653">
        <v>12</v>
      </c>
      <c r="AA1653" s="11" t="s">
        <v>49</v>
      </c>
    </row>
    <row r="1654" spans="2:27" ht="16" x14ac:dyDescent="0.2">
      <c r="B1654" t="s">
        <v>35</v>
      </c>
      <c r="C1654">
        <v>40368004</v>
      </c>
      <c r="D1654" t="s">
        <v>391</v>
      </c>
      <c r="E1654">
        <v>1021925</v>
      </c>
      <c r="F1654" t="s">
        <v>432</v>
      </c>
      <c r="G1654" s="9">
        <v>45012</v>
      </c>
      <c r="H1654" s="7"/>
      <c r="I1654" s="7">
        <v>3004.69</v>
      </c>
      <c r="J1654" s="7"/>
      <c r="K1654" s="7"/>
      <c r="L1654" s="10">
        <v>4.830303030303031</v>
      </c>
      <c r="M1654" s="9">
        <v>45016</v>
      </c>
      <c r="N1654" s="10">
        <v>15</v>
      </c>
      <c r="O1654" s="9">
        <v>45031</v>
      </c>
      <c r="P1654">
        <v>12</v>
      </c>
      <c r="Q1654" s="11" t="s">
        <v>49</v>
      </c>
      <c r="R1654" s="7"/>
      <c r="S1654" s="7">
        <v>3004.69</v>
      </c>
      <c r="T1654" s="7"/>
      <c r="U1654" s="7"/>
      <c r="V1654" s="10">
        <v>6.830303030303031</v>
      </c>
      <c r="W1654" s="9">
        <v>45018</v>
      </c>
      <c r="X1654" s="10">
        <v>17</v>
      </c>
      <c r="Y1654" s="9">
        <v>45031</v>
      </c>
      <c r="Z1654">
        <v>12</v>
      </c>
      <c r="AA1654" s="11" t="s">
        <v>49</v>
      </c>
    </row>
    <row r="1655" spans="2:27" ht="16" x14ac:dyDescent="0.2">
      <c r="B1655" t="s">
        <v>35</v>
      </c>
      <c r="C1655">
        <v>40368004</v>
      </c>
      <c r="D1655" t="s">
        <v>391</v>
      </c>
      <c r="E1655">
        <v>1021924</v>
      </c>
      <c r="F1655" t="s">
        <v>187</v>
      </c>
      <c r="G1655" s="9">
        <v>45012</v>
      </c>
      <c r="H1655" s="7"/>
      <c r="I1655" s="7">
        <v>14006.08</v>
      </c>
      <c r="J1655" s="7"/>
      <c r="K1655" s="7"/>
      <c r="L1655" s="10">
        <v>4.830303030303031</v>
      </c>
      <c r="M1655" s="9">
        <v>45016</v>
      </c>
      <c r="N1655" s="10">
        <v>15</v>
      </c>
      <c r="O1655" s="9">
        <v>45031</v>
      </c>
      <c r="P1655">
        <v>12</v>
      </c>
      <c r="Q1655" s="11" t="s">
        <v>49</v>
      </c>
      <c r="R1655" s="7"/>
      <c r="S1655" s="7">
        <v>14006.08</v>
      </c>
      <c r="T1655" s="7"/>
      <c r="U1655" s="7"/>
      <c r="V1655" s="10">
        <v>6.830303030303031</v>
      </c>
      <c r="W1655" s="9">
        <v>45018</v>
      </c>
      <c r="X1655" s="10">
        <v>17</v>
      </c>
      <c r="Y1655" s="9">
        <v>45031</v>
      </c>
      <c r="Z1655">
        <v>12</v>
      </c>
      <c r="AA1655" s="11" t="s">
        <v>49</v>
      </c>
    </row>
    <row r="1656" spans="2:27" ht="16" x14ac:dyDescent="0.2">
      <c r="B1656" t="s">
        <v>35</v>
      </c>
      <c r="C1656">
        <v>40368003</v>
      </c>
      <c r="D1656" t="s">
        <v>391</v>
      </c>
      <c r="E1656">
        <v>1022142</v>
      </c>
      <c r="F1656" t="s">
        <v>390</v>
      </c>
      <c r="G1656" s="9">
        <v>45012</v>
      </c>
      <c r="H1656" s="7"/>
      <c r="I1656" s="7">
        <v>4015.06</v>
      </c>
      <c r="J1656" s="7"/>
      <c r="K1656" s="7"/>
      <c r="L1656" s="10">
        <v>4.830303030303031</v>
      </c>
      <c r="M1656" s="9">
        <v>45016</v>
      </c>
      <c r="N1656" s="10">
        <v>15</v>
      </c>
      <c r="O1656" s="9">
        <v>45031</v>
      </c>
      <c r="P1656">
        <v>12</v>
      </c>
      <c r="Q1656" s="11" t="s">
        <v>49</v>
      </c>
      <c r="R1656" s="7"/>
      <c r="S1656" s="7">
        <v>4015.06</v>
      </c>
      <c r="T1656" s="7"/>
      <c r="U1656" s="7"/>
      <c r="V1656" s="10">
        <v>6.830303030303031</v>
      </c>
      <c r="W1656" s="9">
        <v>45018</v>
      </c>
      <c r="X1656" s="10">
        <v>17</v>
      </c>
      <c r="Y1656" s="9">
        <v>45031</v>
      </c>
      <c r="Z1656">
        <v>12</v>
      </c>
      <c r="AA1656" s="11" t="s">
        <v>49</v>
      </c>
    </row>
    <row r="1657" spans="2:27" ht="16" x14ac:dyDescent="0.2">
      <c r="B1657" t="s">
        <v>35</v>
      </c>
      <c r="C1657">
        <v>40368003</v>
      </c>
      <c r="D1657" t="s">
        <v>391</v>
      </c>
      <c r="E1657">
        <v>1022141</v>
      </c>
      <c r="F1657" t="s">
        <v>126</v>
      </c>
      <c r="G1657" s="9">
        <v>45012</v>
      </c>
      <c r="H1657" s="7"/>
      <c r="I1657" s="7">
        <v>3021.16</v>
      </c>
      <c r="J1657" s="7"/>
      <c r="K1657" s="7"/>
      <c r="L1657" s="10">
        <v>4.830303030303031</v>
      </c>
      <c r="M1657" s="9">
        <v>45016</v>
      </c>
      <c r="N1657" s="10">
        <v>15</v>
      </c>
      <c r="O1657" s="9">
        <v>45031</v>
      </c>
      <c r="P1657">
        <v>12</v>
      </c>
      <c r="Q1657" s="11" t="s">
        <v>49</v>
      </c>
      <c r="R1657" s="7"/>
      <c r="S1657" s="7">
        <v>3021.16</v>
      </c>
      <c r="T1657" s="7"/>
      <c r="U1657" s="7"/>
      <c r="V1657" s="10">
        <v>6.830303030303031</v>
      </c>
      <c r="W1657" s="9">
        <v>45018</v>
      </c>
      <c r="X1657" s="10">
        <v>17</v>
      </c>
      <c r="Y1657" s="9">
        <v>45031</v>
      </c>
      <c r="Z1657">
        <v>12</v>
      </c>
      <c r="AA1657" s="11" t="s">
        <v>49</v>
      </c>
    </row>
    <row r="1658" spans="2:27" ht="16" x14ac:dyDescent="0.2">
      <c r="B1658" t="s">
        <v>35</v>
      </c>
      <c r="C1658">
        <v>40368003</v>
      </c>
      <c r="D1658" t="s">
        <v>391</v>
      </c>
      <c r="E1658">
        <v>1021925</v>
      </c>
      <c r="F1658" t="s">
        <v>432</v>
      </c>
      <c r="G1658" s="9">
        <v>45012</v>
      </c>
      <c r="H1658" s="7"/>
      <c r="I1658" s="7">
        <v>3006.97</v>
      </c>
      <c r="J1658" s="7"/>
      <c r="K1658" s="7"/>
      <c r="L1658" s="10">
        <v>4.830303030303031</v>
      </c>
      <c r="M1658" s="9">
        <v>45016</v>
      </c>
      <c r="N1658" s="10">
        <v>15</v>
      </c>
      <c r="O1658" s="9">
        <v>45031</v>
      </c>
      <c r="P1658">
        <v>12</v>
      </c>
      <c r="Q1658" s="11" t="s">
        <v>49</v>
      </c>
      <c r="R1658" s="7"/>
      <c r="S1658" s="7">
        <v>3006.97</v>
      </c>
      <c r="T1658" s="7"/>
      <c r="U1658" s="7"/>
      <c r="V1658" s="10">
        <v>6.830303030303031</v>
      </c>
      <c r="W1658" s="9">
        <v>45018</v>
      </c>
      <c r="X1658" s="10">
        <v>17</v>
      </c>
      <c r="Y1658" s="9">
        <v>45031</v>
      </c>
      <c r="Z1658">
        <v>12</v>
      </c>
      <c r="AA1658" s="11" t="s">
        <v>49</v>
      </c>
    </row>
    <row r="1659" spans="2:27" ht="16" x14ac:dyDescent="0.2">
      <c r="B1659" t="s">
        <v>35</v>
      </c>
      <c r="C1659">
        <v>40368003</v>
      </c>
      <c r="D1659" t="s">
        <v>391</v>
      </c>
      <c r="E1659">
        <v>1021924</v>
      </c>
      <c r="F1659" t="s">
        <v>187</v>
      </c>
      <c r="G1659" s="9">
        <v>45012</v>
      </c>
      <c r="H1659" s="7"/>
      <c r="I1659" s="7">
        <v>14008.02</v>
      </c>
      <c r="J1659" s="7"/>
      <c r="K1659" s="7"/>
      <c r="L1659" s="10">
        <v>4.830303030303031</v>
      </c>
      <c r="M1659" s="9">
        <v>45016</v>
      </c>
      <c r="N1659" s="10">
        <v>15</v>
      </c>
      <c r="O1659" s="9">
        <v>45031</v>
      </c>
      <c r="P1659">
        <v>12</v>
      </c>
      <c r="Q1659" s="11" t="s">
        <v>49</v>
      </c>
      <c r="R1659" s="7"/>
      <c r="S1659" s="7">
        <v>14008.02</v>
      </c>
      <c r="T1659" s="7"/>
      <c r="U1659" s="7"/>
      <c r="V1659" s="10">
        <v>6.830303030303031</v>
      </c>
      <c r="W1659" s="9">
        <v>45018</v>
      </c>
      <c r="X1659" s="10">
        <v>17</v>
      </c>
      <c r="Y1659" s="9">
        <v>45031</v>
      </c>
      <c r="Z1659">
        <v>12</v>
      </c>
      <c r="AA1659" s="11" t="s">
        <v>49</v>
      </c>
    </row>
    <row r="1660" spans="2:27" ht="16" x14ac:dyDescent="0.2">
      <c r="B1660" t="s">
        <v>35</v>
      </c>
      <c r="C1660">
        <v>40368000</v>
      </c>
      <c r="D1660" t="s">
        <v>409</v>
      </c>
      <c r="E1660">
        <v>1011701</v>
      </c>
      <c r="F1660" t="s">
        <v>82</v>
      </c>
      <c r="G1660" s="9">
        <v>45015</v>
      </c>
      <c r="H1660" s="7"/>
      <c r="I1660" s="7">
        <v>19977.470809999999</v>
      </c>
      <c r="J1660" s="7"/>
      <c r="K1660" s="7"/>
      <c r="L1660" s="10">
        <v>7.5</v>
      </c>
      <c r="M1660" s="9">
        <v>45022</v>
      </c>
      <c r="N1660" s="10">
        <v>9.5</v>
      </c>
      <c r="O1660" s="9">
        <v>45031</v>
      </c>
      <c r="P1660">
        <v>12</v>
      </c>
      <c r="Q1660" s="11" t="s">
        <v>49</v>
      </c>
      <c r="R1660" s="7"/>
      <c r="S1660" s="7">
        <v>19977.470809999999</v>
      </c>
      <c r="T1660" s="7"/>
      <c r="U1660" s="7"/>
      <c r="V1660" s="10">
        <v>9.5</v>
      </c>
      <c r="W1660" s="9">
        <v>45024</v>
      </c>
      <c r="X1660" s="10">
        <v>11.5</v>
      </c>
      <c r="Y1660" s="9">
        <v>45031</v>
      </c>
      <c r="Z1660">
        <v>12</v>
      </c>
      <c r="AA1660" s="11" t="s">
        <v>49</v>
      </c>
    </row>
    <row r="1661" spans="2:27" ht="16" x14ac:dyDescent="0.2">
      <c r="B1661" t="s">
        <v>35</v>
      </c>
      <c r="C1661">
        <v>40367682</v>
      </c>
      <c r="D1661" t="s">
        <v>409</v>
      </c>
      <c r="E1661">
        <v>1030818</v>
      </c>
      <c r="F1661" t="s">
        <v>133</v>
      </c>
      <c r="G1661" s="9">
        <v>45015</v>
      </c>
      <c r="H1661" s="7"/>
      <c r="I1661" s="7">
        <v>24022.232319999999</v>
      </c>
      <c r="J1661" s="7"/>
      <c r="K1661" s="7"/>
      <c r="L1661" s="10">
        <v>7.5</v>
      </c>
      <c r="M1661" s="9">
        <v>45022</v>
      </c>
      <c r="N1661" s="10">
        <v>9.5</v>
      </c>
      <c r="O1661" s="9">
        <v>45031</v>
      </c>
      <c r="P1661">
        <v>12</v>
      </c>
      <c r="Q1661" s="11" t="s">
        <v>49</v>
      </c>
      <c r="R1661" s="7"/>
      <c r="S1661" s="7">
        <v>24022.232319999999</v>
      </c>
      <c r="T1661" s="7"/>
      <c r="U1661" s="7"/>
      <c r="V1661" s="10">
        <v>9.5</v>
      </c>
      <c r="W1661" s="9">
        <v>45024</v>
      </c>
      <c r="X1661" s="10">
        <v>11.5</v>
      </c>
      <c r="Y1661" s="9">
        <v>45031</v>
      </c>
      <c r="Z1661">
        <v>12</v>
      </c>
      <c r="AA1661" s="11" t="s">
        <v>49</v>
      </c>
    </row>
    <row r="1662" spans="2:27" x14ac:dyDescent="0.2">
      <c r="B1662" t="s">
        <v>394</v>
      </c>
      <c r="C1662">
        <v>40367680</v>
      </c>
      <c r="D1662" t="s">
        <v>485</v>
      </c>
      <c r="E1662">
        <v>1012556</v>
      </c>
      <c r="F1662" t="s">
        <v>489</v>
      </c>
      <c r="G1662" s="9">
        <v>44996</v>
      </c>
      <c r="H1662" s="7">
        <v>24000.39</v>
      </c>
      <c r="I1662" s="7"/>
      <c r="J1662" s="7"/>
      <c r="K1662" s="7"/>
      <c r="L1662" s="10"/>
      <c r="N1662" s="10"/>
      <c r="Q1662" s="11"/>
      <c r="R1662" s="7">
        <v>24000.39</v>
      </c>
      <c r="S1662" s="7"/>
      <c r="T1662" s="7"/>
      <c r="U1662" s="7"/>
      <c r="V1662" s="10"/>
      <c r="X1662" s="10"/>
      <c r="AA1662" s="11"/>
    </row>
    <row r="1663" spans="2:27" x14ac:dyDescent="0.2">
      <c r="B1663" t="s">
        <v>394</v>
      </c>
      <c r="C1663">
        <v>40367678</v>
      </c>
      <c r="D1663" t="s">
        <v>485</v>
      </c>
      <c r="E1663">
        <v>1023433</v>
      </c>
      <c r="F1663" t="s">
        <v>490</v>
      </c>
      <c r="G1663" s="9">
        <v>44998</v>
      </c>
      <c r="H1663" s="7">
        <v>23156.65</v>
      </c>
      <c r="I1663" s="7"/>
      <c r="J1663" s="7"/>
      <c r="K1663" s="7"/>
      <c r="L1663" s="10"/>
      <c r="N1663" s="10"/>
      <c r="Q1663" s="11"/>
      <c r="R1663" s="7">
        <v>23156.65</v>
      </c>
      <c r="S1663" s="7"/>
      <c r="T1663" s="7"/>
      <c r="U1663" s="7"/>
      <c r="V1663" s="10"/>
      <c r="X1663" s="10"/>
      <c r="AA1663" s="11"/>
    </row>
    <row r="1664" spans="2:27" x14ac:dyDescent="0.2">
      <c r="B1664" t="s">
        <v>394</v>
      </c>
      <c r="C1664">
        <v>40367678</v>
      </c>
      <c r="D1664" t="s">
        <v>485</v>
      </c>
      <c r="E1664">
        <v>1023433</v>
      </c>
      <c r="F1664" t="s">
        <v>490</v>
      </c>
      <c r="G1664" s="9">
        <v>44998</v>
      </c>
      <c r="H1664" s="7">
        <v>24010.080000000002</v>
      </c>
      <c r="I1664" s="7"/>
      <c r="J1664" s="7"/>
      <c r="K1664" s="7"/>
      <c r="L1664" s="10"/>
      <c r="N1664" s="10"/>
      <c r="Q1664" s="11"/>
      <c r="R1664" s="7">
        <v>24010.080000000002</v>
      </c>
      <c r="S1664" s="7"/>
      <c r="T1664" s="7"/>
      <c r="U1664" s="7"/>
      <c r="V1664" s="10"/>
      <c r="X1664" s="10"/>
      <c r="AA1664" s="11"/>
    </row>
    <row r="1665" spans="2:27" x14ac:dyDescent="0.2">
      <c r="B1665" t="s">
        <v>394</v>
      </c>
      <c r="C1665">
        <v>40367666</v>
      </c>
      <c r="D1665" t="s">
        <v>396</v>
      </c>
      <c r="E1665">
        <v>1030535</v>
      </c>
      <c r="F1665" t="s">
        <v>395</v>
      </c>
      <c r="G1665" s="9">
        <v>45021</v>
      </c>
      <c r="H1665" s="7"/>
      <c r="I1665" s="7">
        <v>21996.68</v>
      </c>
      <c r="J1665" s="7"/>
      <c r="K1665" s="7"/>
      <c r="L1665" s="10"/>
      <c r="N1665" s="10"/>
      <c r="Q1665" s="11"/>
      <c r="R1665" s="7"/>
      <c r="S1665" s="7">
        <v>21996.68</v>
      </c>
      <c r="T1665" s="7"/>
      <c r="U1665" s="7"/>
      <c r="V1665" s="10"/>
      <c r="X1665" s="10"/>
      <c r="AA1665" s="11"/>
    </row>
    <row r="1666" spans="2:27" ht="16" x14ac:dyDescent="0.2">
      <c r="B1666" t="s">
        <v>35</v>
      </c>
      <c r="C1666">
        <v>40367561</v>
      </c>
      <c r="D1666" t="s">
        <v>423</v>
      </c>
      <c r="E1666">
        <v>1012764</v>
      </c>
      <c r="F1666" t="s">
        <v>491</v>
      </c>
      <c r="G1666" s="9">
        <v>44997</v>
      </c>
      <c r="H1666" s="7">
        <v>24012.18</v>
      </c>
      <c r="I1666" s="7"/>
      <c r="J1666" s="7"/>
      <c r="K1666" s="7"/>
      <c r="L1666" s="10">
        <v>5.4496124031007751</v>
      </c>
      <c r="M1666" s="9">
        <v>45002</v>
      </c>
      <c r="N1666" s="10">
        <v>10</v>
      </c>
      <c r="O1666" s="9">
        <v>45012</v>
      </c>
      <c r="P1666">
        <v>4</v>
      </c>
      <c r="Q1666" s="11" t="s">
        <v>49</v>
      </c>
      <c r="R1666" s="7">
        <v>24012.18</v>
      </c>
      <c r="S1666" s="7"/>
      <c r="T1666" s="7"/>
      <c r="U1666" s="7"/>
      <c r="V1666" s="10">
        <v>7.4496124031007751</v>
      </c>
      <c r="W1666" s="9">
        <v>45004</v>
      </c>
      <c r="X1666" s="10">
        <v>12</v>
      </c>
      <c r="Y1666" s="9">
        <v>45012</v>
      </c>
      <c r="Z1666">
        <v>4</v>
      </c>
      <c r="AA1666" s="11" t="s">
        <v>49</v>
      </c>
    </row>
    <row r="1667" spans="2:27" ht="16" x14ac:dyDescent="0.2">
      <c r="B1667" t="s">
        <v>35</v>
      </c>
      <c r="C1667">
        <v>40367560</v>
      </c>
      <c r="D1667" t="s">
        <v>423</v>
      </c>
      <c r="E1667">
        <v>1012764</v>
      </c>
      <c r="F1667" t="s">
        <v>491</v>
      </c>
      <c r="G1667" s="9">
        <v>44997</v>
      </c>
      <c r="H1667" s="7">
        <v>23999.84</v>
      </c>
      <c r="I1667" s="7"/>
      <c r="J1667" s="7"/>
      <c r="K1667" s="7"/>
      <c r="L1667" s="10">
        <v>5.4496124031007751</v>
      </c>
      <c r="M1667" s="9">
        <v>45002</v>
      </c>
      <c r="N1667" s="10">
        <v>10</v>
      </c>
      <c r="O1667" s="9">
        <v>45012</v>
      </c>
      <c r="P1667">
        <v>4</v>
      </c>
      <c r="Q1667" s="11" t="s">
        <v>49</v>
      </c>
      <c r="R1667" s="7">
        <v>23999.84</v>
      </c>
      <c r="S1667" s="7"/>
      <c r="T1667" s="7"/>
      <c r="U1667" s="7"/>
      <c r="V1667" s="10">
        <v>7.4496124031007751</v>
      </c>
      <c r="W1667" s="9">
        <v>45004</v>
      </c>
      <c r="X1667" s="10">
        <v>12</v>
      </c>
      <c r="Y1667" s="9">
        <v>45012</v>
      </c>
      <c r="Z1667">
        <v>4</v>
      </c>
      <c r="AA1667" s="11" t="s">
        <v>49</v>
      </c>
    </row>
    <row r="1668" spans="2:27" ht="16" x14ac:dyDescent="0.2">
      <c r="B1668" t="s">
        <v>35</v>
      </c>
      <c r="C1668">
        <v>40367559</v>
      </c>
      <c r="D1668" t="s">
        <v>423</v>
      </c>
      <c r="E1668">
        <v>1012764</v>
      </c>
      <c r="F1668" t="s">
        <v>491</v>
      </c>
      <c r="G1668" s="9">
        <v>44991</v>
      </c>
      <c r="H1668" s="7">
        <v>24009.77</v>
      </c>
      <c r="I1668" s="7"/>
      <c r="J1668" s="7"/>
      <c r="K1668" s="7"/>
      <c r="L1668" s="10">
        <v>5.4496124031007751</v>
      </c>
      <c r="M1668" s="9">
        <v>44996</v>
      </c>
      <c r="N1668" s="10">
        <v>10</v>
      </c>
      <c r="O1668" s="9">
        <v>45006</v>
      </c>
      <c r="P1668">
        <v>9</v>
      </c>
      <c r="Q1668" s="11" t="s">
        <v>49</v>
      </c>
      <c r="R1668" s="7">
        <v>24009.77</v>
      </c>
      <c r="S1668" s="7"/>
      <c r="T1668" s="7"/>
      <c r="U1668" s="7"/>
      <c r="V1668" s="10">
        <v>7.4496124031007751</v>
      </c>
      <c r="W1668" s="9">
        <v>44998</v>
      </c>
      <c r="X1668" s="10">
        <v>12</v>
      </c>
      <c r="Y1668" s="9">
        <v>45006</v>
      </c>
      <c r="Z1668">
        <v>9</v>
      </c>
      <c r="AA1668" s="11" t="s">
        <v>49</v>
      </c>
    </row>
    <row r="1669" spans="2:27" ht="16" x14ac:dyDescent="0.2">
      <c r="B1669" t="s">
        <v>35</v>
      </c>
      <c r="C1669">
        <v>40367558</v>
      </c>
      <c r="D1669" t="s">
        <v>423</v>
      </c>
      <c r="E1669">
        <v>1012764</v>
      </c>
      <c r="F1669" t="s">
        <v>491</v>
      </c>
      <c r="G1669" s="9">
        <v>44991</v>
      </c>
      <c r="H1669" s="7">
        <v>24006.73</v>
      </c>
      <c r="I1669" s="7"/>
      <c r="J1669" s="7"/>
      <c r="K1669" s="7"/>
      <c r="L1669" s="10">
        <v>5.4496124031007751</v>
      </c>
      <c r="M1669" s="9">
        <v>44996</v>
      </c>
      <c r="N1669" s="10">
        <v>10</v>
      </c>
      <c r="O1669" s="9">
        <v>45006</v>
      </c>
      <c r="P1669">
        <v>9</v>
      </c>
      <c r="Q1669" s="11" t="s">
        <v>49</v>
      </c>
      <c r="R1669" s="7">
        <v>24006.73</v>
      </c>
      <c r="S1669" s="7"/>
      <c r="T1669" s="7"/>
      <c r="U1669" s="7"/>
      <c r="V1669" s="10">
        <v>7.4496124031007751</v>
      </c>
      <c r="W1669" s="9">
        <v>44998</v>
      </c>
      <c r="X1669" s="10">
        <v>12</v>
      </c>
      <c r="Y1669" s="9">
        <v>45006</v>
      </c>
      <c r="Z1669">
        <v>9</v>
      </c>
      <c r="AA1669" s="11" t="s">
        <v>49</v>
      </c>
    </row>
    <row r="1670" spans="2:27" ht="16" x14ac:dyDescent="0.2">
      <c r="B1670" t="s">
        <v>35</v>
      </c>
      <c r="C1670">
        <v>40367557</v>
      </c>
      <c r="D1670" t="s">
        <v>423</v>
      </c>
      <c r="E1670">
        <v>1030802</v>
      </c>
      <c r="F1670" t="s">
        <v>492</v>
      </c>
      <c r="G1670" s="9">
        <v>44997</v>
      </c>
      <c r="H1670" s="7">
        <v>24007.72</v>
      </c>
      <c r="I1670" s="7"/>
      <c r="J1670" s="7"/>
      <c r="K1670" s="7"/>
      <c r="L1670" s="10">
        <v>5.4496124031007751</v>
      </c>
      <c r="M1670" s="9">
        <v>45002</v>
      </c>
      <c r="N1670" s="10">
        <v>10</v>
      </c>
      <c r="O1670" s="9">
        <v>45012</v>
      </c>
      <c r="P1670">
        <v>4</v>
      </c>
      <c r="Q1670" s="11" t="s">
        <v>49</v>
      </c>
      <c r="R1670" s="7">
        <v>24007.72</v>
      </c>
      <c r="S1670" s="7"/>
      <c r="T1670" s="7"/>
      <c r="U1670" s="7"/>
      <c r="V1670" s="10">
        <v>7.4496124031007751</v>
      </c>
      <c r="W1670" s="9">
        <v>45004</v>
      </c>
      <c r="X1670" s="10">
        <v>12</v>
      </c>
      <c r="Y1670" s="9">
        <v>45012</v>
      </c>
      <c r="Z1670">
        <v>4</v>
      </c>
      <c r="AA1670" s="11" t="s">
        <v>49</v>
      </c>
    </row>
    <row r="1671" spans="2:27" ht="16" x14ac:dyDescent="0.2">
      <c r="B1671" t="s">
        <v>35</v>
      </c>
      <c r="C1671">
        <v>40367556</v>
      </c>
      <c r="D1671" t="s">
        <v>423</v>
      </c>
      <c r="E1671">
        <v>1030802</v>
      </c>
      <c r="F1671" t="s">
        <v>492</v>
      </c>
      <c r="G1671" s="9">
        <v>44991</v>
      </c>
      <c r="H1671" s="7">
        <v>23995.360000000001</v>
      </c>
      <c r="I1671" s="7"/>
      <c r="J1671" s="7"/>
      <c r="K1671" s="7"/>
      <c r="L1671" s="10">
        <v>5.4496124031007751</v>
      </c>
      <c r="M1671" s="9">
        <v>44996</v>
      </c>
      <c r="N1671" s="10">
        <v>10</v>
      </c>
      <c r="O1671" s="9">
        <v>45006</v>
      </c>
      <c r="P1671">
        <v>9</v>
      </c>
      <c r="Q1671" s="11" t="s">
        <v>49</v>
      </c>
      <c r="R1671" s="7">
        <v>23995.360000000001</v>
      </c>
      <c r="S1671" s="7"/>
      <c r="T1671" s="7"/>
      <c r="U1671" s="7"/>
      <c r="V1671" s="10">
        <v>7.4496124031007751</v>
      </c>
      <c r="W1671" s="9">
        <v>44998</v>
      </c>
      <c r="X1671" s="10">
        <v>12</v>
      </c>
      <c r="Y1671" s="9">
        <v>45006</v>
      </c>
      <c r="Z1671">
        <v>9</v>
      </c>
      <c r="AA1671" s="11" t="s">
        <v>49</v>
      </c>
    </row>
    <row r="1672" spans="2:27" x14ac:dyDescent="0.2">
      <c r="B1672" t="s">
        <v>394</v>
      </c>
      <c r="C1672">
        <v>40367483</v>
      </c>
      <c r="D1672" t="s">
        <v>485</v>
      </c>
      <c r="E1672">
        <v>1022709</v>
      </c>
      <c r="F1672" t="s">
        <v>493</v>
      </c>
      <c r="G1672" s="9">
        <v>44996</v>
      </c>
      <c r="H1672" s="7">
        <v>23992.58</v>
      </c>
      <c r="I1672" s="7"/>
      <c r="J1672" s="7"/>
      <c r="K1672" s="7"/>
      <c r="L1672" s="10"/>
      <c r="N1672" s="10"/>
      <c r="Q1672" s="11"/>
      <c r="R1672" s="7">
        <v>23992.58</v>
      </c>
      <c r="S1672" s="7"/>
      <c r="T1672" s="7"/>
      <c r="U1672" s="7"/>
      <c r="V1672" s="10"/>
      <c r="X1672" s="10"/>
      <c r="AA1672" s="11"/>
    </row>
    <row r="1673" spans="2:27" x14ac:dyDescent="0.2">
      <c r="B1673" t="s">
        <v>394</v>
      </c>
      <c r="C1673">
        <v>40367348</v>
      </c>
      <c r="D1673" t="s">
        <v>485</v>
      </c>
      <c r="E1673">
        <v>1012556</v>
      </c>
      <c r="F1673" t="s">
        <v>489</v>
      </c>
      <c r="G1673" s="9">
        <v>44989</v>
      </c>
      <c r="H1673" s="7">
        <v>24008.29</v>
      </c>
      <c r="I1673" s="7"/>
      <c r="J1673" s="7"/>
      <c r="K1673" s="7"/>
      <c r="L1673" s="10"/>
      <c r="N1673" s="10"/>
      <c r="Q1673" s="11"/>
      <c r="R1673" s="7">
        <v>24008.29</v>
      </c>
      <c r="S1673" s="7"/>
      <c r="T1673" s="7"/>
      <c r="U1673" s="7"/>
      <c r="V1673" s="10"/>
      <c r="X1673" s="10"/>
      <c r="AA1673" s="11"/>
    </row>
    <row r="1674" spans="2:27" x14ac:dyDescent="0.2">
      <c r="B1674" t="s">
        <v>394</v>
      </c>
      <c r="C1674">
        <v>40367326</v>
      </c>
      <c r="D1674" t="s">
        <v>485</v>
      </c>
      <c r="E1674">
        <v>1020412</v>
      </c>
      <c r="F1674" t="s">
        <v>486</v>
      </c>
      <c r="G1674" s="9">
        <v>44996</v>
      </c>
      <c r="H1674" s="7">
        <v>23986.560000000001</v>
      </c>
      <c r="I1674" s="7"/>
      <c r="J1674" s="7"/>
      <c r="K1674" s="7"/>
      <c r="L1674" s="10"/>
      <c r="N1674" s="10"/>
      <c r="Q1674" s="11"/>
      <c r="R1674" s="7">
        <v>23986.560000000001</v>
      </c>
      <c r="S1674" s="7"/>
      <c r="T1674" s="7"/>
      <c r="U1674" s="7"/>
      <c r="V1674" s="10"/>
      <c r="X1674" s="10"/>
      <c r="AA1674" s="11"/>
    </row>
    <row r="1675" spans="2:27" x14ac:dyDescent="0.2">
      <c r="B1675" t="s">
        <v>394</v>
      </c>
      <c r="C1675">
        <v>40367320</v>
      </c>
      <c r="D1675" t="s">
        <v>485</v>
      </c>
      <c r="E1675">
        <v>1020412</v>
      </c>
      <c r="F1675" t="s">
        <v>486</v>
      </c>
      <c r="G1675" s="9">
        <v>44989</v>
      </c>
      <c r="H1675" s="7">
        <v>24003.19</v>
      </c>
      <c r="I1675" s="7"/>
      <c r="J1675" s="7"/>
      <c r="K1675" s="7"/>
      <c r="L1675" s="10"/>
      <c r="N1675" s="10"/>
      <c r="Q1675" s="11"/>
      <c r="R1675" s="7">
        <v>24003.19</v>
      </c>
      <c r="S1675" s="7"/>
      <c r="T1675" s="7"/>
      <c r="U1675" s="7"/>
      <c r="V1675" s="10"/>
      <c r="X1675" s="10"/>
      <c r="AA1675" s="11"/>
    </row>
    <row r="1676" spans="2:27" x14ac:dyDescent="0.2">
      <c r="B1676" t="s">
        <v>394</v>
      </c>
      <c r="C1676">
        <v>40367319</v>
      </c>
      <c r="D1676" t="s">
        <v>485</v>
      </c>
      <c r="E1676">
        <v>1020925</v>
      </c>
      <c r="F1676" t="s">
        <v>494</v>
      </c>
      <c r="G1676" s="9">
        <v>44989</v>
      </c>
      <c r="H1676" s="7">
        <v>11309.48</v>
      </c>
      <c r="I1676" s="7"/>
      <c r="J1676" s="7"/>
      <c r="K1676" s="7"/>
      <c r="L1676" s="10"/>
      <c r="N1676" s="10"/>
      <c r="Q1676" s="11"/>
      <c r="R1676" s="7">
        <v>11309.48</v>
      </c>
      <c r="S1676" s="7"/>
      <c r="T1676" s="7"/>
      <c r="U1676" s="7"/>
      <c r="V1676" s="10"/>
      <c r="X1676" s="10"/>
      <c r="AA1676" s="11"/>
    </row>
    <row r="1677" spans="2:27" x14ac:dyDescent="0.2">
      <c r="B1677" t="s">
        <v>394</v>
      </c>
      <c r="C1677">
        <v>40367319</v>
      </c>
      <c r="D1677" t="s">
        <v>485</v>
      </c>
      <c r="E1677">
        <v>1020925</v>
      </c>
      <c r="F1677" t="s">
        <v>494</v>
      </c>
      <c r="G1677" s="9">
        <v>44989</v>
      </c>
      <c r="H1677" s="7">
        <v>24010.560000000001</v>
      </c>
      <c r="I1677" s="7"/>
      <c r="J1677" s="7"/>
      <c r="K1677" s="7"/>
      <c r="L1677" s="10"/>
      <c r="N1677" s="10"/>
      <c r="Q1677" s="11"/>
      <c r="R1677" s="7">
        <v>24010.560000000001</v>
      </c>
      <c r="S1677" s="7"/>
      <c r="T1677" s="7"/>
      <c r="U1677" s="7"/>
      <c r="V1677" s="10"/>
      <c r="X1677" s="10"/>
      <c r="AA1677" s="11"/>
    </row>
    <row r="1678" spans="2:27" x14ac:dyDescent="0.2">
      <c r="B1678" t="s">
        <v>394</v>
      </c>
      <c r="C1678">
        <v>40367318</v>
      </c>
      <c r="D1678" t="s">
        <v>485</v>
      </c>
      <c r="E1678">
        <v>1021385</v>
      </c>
      <c r="F1678" t="s">
        <v>495</v>
      </c>
      <c r="G1678" s="9">
        <v>44987</v>
      </c>
      <c r="H1678" s="7">
        <v>24114.85</v>
      </c>
      <c r="I1678" s="7"/>
      <c r="J1678" s="7"/>
      <c r="K1678" s="7"/>
      <c r="L1678" s="10"/>
      <c r="N1678" s="10"/>
      <c r="Q1678" s="11"/>
      <c r="R1678" s="7">
        <v>24114.85</v>
      </c>
      <c r="S1678" s="7"/>
      <c r="T1678" s="7"/>
      <c r="U1678" s="7"/>
      <c r="V1678" s="10"/>
      <c r="X1678" s="10"/>
      <c r="AA1678" s="11"/>
    </row>
    <row r="1679" spans="2:27" ht="16" x14ac:dyDescent="0.2">
      <c r="B1679" t="s">
        <v>35</v>
      </c>
      <c r="C1679">
        <v>40367286</v>
      </c>
      <c r="D1679" t="s">
        <v>423</v>
      </c>
      <c r="E1679">
        <v>1030792</v>
      </c>
      <c r="F1679" t="s">
        <v>373</v>
      </c>
      <c r="G1679" s="9">
        <v>45001</v>
      </c>
      <c r="H1679" s="7">
        <v>24000</v>
      </c>
      <c r="I1679" s="7"/>
      <c r="J1679" s="7"/>
      <c r="K1679" s="7"/>
      <c r="L1679" s="10">
        <v>5.4496124031007751</v>
      </c>
      <c r="M1679" s="9">
        <v>45006</v>
      </c>
      <c r="N1679" s="10">
        <v>10</v>
      </c>
      <c r="O1679" s="9">
        <v>45016</v>
      </c>
      <c r="P1679">
        <v>0</v>
      </c>
      <c r="Q1679" s="11" t="s">
        <v>598</v>
      </c>
      <c r="R1679" s="7">
        <v>24000</v>
      </c>
      <c r="S1679" s="7"/>
      <c r="T1679" s="7"/>
      <c r="U1679" s="7"/>
      <c r="V1679" s="10">
        <v>7.4496124031007751</v>
      </c>
      <c r="W1679" s="9">
        <v>45008</v>
      </c>
      <c r="X1679" s="10">
        <v>12</v>
      </c>
      <c r="Y1679" s="9">
        <v>45016</v>
      </c>
      <c r="Z1679">
        <v>0</v>
      </c>
      <c r="AA1679" s="11" t="s">
        <v>598</v>
      </c>
    </row>
    <row r="1680" spans="2:27" ht="16" x14ac:dyDescent="0.2">
      <c r="B1680" t="s">
        <v>35</v>
      </c>
      <c r="C1680">
        <v>40367285</v>
      </c>
      <c r="D1680" t="s">
        <v>423</v>
      </c>
      <c r="E1680">
        <v>1030792</v>
      </c>
      <c r="F1680" t="s">
        <v>373</v>
      </c>
      <c r="G1680" s="9">
        <v>45001</v>
      </c>
      <c r="H1680" s="7">
        <v>24000</v>
      </c>
      <c r="I1680" s="7"/>
      <c r="J1680" s="7"/>
      <c r="K1680" s="7"/>
      <c r="L1680" s="10">
        <v>5.4496124031007751</v>
      </c>
      <c r="M1680" s="9">
        <v>45006</v>
      </c>
      <c r="N1680" s="10">
        <v>10</v>
      </c>
      <c r="O1680" s="9">
        <v>45016</v>
      </c>
      <c r="P1680">
        <v>0</v>
      </c>
      <c r="Q1680" s="11" t="s">
        <v>598</v>
      </c>
      <c r="R1680" s="7">
        <v>24000</v>
      </c>
      <c r="S1680" s="7"/>
      <c r="T1680" s="7"/>
      <c r="U1680" s="7"/>
      <c r="V1680" s="10">
        <v>7.4496124031007751</v>
      </c>
      <c r="W1680" s="9">
        <v>45008</v>
      </c>
      <c r="X1680" s="10">
        <v>12</v>
      </c>
      <c r="Y1680" s="9">
        <v>45016</v>
      </c>
      <c r="Z1680">
        <v>0</v>
      </c>
      <c r="AA1680" s="11" t="s">
        <v>598</v>
      </c>
    </row>
    <row r="1681" spans="2:27" ht="16" x14ac:dyDescent="0.2">
      <c r="B1681" t="s">
        <v>35</v>
      </c>
      <c r="C1681">
        <v>40367284</v>
      </c>
      <c r="D1681" t="s">
        <v>423</v>
      </c>
      <c r="E1681">
        <v>1030658</v>
      </c>
      <c r="F1681" t="s">
        <v>371</v>
      </c>
      <c r="G1681" s="9">
        <v>44991</v>
      </c>
      <c r="H1681" s="7">
        <v>24017.360000000001</v>
      </c>
      <c r="I1681" s="7"/>
      <c r="J1681" s="7"/>
      <c r="K1681" s="7"/>
      <c r="L1681" s="10">
        <v>5.4496124031007751</v>
      </c>
      <c r="M1681" s="9">
        <v>44996</v>
      </c>
      <c r="N1681" s="10">
        <v>10</v>
      </c>
      <c r="O1681" s="9">
        <v>45006</v>
      </c>
      <c r="P1681">
        <v>9</v>
      </c>
      <c r="Q1681" s="11" t="s">
        <v>49</v>
      </c>
      <c r="R1681" s="7">
        <v>24017.360000000001</v>
      </c>
      <c r="S1681" s="7"/>
      <c r="T1681" s="7"/>
      <c r="U1681" s="7"/>
      <c r="V1681" s="10">
        <v>7.4496124031007751</v>
      </c>
      <c r="W1681" s="9">
        <v>44998</v>
      </c>
      <c r="X1681" s="10">
        <v>12</v>
      </c>
      <c r="Y1681" s="9">
        <v>45006</v>
      </c>
      <c r="Z1681">
        <v>9</v>
      </c>
      <c r="AA1681" s="11" t="s">
        <v>49</v>
      </c>
    </row>
    <row r="1682" spans="2:27" ht="16" x14ac:dyDescent="0.2">
      <c r="B1682" t="s">
        <v>35</v>
      </c>
      <c r="C1682">
        <v>40367281</v>
      </c>
      <c r="D1682" t="s">
        <v>423</v>
      </c>
      <c r="E1682">
        <v>1030658</v>
      </c>
      <c r="F1682" t="s">
        <v>371</v>
      </c>
      <c r="G1682" s="9">
        <v>44991</v>
      </c>
      <c r="H1682" s="7">
        <v>23999.22</v>
      </c>
      <c r="I1682" s="7"/>
      <c r="J1682" s="7"/>
      <c r="K1682" s="7"/>
      <c r="L1682" s="10">
        <v>5.4496124031007751</v>
      </c>
      <c r="M1682" s="9">
        <v>44996</v>
      </c>
      <c r="N1682" s="10">
        <v>10</v>
      </c>
      <c r="O1682" s="9">
        <v>45006</v>
      </c>
      <c r="P1682">
        <v>9</v>
      </c>
      <c r="Q1682" s="11" t="s">
        <v>49</v>
      </c>
      <c r="R1682" s="7">
        <v>23999.22</v>
      </c>
      <c r="S1682" s="7"/>
      <c r="T1682" s="7"/>
      <c r="U1682" s="7"/>
      <c r="V1682" s="10">
        <v>7.4496124031007751</v>
      </c>
      <c r="W1682" s="9">
        <v>44998</v>
      </c>
      <c r="X1682" s="10">
        <v>12</v>
      </c>
      <c r="Y1682" s="9">
        <v>45006</v>
      </c>
      <c r="Z1682">
        <v>9</v>
      </c>
      <c r="AA1682" s="11" t="s">
        <v>49</v>
      </c>
    </row>
    <row r="1683" spans="2:27" ht="16" x14ac:dyDescent="0.2">
      <c r="B1683" t="s">
        <v>35</v>
      </c>
      <c r="C1683">
        <v>40367280</v>
      </c>
      <c r="D1683" t="s">
        <v>423</v>
      </c>
      <c r="E1683">
        <v>1030658</v>
      </c>
      <c r="F1683" t="s">
        <v>371</v>
      </c>
      <c r="G1683" s="9">
        <v>44997</v>
      </c>
      <c r="H1683" s="7">
        <v>24017.360000000001</v>
      </c>
      <c r="I1683" s="7"/>
      <c r="J1683" s="7"/>
      <c r="K1683" s="7"/>
      <c r="L1683" s="10">
        <v>5.4496124031007751</v>
      </c>
      <c r="M1683" s="9">
        <v>45002</v>
      </c>
      <c r="N1683" s="10">
        <v>10</v>
      </c>
      <c r="O1683" s="9">
        <v>45012</v>
      </c>
      <c r="P1683">
        <v>4</v>
      </c>
      <c r="Q1683" s="11" t="s">
        <v>49</v>
      </c>
      <c r="R1683" s="7">
        <v>24017.360000000001</v>
      </c>
      <c r="S1683" s="7"/>
      <c r="T1683" s="7"/>
      <c r="U1683" s="7"/>
      <c r="V1683" s="10">
        <v>7.4496124031007751</v>
      </c>
      <c r="W1683" s="9">
        <v>45004</v>
      </c>
      <c r="X1683" s="10">
        <v>12</v>
      </c>
      <c r="Y1683" s="9">
        <v>45012</v>
      </c>
      <c r="Z1683">
        <v>4</v>
      </c>
      <c r="AA1683" s="11" t="s">
        <v>49</v>
      </c>
    </row>
    <row r="1684" spans="2:27" ht="16" x14ac:dyDescent="0.2">
      <c r="B1684" t="s">
        <v>35</v>
      </c>
      <c r="C1684">
        <v>40367279</v>
      </c>
      <c r="D1684" t="s">
        <v>423</v>
      </c>
      <c r="E1684">
        <v>1030658</v>
      </c>
      <c r="F1684" t="s">
        <v>371</v>
      </c>
      <c r="G1684" s="9">
        <v>44988</v>
      </c>
      <c r="H1684" s="7">
        <v>23999.22</v>
      </c>
      <c r="I1684" s="7"/>
      <c r="J1684" s="7"/>
      <c r="K1684" s="7"/>
      <c r="L1684" s="10">
        <v>5.4496124031007751</v>
      </c>
      <c r="M1684" s="9">
        <v>44993</v>
      </c>
      <c r="N1684" s="10">
        <v>10</v>
      </c>
      <c r="O1684" s="9">
        <v>45003</v>
      </c>
      <c r="P1684">
        <v>9</v>
      </c>
      <c r="Q1684" s="11" t="s">
        <v>49</v>
      </c>
      <c r="R1684" s="7">
        <v>23999.22</v>
      </c>
      <c r="S1684" s="7"/>
      <c r="T1684" s="7"/>
      <c r="U1684" s="7"/>
      <c r="V1684" s="10">
        <v>7.4496124031007751</v>
      </c>
      <c r="W1684" s="9">
        <v>44995</v>
      </c>
      <c r="X1684" s="10">
        <v>12</v>
      </c>
      <c r="Y1684" s="9">
        <v>45003</v>
      </c>
      <c r="Z1684">
        <v>9</v>
      </c>
      <c r="AA1684" s="11" t="s">
        <v>49</v>
      </c>
    </row>
    <row r="1685" spans="2:27" ht="16" x14ac:dyDescent="0.2">
      <c r="B1685" t="s">
        <v>35</v>
      </c>
      <c r="C1685">
        <v>40367278</v>
      </c>
      <c r="D1685" t="s">
        <v>423</v>
      </c>
      <c r="E1685">
        <v>1030658</v>
      </c>
      <c r="F1685" t="s">
        <v>371</v>
      </c>
      <c r="G1685" s="9">
        <v>44991</v>
      </c>
      <c r="H1685" s="7">
        <v>24017.360000000001</v>
      </c>
      <c r="I1685" s="7"/>
      <c r="J1685" s="7"/>
      <c r="K1685" s="7"/>
      <c r="L1685" s="10">
        <v>5.4496124031007751</v>
      </c>
      <c r="M1685" s="9">
        <v>44996</v>
      </c>
      <c r="N1685" s="10">
        <v>10</v>
      </c>
      <c r="O1685" s="9">
        <v>45006</v>
      </c>
      <c r="P1685">
        <v>9</v>
      </c>
      <c r="Q1685" s="11" t="s">
        <v>49</v>
      </c>
      <c r="R1685" s="7">
        <v>24017.360000000001</v>
      </c>
      <c r="S1685" s="7"/>
      <c r="T1685" s="7"/>
      <c r="U1685" s="7"/>
      <c r="V1685" s="10">
        <v>7.4496124031007751</v>
      </c>
      <c r="W1685" s="9">
        <v>44998</v>
      </c>
      <c r="X1685" s="10">
        <v>12</v>
      </c>
      <c r="Y1685" s="9">
        <v>45006</v>
      </c>
      <c r="Z1685">
        <v>9</v>
      </c>
      <c r="AA1685" s="11" t="s">
        <v>49</v>
      </c>
    </row>
    <row r="1686" spans="2:27" ht="16" x14ac:dyDescent="0.2">
      <c r="B1686" t="s">
        <v>35</v>
      </c>
      <c r="C1686">
        <v>40367277</v>
      </c>
      <c r="D1686" t="s">
        <v>423</v>
      </c>
      <c r="E1686">
        <v>1030658</v>
      </c>
      <c r="F1686" t="s">
        <v>371</v>
      </c>
      <c r="G1686" s="9">
        <v>44997</v>
      </c>
      <c r="H1686" s="7">
        <v>23999.22</v>
      </c>
      <c r="I1686" s="7"/>
      <c r="J1686" s="7"/>
      <c r="K1686" s="7"/>
      <c r="L1686" s="10">
        <v>5.4496124031007751</v>
      </c>
      <c r="M1686" s="9">
        <v>45002</v>
      </c>
      <c r="N1686" s="10">
        <v>10</v>
      </c>
      <c r="O1686" s="9">
        <v>45012</v>
      </c>
      <c r="P1686">
        <v>4</v>
      </c>
      <c r="Q1686" s="11" t="s">
        <v>49</v>
      </c>
      <c r="R1686" s="7">
        <v>23999.22</v>
      </c>
      <c r="S1686" s="7"/>
      <c r="T1686" s="7"/>
      <c r="U1686" s="7"/>
      <c r="V1686" s="10">
        <v>7.4496124031007751</v>
      </c>
      <c r="W1686" s="9">
        <v>45004</v>
      </c>
      <c r="X1686" s="10">
        <v>12</v>
      </c>
      <c r="Y1686" s="9">
        <v>45012</v>
      </c>
      <c r="Z1686">
        <v>4</v>
      </c>
      <c r="AA1686" s="11" t="s">
        <v>49</v>
      </c>
    </row>
    <row r="1687" spans="2:27" ht="16" x14ac:dyDescent="0.2">
      <c r="B1687" t="s">
        <v>35</v>
      </c>
      <c r="C1687">
        <v>40367276</v>
      </c>
      <c r="D1687" t="s">
        <v>423</v>
      </c>
      <c r="E1687">
        <v>1030658</v>
      </c>
      <c r="F1687" t="s">
        <v>371</v>
      </c>
      <c r="G1687" s="9">
        <v>44995</v>
      </c>
      <c r="H1687" s="7">
        <v>24017.360000000001</v>
      </c>
      <c r="I1687" s="7"/>
      <c r="J1687" s="7"/>
      <c r="K1687" s="7"/>
      <c r="L1687" s="10">
        <v>5.4496124031007751</v>
      </c>
      <c r="M1687" s="9">
        <v>45000</v>
      </c>
      <c r="N1687" s="10">
        <v>10</v>
      </c>
      <c r="O1687" s="9">
        <v>45010</v>
      </c>
      <c r="P1687">
        <v>5</v>
      </c>
      <c r="Q1687" s="11" t="s">
        <v>49</v>
      </c>
      <c r="R1687" s="7">
        <v>24017.360000000001</v>
      </c>
      <c r="S1687" s="7"/>
      <c r="T1687" s="7"/>
      <c r="U1687" s="7"/>
      <c r="V1687" s="10">
        <v>7.4496124031007751</v>
      </c>
      <c r="W1687" s="9">
        <v>45002</v>
      </c>
      <c r="X1687" s="10">
        <v>12</v>
      </c>
      <c r="Y1687" s="9">
        <v>45010</v>
      </c>
      <c r="Z1687">
        <v>5</v>
      </c>
      <c r="AA1687" s="11" t="s">
        <v>49</v>
      </c>
    </row>
    <row r="1688" spans="2:27" ht="16" x14ac:dyDescent="0.2">
      <c r="B1688" t="s">
        <v>35</v>
      </c>
      <c r="C1688">
        <v>40367270</v>
      </c>
      <c r="D1688" t="s">
        <v>423</v>
      </c>
      <c r="E1688">
        <v>1020845</v>
      </c>
      <c r="F1688" t="s">
        <v>496</v>
      </c>
      <c r="G1688" s="9">
        <v>44997</v>
      </c>
      <c r="H1688" s="7">
        <v>24018.02</v>
      </c>
      <c r="I1688" s="7"/>
      <c r="J1688" s="7"/>
      <c r="K1688" s="7"/>
      <c r="L1688" s="10">
        <v>5.4496124031007751</v>
      </c>
      <c r="M1688" s="9">
        <v>45002</v>
      </c>
      <c r="N1688" s="10">
        <v>10</v>
      </c>
      <c r="O1688" s="9">
        <v>45012</v>
      </c>
      <c r="P1688">
        <v>4</v>
      </c>
      <c r="Q1688" s="11" t="s">
        <v>49</v>
      </c>
      <c r="R1688" s="7">
        <v>24018.02</v>
      </c>
      <c r="S1688" s="7"/>
      <c r="T1688" s="7"/>
      <c r="U1688" s="7"/>
      <c r="V1688" s="10">
        <v>7.4496124031007751</v>
      </c>
      <c r="W1688" s="9">
        <v>45004</v>
      </c>
      <c r="X1688" s="10">
        <v>12</v>
      </c>
      <c r="Y1688" s="9">
        <v>45012</v>
      </c>
      <c r="Z1688">
        <v>4</v>
      </c>
      <c r="AA1688" s="11" t="s">
        <v>49</v>
      </c>
    </row>
    <row r="1689" spans="2:27" ht="16" x14ac:dyDescent="0.2">
      <c r="B1689" t="s">
        <v>35</v>
      </c>
      <c r="C1689">
        <v>40367265</v>
      </c>
      <c r="D1689" t="s">
        <v>423</v>
      </c>
      <c r="E1689">
        <v>1023302</v>
      </c>
      <c r="F1689" t="s">
        <v>268</v>
      </c>
      <c r="G1689" s="9">
        <v>44991</v>
      </c>
      <c r="H1689" s="7">
        <v>23920</v>
      </c>
      <c r="I1689" s="7"/>
      <c r="J1689" s="7"/>
      <c r="K1689" s="7"/>
      <c r="L1689" s="10">
        <v>5.4496124031007751</v>
      </c>
      <c r="M1689" s="9">
        <v>44996</v>
      </c>
      <c r="N1689" s="10">
        <v>10</v>
      </c>
      <c r="O1689" s="9">
        <v>45006</v>
      </c>
      <c r="P1689">
        <v>9</v>
      </c>
      <c r="Q1689" s="11" t="s">
        <v>49</v>
      </c>
      <c r="R1689" s="7">
        <v>23920</v>
      </c>
      <c r="S1689" s="7"/>
      <c r="T1689" s="7"/>
      <c r="U1689" s="7"/>
      <c r="V1689" s="10">
        <v>7.4496124031007751</v>
      </c>
      <c r="W1689" s="9">
        <v>44998</v>
      </c>
      <c r="X1689" s="10">
        <v>12</v>
      </c>
      <c r="Y1689" s="9">
        <v>45006</v>
      </c>
      <c r="Z1689">
        <v>9</v>
      </c>
      <c r="AA1689" s="11" t="s">
        <v>49</v>
      </c>
    </row>
    <row r="1690" spans="2:27" ht="16" x14ac:dyDescent="0.2">
      <c r="B1690" t="s">
        <v>35</v>
      </c>
      <c r="C1690">
        <v>40367256</v>
      </c>
      <c r="D1690" t="s">
        <v>423</v>
      </c>
      <c r="E1690">
        <v>1023302</v>
      </c>
      <c r="F1690" t="s">
        <v>268</v>
      </c>
      <c r="G1690" s="9">
        <v>44997</v>
      </c>
      <c r="H1690" s="7">
        <v>24000</v>
      </c>
      <c r="I1690" s="7"/>
      <c r="J1690" s="7"/>
      <c r="K1690" s="7"/>
      <c r="L1690" s="10">
        <v>5.4496124031007751</v>
      </c>
      <c r="M1690" s="9">
        <v>45002</v>
      </c>
      <c r="N1690" s="10">
        <v>10</v>
      </c>
      <c r="O1690" s="9">
        <v>45012</v>
      </c>
      <c r="P1690">
        <v>4</v>
      </c>
      <c r="Q1690" s="11" t="s">
        <v>49</v>
      </c>
      <c r="R1690" s="7">
        <v>24000</v>
      </c>
      <c r="S1690" s="7"/>
      <c r="T1690" s="7"/>
      <c r="U1690" s="7"/>
      <c r="V1690" s="10">
        <v>7.4496124031007751</v>
      </c>
      <c r="W1690" s="9">
        <v>45004</v>
      </c>
      <c r="X1690" s="10">
        <v>12</v>
      </c>
      <c r="Y1690" s="9">
        <v>45012</v>
      </c>
      <c r="Z1690">
        <v>4</v>
      </c>
      <c r="AA1690" s="11" t="s">
        <v>49</v>
      </c>
    </row>
    <row r="1691" spans="2:27" ht="16" x14ac:dyDescent="0.2">
      <c r="B1691" t="s">
        <v>35</v>
      </c>
      <c r="C1691">
        <v>40367253</v>
      </c>
      <c r="D1691" t="s">
        <v>423</v>
      </c>
      <c r="E1691">
        <v>1023302</v>
      </c>
      <c r="F1691" t="s">
        <v>268</v>
      </c>
      <c r="G1691" s="9">
        <v>45007</v>
      </c>
      <c r="H1691" s="7"/>
      <c r="I1691" s="7">
        <v>24240</v>
      </c>
      <c r="J1691" s="7"/>
      <c r="K1691" s="7"/>
      <c r="L1691" s="10">
        <v>5.4496124031007751</v>
      </c>
      <c r="M1691" s="9">
        <v>45012</v>
      </c>
      <c r="N1691" s="10">
        <v>10</v>
      </c>
      <c r="O1691" s="9">
        <v>45022</v>
      </c>
      <c r="P1691">
        <v>20</v>
      </c>
      <c r="Q1691" s="11" t="s">
        <v>49</v>
      </c>
      <c r="R1691" s="7"/>
      <c r="S1691" s="7">
        <v>24240</v>
      </c>
      <c r="T1691" s="7"/>
      <c r="U1691" s="7"/>
      <c r="V1691" s="10">
        <v>7.4496124031007751</v>
      </c>
      <c r="W1691" s="9">
        <v>45014</v>
      </c>
      <c r="X1691" s="10">
        <v>12</v>
      </c>
      <c r="Y1691" s="9">
        <v>45022</v>
      </c>
      <c r="Z1691">
        <v>20</v>
      </c>
      <c r="AA1691" s="11" t="s">
        <v>49</v>
      </c>
    </row>
    <row r="1692" spans="2:27" ht="16" x14ac:dyDescent="0.2">
      <c r="B1692" t="s">
        <v>35</v>
      </c>
      <c r="C1692">
        <v>40367251</v>
      </c>
      <c r="D1692" t="s">
        <v>423</v>
      </c>
      <c r="E1692">
        <v>1023302</v>
      </c>
      <c r="F1692" t="s">
        <v>268</v>
      </c>
      <c r="G1692" s="9">
        <v>45001</v>
      </c>
      <c r="H1692" s="7">
        <v>5100</v>
      </c>
      <c r="I1692" s="7"/>
      <c r="J1692" s="7"/>
      <c r="K1692" s="7"/>
      <c r="L1692" s="10">
        <v>5.4496124031007751</v>
      </c>
      <c r="M1692" s="9">
        <v>45006</v>
      </c>
      <c r="N1692" s="10">
        <v>10</v>
      </c>
      <c r="O1692" s="9">
        <v>45016</v>
      </c>
      <c r="P1692">
        <v>0</v>
      </c>
      <c r="Q1692" s="11" t="s">
        <v>598</v>
      </c>
      <c r="R1692" s="7">
        <v>5100</v>
      </c>
      <c r="S1692" s="7"/>
      <c r="T1692" s="7"/>
      <c r="U1692" s="7"/>
      <c r="V1692" s="10">
        <v>7.4496124031007751</v>
      </c>
      <c r="W1692" s="9">
        <v>45008</v>
      </c>
      <c r="X1692" s="10">
        <v>12</v>
      </c>
      <c r="Y1692" s="9">
        <v>45016</v>
      </c>
      <c r="Z1692">
        <v>0</v>
      </c>
      <c r="AA1692" s="11" t="s">
        <v>598</v>
      </c>
    </row>
    <row r="1693" spans="2:27" ht="16" x14ac:dyDescent="0.2">
      <c r="B1693" t="s">
        <v>35</v>
      </c>
      <c r="C1693">
        <v>40367251</v>
      </c>
      <c r="D1693" t="s">
        <v>423</v>
      </c>
      <c r="E1693">
        <v>1023302</v>
      </c>
      <c r="F1693" t="s">
        <v>268</v>
      </c>
      <c r="G1693" s="9">
        <v>45001</v>
      </c>
      <c r="H1693" s="7">
        <v>24100</v>
      </c>
      <c r="I1693" s="7"/>
      <c r="J1693" s="7"/>
      <c r="K1693" s="7"/>
      <c r="L1693" s="10">
        <v>5.4496124031007751</v>
      </c>
      <c r="M1693" s="9">
        <v>45006</v>
      </c>
      <c r="N1693" s="10">
        <v>10</v>
      </c>
      <c r="O1693" s="9">
        <v>45016</v>
      </c>
      <c r="P1693">
        <v>0</v>
      </c>
      <c r="Q1693" s="11" t="s">
        <v>598</v>
      </c>
      <c r="R1693" s="7">
        <v>24100</v>
      </c>
      <c r="S1693" s="7"/>
      <c r="T1693" s="7"/>
      <c r="U1693" s="7"/>
      <c r="V1693" s="10">
        <v>7.4496124031007751</v>
      </c>
      <c r="W1693" s="9">
        <v>45008</v>
      </c>
      <c r="X1693" s="10">
        <v>12</v>
      </c>
      <c r="Y1693" s="9">
        <v>45016</v>
      </c>
      <c r="Z1693">
        <v>0</v>
      </c>
      <c r="AA1693" s="11" t="s">
        <v>598</v>
      </c>
    </row>
    <row r="1694" spans="2:27" ht="16" x14ac:dyDescent="0.2">
      <c r="B1694" t="s">
        <v>35</v>
      </c>
      <c r="C1694">
        <v>40367250</v>
      </c>
      <c r="D1694" t="s">
        <v>423</v>
      </c>
      <c r="E1694">
        <v>1023302</v>
      </c>
      <c r="F1694" t="s">
        <v>268</v>
      </c>
      <c r="G1694" s="9">
        <v>45001</v>
      </c>
      <c r="H1694" s="7">
        <v>24000</v>
      </c>
      <c r="I1694" s="7"/>
      <c r="J1694" s="7"/>
      <c r="K1694" s="7"/>
      <c r="L1694" s="10">
        <v>5.4496124031007751</v>
      </c>
      <c r="M1694" s="9">
        <v>45006</v>
      </c>
      <c r="N1694" s="10">
        <v>10</v>
      </c>
      <c r="O1694" s="9">
        <v>45016</v>
      </c>
      <c r="P1694">
        <v>0</v>
      </c>
      <c r="Q1694" s="11" t="s">
        <v>598</v>
      </c>
      <c r="R1694" s="7">
        <v>24000</v>
      </c>
      <c r="S1694" s="7"/>
      <c r="T1694" s="7"/>
      <c r="U1694" s="7"/>
      <c r="V1694" s="10">
        <v>7.4496124031007751</v>
      </c>
      <c r="W1694" s="9">
        <v>45008</v>
      </c>
      <c r="X1694" s="10">
        <v>12</v>
      </c>
      <c r="Y1694" s="9">
        <v>45016</v>
      </c>
      <c r="Z1694">
        <v>0</v>
      </c>
      <c r="AA1694" s="11" t="s">
        <v>598</v>
      </c>
    </row>
    <row r="1695" spans="2:27" ht="16" x14ac:dyDescent="0.2">
      <c r="B1695" t="s">
        <v>35</v>
      </c>
      <c r="C1695">
        <v>40367237</v>
      </c>
      <c r="D1695" t="s">
        <v>423</v>
      </c>
      <c r="E1695">
        <v>1021555</v>
      </c>
      <c r="F1695" t="s">
        <v>422</v>
      </c>
      <c r="G1695" s="9">
        <v>45007</v>
      </c>
      <c r="H1695" s="7"/>
      <c r="I1695" s="7">
        <v>24003.29</v>
      </c>
      <c r="J1695" s="7"/>
      <c r="K1695" s="7"/>
      <c r="L1695" s="10">
        <v>5.4496124031007751</v>
      </c>
      <c r="M1695" s="9">
        <v>45012</v>
      </c>
      <c r="N1695" s="10">
        <v>10</v>
      </c>
      <c r="O1695" s="9">
        <v>45022</v>
      </c>
      <c r="P1695">
        <v>20</v>
      </c>
      <c r="Q1695" s="11" t="s">
        <v>49</v>
      </c>
      <c r="R1695" s="7"/>
      <c r="S1695" s="7">
        <v>24003.29</v>
      </c>
      <c r="T1695" s="7"/>
      <c r="U1695" s="7"/>
      <c r="V1695" s="10">
        <v>7.4496124031007751</v>
      </c>
      <c r="W1695" s="9">
        <v>45014</v>
      </c>
      <c r="X1695" s="10">
        <v>12</v>
      </c>
      <c r="Y1695" s="9">
        <v>45022</v>
      </c>
      <c r="Z1695">
        <v>20</v>
      </c>
      <c r="AA1695" s="11" t="s">
        <v>49</v>
      </c>
    </row>
    <row r="1696" spans="2:27" ht="16" x14ac:dyDescent="0.2">
      <c r="B1696" t="s">
        <v>35</v>
      </c>
      <c r="C1696">
        <v>40367236</v>
      </c>
      <c r="D1696" t="s">
        <v>423</v>
      </c>
      <c r="E1696">
        <v>1021555</v>
      </c>
      <c r="F1696" t="s">
        <v>422</v>
      </c>
      <c r="G1696" s="9">
        <v>45001</v>
      </c>
      <c r="H1696" s="7">
        <v>18242.38</v>
      </c>
      <c r="I1696" s="7"/>
      <c r="J1696" s="7"/>
      <c r="K1696" s="7"/>
      <c r="L1696" s="10">
        <v>5.4496124031007751</v>
      </c>
      <c r="M1696" s="9">
        <v>45006</v>
      </c>
      <c r="N1696" s="10">
        <v>10</v>
      </c>
      <c r="O1696" s="9">
        <v>45016</v>
      </c>
      <c r="P1696">
        <v>0</v>
      </c>
      <c r="Q1696" s="11" t="s">
        <v>598</v>
      </c>
      <c r="R1696" s="7">
        <v>18242.38</v>
      </c>
      <c r="S1696" s="7"/>
      <c r="T1696" s="7"/>
      <c r="U1696" s="7"/>
      <c r="V1696" s="10">
        <v>7.4496124031007751</v>
      </c>
      <c r="W1696" s="9">
        <v>45008</v>
      </c>
      <c r="X1696" s="10">
        <v>12</v>
      </c>
      <c r="Y1696" s="9">
        <v>45016</v>
      </c>
      <c r="Z1696">
        <v>0</v>
      </c>
      <c r="AA1696" s="11" t="s">
        <v>598</v>
      </c>
    </row>
    <row r="1697" spans="2:27" ht="16" x14ac:dyDescent="0.2">
      <c r="B1697" t="s">
        <v>35</v>
      </c>
      <c r="C1697">
        <v>40367236</v>
      </c>
      <c r="D1697" t="s">
        <v>423</v>
      </c>
      <c r="E1697">
        <v>1021555</v>
      </c>
      <c r="F1697" t="s">
        <v>422</v>
      </c>
      <c r="G1697" s="9">
        <v>45001</v>
      </c>
      <c r="H1697" s="7">
        <v>23247.37</v>
      </c>
      <c r="I1697" s="7"/>
      <c r="J1697" s="7"/>
      <c r="K1697" s="7"/>
      <c r="L1697" s="10">
        <v>5.4496124031007751</v>
      </c>
      <c r="M1697" s="9">
        <v>45006</v>
      </c>
      <c r="N1697" s="10">
        <v>10</v>
      </c>
      <c r="O1697" s="9">
        <v>45016</v>
      </c>
      <c r="P1697">
        <v>0</v>
      </c>
      <c r="Q1697" s="11" t="s">
        <v>598</v>
      </c>
      <c r="R1697" s="7">
        <v>23247.37</v>
      </c>
      <c r="S1697" s="7"/>
      <c r="T1697" s="7"/>
      <c r="U1697" s="7"/>
      <c r="V1697" s="10">
        <v>7.4496124031007751</v>
      </c>
      <c r="W1697" s="9">
        <v>45008</v>
      </c>
      <c r="X1697" s="10">
        <v>12</v>
      </c>
      <c r="Y1697" s="9">
        <v>45016</v>
      </c>
      <c r="Z1697">
        <v>0</v>
      </c>
      <c r="AA1697" s="11" t="s">
        <v>598</v>
      </c>
    </row>
    <row r="1698" spans="2:27" ht="16" x14ac:dyDescent="0.2">
      <c r="B1698" t="s">
        <v>35</v>
      </c>
      <c r="C1698">
        <v>40367235</v>
      </c>
      <c r="D1698" t="s">
        <v>423</v>
      </c>
      <c r="E1698">
        <v>1021555</v>
      </c>
      <c r="F1698" t="s">
        <v>422</v>
      </c>
      <c r="G1698" s="9">
        <v>45001</v>
      </c>
      <c r="H1698" s="7">
        <v>24002.03</v>
      </c>
      <c r="I1698" s="7"/>
      <c r="J1698" s="7"/>
      <c r="K1698" s="7"/>
      <c r="L1698" s="10">
        <v>5.4496124031007751</v>
      </c>
      <c r="M1698" s="9">
        <v>45006</v>
      </c>
      <c r="N1698" s="10">
        <v>10</v>
      </c>
      <c r="O1698" s="9">
        <v>45016</v>
      </c>
      <c r="P1698">
        <v>0</v>
      </c>
      <c r="Q1698" s="11" t="s">
        <v>598</v>
      </c>
      <c r="R1698" s="7">
        <v>24002.03</v>
      </c>
      <c r="S1698" s="7"/>
      <c r="T1698" s="7"/>
      <c r="U1698" s="7"/>
      <c r="V1698" s="10">
        <v>7.4496124031007751</v>
      </c>
      <c r="W1698" s="9">
        <v>45008</v>
      </c>
      <c r="X1698" s="10">
        <v>12</v>
      </c>
      <c r="Y1698" s="9">
        <v>45016</v>
      </c>
      <c r="Z1698">
        <v>0</v>
      </c>
      <c r="AA1698" s="11" t="s">
        <v>598</v>
      </c>
    </row>
    <row r="1699" spans="2:27" ht="16" x14ac:dyDescent="0.2">
      <c r="B1699" t="s">
        <v>35</v>
      </c>
      <c r="C1699">
        <v>40367232</v>
      </c>
      <c r="D1699" t="s">
        <v>423</v>
      </c>
      <c r="E1699">
        <v>1021272</v>
      </c>
      <c r="F1699" t="s">
        <v>263</v>
      </c>
      <c r="G1699" s="9">
        <v>44997</v>
      </c>
      <c r="H1699" s="7">
        <v>13054.4</v>
      </c>
      <c r="I1699" s="7"/>
      <c r="J1699" s="7"/>
      <c r="K1699" s="7"/>
      <c r="L1699" s="10">
        <v>5.4496124031007751</v>
      </c>
      <c r="M1699" s="9">
        <v>45002</v>
      </c>
      <c r="N1699" s="10">
        <v>10</v>
      </c>
      <c r="O1699" s="9">
        <v>45012</v>
      </c>
      <c r="P1699">
        <v>4</v>
      </c>
      <c r="Q1699" s="11" t="s">
        <v>49</v>
      </c>
      <c r="R1699" s="7">
        <v>13054.4</v>
      </c>
      <c r="S1699" s="7"/>
      <c r="T1699" s="7"/>
      <c r="U1699" s="7"/>
      <c r="V1699" s="10">
        <v>7.4496124031007751</v>
      </c>
      <c r="W1699" s="9">
        <v>45004</v>
      </c>
      <c r="X1699" s="10">
        <v>12</v>
      </c>
      <c r="Y1699" s="9">
        <v>45012</v>
      </c>
      <c r="Z1699">
        <v>4</v>
      </c>
      <c r="AA1699" s="11" t="s">
        <v>49</v>
      </c>
    </row>
    <row r="1700" spans="2:27" ht="16" x14ac:dyDescent="0.2">
      <c r="B1700" t="s">
        <v>35</v>
      </c>
      <c r="C1700">
        <v>40367232</v>
      </c>
      <c r="D1700" t="s">
        <v>423</v>
      </c>
      <c r="E1700">
        <v>1021272</v>
      </c>
      <c r="F1700" t="s">
        <v>263</v>
      </c>
      <c r="G1700" s="9">
        <v>44997</v>
      </c>
      <c r="H1700" s="7">
        <v>24058.79</v>
      </c>
      <c r="I1700" s="7"/>
      <c r="J1700" s="7"/>
      <c r="K1700" s="7"/>
      <c r="L1700" s="10">
        <v>5.4496124031007751</v>
      </c>
      <c r="M1700" s="9">
        <v>45002</v>
      </c>
      <c r="N1700" s="10">
        <v>10</v>
      </c>
      <c r="O1700" s="9">
        <v>45012</v>
      </c>
      <c r="P1700">
        <v>4</v>
      </c>
      <c r="Q1700" s="11" t="s">
        <v>49</v>
      </c>
      <c r="R1700" s="7">
        <v>24058.79</v>
      </c>
      <c r="S1700" s="7"/>
      <c r="T1700" s="7"/>
      <c r="U1700" s="7"/>
      <c r="V1700" s="10">
        <v>7.4496124031007751</v>
      </c>
      <c r="W1700" s="9">
        <v>45004</v>
      </c>
      <c r="X1700" s="10">
        <v>12</v>
      </c>
      <c r="Y1700" s="9">
        <v>45012</v>
      </c>
      <c r="Z1700">
        <v>4</v>
      </c>
      <c r="AA1700" s="11" t="s">
        <v>49</v>
      </c>
    </row>
    <row r="1701" spans="2:27" ht="16" x14ac:dyDescent="0.2">
      <c r="B1701" t="s">
        <v>35</v>
      </c>
      <c r="C1701">
        <v>40367229</v>
      </c>
      <c r="D1701" t="s">
        <v>423</v>
      </c>
      <c r="E1701">
        <v>1021272</v>
      </c>
      <c r="F1701" t="s">
        <v>263</v>
      </c>
      <c r="G1701" s="9">
        <v>44988</v>
      </c>
      <c r="H1701" s="7">
        <v>5531.48</v>
      </c>
      <c r="I1701" s="7"/>
      <c r="J1701" s="7"/>
      <c r="K1701" s="7"/>
      <c r="L1701" s="10">
        <v>5.4496124031007751</v>
      </c>
      <c r="M1701" s="9">
        <v>44993</v>
      </c>
      <c r="N1701" s="10">
        <v>10</v>
      </c>
      <c r="O1701" s="9">
        <v>45003</v>
      </c>
      <c r="P1701">
        <v>9</v>
      </c>
      <c r="Q1701" s="11" t="s">
        <v>49</v>
      </c>
      <c r="R1701" s="7">
        <v>5531.48</v>
      </c>
      <c r="S1701" s="7"/>
      <c r="T1701" s="7"/>
      <c r="U1701" s="7"/>
      <c r="V1701" s="10">
        <v>7.4496124031007751</v>
      </c>
      <c r="W1701" s="9">
        <v>44995</v>
      </c>
      <c r="X1701" s="10">
        <v>12</v>
      </c>
      <c r="Y1701" s="9">
        <v>45003</v>
      </c>
      <c r="Z1701">
        <v>9</v>
      </c>
      <c r="AA1701" s="11" t="s">
        <v>49</v>
      </c>
    </row>
    <row r="1702" spans="2:27" ht="16" x14ac:dyDescent="0.2">
      <c r="B1702" t="s">
        <v>35</v>
      </c>
      <c r="C1702">
        <v>40367229</v>
      </c>
      <c r="D1702" t="s">
        <v>423</v>
      </c>
      <c r="E1702">
        <v>1021272</v>
      </c>
      <c r="F1702" t="s">
        <v>263</v>
      </c>
      <c r="G1702" s="9">
        <v>44988</v>
      </c>
      <c r="H1702" s="7">
        <v>24007.25</v>
      </c>
      <c r="I1702" s="7"/>
      <c r="J1702" s="7"/>
      <c r="K1702" s="7"/>
      <c r="L1702" s="10">
        <v>5.4496124031007751</v>
      </c>
      <c r="M1702" s="9">
        <v>44993</v>
      </c>
      <c r="N1702" s="10">
        <v>10</v>
      </c>
      <c r="O1702" s="9">
        <v>45003</v>
      </c>
      <c r="P1702">
        <v>9</v>
      </c>
      <c r="Q1702" s="11" t="s">
        <v>49</v>
      </c>
      <c r="R1702" s="7">
        <v>24007.25</v>
      </c>
      <c r="S1702" s="7"/>
      <c r="T1702" s="7"/>
      <c r="U1702" s="7"/>
      <c r="V1702" s="10">
        <v>7.4496124031007751</v>
      </c>
      <c r="W1702" s="9">
        <v>44995</v>
      </c>
      <c r="X1702" s="10">
        <v>12</v>
      </c>
      <c r="Y1702" s="9">
        <v>45003</v>
      </c>
      <c r="Z1702">
        <v>9</v>
      </c>
      <c r="AA1702" s="11" t="s">
        <v>49</v>
      </c>
    </row>
    <row r="1703" spans="2:27" ht="16" x14ac:dyDescent="0.2">
      <c r="B1703" t="s">
        <v>35</v>
      </c>
      <c r="C1703">
        <v>40367226</v>
      </c>
      <c r="D1703" t="s">
        <v>423</v>
      </c>
      <c r="E1703">
        <v>1021272</v>
      </c>
      <c r="F1703" t="s">
        <v>263</v>
      </c>
      <c r="G1703" s="9">
        <v>45007</v>
      </c>
      <c r="H1703" s="7"/>
      <c r="I1703" s="7">
        <v>24000.080000000002</v>
      </c>
      <c r="J1703" s="7"/>
      <c r="K1703" s="7"/>
      <c r="L1703" s="10">
        <v>5.4496124031007751</v>
      </c>
      <c r="M1703" s="9">
        <v>45012</v>
      </c>
      <c r="N1703" s="10">
        <v>10</v>
      </c>
      <c r="O1703" s="9">
        <v>45022</v>
      </c>
      <c r="P1703">
        <v>20</v>
      </c>
      <c r="Q1703" s="11" t="s">
        <v>49</v>
      </c>
      <c r="R1703" s="7"/>
      <c r="S1703" s="7">
        <v>24000.080000000002</v>
      </c>
      <c r="T1703" s="7"/>
      <c r="U1703" s="7"/>
      <c r="V1703" s="10">
        <v>7.4496124031007751</v>
      </c>
      <c r="W1703" s="9">
        <v>45014</v>
      </c>
      <c r="X1703" s="10">
        <v>12</v>
      </c>
      <c r="Y1703" s="9">
        <v>45022</v>
      </c>
      <c r="Z1703">
        <v>20</v>
      </c>
      <c r="AA1703" s="11" t="s">
        <v>49</v>
      </c>
    </row>
    <row r="1704" spans="2:27" ht="16" x14ac:dyDescent="0.2">
      <c r="B1704" t="s">
        <v>35</v>
      </c>
      <c r="C1704">
        <v>40367223</v>
      </c>
      <c r="D1704" t="s">
        <v>423</v>
      </c>
      <c r="E1704">
        <v>1021272</v>
      </c>
      <c r="F1704" t="s">
        <v>263</v>
      </c>
      <c r="G1704" s="9">
        <v>45001</v>
      </c>
      <c r="H1704" s="7">
        <v>24007.919999999998</v>
      </c>
      <c r="I1704" s="7"/>
      <c r="J1704" s="7"/>
      <c r="K1704" s="7"/>
      <c r="L1704" s="10">
        <v>5.4496124031007751</v>
      </c>
      <c r="M1704" s="9">
        <v>45006</v>
      </c>
      <c r="N1704" s="10">
        <v>10</v>
      </c>
      <c r="O1704" s="9">
        <v>45016</v>
      </c>
      <c r="P1704">
        <v>0</v>
      </c>
      <c r="Q1704" s="11" t="s">
        <v>598</v>
      </c>
      <c r="R1704" s="7">
        <v>24007.919999999998</v>
      </c>
      <c r="S1704" s="7"/>
      <c r="T1704" s="7"/>
      <c r="U1704" s="7"/>
      <c r="V1704" s="10">
        <v>7.4496124031007751</v>
      </c>
      <c r="W1704" s="9">
        <v>45008</v>
      </c>
      <c r="X1704" s="10">
        <v>12</v>
      </c>
      <c r="Y1704" s="9">
        <v>45016</v>
      </c>
      <c r="Z1704">
        <v>0</v>
      </c>
      <c r="AA1704" s="11" t="s">
        <v>598</v>
      </c>
    </row>
    <row r="1705" spans="2:27" ht="16" x14ac:dyDescent="0.2">
      <c r="B1705" t="s">
        <v>35</v>
      </c>
      <c r="C1705">
        <v>40367217</v>
      </c>
      <c r="D1705" t="s">
        <v>423</v>
      </c>
      <c r="E1705">
        <v>1011127</v>
      </c>
      <c r="F1705" t="s">
        <v>228</v>
      </c>
      <c r="G1705" s="9">
        <v>44991</v>
      </c>
      <c r="H1705" s="7">
        <v>20400</v>
      </c>
      <c r="I1705" s="7"/>
      <c r="J1705" s="7"/>
      <c r="K1705" s="7"/>
      <c r="L1705" s="10">
        <v>5.4496124031007751</v>
      </c>
      <c r="M1705" s="9">
        <v>44996</v>
      </c>
      <c r="N1705" s="10">
        <v>10</v>
      </c>
      <c r="O1705" s="9">
        <v>45006</v>
      </c>
      <c r="P1705">
        <v>9</v>
      </c>
      <c r="Q1705" s="11" t="s">
        <v>49</v>
      </c>
      <c r="R1705" s="7">
        <v>20400</v>
      </c>
      <c r="S1705" s="7"/>
      <c r="T1705" s="7"/>
      <c r="U1705" s="7"/>
      <c r="V1705" s="10">
        <v>7.4496124031007751</v>
      </c>
      <c r="W1705" s="9">
        <v>44998</v>
      </c>
      <c r="X1705" s="10">
        <v>12</v>
      </c>
      <c r="Y1705" s="9">
        <v>45006</v>
      </c>
      <c r="Z1705">
        <v>9</v>
      </c>
      <c r="AA1705" s="11" t="s">
        <v>49</v>
      </c>
    </row>
    <row r="1706" spans="2:27" ht="16" x14ac:dyDescent="0.2">
      <c r="B1706" t="s">
        <v>35</v>
      </c>
      <c r="C1706">
        <v>40367214</v>
      </c>
      <c r="D1706" t="s">
        <v>423</v>
      </c>
      <c r="E1706">
        <v>1011127</v>
      </c>
      <c r="F1706" t="s">
        <v>228</v>
      </c>
      <c r="G1706" s="9">
        <v>44997</v>
      </c>
      <c r="H1706" s="7">
        <v>21600</v>
      </c>
      <c r="I1706" s="7"/>
      <c r="J1706" s="7"/>
      <c r="K1706" s="7"/>
      <c r="L1706" s="10">
        <v>5.4496124031007751</v>
      </c>
      <c r="M1706" s="9">
        <v>45002</v>
      </c>
      <c r="N1706" s="10">
        <v>10</v>
      </c>
      <c r="O1706" s="9">
        <v>45012</v>
      </c>
      <c r="P1706">
        <v>4</v>
      </c>
      <c r="Q1706" s="11" t="s">
        <v>49</v>
      </c>
      <c r="R1706" s="7">
        <v>21600</v>
      </c>
      <c r="S1706" s="7"/>
      <c r="T1706" s="7"/>
      <c r="U1706" s="7"/>
      <c r="V1706" s="10">
        <v>7.4496124031007751</v>
      </c>
      <c r="W1706" s="9">
        <v>45004</v>
      </c>
      <c r="X1706" s="10">
        <v>12</v>
      </c>
      <c r="Y1706" s="9">
        <v>45012</v>
      </c>
      <c r="Z1706">
        <v>4</v>
      </c>
      <c r="AA1706" s="11" t="s">
        <v>49</v>
      </c>
    </row>
    <row r="1707" spans="2:27" ht="16" x14ac:dyDescent="0.2">
      <c r="B1707" t="s">
        <v>35</v>
      </c>
      <c r="C1707">
        <v>40367213</v>
      </c>
      <c r="D1707" t="s">
        <v>423</v>
      </c>
      <c r="E1707">
        <v>1011127</v>
      </c>
      <c r="F1707" t="s">
        <v>228</v>
      </c>
      <c r="G1707" s="9">
        <v>44991</v>
      </c>
      <c r="H1707" s="7">
        <v>21600</v>
      </c>
      <c r="I1707" s="7"/>
      <c r="J1707" s="7"/>
      <c r="K1707" s="7"/>
      <c r="L1707" s="10">
        <v>5.4496124031007751</v>
      </c>
      <c r="M1707" s="9">
        <v>44996</v>
      </c>
      <c r="N1707" s="10">
        <v>10</v>
      </c>
      <c r="O1707" s="9">
        <v>45006</v>
      </c>
      <c r="P1707">
        <v>9</v>
      </c>
      <c r="Q1707" s="11" t="s">
        <v>49</v>
      </c>
      <c r="R1707" s="7">
        <v>21600</v>
      </c>
      <c r="S1707" s="7"/>
      <c r="T1707" s="7"/>
      <c r="U1707" s="7"/>
      <c r="V1707" s="10">
        <v>7.4496124031007751</v>
      </c>
      <c r="W1707" s="9">
        <v>44998</v>
      </c>
      <c r="X1707" s="10">
        <v>12</v>
      </c>
      <c r="Y1707" s="9">
        <v>45006</v>
      </c>
      <c r="Z1707">
        <v>9</v>
      </c>
      <c r="AA1707" s="11" t="s">
        <v>49</v>
      </c>
    </row>
    <row r="1708" spans="2:27" ht="16" x14ac:dyDescent="0.2">
      <c r="B1708" t="s">
        <v>35</v>
      </c>
      <c r="C1708">
        <v>40367211</v>
      </c>
      <c r="D1708" t="s">
        <v>423</v>
      </c>
      <c r="E1708">
        <v>1011127</v>
      </c>
      <c r="F1708" t="s">
        <v>228</v>
      </c>
      <c r="G1708" s="9">
        <v>44997</v>
      </c>
      <c r="H1708" s="7">
        <v>20400</v>
      </c>
      <c r="I1708" s="7"/>
      <c r="J1708" s="7"/>
      <c r="K1708" s="7"/>
      <c r="L1708" s="10">
        <v>5.4496124031007751</v>
      </c>
      <c r="M1708" s="9">
        <v>45002</v>
      </c>
      <c r="N1708" s="10">
        <v>10</v>
      </c>
      <c r="O1708" s="9">
        <v>45012</v>
      </c>
      <c r="P1708">
        <v>4</v>
      </c>
      <c r="Q1708" s="11" t="s">
        <v>49</v>
      </c>
      <c r="R1708" s="7">
        <v>20400</v>
      </c>
      <c r="S1708" s="7"/>
      <c r="T1708" s="7"/>
      <c r="U1708" s="7"/>
      <c r="V1708" s="10">
        <v>7.4496124031007751</v>
      </c>
      <c r="W1708" s="9">
        <v>45004</v>
      </c>
      <c r="X1708" s="10">
        <v>12</v>
      </c>
      <c r="Y1708" s="9">
        <v>45012</v>
      </c>
      <c r="Z1708">
        <v>4</v>
      </c>
      <c r="AA1708" s="11" t="s">
        <v>49</v>
      </c>
    </row>
    <row r="1709" spans="2:27" ht="16" x14ac:dyDescent="0.2">
      <c r="B1709" t="s">
        <v>35</v>
      </c>
      <c r="C1709">
        <v>40367210</v>
      </c>
      <c r="D1709" t="s">
        <v>423</v>
      </c>
      <c r="E1709">
        <v>1011127</v>
      </c>
      <c r="F1709" t="s">
        <v>228</v>
      </c>
      <c r="G1709" s="9">
        <v>44991</v>
      </c>
      <c r="H1709" s="7">
        <v>21600</v>
      </c>
      <c r="I1709" s="7"/>
      <c r="J1709" s="7"/>
      <c r="K1709" s="7"/>
      <c r="L1709" s="10">
        <v>5.4496124031007751</v>
      </c>
      <c r="M1709" s="9">
        <v>44996</v>
      </c>
      <c r="N1709" s="10">
        <v>10</v>
      </c>
      <c r="O1709" s="9">
        <v>45006</v>
      </c>
      <c r="P1709">
        <v>9</v>
      </c>
      <c r="Q1709" s="11" t="s">
        <v>49</v>
      </c>
      <c r="R1709" s="7">
        <v>21600</v>
      </c>
      <c r="S1709" s="7"/>
      <c r="T1709" s="7"/>
      <c r="U1709" s="7"/>
      <c r="V1709" s="10">
        <v>7.4496124031007751</v>
      </c>
      <c r="W1709" s="9">
        <v>44998</v>
      </c>
      <c r="X1709" s="10">
        <v>12</v>
      </c>
      <c r="Y1709" s="9">
        <v>45006</v>
      </c>
      <c r="Z1709">
        <v>9</v>
      </c>
      <c r="AA1709" s="11" t="s">
        <v>49</v>
      </c>
    </row>
    <row r="1710" spans="2:27" ht="16" x14ac:dyDescent="0.2">
      <c r="B1710" t="s">
        <v>35</v>
      </c>
      <c r="C1710">
        <v>40367208</v>
      </c>
      <c r="D1710" t="s">
        <v>423</v>
      </c>
      <c r="E1710">
        <v>1011127</v>
      </c>
      <c r="F1710" t="s">
        <v>228</v>
      </c>
      <c r="G1710" s="9">
        <v>44997</v>
      </c>
      <c r="H1710" s="7">
        <v>21600</v>
      </c>
      <c r="I1710" s="7"/>
      <c r="J1710" s="7"/>
      <c r="K1710" s="7"/>
      <c r="L1710" s="10">
        <v>5.4496124031007751</v>
      </c>
      <c r="M1710" s="9">
        <v>45002</v>
      </c>
      <c r="N1710" s="10">
        <v>10</v>
      </c>
      <c r="O1710" s="9">
        <v>45012</v>
      </c>
      <c r="P1710">
        <v>4</v>
      </c>
      <c r="Q1710" s="11" t="s">
        <v>49</v>
      </c>
      <c r="R1710" s="7">
        <v>21600</v>
      </c>
      <c r="S1710" s="7"/>
      <c r="T1710" s="7"/>
      <c r="U1710" s="7"/>
      <c r="V1710" s="10">
        <v>7.4496124031007751</v>
      </c>
      <c r="W1710" s="9">
        <v>45004</v>
      </c>
      <c r="X1710" s="10">
        <v>12</v>
      </c>
      <c r="Y1710" s="9">
        <v>45012</v>
      </c>
      <c r="Z1710">
        <v>4</v>
      </c>
      <c r="AA1710" s="11" t="s">
        <v>49</v>
      </c>
    </row>
    <row r="1711" spans="2:27" ht="16" x14ac:dyDescent="0.2">
      <c r="B1711" t="s">
        <v>35</v>
      </c>
      <c r="C1711">
        <v>40367207</v>
      </c>
      <c r="D1711" t="s">
        <v>423</v>
      </c>
      <c r="E1711">
        <v>1011127</v>
      </c>
      <c r="F1711" t="s">
        <v>228</v>
      </c>
      <c r="G1711" s="9">
        <v>44991</v>
      </c>
      <c r="H1711" s="7">
        <v>21600</v>
      </c>
      <c r="I1711" s="7"/>
      <c r="J1711" s="7"/>
      <c r="K1711" s="7"/>
      <c r="L1711" s="10">
        <v>5.4496124031007751</v>
      </c>
      <c r="M1711" s="9">
        <v>44996</v>
      </c>
      <c r="N1711" s="10">
        <v>10</v>
      </c>
      <c r="O1711" s="9">
        <v>45006</v>
      </c>
      <c r="P1711">
        <v>9</v>
      </c>
      <c r="Q1711" s="11" t="s">
        <v>49</v>
      </c>
      <c r="R1711" s="7">
        <v>21600</v>
      </c>
      <c r="S1711" s="7"/>
      <c r="T1711" s="7"/>
      <c r="U1711" s="7"/>
      <c r="V1711" s="10">
        <v>7.4496124031007751</v>
      </c>
      <c r="W1711" s="9">
        <v>44998</v>
      </c>
      <c r="X1711" s="10">
        <v>12</v>
      </c>
      <c r="Y1711" s="9">
        <v>45006</v>
      </c>
      <c r="Z1711">
        <v>9</v>
      </c>
      <c r="AA1711" s="11" t="s">
        <v>49</v>
      </c>
    </row>
    <row r="1712" spans="2:27" ht="16" x14ac:dyDescent="0.2">
      <c r="B1712" t="s">
        <v>35</v>
      </c>
      <c r="C1712">
        <v>40367205</v>
      </c>
      <c r="D1712" t="s">
        <v>423</v>
      </c>
      <c r="E1712">
        <v>1011127</v>
      </c>
      <c r="F1712" t="s">
        <v>228</v>
      </c>
      <c r="G1712" s="9">
        <v>44988</v>
      </c>
      <c r="H1712" s="7">
        <v>21600</v>
      </c>
      <c r="I1712" s="7"/>
      <c r="J1712" s="7"/>
      <c r="K1712" s="7"/>
      <c r="L1712" s="10">
        <v>5.4496124031007751</v>
      </c>
      <c r="M1712" s="9">
        <v>44993</v>
      </c>
      <c r="N1712" s="10">
        <v>10</v>
      </c>
      <c r="O1712" s="9">
        <v>45003</v>
      </c>
      <c r="P1712">
        <v>9</v>
      </c>
      <c r="Q1712" s="11" t="s">
        <v>49</v>
      </c>
      <c r="R1712" s="7">
        <v>21600</v>
      </c>
      <c r="S1712" s="7"/>
      <c r="T1712" s="7"/>
      <c r="U1712" s="7"/>
      <c r="V1712" s="10">
        <v>7.4496124031007751</v>
      </c>
      <c r="W1712" s="9">
        <v>44995</v>
      </c>
      <c r="X1712" s="10">
        <v>12</v>
      </c>
      <c r="Y1712" s="9">
        <v>45003</v>
      </c>
      <c r="Z1712">
        <v>9</v>
      </c>
      <c r="AA1712" s="11" t="s">
        <v>49</v>
      </c>
    </row>
    <row r="1713" spans="2:27" ht="16" x14ac:dyDescent="0.2">
      <c r="B1713" t="s">
        <v>35</v>
      </c>
      <c r="C1713">
        <v>40367204</v>
      </c>
      <c r="D1713" t="s">
        <v>423</v>
      </c>
      <c r="E1713">
        <v>1011127</v>
      </c>
      <c r="F1713" t="s">
        <v>228</v>
      </c>
      <c r="G1713" s="9">
        <v>44991</v>
      </c>
      <c r="H1713" s="7">
        <v>21600</v>
      </c>
      <c r="I1713" s="7"/>
      <c r="J1713" s="7"/>
      <c r="K1713" s="7"/>
      <c r="L1713" s="10">
        <v>5.4496124031007751</v>
      </c>
      <c r="M1713" s="9">
        <v>44996</v>
      </c>
      <c r="N1713" s="10">
        <v>10</v>
      </c>
      <c r="O1713" s="9">
        <v>45006</v>
      </c>
      <c r="P1713">
        <v>9</v>
      </c>
      <c r="Q1713" s="11" t="s">
        <v>49</v>
      </c>
      <c r="R1713" s="7">
        <v>21600</v>
      </c>
      <c r="S1713" s="7"/>
      <c r="T1713" s="7"/>
      <c r="U1713" s="7"/>
      <c r="V1713" s="10">
        <v>7.4496124031007751</v>
      </c>
      <c r="W1713" s="9">
        <v>44998</v>
      </c>
      <c r="X1713" s="10">
        <v>12</v>
      </c>
      <c r="Y1713" s="9">
        <v>45006</v>
      </c>
      <c r="Z1713">
        <v>9</v>
      </c>
      <c r="AA1713" s="11" t="s">
        <v>49</v>
      </c>
    </row>
    <row r="1714" spans="2:27" ht="16" x14ac:dyDescent="0.2">
      <c r="B1714" t="s">
        <v>35</v>
      </c>
      <c r="C1714">
        <v>40367202</v>
      </c>
      <c r="D1714" t="s">
        <v>423</v>
      </c>
      <c r="E1714">
        <v>1011127</v>
      </c>
      <c r="F1714" t="s">
        <v>228</v>
      </c>
      <c r="G1714" s="9">
        <v>44991</v>
      </c>
      <c r="H1714" s="7">
        <v>21600</v>
      </c>
      <c r="I1714" s="7"/>
      <c r="J1714" s="7"/>
      <c r="K1714" s="7"/>
      <c r="L1714" s="10">
        <v>5.4496124031007751</v>
      </c>
      <c r="M1714" s="9">
        <v>44996</v>
      </c>
      <c r="N1714" s="10">
        <v>10</v>
      </c>
      <c r="O1714" s="9">
        <v>45006</v>
      </c>
      <c r="P1714">
        <v>9</v>
      </c>
      <c r="Q1714" s="11" t="s">
        <v>49</v>
      </c>
      <c r="R1714" s="7">
        <v>21600</v>
      </c>
      <c r="S1714" s="7"/>
      <c r="T1714" s="7"/>
      <c r="U1714" s="7"/>
      <c r="V1714" s="10">
        <v>7.4496124031007751</v>
      </c>
      <c r="W1714" s="9">
        <v>44998</v>
      </c>
      <c r="X1714" s="10">
        <v>12</v>
      </c>
      <c r="Y1714" s="9">
        <v>45006</v>
      </c>
      <c r="Z1714">
        <v>9</v>
      </c>
      <c r="AA1714" s="11" t="s">
        <v>49</v>
      </c>
    </row>
    <row r="1715" spans="2:27" ht="16" x14ac:dyDescent="0.2">
      <c r="B1715" t="s">
        <v>35</v>
      </c>
      <c r="C1715">
        <v>40367201</v>
      </c>
      <c r="D1715" t="s">
        <v>423</v>
      </c>
      <c r="E1715">
        <v>1011127</v>
      </c>
      <c r="F1715" t="s">
        <v>228</v>
      </c>
      <c r="G1715" s="9">
        <v>44991</v>
      </c>
      <c r="H1715" s="7">
        <v>20400</v>
      </c>
      <c r="I1715" s="7"/>
      <c r="J1715" s="7"/>
      <c r="K1715" s="7"/>
      <c r="L1715" s="10">
        <v>5.4496124031007751</v>
      </c>
      <c r="M1715" s="9">
        <v>44996</v>
      </c>
      <c r="N1715" s="10">
        <v>10</v>
      </c>
      <c r="O1715" s="9">
        <v>45006</v>
      </c>
      <c r="P1715">
        <v>9</v>
      </c>
      <c r="Q1715" s="11" t="s">
        <v>49</v>
      </c>
      <c r="R1715" s="7">
        <v>20400</v>
      </c>
      <c r="S1715" s="7"/>
      <c r="T1715" s="7"/>
      <c r="U1715" s="7"/>
      <c r="V1715" s="10">
        <v>7.4496124031007751</v>
      </c>
      <c r="W1715" s="9">
        <v>44998</v>
      </c>
      <c r="X1715" s="10">
        <v>12</v>
      </c>
      <c r="Y1715" s="9">
        <v>45006</v>
      </c>
      <c r="Z1715">
        <v>9</v>
      </c>
      <c r="AA1715" s="11" t="s">
        <v>49</v>
      </c>
    </row>
    <row r="1716" spans="2:27" ht="16" x14ac:dyDescent="0.2">
      <c r="B1716" t="s">
        <v>35</v>
      </c>
      <c r="C1716">
        <v>40367199</v>
      </c>
      <c r="D1716" t="s">
        <v>423</v>
      </c>
      <c r="E1716">
        <v>1011127</v>
      </c>
      <c r="F1716" t="s">
        <v>228</v>
      </c>
      <c r="G1716" s="9">
        <v>44991</v>
      </c>
      <c r="H1716" s="7">
        <v>21600</v>
      </c>
      <c r="I1716" s="7"/>
      <c r="J1716" s="7"/>
      <c r="K1716" s="7"/>
      <c r="L1716" s="10">
        <v>5.4496124031007751</v>
      </c>
      <c r="M1716" s="9">
        <v>44996</v>
      </c>
      <c r="N1716" s="10">
        <v>10</v>
      </c>
      <c r="O1716" s="9">
        <v>45006</v>
      </c>
      <c r="P1716">
        <v>9</v>
      </c>
      <c r="Q1716" s="11" t="s">
        <v>49</v>
      </c>
      <c r="R1716" s="7">
        <v>21600</v>
      </c>
      <c r="S1716" s="7"/>
      <c r="T1716" s="7"/>
      <c r="U1716" s="7"/>
      <c r="V1716" s="10">
        <v>7.4496124031007751</v>
      </c>
      <c r="W1716" s="9">
        <v>44998</v>
      </c>
      <c r="X1716" s="10">
        <v>12</v>
      </c>
      <c r="Y1716" s="9">
        <v>45006</v>
      </c>
      <c r="Z1716">
        <v>9</v>
      </c>
      <c r="AA1716" s="11" t="s">
        <v>49</v>
      </c>
    </row>
    <row r="1717" spans="2:27" ht="16" x14ac:dyDescent="0.2">
      <c r="B1717" t="s">
        <v>35</v>
      </c>
      <c r="C1717">
        <v>40367198</v>
      </c>
      <c r="D1717" t="s">
        <v>423</v>
      </c>
      <c r="E1717">
        <v>1011127</v>
      </c>
      <c r="F1717" t="s">
        <v>228</v>
      </c>
      <c r="G1717" s="9">
        <v>44991</v>
      </c>
      <c r="H1717" s="7">
        <v>20400</v>
      </c>
      <c r="I1717" s="7"/>
      <c r="J1717" s="7"/>
      <c r="K1717" s="7"/>
      <c r="L1717" s="10">
        <v>5.4496124031007751</v>
      </c>
      <c r="M1717" s="9">
        <v>44996</v>
      </c>
      <c r="N1717" s="10">
        <v>10</v>
      </c>
      <c r="O1717" s="9">
        <v>45006</v>
      </c>
      <c r="P1717">
        <v>9</v>
      </c>
      <c r="Q1717" s="11" t="s">
        <v>49</v>
      </c>
      <c r="R1717" s="7">
        <v>20400</v>
      </c>
      <c r="S1717" s="7"/>
      <c r="T1717" s="7"/>
      <c r="U1717" s="7"/>
      <c r="V1717" s="10">
        <v>7.4496124031007751</v>
      </c>
      <c r="W1717" s="9">
        <v>44998</v>
      </c>
      <c r="X1717" s="10">
        <v>12</v>
      </c>
      <c r="Y1717" s="9">
        <v>45006</v>
      </c>
      <c r="Z1717">
        <v>9</v>
      </c>
      <c r="AA1717" s="11" t="s">
        <v>49</v>
      </c>
    </row>
    <row r="1718" spans="2:27" ht="16" x14ac:dyDescent="0.2">
      <c r="B1718" t="s">
        <v>35</v>
      </c>
      <c r="C1718">
        <v>40367197</v>
      </c>
      <c r="D1718" t="s">
        <v>423</v>
      </c>
      <c r="E1718">
        <v>1011127</v>
      </c>
      <c r="F1718" t="s">
        <v>228</v>
      </c>
      <c r="G1718" s="9">
        <v>44988</v>
      </c>
      <c r="H1718" s="7">
        <v>20400</v>
      </c>
      <c r="I1718" s="7"/>
      <c r="J1718" s="7"/>
      <c r="K1718" s="7"/>
      <c r="L1718" s="10">
        <v>5.4496124031007751</v>
      </c>
      <c r="M1718" s="9">
        <v>44993</v>
      </c>
      <c r="N1718" s="10">
        <v>10</v>
      </c>
      <c r="O1718" s="9">
        <v>45003</v>
      </c>
      <c r="P1718">
        <v>9</v>
      </c>
      <c r="Q1718" s="11" t="s">
        <v>49</v>
      </c>
      <c r="R1718" s="7">
        <v>20400</v>
      </c>
      <c r="S1718" s="7"/>
      <c r="T1718" s="7"/>
      <c r="U1718" s="7"/>
      <c r="V1718" s="10">
        <v>7.4496124031007751</v>
      </c>
      <c r="W1718" s="9">
        <v>44995</v>
      </c>
      <c r="X1718" s="10">
        <v>12</v>
      </c>
      <c r="Y1718" s="9">
        <v>45003</v>
      </c>
      <c r="Z1718">
        <v>9</v>
      </c>
      <c r="AA1718" s="11" t="s">
        <v>49</v>
      </c>
    </row>
    <row r="1719" spans="2:27" ht="16" x14ac:dyDescent="0.2">
      <c r="B1719" t="s">
        <v>35</v>
      </c>
      <c r="C1719">
        <v>40367196</v>
      </c>
      <c r="D1719" t="s">
        <v>423</v>
      </c>
      <c r="E1719">
        <v>1011127</v>
      </c>
      <c r="F1719" t="s">
        <v>228</v>
      </c>
      <c r="G1719" s="9">
        <v>44991</v>
      </c>
      <c r="H1719" s="7">
        <v>21600</v>
      </c>
      <c r="I1719" s="7"/>
      <c r="J1719" s="7"/>
      <c r="K1719" s="7"/>
      <c r="L1719" s="10">
        <v>5.4496124031007751</v>
      </c>
      <c r="M1719" s="9">
        <v>44996</v>
      </c>
      <c r="N1719" s="10">
        <v>10</v>
      </c>
      <c r="O1719" s="9">
        <v>45006</v>
      </c>
      <c r="P1719">
        <v>9</v>
      </c>
      <c r="Q1719" s="11" t="s">
        <v>49</v>
      </c>
      <c r="R1719" s="7">
        <v>21600</v>
      </c>
      <c r="S1719" s="7"/>
      <c r="T1719" s="7"/>
      <c r="U1719" s="7"/>
      <c r="V1719" s="10">
        <v>7.4496124031007751</v>
      </c>
      <c r="W1719" s="9">
        <v>44998</v>
      </c>
      <c r="X1719" s="10">
        <v>12</v>
      </c>
      <c r="Y1719" s="9">
        <v>45006</v>
      </c>
      <c r="Z1719">
        <v>9</v>
      </c>
      <c r="AA1719" s="11" t="s">
        <v>49</v>
      </c>
    </row>
    <row r="1720" spans="2:27" ht="16" x14ac:dyDescent="0.2">
      <c r="B1720" t="s">
        <v>35</v>
      </c>
      <c r="C1720">
        <v>40367195</v>
      </c>
      <c r="D1720" t="s">
        <v>423</v>
      </c>
      <c r="E1720">
        <v>1011127</v>
      </c>
      <c r="F1720" t="s">
        <v>228</v>
      </c>
      <c r="G1720" s="9">
        <v>44988</v>
      </c>
      <c r="H1720" s="7">
        <v>20400</v>
      </c>
      <c r="I1720" s="7"/>
      <c r="J1720" s="7"/>
      <c r="K1720" s="7"/>
      <c r="L1720" s="10">
        <v>5.4496124031007751</v>
      </c>
      <c r="M1720" s="9">
        <v>44993</v>
      </c>
      <c r="N1720" s="10">
        <v>10</v>
      </c>
      <c r="O1720" s="9">
        <v>45003</v>
      </c>
      <c r="P1720">
        <v>9</v>
      </c>
      <c r="Q1720" s="11" t="s">
        <v>49</v>
      </c>
      <c r="R1720" s="7">
        <v>20400</v>
      </c>
      <c r="S1720" s="7"/>
      <c r="T1720" s="7"/>
      <c r="U1720" s="7"/>
      <c r="V1720" s="10">
        <v>7.4496124031007751</v>
      </c>
      <c r="W1720" s="9">
        <v>44995</v>
      </c>
      <c r="X1720" s="10">
        <v>12</v>
      </c>
      <c r="Y1720" s="9">
        <v>45003</v>
      </c>
      <c r="Z1720">
        <v>9</v>
      </c>
      <c r="AA1720" s="11" t="s">
        <v>49</v>
      </c>
    </row>
    <row r="1721" spans="2:27" ht="16" x14ac:dyDescent="0.2">
      <c r="B1721" t="s">
        <v>35</v>
      </c>
      <c r="C1721">
        <v>40367193</v>
      </c>
      <c r="D1721" t="s">
        <v>423</v>
      </c>
      <c r="E1721">
        <v>1011127</v>
      </c>
      <c r="F1721" t="s">
        <v>228</v>
      </c>
      <c r="G1721" s="9">
        <v>44988</v>
      </c>
      <c r="H1721" s="7">
        <v>21600</v>
      </c>
      <c r="I1721" s="7"/>
      <c r="J1721" s="7"/>
      <c r="K1721" s="7"/>
      <c r="L1721" s="10">
        <v>5.4496124031007751</v>
      </c>
      <c r="M1721" s="9">
        <v>44993</v>
      </c>
      <c r="N1721" s="10">
        <v>10</v>
      </c>
      <c r="O1721" s="9">
        <v>45003</v>
      </c>
      <c r="P1721">
        <v>9</v>
      </c>
      <c r="Q1721" s="11" t="s">
        <v>49</v>
      </c>
      <c r="R1721" s="7">
        <v>21600</v>
      </c>
      <c r="S1721" s="7"/>
      <c r="T1721" s="7"/>
      <c r="U1721" s="7"/>
      <c r="V1721" s="10">
        <v>7.4496124031007751</v>
      </c>
      <c r="W1721" s="9">
        <v>44995</v>
      </c>
      <c r="X1721" s="10">
        <v>12</v>
      </c>
      <c r="Y1721" s="9">
        <v>45003</v>
      </c>
      <c r="Z1721">
        <v>9</v>
      </c>
      <c r="AA1721" s="11" t="s">
        <v>49</v>
      </c>
    </row>
    <row r="1722" spans="2:27" ht="16" x14ac:dyDescent="0.2">
      <c r="B1722" t="s">
        <v>35</v>
      </c>
      <c r="C1722">
        <v>40367192</v>
      </c>
      <c r="D1722" t="s">
        <v>423</v>
      </c>
      <c r="E1722">
        <v>1011127</v>
      </c>
      <c r="F1722" t="s">
        <v>228</v>
      </c>
      <c r="G1722" s="9">
        <v>44988</v>
      </c>
      <c r="H1722" s="7">
        <v>20400</v>
      </c>
      <c r="I1722" s="7"/>
      <c r="J1722" s="7"/>
      <c r="K1722" s="7"/>
      <c r="L1722" s="10">
        <v>5.4496124031007751</v>
      </c>
      <c r="M1722" s="9">
        <v>44993</v>
      </c>
      <c r="N1722" s="10">
        <v>10</v>
      </c>
      <c r="O1722" s="9">
        <v>45003</v>
      </c>
      <c r="P1722">
        <v>9</v>
      </c>
      <c r="Q1722" s="11" t="s">
        <v>49</v>
      </c>
      <c r="R1722" s="7">
        <v>20400</v>
      </c>
      <c r="S1722" s="7"/>
      <c r="T1722" s="7"/>
      <c r="U1722" s="7"/>
      <c r="V1722" s="10">
        <v>7.4496124031007751</v>
      </c>
      <c r="W1722" s="9">
        <v>44995</v>
      </c>
      <c r="X1722" s="10">
        <v>12</v>
      </c>
      <c r="Y1722" s="9">
        <v>45003</v>
      </c>
      <c r="Z1722">
        <v>9</v>
      </c>
      <c r="AA1722" s="11" t="s">
        <v>49</v>
      </c>
    </row>
    <row r="1723" spans="2:27" ht="16" x14ac:dyDescent="0.2">
      <c r="B1723" t="s">
        <v>35</v>
      </c>
      <c r="C1723">
        <v>40367190</v>
      </c>
      <c r="D1723" t="s">
        <v>423</v>
      </c>
      <c r="E1723">
        <v>1011127</v>
      </c>
      <c r="F1723" t="s">
        <v>228</v>
      </c>
      <c r="G1723" s="9">
        <v>44991</v>
      </c>
      <c r="H1723" s="7">
        <v>20400</v>
      </c>
      <c r="I1723" s="7"/>
      <c r="J1723" s="7"/>
      <c r="K1723" s="7"/>
      <c r="L1723" s="10">
        <v>5.4496124031007751</v>
      </c>
      <c r="M1723" s="9">
        <v>44996</v>
      </c>
      <c r="N1723" s="10">
        <v>10</v>
      </c>
      <c r="O1723" s="9">
        <v>45006</v>
      </c>
      <c r="P1723">
        <v>9</v>
      </c>
      <c r="Q1723" s="11" t="s">
        <v>49</v>
      </c>
      <c r="R1723" s="7">
        <v>20400</v>
      </c>
      <c r="S1723" s="7"/>
      <c r="T1723" s="7"/>
      <c r="U1723" s="7"/>
      <c r="V1723" s="10">
        <v>7.4496124031007751</v>
      </c>
      <c r="W1723" s="9">
        <v>44998</v>
      </c>
      <c r="X1723" s="10">
        <v>12</v>
      </c>
      <c r="Y1723" s="9">
        <v>45006</v>
      </c>
      <c r="Z1723">
        <v>9</v>
      </c>
      <c r="AA1723" s="11" t="s">
        <v>49</v>
      </c>
    </row>
    <row r="1724" spans="2:27" ht="16" x14ac:dyDescent="0.2">
      <c r="B1724" t="s">
        <v>35</v>
      </c>
      <c r="C1724">
        <v>40367189</v>
      </c>
      <c r="D1724" t="s">
        <v>423</v>
      </c>
      <c r="E1724">
        <v>1011127</v>
      </c>
      <c r="F1724" t="s">
        <v>228</v>
      </c>
      <c r="G1724" s="9">
        <v>44984</v>
      </c>
      <c r="H1724" s="7">
        <v>21600</v>
      </c>
      <c r="I1724" s="7"/>
      <c r="J1724" s="7"/>
      <c r="K1724" s="7"/>
      <c r="L1724" s="10">
        <v>5.4496124031007751</v>
      </c>
      <c r="M1724" s="9">
        <v>44989</v>
      </c>
      <c r="N1724" s="10">
        <v>10</v>
      </c>
      <c r="O1724" s="9">
        <v>44999</v>
      </c>
      <c r="P1724">
        <v>13</v>
      </c>
      <c r="Q1724" s="11" t="s">
        <v>49</v>
      </c>
      <c r="R1724" s="7">
        <v>21600</v>
      </c>
      <c r="S1724" s="7"/>
      <c r="T1724" s="7"/>
      <c r="U1724" s="7"/>
      <c r="V1724" s="10">
        <v>7.4496124031007751</v>
      </c>
      <c r="W1724" s="9">
        <v>44991</v>
      </c>
      <c r="X1724" s="10">
        <v>12</v>
      </c>
      <c r="Y1724" s="9">
        <v>44999</v>
      </c>
      <c r="Z1724">
        <v>13</v>
      </c>
      <c r="AA1724" s="11" t="s">
        <v>49</v>
      </c>
    </row>
    <row r="1725" spans="2:27" ht="16" x14ac:dyDescent="0.2">
      <c r="B1725" t="s">
        <v>35</v>
      </c>
      <c r="C1725">
        <v>40367187</v>
      </c>
      <c r="D1725" t="s">
        <v>423</v>
      </c>
      <c r="E1725">
        <v>1011127</v>
      </c>
      <c r="F1725" t="s">
        <v>228</v>
      </c>
      <c r="G1725" s="9">
        <v>44991</v>
      </c>
      <c r="H1725" s="7">
        <v>21600</v>
      </c>
      <c r="I1725" s="7"/>
      <c r="J1725" s="7"/>
      <c r="K1725" s="7"/>
      <c r="L1725" s="10">
        <v>5.4496124031007751</v>
      </c>
      <c r="M1725" s="9">
        <v>44996</v>
      </c>
      <c r="N1725" s="10">
        <v>10</v>
      </c>
      <c r="O1725" s="9">
        <v>45006</v>
      </c>
      <c r="P1725">
        <v>9</v>
      </c>
      <c r="Q1725" s="11" t="s">
        <v>49</v>
      </c>
      <c r="R1725" s="7">
        <v>21600</v>
      </c>
      <c r="S1725" s="7"/>
      <c r="T1725" s="7"/>
      <c r="U1725" s="7"/>
      <c r="V1725" s="10">
        <v>7.4496124031007751</v>
      </c>
      <c r="W1725" s="9">
        <v>44998</v>
      </c>
      <c r="X1725" s="10">
        <v>12</v>
      </c>
      <c r="Y1725" s="9">
        <v>45006</v>
      </c>
      <c r="Z1725">
        <v>9</v>
      </c>
      <c r="AA1725" s="11" t="s">
        <v>49</v>
      </c>
    </row>
    <row r="1726" spans="2:27" ht="16" x14ac:dyDescent="0.2">
      <c r="B1726" t="s">
        <v>35</v>
      </c>
      <c r="C1726">
        <v>40367186</v>
      </c>
      <c r="D1726" t="s">
        <v>423</v>
      </c>
      <c r="E1726">
        <v>1011127</v>
      </c>
      <c r="F1726" t="s">
        <v>228</v>
      </c>
      <c r="G1726" s="9">
        <v>44984</v>
      </c>
      <c r="H1726" s="7">
        <v>21600</v>
      </c>
      <c r="I1726" s="7"/>
      <c r="J1726" s="7"/>
      <c r="K1726" s="7"/>
      <c r="L1726" s="10">
        <v>5.4496124031007751</v>
      </c>
      <c r="M1726" s="9">
        <v>44989</v>
      </c>
      <c r="N1726" s="10">
        <v>10</v>
      </c>
      <c r="O1726" s="9">
        <v>44999</v>
      </c>
      <c r="P1726">
        <v>13</v>
      </c>
      <c r="Q1726" s="11" t="s">
        <v>49</v>
      </c>
      <c r="R1726" s="7">
        <v>21600</v>
      </c>
      <c r="S1726" s="7"/>
      <c r="T1726" s="7"/>
      <c r="U1726" s="7"/>
      <c r="V1726" s="10">
        <v>7.4496124031007751</v>
      </c>
      <c r="W1726" s="9">
        <v>44991</v>
      </c>
      <c r="X1726" s="10">
        <v>12</v>
      </c>
      <c r="Y1726" s="9">
        <v>44999</v>
      </c>
      <c r="Z1726">
        <v>13</v>
      </c>
      <c r="AA1726" s="11" t="s">
        <v>49</v>
      </c>
    </row>
    <row r="1727" spans="2:27" ht="16" x14ac:dyDescent="0.2">
      <c r="B1727" t="s">
        <v>35</v>
      </c>
      <c r="C1727">
        <v>40367184</v>
      </c>
      <c r="D1727" t="s">
        <v>423</v>
      </c>
      <c r="E1727">
        <v>1011127</v>
      </c>
      <c r="F1727" t="s">
        <v>228</v>
      </c>
      <c r="G1727" s="9">
        <v>44991</v>
      </c>
      <c r="H1727" s="7">
        <v>21600</v>
      </c>
      <c r="I1727" s="7"/>
      <c r="J1727" s="7"/>
      <c r="K1727" s="7"/>
      <c r="L1727" s="10">
        <v>5.4496124031007751</v>
      </c>
      <c r="M1727" s="9">
        <v>44996</v>
      </c>
      <c r="N1727" s="10">
        <v>10</v>
      </c>
      <c r="O1727" s="9">
        <v>45006</v>
      </c>
      <c r="P1727">
        <v>9</v>
      </c>
      <c r="Q1727" s="11" t="s">
        <v>49</v>
      </c>
      <c r="R1727" s="7">
        <v>21600</v>
      </c>
      <c r="S1727" s="7"/>
      <c r="T1727" s="7"/>
      <c r="U1727" s="7"/>
      <c r="V1727" s="10">
        <v>7.4496124031007751</v>
      </c>
      <c r="W1727" s="9">
        <v>44998</v>
      </c>
      <c r="X1727" s="10">
        <v>12</v>
      </c>
      <c r="Y1727" s="9">
        <v>45006</v>
      </c>
      <c r="Z1727">
        <v>9</v>
      </c>
      <c r="AA1727" s="11" t="s">
        <v>49</v>
      </c>
    </row>
    <row r="1728" spans="2:27" ht="16" x14ac:dyDescent="0.2">
      <c r="B1728" t="s">
        <v>35</v>
      </c>
      <c r="C1728">
        <v>40367183</v>
      </c>
      <c r="D1728" t="s">
        <v>423</v>
      </c>
      <c r="E1728">
        <v>1011127</v>
      </c>
      <c r="F1728" t="s">
        <v>228</v>
      </c>
      <c r="G1728" s="9">
        <v>44984</v>
      </c>
      <c r="H1728" s="7">
        <v>21600</v>
      </c>
      <c r="I1728" s="7"/>
      <c r="J1728" s="7"/>
      <c r="K1728" s="7"/>
      <c r="L1728" s="10">
        <v>5.4496124031007751</v>
      </c>
      <c r="M1728" s="9">
        <v>44989</v>
      </c>
      <c r="N1728" s="10">
        <v>10</v>
      </c>
      <c r="O1728" s="9">
        <v>44999</v>
      </c>
      <c r="P1728">
        <v>13</v>
      </c>
      <c r="Q1728" s="11" t="s">
        <v>49</v>
      </c>
      <c r="R1728" s="7">
        <v>21600</v>
      </c>
      <c r="S1728" s="7"/>
      <c r="T1728" s="7"/>
      <c r="U1728" s="7"/>
      <c r="V1728" s="10">
        <v>7.4496124031007751</v>
      </c>
      <c r="W1728" s="9">
        <v>44991</v>
      </c>
      <c r="X1728" s="10">
        <v>12</v>
      </c>
      <c r="Y1728" s="9">
        <v>44999</v>
      </c>
      <c r="Z1728">
        <v>13</v>
      </c>
      <c r="AA1728" s="11" t="s">
        <v>49</v>
      </c>
    </row>
    <row r="1729" spans="2:27" ht="16" x14ac:dyDescent="0.2">
      <c r="B1729" t="s">
        <v>35</v>
      </c>
      <c r="C1729">
        <v>40367181</v>
      </c>
      <c r="D1729" t="s">
        <v>423</v>
      </c>
      <c r="E1729">
        <v>1011127</v>
      </c>
      <c r="F1729" t="s">
        <v>228</v>
      </c>
      <c r="G1729" s="9">
        <v>44984</v>
      </c>
      <c r="H1729" s="7">
        <v>20400</v>
      </c>
      <c r="I1729" s="7"/>
      <c r="J1729" s="7"/>
      <c r="K1729" s="7"/>
      <c r="L1729" s="10">
        <v>5.4496124031007751</v>
      </c>
      <c r="M1729" s="9">
        <v>44989</v>
      </c>
      <c r="N1729" s="10">
        <v>10</v>
      </c>
      <c r="O1729" s="9">
        <v>44999</v>
      </c>
      <c r="P1729">
        <v>13</v>
      </c>
      <c r="Q1729" s="11" t="s">
        <v>49</v>
      </c>
      <c r="R1729" s="7">
        <v>20400</v>
      </c>
      <c r="S1729" s="7"/>
      <c r="T1729" s="7"/>
      <c r="U1729" s="7"/>
      <c r="V1729" s="10">
        <v>7.4496124031007751</v>
      </c>
      <c r="W1729" s="9">
        <v>44991</v>
      </c>
      <c r="X1729" s="10">
        <v>12</v>
      </c>
      <c r="Y1729" s="9">
        <v>44999</v>
      </c>
      <c r="Z1729">
        <v>13</v>
      </c>
      <c r="AA1729" s="11" t="s">
        <v>49</v>
      </c>
    </row>
    <row r="1730" spans="2:27" ht="16" x14ac:dyDescent="0.2">
      <c r="B1730" t="s">
        <v>35</v>
      </c>
      <c r="C1730">
        <v>40367180</v>
      </c>
      <c r="D1730" t="s">
        <v>423</v>
      </c>
      <c r="E1730">
        <v>1011127</v>
      </c>
      <c r="F1730" t="s">
        <v>228</v>
      </c>
      <c r="G1730" s="9">
        <v>44988</v>
      </c>
      <c r="H1730" s="7">
        <v>20400</v>
      </c>
      <c r="I1730" s="7"/>
      <c r="J1730" s="7"/>
      <c r="K1730" s="7"/>
      <c r="L1730" s="10">
        <v>5.4496124031007751</v>
      </c>
      <c r="M1730" s="9">
        <v>44993</v>
      </c>
      <c r="N1730" s="10">
        <v>10</v>
      </c>
      <c r="O1730" s="9">
        <v>45003</v>
      </c>
      <c r="P1730">
        <v>9</v>
      </c>
      <c r="Q1730" s="11" t="s">
        <v>49</v>
      </c>
      <c r="R1730" s="7">
        <v>20400</v>
      </c>
      <c r="S1730" s="7"/>
      <c r="T1730" s="7"/>
      <c r="U1730" s="7"/>
      <c r="V1730" s="10">
        <v>7.4496124031007751</v>
      </c>
      <c r="W1730" s="9">
        <v>44995</v>
      </c>
      <c r="X1730" s="10">
        <v>12</v>
      </c>
      <c r="Y1730" s="9">
        <v>45003</v>
      </c>
      <c r="Z1730">
        <v>9</v>
      </c>
      <c r="AA1730" s="11" t="s">
        <v>49</v>
      </c>
    </row>
    <row r="1731" spans="2:27" ht="16" x14ac:dyDescent="0.2">
      <c r="B1731" t="s">
        <v>35</v>
      </c>
      <c r="C1731">
        <v>40367179</v>
      </c>
      <c r="D1731" t="s">
        <v>423</v>
      </c>
      <c r="E1731">
        <v>1011127</v>
      </c>
      <c r="F1731" t="s">
        <v>228</v>
      </c>
      <c r="G1731" s="9">
        <v>44995</v>
      </c>
      <c r="H1731" s="7">
        <v>21600</v>
      </c>
      <c r="I1731" s="7"/>
      <c r="J1731" s="7"/>
      <c r="K1731" s="7"/>
      <c r="L1731" s="10">
        <v>5.4496124031007751</v>
      </c>
      <c r="M1731" s="9">
        <v>45000</v>
      </c>
      <c r="N1731" s="10">
        <v>10</v>
      </c>
      <c r="O1731" s="9">
        <v>45010</v>
      </c>
      <c r="P1731">
        <v>5</v>
      </c>
      <c r="Q1731" s="11" t="s">
        <v>49</v>
      </c>
      <c r="R1731" s="7">
        <v>21600</v>
      </c>
      <c r="S1731" s="7"/>
      <c r="T1731" s="7"/>
      <c r="U1731" s="7"/>
      <c r="V1731" s="10">
        <v>7.4496124031007751</v>
      </c>
      <c r="W1731" s="9">
        <v>45002</v>
      </c>
      <c r="X1731" s="10">
        <v>12</v>
      </c>
      <c r="Y1731" s="9">
        <v>45010</v>
      </c>
      <c r="Z1731">
        <v>5</v>
      </c>
      <c r="AA1731" s="11" t="s">
        <v>49</v>
      </c>
    </row>
    <row r="1732" spans="2:27" ht="16" x14ac:dyDescent="0.2">
      <c r="B1732" t="s">
        <v>35</v>
      </c>
      <c r="C1732">
        <v>40367178</v>
      </c>
      <c r="D1732" t="s">
        <v>423</v>
      </c>
      <c r="E1732">
        <v>1011127</v>
      </c>
      <c r="F1732" t="s">
        <v>228</v>
      </c>
      <c r="G1732" s="9">
        <v>44984</v>
      </c>
      <c r="H1732" s="7">
        <v>21600</v>
      </c>
      <c r="I1732" s="7"/>
      <c r="J1732" s="7"/>
      <c r="K1732" s="7"/>
      <c r="L1732" s="10">
        <v>5.4496124031007751</v>
      </c>
      <c r="M1732" s="9">
        <v>44989</v>
      </c>
      <c r="N1732" s="10">
        <v>10</v>
      </c>
      <c r="O1732" s="9">
        <v>44999</v>
      </c>
      <c r="P1732">
        <v>13</v>
      </c>
      <c r="Q1732" s="11" t="s">
        <v>49</v>
      </c>
      <c r="R1732" s="7">
        <v>21600</v>
      </c>
      <c r="S1732" s="7"/>
      <c r="T1732" s="7"/>
      <c r="U1732" s="7"/>
      <c r="V1732" s="10">
        <v>7.4496124031007751</v>
      </c>
      <c r="W1732" s="9">
        <v>44991</v>
      </c>
      <c r="X1732" s="10">
        <v>12</v>
      </c>
      <c r="Y1732" s="9">
        <v>44999</v>
      </c>
      <c r="Z1732">
        <v>13</v>
      </c>
      <c r="AA1732" s="11" t="s">
        <v>49</v>
      </c>
    </row>
    <row r="1733" spans="2:27" ht="16" x14ac:dyDescent="0.2">
      <c r="B1733" t="s">
        <v>35</v>
      </c>
      <c r="C1733">
        <v>40367177</v>
      </c>
      <c r="D1733" t="s">
        <v>423</v>
      </c>
      <c r="E1733">
        <v>1011127</v>
      </c>
      <c r="F1733" t="s">
        <v>228</v>
      </c>
      <c r="G1733" s="9">
        <v>44984</v>
      </c>
      <c r="H1733" s="7">
        <v>21600</v>
      </c>
      <c r="I1733" s="7"/>
      <c r="J1733" s="7"/>
      <c r="K1733" s="7"/>
      <c r="L1733" s="10">
        <v>5.4496124031007751</v>
      </c>
      <c r="M1733" s="9">
        <v>44989</v>
      </c>
      <c r="N1733" s="10">
        <v>10</v>
      </c>
      <c r="O1733" s="9">
        <v>44999</v>
      </c>
      <c r="P1733">
        <v>13</v>
      </c>
      <c r="Q1733" s="11" t="s">
        <v>49</v>
      </c>
      <c r="R1733" s="7">
        <v>21600</v>
      </c>
      <c r="S1733" s="7"/>
      <c r="T1733" s="7"/>
      <c r="U1733" s="7"/>
      <c r="V1733" s="10">
        <v>7.4496124031007751</v>
      </c>
      <c r="W1733" s="9">
        <v>44991</v>
      </c>
      <c r="X1733" s="10">
        <v>12</v>
      </c>
      <c r="Y1733" s="9">
        <v>44999</v>
      </c>
      <c r="Z1733">
        <v>13</v>
      </c>
      <c r="AA1733" s="11" t="s">
        <v>49</v>
      </c>
    </row>
    <row r="1734" spans="2:27" ht="16" x14ac:dyDescent="0.2">
      <c r="B1734" t="s">
        <v>35</v>
      </c>
      <c r="C1734">
        <v>40367176</v>
      </c>
      <c r="D1734" t="s">
        <v>423</v>
      </c>
      <c r="E1734">
        <v>1011127</v>
      </c>
      <c r="F1734" t="s">
        <v>228</v>
      </c>
      <c r="G1734" s="9">
        <v>44995</v>
      </c>
      <c r="H1734" s="7">
        <v>20400</v>
      </c>
      <c r="I1734" s="7"/>
      <c r="J1734" s="7"/>
      <c r="K1734" s="7"/>
      <c r="L1734" s="10">
        <v>5.4496124031007751</v>
      </c>
      <c r="M1734" s="9">
        <v>45000</v>
      </c>
      <c r="N1734" s="10">
        <v>10</v>
      </c>
      <c r="O1734" s="9">
        <v>45010</v>
      </c>
      <c r="P1734">
        <v>5</v>
      </c>
      <c r="Q1734" s="11" t="s">
        <v>49</v>
      </c>
      <c r="R1734" s="7">
        <v>20400</v>
      </c>
      <c r="S1734" s="7"/>
      <c r="T1734" s="7"/>
      <c r="U1734" s="7"/>
      <c r="V1734" s="10">
        <v>7.4496124031007751</v>
      </c>
      <c r="W1734" s="9">
        <v>45002</v>
      </c>
      <c r="X1734" s="10">
        <v>12</v>
      </c>
      <c r="Y1734" s="9">
        <v>45010</v>
      </c>
      <c r="Z1734">
        <v>5</v>
      </c>
      <c r="AA1734" s="11" t="s">
        <v>49</v>
      </c>
    </row>
    <row r="1735" spans="2:27" ht="16" x14ac:dyDescent="0.2">
      <c r="B1735" t="s">
        <v>35</v>
      </c>
      <c r="C1735">
        <v>40367175</v>
      </c>
      <c r="D1735" t="s">
        <v>423</v>
      </c>
      <c r="E1735">
        <v>1011127</v>
      </c>
      <c r="F1735" t="s">
        <v>228</v>
      </c>
      <c r="G1735" s="9">
        <v>44984</v>
      </c>
      <c r="H1735" s="7">
        <v>21600</v>
      </c>
      <c r="I1735" s="7"/>
      <c r="J1735" s="7"/>
      <c r="K1735" s="7"/>
      <c r="L1735" s="10">
        <v>5.4496124031007751</v>
      </c>
      <c r="M1735" s="9">
        <v>44989</v>
      </c>
      <c r="N1735" s="10">
        <v>10</v>
      </c>
      <c r="O1735" s="9">
        <v>44999</v>
      </c>
      <c r="P1735">
        <v>13</v>
      </c>
      <c r="Q1735" s="11" t="s">
        <v>49</v>
      </c>
      <c r="R1735" s="7">
        <v>21600</v>
      </c>
      <c r="S1735" s="7"/>
      <c r="T1735" s="7"/>
      <c r="U1735" s="7"/>
      <c r="V1735" s="10">
        <v>7.4496124031007751</v>
      </c>
      <c r="W1735" s="9">
        <v>44991</v>
      </c>
      <c r="X1735" s="10">
        <v>12</v>
      </c>
      <c r="Y1735" s="9">
        <v>44999</v>
      </c>
      <c r="Z1735">
        <v>13</v>
      </c>
      <c r="AA1735" s="11" t="s">
        <v>49</v>
      </c>
    </row>
    <row r="1736" spans="2:27" ht="16" x14ac:dyDescent="0.2">
      <c r="B1736" t="s">
        <v>35</v>
      </c>
      <c r="C1736">
        <v>40367174</v>
      </c>
      <c r="D1736" t="s">
        <v>423</v>
      </c>
      <c r="E1736">
        <v>1011127</v>
      </c>
      <c r="F1736" t="s">
        <v>228</v>
      </c>
      <c r="G1736" s="9">
        <v>44984</v>
      </c>
      <c r="H1736" s="7">
        <v>21600</v>
      </c>
      <c r="I1736" s="7"/>
      <c r="J1736" s="7"/>
      <c r="K1736" s="7"/>
      <c r="L1736" s="10">
        <v>5.4496124031007751</v>
      </c>
      <c r="M1736" s="9">
        <v>44989</v>
      </c>
      <c r="N1736" s="10">
        <v>10</v>
      </c>
      <c r="O1736" s="9">
        <v>44999</v>
      </c>
      <c r="P1736">
        <v>13</v>
      </c>
      <c r="Q1736" s="11" t="s">
        <v>49</v>
      </c>
      <c r="R1736" s="7">
        <v>21600</v>
      </c>
      <c r="S1736" s="7"/>
      <c r="T1736" s="7"/>
      <c r="U1736" s="7"/>
      <c r="V1736" s="10">
        <v>7.4496124031007751</v>
      </c>
      <c r="W1736" s="9">
        <v>44991</v>
      </c>
      <c r="X1736" s="10">
        <v>12</v>
      </c>
      <c r="Y1736" s="9">
        <v>44999</v>
      </c>
      <c r="Z1736">
        <v>13</v>
      </c>
      <c r="AA1736" s="11" t="s">
        <v>49</v>
      </c>
    </row>
    <row r="1737" spans="2:27" ht="16" x14ac:dyDescent="0.2">
      <c r="B1737" t="s">
        <v>35</v>
      </c>
      <c r="C1737">
        <v>40367173</v>
      </c>
      <c r="D1737" t="s">
        <v>423</v>
      </c>
      <c r="E1737">
        <v>1011127</v>
      </c>
      <c r="F1737" t="s">
        <v>228</v>
      </c>
      <c r="G1737" s="9">
        <v>44997</v>
      </c>
      <c r="H1737" s="7">
        <v>20400</v>
      </c>
      <c r="I1737" s="7"/>
      <c r="J1737" s="7"/>
      <c r="K1737" s="7"/>
      <c r="L1737" s="10">
        <v>5.4496124031007751</v>
      </c>
      <c r="M1737" s="9">
        <v>45002</v>
      </c>
      <c r="N1737" s="10">
        <v>10</v>
      </c>
      <c r="O1737" s="9">
        <v>45012</v>
      </c>
      <c r="P1737">
        <v>4</v>
      </c>
      <c r="Q1737" s="11" t="s">
        <v>49</v>
      </c>
      <c r="R1737" s="7">
        <v>20400</v>
      </c>
      <c r="S1737" s="7"/>
      <c r="T1737" s="7"/>
      <c r="U1737" s="7"/>
      <c r="V1737" s="10">
        <v>7.4496124031007751</v>
      </c>
      <c r="W1737" s="9">
        <v>45004</v>
      </c>
      <c r="X1737" s="10">
        <v>12</v>
      </c>
      <c r="Y1737" s="9">
        <v>45012</v>
      </c>
      <c r="Z1737">
        <v>4</v>
      </c>
      <c r="AA1737" s="11" t="s">
        <v>49</v>
      </c>
    </row>
    <row r="1738" spans="2:27" ht="16" x14ac:dyDescent="0.2">
      <c r="B1738" t="s">
        <v>35</v>
      </c>
      <c r="C1738">
        <v>40367172</v>
      </c>
      <c r="D1738" t="s">
        <v>423</v>
      </c>
      <c r="E1738">
        <v>1011127</v>
      </c>
      <c r="F1738" t="s">
        <v>228</v>
      </c>
      <c r="G1738" s="9">
        <v>44984</v>
      </c>
      <c r="H1738" s="7">
        <v>21600</v>
      </c>
      <c r="I1738" s="7"/>
      <c r="J1738" s="7"/>
      <c r="K1738" s="7"/>
      <c r="L1738" s="10">
        <v>5.4496124031007751</v>
      </c>
      <c r="M1738" s="9">
        <v>44989</v>
      </c>
      <c r="N1738" s="10">
        <v>10</v>
      </c>
      <c r="O1738" s="9">
        <v>44999</v>
      </c>
      <c r="P1738">
        <v>13</v>
      </c>
      <c r="Q1738" s="11" t="s">
        <v>49</v>
      </c>
      <c r="R1738" s="7">
        <v>21600</v>
      </c>
      <c r="S1738" s="7"/>
      <c r="T1738" s="7"/>
      <c r="U1738" s="7"/>
      <c r="V1738" s="10">
        <v>7.4496124031007751</v>
      </c>
      <c r="W1738" s="9">
        <v>44991</v>
      </c>
      <c r="X1738" s="10">
        <v>12</v>
      </c>
      <c r="Y1738" s="9">
        <v>44999</v>
      </c>
      <c r="Z1738">
        <v>13</v>
      </c>
      <c r="AA1738" s="11" t="s">
        <v>49</v>
      </c>
    </row>
    <row r="1739" spans="2:27" ht="16" x14ac:dyDescent="0.2">
      <c r="B1739" t="s">
        <v>35</v>
      </c>
      <c r="C1739">
        <v>40367171</v>
      </c>
      <c r="D1739" t="s">
        <v>423</v>
      </c>
      <c r="E1739">
        <v>1011127</v>
      </c>
      <c r="F1739" t="s">
        <v>228</v>
      </c>
      <c r="G1739" s="9">
        <v>44984</v>
      </c>
      <c r="H1739" s="7">
        <v>21600</v>
      </c>
      <c r="I1739" s="7"/>
      <c r="J1739" s="7"/>
      <c r="K1739" s="7"/>
      <c r="L1739" s="10">
        <v>5.4496124031007751</v>
      </c>
      <c r="M1739" s="9">
        <v>44989</v>
      </c>
      <c r="N1739" s="10">
        <v>10</v>
      </c>
      <c r="O1739" s="9">
        <v>44999</v>
      </c>
      <c r="P1739">
        <v>13</v>
      </c>
      <c r="Q1739" s="11" t="s">
        <v>49</v>
      </c>
      <c r="R1739" s="7">
        <v>21600</v>
      </c>
      <c r="S1739" s="7"/>
      <c r="T1739" s="7"/>
      <c r="U1739" s="7"/>
      <c r="V1739" s="10">
        <v>7.4496124031007751</v>
      </c>
      <c r="W1739" s="9">
        <v>44991</v>
      </c>
      <c r="X1739" s="10">
        <v>12</v>
      </c>
      <c r="Y1739" s="9">
        <v>44999</v>
      </c>
      <c r="Z1739">
        <v>13</v>
      </c>
      <c r="AA1739" s="11" t="s">
        <v>49</v>
      </c>
    </row>
    <row r="1740" spans="2:27" ht="16" x14ac:dyDescent="0.2">
      <c r="B1740" t="s">
        <v>35</v>
      </c>
      <c r="C1740">
        <v>40367170</v>
      </c>
      <c r="D1740" t="s">
        <v>423</v>
      </c>
      <c r="E1740">
        <v>1011127</v>
      </c>
      <c r="F1740" t="s">
        <v>228</v>
      </c>
      <c r="G1740" s="9">
        <v>44997</v>
      </c>
      <c r="H1740" s="7">
        <v>21600</v>
      </c>
      <c r="I1740" s="7"/>
      <c r="J1740" s="7"/>
      <c r="K1740" s="7"/>
      <c r="L1740" s="10">
        <v>5.4496124031007751</v>
      </c>
      <c r="M1740" s="9">
        <v>45002</v>
      </c>
      <c r="N1740" s="10">
        <v>10</v>
      </c>
      <c r="O1740" s="9">
        <v>45012</v>
      </c>
      <c r="P1740">
        <v>4</v>
      </c>
      <c r="Q1740" s="11" t="s">
        <v>49</v>
      </c>
      <c r="R1740" s="7">
        <v>21600</v>
      </c>
      <c r="S1740" s="7"/>
      <c r="T1740" s="7"/>
      <c r="U1740" s="7"/>
      <c r="V1740" s="10">
        <v>7.4496124031007751</v>
      </c>
      <c r="W1740" s="9">
        <v>45004</v>
      </c>
      <c r="X1740" s="10">
        <v>12</v>
      </c>
      <c r="Y1740" s="9">
        <v>45012</v>
      </c>
      <c r="Z1740">
        <v>4</v>
      </c>
      <c r="AA1740" s="11" t="s">
        <v>49</v>
      </c>
    </row>
    <row r="1741" spans="2:27" ht="16" x14ac:dyDescent="0.2">
      <c r="B1741" t="s">
        <v>35</v>
      </c>
      <c r="C1741">
        <v>40367169</v>
      </c>
      <c r="D1741" t="s">
        <v>423</v>
      </c>
      <c r="E1741">
        <v>1011127</v>
      </c>
      <c r="F1741" t="s">
        <v>228</v>
      </c>
      <c r="G1741" s="9">
        <v>44984</v>
      </c>
      <c r="H1741" s="7">
        <v>21600</v>
      </c>
      <c r="I1741" s="7"/>
      <c r="J1741" s="7"/>
      <c r="K1741" s="7"/>
      <c r="L1741" s="10">
        <v>5.4496124031007751</v>
      </c>
      <c r="M1741" s="9">
        <v>44989</v>
      </c>
      <c r="N1741" s="10">
        <v>10</v>
      </c>
      <c r="O1741" s="9">
        <v>44999</v>
      </c>
      <c r="P1741">
        <v>13</v>
      </c>
      <c r="Q1741" s="11" t="s">
        <v>49</v>
      </c>
      <c r="R1741" s="7">
        <v>21600</v>
      </c>
      <c r="S1741" s="7"/>
      <c r="T1741" s="7"/>
      <c r="U1741" s="7"/>
      <c r="V1741" s="10">
        <v>7.4496124031007751</v>
      </c>
      <c r="W1741" s="9">
        <v>44991</v>
      </c>
      <c r="X1741" s="10">
        <v>12</v>
      </c>
      <c r="Y1741" s="9">
        <v>44999</v>
      </c>
      <c r="Z1741">
        <v>13</v>
      </c>
      <c r="AA1741" s="11" t="s">
        <v>49</v>
      </c>
    </row>
    <row r="1742" spans="2:27" ht="16" x14ac:dyDescent="0.2">
      <c r="B1742" t="s">
        <v>35</v>
      </c>
      <c r="C1742">
        <v>40367168</v>
      </c>
      <c r="D1742" t="s">
        <v>423</v>
      </c>
      <c r="E1742">
        <v>1011127</v>
      </c>
      <c r="F1742" t="s">
        <v>228</v>
      </c>
      <c r="G1742" s="9">
        <v>44994</v>
      </c>
      <c r="H1742" s="7">
        <v>21600</v>
      </c>
      <c r="I1742" s="7"/>
      <c r="J1742" s="7"/>
      <c r="K1742" s="7"/>
      <c r="L1742" s="10">
        <v>5.4496124031007751</v>
      </c>
      <c r="M1742" s="9">
        <v>44999</v>
      </c>
      <c r="N1742" s="10">
        <v>10</v>
      </c>
      <c r="O1742" s="9">
        <v>45009</v>
      </c>
      <c r="P1742">
        <v>6</v>
      </c>
      <c r="Q1742" s="11" t="s">
        <v>49</v>
      </c>
      <c r="R1742" s="7">
        <v>21600</v>
      </c>
      <c r="S1742" s="7"/>
      <c r="T1742" s="7"/>
      <c r="U1742" s="7"/>
      <c r="V1742" s="10">
        <v>7.4496124031007751</v>
      </c>
      <c r="W1742" s="9">
        <v>45001</v>
      </c>
      <c r="X1742" s="10">
        <v>12</v>
      </c>
      <c r="Y1742" s="9">
        <v>45009</v>
      </c>
      <c r="Z1742">
        <v>6</v>
      </c>
      <c r="AA1742" s="11" t="s">
        <v>49</v>
      </c>
    </row>
    <row r="1743" spans="2:27" ht="16" x14ac:dyDescent="0.2">
      <c r="B1743" t="s">
        <v>35</v>
      </c>
      <c r="C1743">
        <v>40367167</v>
      </c>
      <c r="D1743" t="s">
        <v>423</v>
      </c>
      <c r="E1743">
        <v>1011127</v>
      </c>
      <c r="F1743" t="s">
        <v>228</v>
      </c>
      <c r="G1743" s="9">
        <v>45007</v>
      </c>
      <c r="H1743" s="7"/>
      <c r="I1743" s="7">
        <v>21600</v>
      </c>
      <c r="J1743" s="7"/>
      <c r="K1743" s="7"/>
      <c r="L1743" s="10">
        <v>5.4496124031007751</v>
      </c>
      <c r="M1743" s="9">
        <v>45012</v>
      </c>
      <c r="N1743" s="10">
        <v>10</v>
      </c>
      <c r="O1743" s="9">
        <v>45022</v>
      </c>
      <c r="P1743">
        <v>20</v>
      </c>
      <c r="Q1743" s="11" t="s">
        <v>49</v>
      </c>
      <c r="R1743" s="7"/>
      <c r="S1743" s="7">
        <v>21600</v>
      </c>
      <c r="T1743" s="7"/>
      <c r="U1743" s="7"/>
      <c r="V1743" s="10">
        <v>7.4496124031007751</v>
      </c>
      <c r="W1743" s="9">
        <v>45014</v>
      </c>
      <c r="X1743" s="10">
        <v>12</v>
      </c>
      <c r="Y1743" s="9">
        <v>45022</v>
      </c>
      <c r="Z1743">
        <v>20</v>
      </c>
      <c r="AA1743" s="11" t="s">
        <v>49</v>
      </c>
    </row>
    <row r="1744" spans="2:27" ht="16" x14ac:dyDescent="0.2">
      <c r="B1744" t="s">
        <v>35</v>
      </c>
      <c r="C1744">
        <v>40367166</v>
      </c>
      <c r="D1744" t="s">
        <v>423</v>
      </c>
      <c r="E1744">
        <v>1011127</v>
      </c>
      <c r="F1744" t="s">
        <v>228</v>
      </c>
      <c r="G1744" s="9">
        <v>45001</v>
      </c>
      <c r="H1744" s="7">
        <v>20400</v>
      </c>
      <c r="I1744" s="7"/>
      <c r="J1744" s="7"/>
      <c r="K1744" s="7"/>
      <c r="L1744" s="10">
        <v>5.4496124031007751</v>
      </c>
      <c r="M1744" s="9">
        <v>45006</v>
      </c>
      <c r="N1744" s="10">
        <v>10</v>
      </c>
      <c r="O1744" s="9">
        <v>45016</v>
      </c>
      <c r="P1744">
        <v>0</v>
      </c>
      <c r="Q1744" s="11" t="s">
        <v>598</v>
      </c>
      <c r="R1744" s="7">
        <v>20400</v>
      </c>
      <c r="S1744" s="7"/>
      <c r="T1744" s="7"/>
      <c r="U1744" s="7"/>
      <c r="V1744" s="10">
        <v>7.4496124031007751</v>
      </c>
      <c r="W1744" s="9">
        <v>45008</v>
      </c>
      <c r="X1744" s="10">
        <v>12</v>
      </c>
      <c r="Y1744" s="9">
        <v>45016</v>
      </c>
      <c r="Z1744">
        <v>0</v>
      </c>
      <c r="AA1744" s="11" t="s">
        <v>598</v>
      </c>
    </row>
    <row r="1745" spans="2:27" ht="16" x14ac:dyDescent="0.2">
      <c r="B1745" t="s">
        <v>35</v>
      </c>
      <c r="C1745">
        <v>40367165</v>
      </c>
      <c r="D1745" t="s">
        <v>423</v>
      </c>
      <c r="E1745">
        <v>1011127</v>
      </c>
      <c r="F1745" t="s">
        <v>228</v>
      </c>
      <c r="G1745" s="9">
        <v>44994</v>
      </c>
      <c r="H1745" s="7">
        <v>21600</v>
      </c>
      <c r="I1745" s="7"/>
      <c r="J1745" s="7"/>
      <c r="K1745" s="7"/>
      <c r="L1745" s="10">
        <v>5.4496124031007751</v>
      </c>
      <c r="M1745" s="9">
        <v>44999</v>
      </c>
      <c r="N1745" s="10">
        <v>10</v>
      </c>
      <c r="O1745" s="9">
        <v>45009</v>
      </c>
      <c r="P1745">
        <v>6</v>
      </c>
      <c r="Q1745" s="11" t="s">
        <v>49</v>
      </c>
      <c r="R1745" s="7">
        <v>21600</v>
      </c>
      <c r="S1745" s="7"/>
      <c r="T1745" s="7"/>
      <c r="U1745" s="7"/>
      <c r="V1745" s="10">
        <v>7.4496124031007751</v>
      </c>
      <c r="W1745" s="9">
        <v>45001</v>
      </c>
      <c r="X1745" s="10">
        <v>12</v>
      </c>
      <c r="Y1745" s="9">
        <v>45009</v>
      </c>
      <c r="Z1745">
        <v>6</v>
      </c>
      <c r="AA1745" s="11" t="s">
        <v>49</v>
      </c>
    </row>
    <row r="1746" spans="2:27" ht="16" x14ac:dyDescent="0.2">
      <c r="B1746" t="s">
        <v>35</v>
      </c>
      <c r="C1746">
        <v>40367164</v>
      </c>
      <c r="D1746" t="s">
        <v>423</v>
      </c>
      <c r="E1746">
        <v>1011127</v>
      </c>
      <c r="F1746" t="s">
        <v>228</v>
      </c>
      <c r="G1746" s="9">
        <v>45007</v>
      </c>
      <c r="H1746" s="7"/>
      <c r="I1746" s="7">
        <v>21600</v>
      </c>
      <c r="J1746" s="7"/>
      <c r="K1746" s="7"/>
      <c r="L1746" s="10">
        <v>5.4496124031007751</v>
      </c>
      <c r="M1746" s="9">
        <v>45012</v>
      </c>
      <c r="N1746" s="10">
        <v>10</v>
      </c>
      <c r="O1746" s="9">
        <v>45022</v>
      </c>
      <c r="P1746">
        <v>20</v>
      </c>
      <c r="Q1746" s="11" t="s">
        <v>49</v>
      </c>
      <c r="R1746" s="7"/>
      <c r="S1746" s="7">
        <v>21600</v>
      </c>
      <c r="T1746" s="7"/>
      <c r="U1746" s="7"/>
      <c r="V1746" s="10">
        <v>7.4496124031007751</v>
      </c>
      <c r="W1746" s="9">
        <v>45014</v>
      </c>
      <c r="X1746" s="10">
        <v>12</v>
      </c>
      <c r="Y1746" s="9">
        <v>45022</v>
      </c>
      <c r="Z1746">
        <v>20</v>
      </c>
      <c r="AA1746" s="11" t="s">
        <v>49</v>
      </c>
    </row>
    <row r="1747" spans="2:27" ht="16" x14ac:dyDescent="0.2">
      <c r="B1747" t="s">
        <v>35</v>
      </c>
      <c r="C1747">
        <v>40367163</v>
      </c>
      <c r="D1747" t="s">
        <v>423</v>
      </c>
      <c r="E1747">
        <v>1011127</v>
      </c>
      <c r="F1747" t="s">
        <v>228</v>
      </c>
      <c r="G1747" s="9">
        <v>45001</v>
      </c>
      <c r="H1747" s="7">
        <v>21600</v>
      </c>
      <c r="I1747" s="7"/>
      <c r="J1747" s="7"/>
      <c r="K1747" s="7"/>
      <c r="L1747" s="10">
        <v>5.4496124031007751</v>
      </c>
      <c r="M1747" s="9">
        <v>45006</v>
      </c>
      <c r="N1747" s="10">
        <v>10</v>
      </c>
      <c r="O1747" s="9">
        <v>45016</v>
      </c>
      <c r="P1747">
        <v>0</v>
      </c>
      <c r="Q1747" s="11" t="s">
        <v>598</v>
      </c>
      <c r="R1747" s="7">
        <v>21600</v>
      </c>
      <c r="S1747" s="7"/>
      <c r="T1747" s="7"/>
      <c r="U1747" s="7"/>
      <c r="V1747" s="10">
        <v>7.4496124031007751</v>
      </c>
      <c r="W1747" s="9">
        <v>45008</v>
      </c>
      <c r="X1747" s="10">
        <v>12</v>
      </c>
      <c r="Y1747" s="9">
        <v>45016</v>
      </c>
      <c r="Z1747">
        <v>0</v>
      </c>
      <c r="AA1747" s="11" t="s">
        <v>598</v>
      </c>
    </row>
    <row r="1748" spans="2:27" ht="16" x14ac:dyDescent="0.2">
      <c r="B1748" t="s">
        <v>35</v>
      </c>
      <c r="C1748">
        <v>40367162</v>
      </c>
      <c r="D1748" t="s">
        <v>423</v>
      </c>
      <c r="E1748">
        <v>1011127</v>
      </c>
      <c r="F1748" t="s">
        <v>228</v>
      </c>
      <c r="G1748" s="9">
        <v>44994</v>
      </c>
      <c r="H1748" s="7">
        <v>21600</v>
      </c>
      <c r="I1748" s="7"/>
      <c r="J1748" s="7"/>
      <c r="K1748" s="7"/>
      <c r="L1748" s="10">
        <v>5.4496124031007751</v>
      </c>
      <c r="M1748" s="9">
        <v>44999</v>
      </c>
      <c r="N1748" s="10">
        <v>10</v>
      </c>
      <c r="O1748" s="9">
        <v>45009</v>
      </c>
      <c r="P1748">
        <v>6</v>
      </c>
      <c r="Q1748" s="11" t="s">
        <v>49</v>
      </c>
      <c r="R1748" s="7">
        <v>21600</v>
      </c>
      <c r="S1748" s="7"/>
      <c r="T1748" s="7"/>
      <c r="U1748" s="7"/>
      <c r="V1748" s="10">
        <v>7.4496124031007751</v>
      </c>
      <c r="W1748" s="9">
        <v>45001</v>
      </c>
      <c r="X1748" s="10">
        <v>12</v>
      </c>
      <c r="Y1748" s="9">
        <v>45009</v>
      </c>
      <c r="Z1748">
        <v>6</v>
      </c>
      <c r="AA1748" s="11" t="s">
        <v>49</v>
      </c>
    </row>
    <row r="1749" spans="2:27" ht="16" x14ac:dyDescent="0.2">
      <c r="B1749" t="s">
        <v>35</v>
      </c>
      <c r="C1749">
        <v>40367161</v>
      </c>
      <c r="D1749" t="s">
        <v>423</v>
      </c>
      <c r="E1749">
        <v>1011127</v>
      </c>
      <c r="F1749" t="s">
        <v>228</v>
      </c>
      <c r="G1749" s="9">
        <v>45007</v>
      </c>
      <c r="H1749" s="7"/>
      <c r="I1749" s="7">
        <v>20400</v>
      </c>
      <c r="J1749" s="7"/>
      <c r="K1749" s="7"/>
      <c r="L1749" s="10">
        <v>5.4496124031007751</v>
      </c>
      <c r="M1749" s="9">
        <v>45012</v>
      </c>
      <c r="N1749" s="10">
        <v>10</v>
      </c>
      <c r="O1749" s="9">
        <v>45022</v>
      </c>
      <c r="P1749">
        <v>20</v>
      </c>
      <c r="Q1749" s="11" t="s">
        <v>49</v>
      </c>
      <c r="R1749" s="7"/>
      <c r="S1749" s="7">
        <v>20400</v>
      </c>
      <c r="T1749" s="7"/>
      <c r="U1749" s="7"/>
      <c r="V1749" s="10">
        <v>7.4496124031007751</v>
      </c>
      <c r="W1749" s="9">
        <v>45014</v>
      </c>
      <c r="X1749" s="10">
        <v>12</v>
      </c>
      <c r="Y1749" s="9">
        <v>45022</v>
      </c>
      <c r="Z1749">
        <v>20</v>
      </c>
      <c r="AA1749" s="11" t="s">
        <v>49</v>
      </c>
    </row>
    <row r="1750" spans="2:27" ht="16" x14ac:dyDescent="0.2">
      <c r="B1750" t="s">
        <v>35</v>
      </c>
      <c r="C1750">
        <v>40367160</v>
      </c>
      <c r="D1750" t="s">
        <v>423</v>
      </c>
      <c r="E1750">
        <v>1011127</v>
      </c>
      <c r="F1750" t="s">
        <v>228</v>
      </c>
      <c r="G1750" s="9">
        <v>45007</v>
      </c>
      <c r="H1750" s="7"/>
      <c r="I1750" s="7">
        <v>20400</v>
      </c>
      <c r="J1750" s="7"/>
      <c r="K1750" s="7"/>
      <c r="L1750" s="10">
        <v>5.4496124031007751</v>
      </c>
      <c r="M1750" s="9">
        <v>45012</v>
      </c>
      <c r="N1750" s="10">
        <v>10</v>
      </c>
      <c r="O1750" s="9">
        <v>45022</v>
      </c>
      <c r="P1750">
        <v>20</v>
      </c>
      <c r="Q1750" s="11" t="s">
        <v>49</v>
      </c>
      <c r="R1750" s="7"/>
      <c r="S1750" s="7">
        <v>20400</v>
      </c>
      <c r="T1750" s="7"/>
      <c r="U1750" s="7"/>
      <c r="V1750" s="10">
        <v>7.4496124031007751</v>
      </c>
      <c r="W1750" s="9">
        <v>45014</v>
      </c>
      <c r="X1750" s="10">
        <v>12</v>
      </c>
      <c r="Y1750" s="9">
        <v>45022</v>
      </c>
      <c r="Z1750">
        <v>20</v>
      </c>
      <c r="AA1750" s="11" t="s">
        <v>49</v>
      </c>
    </row>
    <row r="1751" spans="2:27" ht="16" x14ac:dyDescent="0.2">
      <c r="B1751" t="s">
        <v>35</v>
      </c>
      <c r="C1751">
        <v>40367159</v>
      </c>
      <c r="D1751" t="s">
        <v>423</v>
      </c>
      <c r="E1751">
        <v>1011127</v>
      </c>
      <c r="F1751" t="s">
        <v>228</v>
      </c>
      <c r="G1751" s="9">
        <v>44994</v>
      </c>
      <c r="H1751" s="7">
        <v>21600</v>
      </c>
      <c r="I1751" s="7"/>
      <c r="J1751" s="7"/>
      <c r="K1751" s="7"/>
      <c r="L1751" s="10">
        <v>5.4496124031007751</v>
      </c>
      <c r="M1751" s="9">
        <v>44999</v>
      </c>
      <c r="N1751" s="10">
        <v>10</v>
      </c>
      <c r="O1751" s="9">
        <v>45009</v>
      </c>
      <c r="P1751">
        <v>6</v>
      </c>
      <c r="Q1751" s="11" t="s">
        <v>49</v>
      </c>
      <c r="R1751" s="7">
        <v>21600</v>
      </c>
      <c r="S1751" s="7"/>
      <c r="T1751" s="7"/>
      <c r="U1751" s="7"/>
      <c r="V1751" s="10">
        <v>7.4496124031007751</v>
      </c>
      <c r="W1751" s="9">
        <v>45001</v>
      </c>
      <c r="X1751" s="10">
        <v>12</v>
      </c>
      <c r="Y1751" s="9">
        <v>45009</v>
      </c>
      <c r="Z1751">
        <v>6</v>
      </c>
      <c r="AA1751" s="11" t="s">
        <v>49</v>
      </c>
    </row>
    <row r="1752" spans="2:27" ht="16" x14ac:dyDescent="0.2">
      <c r="B1752" t="s">
        <v>35</v>
      </c>
      <c r="C1752">
        <v>40367147</v>
      </c>
      <c r="D1752" t="s">
        <v>409</v>
      </c>
      <c r="E1752">
        <v>1021538</v>
      </c>
      <c r="F1752" t="s">
        <v>256</v>
      </c>
      <c r="G1752" s="9">
        <v>45008</v>
      </c>
      <c r="H1752" s="7"/>
      <c r="I1752" s="7">
        <v>23994.114150000001</v>
      </c>
      <c r="J1752" s="7"/>
      <c r="K1752" s="7"/>
      <c r="L1752" s="10">
        <v>7.5</v>
      </c>
      <c r="M1752" s="9">
        <v>45015</v>
      </c>
      <c r="N1752" s="10">
        <v>9.5</v>
      </c>
      <c r="O1752" s="9">
        <v>45024</v>
      </c>
      <c r="P1752">
        <v>18</v>
      </c>
      <c r="Q1752" s="11" t="s">
        <v>49</v>
      </c>
      <c r="R1752" s="7"/>
      <c r="S1752" s="7">
        <v>23994.114150000001</v>
      </c>
      <c r="T1752" s="7"/>
      <c r="U1752" s="7"/>
      <c r="V1752" s="10">
        <v>9.5</v>
      </c>
      <c r="W1752" s="9">
        <v>45017</v>
      </c>
      <c r="X1752" s="10">
        <v>11.5</v>
      </c>
      <c r="Y1752" s="9">
        <v>45024</v>
      </c>
      <c r="Z1752">
        <v>18</v>
      </c>
      <c r="AA1752" s="11" t="s">
        <v>49</v>
      </c>
    </row>
    <row r="1753" spans="2:27" ht="16" x14ac:dyDescent="0.2">
      <c r="B1753" t="s">
        <v>35</v>
      </c>
      <c r="C1753">
        <v>40367146</v>
      </c>
      <c r="D1753" t="s">
        <v>409</v>
      </c>
      <c r="E1753">
        <v>1012165</v>
      </c>
      <c r="F1753" t="s">
        <v>61</v>
      </c>
      <c r="G1753" s="9">
        <v>45014</v>
      </c>
      <c r="H1753" s="7"/>
      <c r="I1753" s="7">
        <v>6785.73632</v>
      </c>
      <c r="J1753" s="7"/>
      <c r="K1753" s="7"/>
      <c r="L1753" s="10">
        <v>7.5</v>
      </c>
      <c r="M1753" s="9">
        <v>45021</v>
      </c>
      <c r="N1753" s="10">
        <v>9.5</v>
      </c>
      <c r="O1753" s="9">
        <v>45030</v>
      </c>
      <c r="P1753">
        <v>13</v>
      </c>
      <c r="Q1753" s="11" t="s">
        <v>49</v>
      </c>
      <c r="R1753" s="7"/>
      <c r="S1753" s="7">
        <v>6785.73632</v>
      </c>
      <c r="T1753" s="7"/>
      <c r="U1753" s="7"/>
      <c r="V1753" s="10">
        <v>9.5</v>
      </c>
      <c r="W1753" s="9">
        <v>45023</v>
      </c>
      <c r="X1753" s="10">
        <v>11.5</v>
      </c>
      <c r="Y1753" s="9">
        <v>45030</v>
      </c>
      <c r="Z1753">
        <v>13</v>
      </c>
      <c r="AA1753" s="11" t="s">
        <v>49</v>
      </c>
    </row>
    <row r="1754" spans="2:27" ht="16" x14ac:dyDescent="0.2">
      <c r="B1754" t="s">
        <v>35</v>
      </c>
      <c r="C1754">
        <v>40367146</v>
      </c>
      <c r="D1754" t="s">
        <v>409</v>
      </c>
      <c r="E1754">
        <v>1012165</v>
      </c>
      <c r="F1754" t="s">
        <v>61</v>
      </c>
      <c r="G1754" s="9">
        <v>45014</v>
      </c>
      <c r="H1754" s="7"/>
      <c r="I1754" s="7">
        <v>19958.047999999999</v>
      </c>
      <c r="J1754" s="7"/>
      <c r="K1754" s="7"/>
      <c r="L1754" s="10">
        <v>7.5</v>
      </c>
      <c r="M1754" s="9">
        <v>45021</v>
      </c>
      <c r="N1754" s="10">
        <v>9.5</v>
      </c>
      <c r="O1754" s="9">
        <v>45030</v>
      </c>
      <c r="P1754">
        <v>13</v>
      </c>
      <c r="Q1754" s="11" t="s">
        <v>49</v>
      </c>
      <c r="R1754" s="7"/>
      <c r="S1754" s="7">
        <v>19958.047999999999</v>
      </c>
      <c r="T1754" s="7"/>
      <c r="U1754" s="7"/>
      <c r="V1754" s="10">
        <v>9.5</v>
      </c>
      <c r="W1754" s="9">
        <v>45023</v>
      </c>
      <c r="X1754" s="10">
        <v>11.5</v>
      </c>
      <c r="Y1754" s="9">
        <v>45030</v>
      </c>
      <c r="Z1754">
        <v>13</v>
      </c>
      <c r="AA1754" s="11" t="s">
        <v>49</v>
      </c>
    </row>
    <row r="1755" spans="2:27" ht="16" x14ac:dyDescent="0.2">
      <c r="B1755" t="s">
        <v>35</v>
      </c>
      <c r="C1755">
        <v>40367145</v>
      </c>
      <c r="D1755" t="s">
        <v>409</v>
      </c>
      <c r="E1755">
        <v>1012163</v>
      </c>
      <c r="F1755" t="s">
        <v>140</v>
      </c>
      <c r="G1755" s="9">
        <v>45000</v>
      </c>
      <c r="H1755" s="7">
        <v>19958.047999999999</v>
      </c>
      <c r="I1755" s="7"/>
      <c r="J1755" s="7"/>
      <c r="K1755" s="7"/>
      <c r="L1755" s="10">
        <v>7.5</v>
      </c>
      <c r="M1755" s="9">
        <v>45007</v>
      </c>
      <c r="N1755" s="10">
        <v>9.5</v>
      </c>
      <c r="O1755" s="9">
        <v>45016</v>
      </c>
      <c r="P1755">
        <v>0</v>
      </c>
      <c r="Q1755" s="11" t="s">
        <v>598</v>
      </c>
      <c r="R1755" s="7">
        <v>19958.047999999999</v>
      </c>
      <c r="S1755" s="7"/>
      <c r="T1755" s="7"/>
      <c r="U1755" s="7"/>
      <c r="V1755" s="10">
        <v>9.5</v>
      </c>
      <c r="W1755" s="9">
        <v>45009</v>
      </c>
      <c r="X1755" s="10">
        <v>11.5</v>
      </c>
      <c r="Y1755" s="9">
        <v>45016</v>
      </c>
      <c r="Z1755">
        <v>0</v>
      </c>
      <c r="AA1755" s="11" t="s">
        <v>598</v>
      </c>
    </row>
    <row r="1756" spans="2:27" ht="16" x14ac:dyDescent="0.2">
      <c r="B1756" t="s">
        <v>35</v>
      </c>
      <c r="C1756">
        <v>40367143</v>
      </c>
      <c r="D1756" t="s">
        <v>409</v>
      </c>
      <c r="E1756">
        <v>1012158</v>
      </c>
      <c r="F1756" t="s">
        <v>86</v>
      </c>
      <c r="G1756" s="9">
        <v>44997</v>
      </c>
      <c r="H1756" s="7">
        <v>19958.047999999999</v>
      </c>
      <c r="I1756" s="7"/>
      <c r="J1756" s="7"/>
      <c r="K1756" s="7"/>
      <c r="L1756" s="10">
        <v>7.5</v>
      </c>
      <c r="M1756" s="9">
        <v>45004</v>
      </c>
      <c r="N1756" s="10">
        <v>9.5</v>
      </c>
      <c r="O1756" s="9">
        <v>45013</v>
      </c>
      <c r="P1756">
        <v>3</v>
      </c>
      <c r="Q1756" s="11" t="s">
        <v>49</v>
      </c>
      <c r="R1756" s="7">
        <v>19958.047999999999</v>
      </c>
      <c r="S1756" s="7"/>
      <c r="T1756" s="7"/>
      <c r="U1756" s="7"/>
      <c r="V1756" s="10">
        <v>9.5</v>
      </c>
      <c r="W1756" s="9">
        <v>45006</v>
      </c>
      <c r="X1756" s="10">
        <v>11.5</v>
      </c>
      <c r="Y1756" s="9">
        <v>45013</v>
      </c>
      <c r="Z1756">
        <v>3</v>
      </c>
      <c r="AA1756" s="11" t="s">
        <v>49</v>
      </c>
    </row>
    <row r="1757" spans="2:27" ht="16" x14ac:dyDescent="0.2">
      <c r="B1757" t="s">
        <v>35</v>
      </c>
      <c r="C1757">
        <v>40367142</v>
      </c>
      <c r="D1757" t="s">
        <v>409</v>
      </c>
      <c r="E1757">
        <v>1012111</v>
      </c>
      <c r="F1757" t="s">
        <v>137</v>
      </c>
      <c r="G1757" s="9">
        <v>45006</v>
      </c>
      <c r="H1757" s="7"/>
      <c r="I1757" s="7">
        <v>19958.047999999999</v>
      </c>
      <c r="J1757" s="7"/>
      <c r="K1757" s="7"/>
      <c r="L1757" s="10">
        <v>7.5</v>
      </c>
      <c r="M1757" s="9">
        <v>45013</v>
      </c>
      <c r="N1757" s="10">
        <v>9.5</v>
      </c>
      <c r="O1757" s="9">
        <v>45022</v>
      </c>
      <c r="P1757">
        <v>20</v>
      </c>
      <c r="Q1757" s="11" t="s">
        <v>49</v>
      </c>
      <c r="R1757" s="7"/>
      <c r="S1757" s="7">
        <v>19958.047999999999</v>
      </c>
      <c r="T1757" s="7"/>
      <c r="U1757" s="7"/>
      <c r="V1757" s="10">
        <v>9.5</v>
      </c>
      <c r="W1757" s="9">
        <v>45015</v>
      </c>
      <c r="X1757" s="10">
        <v>11.5</v>
      </c>
      <c r="Y1757" s="9">
        <v>45022</v>
      </c>
      <c r="Z1757">
        <v>20</v>
      </c>
      <c r="AA1757" s="11" t="s">
        <v>49</v>
      </c>
    </row>
    <row r="1758" spans="2:27" ht="16" x14ac:dyDescent="0.2">
      <c r="B1758" t="s">
        <v>35</v>
      </c>
      <c r="C1758">
        <v>40367141</v>
      </c>
      <c r="D1758" t="s">
        <v>409</v>
      </c>
      <c r="E1758">
        <v>1012109</v>
      </c>
      <c r="F1758" t="s">
        <v>68</v>
      </c>
      <c r="G1758" s="9">
        <v>45015</v>
      </c>
      <c r="H1758" s="7"/>
      <c r="I1758" s="7">
        <v>19958.047999999999</v>
      </c>
      <c r="J1758" s="7"/>
      <c r="K1758" s="7"/>
      <c r="L1758" s="10">
        <v>7.5</v>
      </c>
      <c r="M1758" s="9">
        <v>45022</v>
      </c>
      <c r="N1758" s="10">
        <v>9.5</v>
      </c>
      <c r="O1758" s="9">
        <v>45031</v>
      </c>
      <c r="P1758">
        <v>12</v>
      </c>
      <c r="Q1758" s="11" t="s">
        <v>49</v>
      </c>
      <c r="R1758" s="7"/>
      <c r="S1758" s="7">
        <v>19958.047999999999</v>
      </c>
      <c r="T1758" s="7"/>
      <c r="U1758" s="7"/>
      <c r="V1758" s="10">
        <v>9.5</v>
      </c>
      <c r="W1758" s="9">
        <v>45024</v>
      </c>
      <c r="X1758" s="10">
        <v>11.5</v>
      </c>
      <c r="Y1758" s="9">
        <v>45031</v>
      </c>
      <c r="Z1758">
        <v>12</v>
      </c>
      <c r="AA1758" s="11" t="s">
        <v>49</v>
      </c>
    </row>
    <row r="1759" spans="2:27" ht="16" x14ac:dyDescent="0.2">
      <c r="B1759" t="s">
        <v>35</v>
      </c>
      <c r="C1759">
        <v>40367139</v>
      </c>
      <c r="D1759" t="s">
        <v>409</v>
      </c>
      <c r="E1759">
        <v>1012107</v>
      </c>
      <c r="F1759" t="s">
        <v>215</v>
      </c>
      <c r="G1759" s="9">
        <v>45015</v>
      </c>
      <c r="H1759" s="7"/>
      <c r="I1759" s="7">
        <v>19958.047999999999</v>
      </c>
      <c r="J1759" s="7"/>
      <c r="K1759" s="7"/>
      <c r="L1759" s="10">
        <v>7.5</v>
      </c>
      <c r="M1759" s="9">
        <v>45022</v>
      </c>
      <c r="N1759" s="10">
        <v>9.5</v>
      </c>
      <c r="O1759" s="9">
        <v>45031</v>
      </c>
      <c r="P1759">
        <v>12</v>
      </c>
      <c r="Q1759" s="11" t="s">
        <v>49</v>
      </c>
      <c r="R1759" s="7"/>
      <c r="S1759" s="7">
        <v>19958.047999999999</v>
      </c>
      <c r="T1759" s="7"/>
      <c r="U1759" s="7"/>
      <c r="V1759" s="10">
        <v>9.5</v>
      </c>
      <c r="W1759" s="9">
        <v>45024</v>
      </c>
      <c r="X1759" s="10">
        <v>11.5</v>
      </c>
      <c r="Y1759" s="9">
        <v>45031</v>
      </c>
      <c r="Z1759">
        <v>12</v>
      </c>
      <c r="AA1759" s="11" t="s">
        <v>49</v>
      </c>
    </row>
    <row r="1760" spans="2:27" ht="16" x14ac:dyDescent="0.2">
      <c r="B1760" t="s">
        <v>35</v>
      </c>
      <c r="C1760">
        <v>40367130</v>
      </c>
      <c r="D1760" t="s">
        <v>409</v>
      </c>
      <c r="E1760">
        <v>1012110</v>
      </c>
      <c r="F1760" t="s">
        <v>109</v>
      </c>
      <c r="G1760" s="9">
        <v>44997</v>
      </c>
      <c r="H1760" s="7">
        <v>19958.047999999999</v>
      </c>
      <c r="I1760" s="7"/>
      <c r="J1760" s="7"/>
      <c r="K1760" s="7"/>
      <c r="L1760" s="10">
        <v>7.5</v>
      </c>
      <c r="M1760" s="9">
        <v>45004</v>
      </c>
      <c r="N1760" s="10">
        <v>9.5</v>
      </c>
      <c r="O1760" s="9">
        <v>45013</v>
      </c>
      <c r="P1760">
        <v>3</v>
      </c>
      <c r="Q1760" s="11" t="s">
        <v>49</v>
      </c>
      <c r="R1760" s="7">
        <v>19958.047999999999</v>
      </c>
      <c r="S1760" s="7"/>
      <c r="T1760" s="7"/>
      <c r="U1760" s="7"/>
      <c r="V1760" s="10">
        <v>9.5</v>
      </c>
      <c r="W1760" s="9">
        <v>45006</v>
      </c>
      <c r="X1760" s="10">
        <v>11.5</v>
      </c>
      <c r="Y1760" s="9">
        <v>45013</v>
      </c>
      <c r="Z1760">
        <v>3</v>
      </c>
      <c r="AA1760" s="11" t="s">
        <v>49</v>
      </c>
    </row>
    <row r="1761" spans="2:27" ht="16" x14ac:dyDescent="0.2">
      <c r="B1761" t="s">
        <v>35</v>
      </c>
      <c r="C1761">
        <v>40367129</v>
      </c>
      <c r="D1761" t="s">
        <v>409</v>
      </c>
      <c r="E1761">
        <v>1012110</v>
      </c>
      <c r="F1761" t="s">
        <v>109</v>
      </c>
      <c r="G1761" s="9">
        <v>44997</v>
      </c>
      <c r="H1761" s="7">
        <v>19958.047999999999</v>
      </c>
      <c r="I1761" s="7"/>
      <c r="J1761" s="7"/>
      <c r="K1761" s="7"/>
      <c r="L1761" s="10">
        <v>7.5</v>
      </c>
      <c r="M1761" s="9">
        <v>45004</v>
      </c>
      <c r="N1761" s="10">
        <v>9.5</v>
      </c>
      <c r="O1761" s="9">
        <v>45013</v>
      </c>
      <c r="P1761">
        <v>3</v>
      </c>
      <c r="Q1761" s="11" t="s">
        <v>49</v>
      </c>
      <c r="R1761" s="7">
        <v>19958.047999999999</v>
      </c>
      <c r="S1761" s="7"/>
      <c r="T1761" s="7"/>
      <c r="U1761" s="7"/>
      <c r="V1761" s="10">
        <v>9.5</v>
      </c>
      <c r="W1761" s="9">
        <v>45006</v>
      </c>
      <c r="X1761" s="10">
        <v>11.5</v>
      </c>
      <c r="Y1761" s="9">
        <v>45013</v>
      </c>
      <c r="Z1761">
        <v>3</v>
      </c>
      <c r="AA1761" s="11" t="s">
        <v>49</v>
      </c>
    </row>
    <row r="1762" spans="2:27" ht="16" x14ac:dyDescent="0.2">
      <c r="B1762" t="s">
        <v>35</v>
      </c>
      <c r="C1762">
        <v>40367128</v>
      </c>
      <c r="D1762" t="s">
        <v>409</v>
      </c>
      <c r="E1762">
        <v>1012111</v>
      </c>
      <c r="F1762" t="s">
        <v>137</v>
      </c>
      <c r="G1762" s="9">
        <v>45015</v>
      </c>
      <c r="H1762" s="7"/>
      <c r="I1762" s="7">
        <v>19958.047999999999</v>
      </c>
      <c r="J1762" s="7"/>
      <c r="K1762" s="7"/>
      <c r="L1762" s="10">
        <v>7.5</v>
      </c>
      <c r="M1762" s="9">
        <v>45022</v>
      </c>
      <c r="N1762" s="10">
        <v>9.5</v>
      </c>
      <c r="O1762" s="9">
        <v>45031</v>
      </c>
      <c r="P1762">
        <v>12</v>
      </c>
      <c r="Q1762" s="11" t="s">
        <v>49</v>
      </c>
      <c r="R1762" s="7"/>
      <c r="S1762" s="7">
        <v>19958.047999999999</v>
      </c>
      <c r="T1762" s="7"/>
      <c r="U1762" s="7"/>
      <c r="V1762" s="10">
        <v>9.5</v>
      </c>
      <c r="W1762" s="9">
        <v>45024</v>
      </c>
      <c r="X1762" s="10">
        <v>11.5</v>
      </c>
      <c r="Y1762" s="9">
        <v>45031</v>
      </c>
      <c r="Z1762">
        <v>12</v>
      </c>
      <c r="AA1762" s="11" t="s">
        <v>49</v>
      </c>
    </row>
    <row r="1763" spans="2:27" ht="16" x14ac:dyDescent="0.2">
      <c r="B1763" t="s">
        <v>35</v>
      </c>
      <c r="C1763">
        <v>40367127</v>
      </c>
      <c r="D1763" t="s">
        <v>409</v>
      </c>
      <c r="E1763">
        <v>1012111</v>
      </c>
      <c r="F1763" t="s">
        <v>137</v>
      </c>
      <c r="G1763" s="9">
        <v>45003</v>
      </c>
      <c r="H1763" s="7"/>
      <c r="I1763" s="7">
        <v>19958.047999999999</v>
      </c>
      <c r="J1763" s="7"/>
      <c r="K1763" s="7"/>
      <c r="L1763" s="10">
        <v>7.5</v>
      </c>
      <c r="M1763" s="9">
        <v>45010</v>
      </c>
      <c r="N1763" s="10">
        <v>9.5</v>
      </c>
      <c r="O1763" s="9">
        <v>45019</v>
      </c>
      <c r="P1763">
        <v>23</v>
      </c>
      <c r="Q1763" s="11" t="s">
        <v>49</v>
      </c>
      <c r="R1763" s="7"/>
      <c r="S1763" s="7">
        <v>19958.047999999999</v>
      </c>
      <c r="T1763" s="7"/>
      <c r="U1763" s="7"/>
      <c r="V1763" s="10">
        <v>9.5</v>
      </c>
      <c r="W1763" s="9">
        <v>45012</v>
      </c>
      <c r="X1763" s="10">
        <v>11.5</v>
      </c>
      <c r="Y1763" s="9">
        <v>45019</v>
      </c>
      <c r="Z1763">
        <v>23</v>
      </c>
      <c r="AA1763" s="11" t="s">
        <v>49</v>
      </c>
    </row>
    <row r="1764" spans="2:27" ht="16" x14ac:dyDescent="0.2">
      <c r="B1764" t="s">
        <v>35</v>
      </c>
      <c r="C1764">
        <v>40367126</v>
      </c>
      <c r="D1764" t="s">
        <v>409</v>
      </c>
      <c r="E1764">
        <v>1012160</v>
      </c>
      <c r="F1764" t="s">
        <v>72</v>
      </c>
      <c r="G1764" s="9">
        <v>45004</v>
      </c>
      <c r="H1764" s="7"/>
      <c r="I1764" s="7">
        <v>19958.047999999999</v>
      </c>
      <c r="J1764" s="7"/>
      <c r="K1764" s="7"/>
      <c r="L1764" s="10">
        <v>7.5</v>
      </c>
      <c r="M1764" s="9">
        <v>45011</v>
      </c>
      <c r="N1764" s="10">
        <v>9.5</v>
      </c>
      <c r="O1764" s="9">
        <v>45020</v>
      </c>
      <c r="P1764">
        <v>22</v>
      </c>
      <c r="Q1764" s="11" t="s">
        <v>49</v>
      </c>
      <c r="R1764" s="7"/>
      <c r="S1764" s="7">
        <v>19958.047999999999</v>
      </c>
      <c r="T1764" s="7"/>
      <c r="U1764" s="7"/>
      <c r="V1764" s="10">
        <v>9.5</v>
      </c>
      <c r="W1764" s="9">
        <v>45013</v>
      </c>
      <c r="X1764" s="10">
        <v>11.5</v>
      </c>
      <c r="Y1764" s="9">
        <v>45020</v>
      </c>
      <c r="Z1764">
        <v>22</v>
      </c>
      <c r="AA1764" s="11" t="s">
        <v>49</v>
      </c>
    </row>
    <row r="1765" spans="2:27" ht="16" x14ac:dyDescent="0.2">
      <c r="B1765" t="s">
        <v>35</v>
      </c>
      <c r="C1765">
        <v>40367125</v>
      </c>
      <c r="D1765" t="s">
        <v>409</v>
      </c>
      <c r="E1765">
        <v>1012160</v>
      </c>
      <c r="F1765" t="s">
        <v>72</v>
      </c>
      <c r="G1765" s="9">
        <v>45013</v>
      </c>
      <c r="H1765" s="7"/>
      <c r="I1765" s="7">
        <v>19958.047999999999</v>
      </c>
      <c r="J1765" s="7"/>
      <c r="K1765" s="7"/>
      <c r="L1765" s="10">
        <v>7.5</v>
      </c>
      <c r="M1765" s="9">
        <v>45020</v>
      </c>
      <c r="N1765" s="10">
        <v>9.5</v>
      </c>
      <c r="O1765" s="9">
        <v>45029</v>
      </c>
      <c r="P1765">
        <v>14</v>
      </c>
      <c r="Q1765" s="11" t="s">
        <v>49</v>
      </c>
      <c r="R1765" s="7"/>
      <c r="S1765" s="7">
        <v>19958.047999999999</v>
      </c>
      <c r="T1765" s="7"/>
      <c r="U1765" s="7"/>
      <c r="V1765" s="10">
        <v>9.5</v>
      </c>
      <c r="W1765" s="9">
        <v>45022</v>
      </c>
      <c r="X1765" s="10">
        <v>11.5</v>
      </c>
      <c r="Y1765" s="9">
        <v>45029</v>
      </c>
      <c r="Z1765">
        <v>14</v>
      </c>
      <c r="AA1765" s="11" t="s">
        <v>49</v>
      </c>
    </row>
    <row r="1766" spans="2:27" ht="16" x14ac:dyDescent="0.2">
      <c r="B1766" t="s">
        <v>35</v>
      </c>
      <c r="C1766">
        <v>40367122</v>
      </c>
      <c r="D1766" t="s">
        <v>409</v>
      </c>
      <c r="E1766">
        <v>1012163</v>
      </c>
      <c r="F1766" t="s">
        <v>140</v>
      </c>
      <c r="G1766" s="9">
        <v>45007</v>
      </c>
      <c r="H1766" s="7"/>
      <c r="I1766" s="7">
        <v>19958.047999999999</v>
      </c>
      <c r="J1766" s="7"/>
      <c r="K1766" s="7"/>
      <c r="L1766" s="10">
        <v>7.5</v>
      </c>
      <c r="M1766" s="9">
        <v>45014</v>
      </c>
      <c r="N1766" s="10">
        <v>9.5</v>
      </c>
      <c r="O1766" s="9">
        <v>45023</v>
      </c>
      <c r="P1766">
        <v>19</v>
      </c>
      <c r="Q1766" s="11" t="s">
        <v>49</v>
      </c>
      <c r="R1766" s="7"/>
      <c r="S1766" s="7">
        <v>19958.047999999999</v>
      </c>
      <c r="T1766" s="7"/>
      <c r="U1766" s="7"/>
      <c r="V1766" s="10">
        <v>9.5</v>
      </c>
      <c r="W1766" s="9">
        <v>45016</v>
      </c>
      <c r="X1766" s="10">
        <v>11.5</v>
      </c>
      <c r="Y1766" s="9">
        <v>45023</v>
      </c>
      <c r="Z1766">
        <v>19</v>
      </c>
      <c r="AA1766" s="11" t="s">
        <v>49</v>
      </c>
    </row>
    <row r="1767" spans="2:27" ht="16" x14ac:dyDescent="0.2">
      <c r="B1767" t="s">
        <v>35</v>
      </c>
      <c r="C1767">
        <v>40367118</v>
      </c>
      <c r="D1767" t="s">
        <v>409</v>
      </c>
      <c r="E1767">
        <v>1012165</v>
      </c>
      <c r="F1767" t="s">
        <v>61</v>
      </c>
      <c r="G1767" s="9">
        <v>45003</v>
      </c>
      <c r="H1767" s="7"/>
      <c r="I1767" s="7">
        <v>19958.047999999999</v>
      </c>
      <c r="J1767" s="7"/>
      <c r="K1767" s="7"/>
      <c r="L1767" s="10">
        <v>7.5</v>
      </c>
      <c r="M1767" s="9">
        <v>45010</v>
      </c>
      <c r="N1767" s="10">
        <v>9.5</v>
      </c>
      <c r="O1767" s="9">
        <v>45019</v>
      </c>
      <c r="P1767">
        <v>23</v>
      </c>
      <c r="Q1767" s="11" t="s">
        <v>49</v>
      </c>
      <c r="R1767" s="7"/>
      <c r="S1767" s="7">
        <v>19958.047999999999</v>
      </c>
      <c r="T1767" s="7"/>
      <c r="U1767" s="7"/>
      <c r="V1767" s="10">
        <v>9.5</v>
      </c>
      <c r="W1767" s="9">
        <v>45012</v>
      </c>
      <c r="X1767" s="10">
        <v>11.5</v>
      </c>
      <c r="Y1767" s="9">
        <v>45019</v>
      </c>
      <c r="Z1767">
        <v>23</v>
      </c>
      <c r="AA1767" s="11" t="s">
        <v>49</v>
      </c>
    </row>
    <row r="1768" spans="2:27" ht="16" x14ac:dyDescent="0.2">
      <c r="B1768" t="s">
        <v>35</v>
      </c>
      <c r="C1768">
        <v>40367117</v>
      </c>
      <c r="D1768" t="s">
        <v>409</v>
      </c>
      <c r="E1768">
        <v>1021538</v>
      </c>
      <c r="F1768" t="s">
        <v>256</v>
      </c>
      <c r="G1768" s="9">
        <v>45014</v>
      </c>
      <c r="H1768" s="7"/>
      <c r="I1768" s="7">
        <v>23999.008409999999</v>
      </c>
      <c r="J1768" s="7"/>
      <c r="K1768" s="7"/>
      <c r="L1768" s="10">
        <v>7.5</v>
      </c>
      <c r="M1768" s="9">
        <v>45021</v>
      </c>
      <c r="N1768" s="10">
        <v>9.5</v>
      </c>
      <c r="O1768" s="9">
        <v>45030</v>
      </c>
      <c r="P1768">
        <v>13</v>
      </c>
      <c r="Q1768" s="11" t="s">
        <v>49</v>
      </c>
      <c r="R1768" s="7"/>
      <c r="S1768" s="7">
        <v>23999.008409999999</v>
      </c>
      <c r="T1768" s="7"/>
      <c r="U1768" s="7"/>
      <c r="V1768" s="10">
        <v>9.5</v>
      </c>
      <c r="W1768" s="9">
        <v>45023</v>
      </c>
      <c r="X1768" s="10">
        <v>11.5</v>
      </c>
      <c r="Y1768" s="9">
        <v>45030</v>
      </c>
      <c r="Z1768">
        <v>13</v>
      </c>
      <c r="AA1768" s="11" t="s">
        <v>49</v>
      </c>
    </row>
    <row r="1769" spans="2:27" ht="16" x14ac:dyDescent="0.2">
      <c r="B1769" t="s">
        <v>35</v>
      </c>
      <c r="C1769">
        <v>40367036</v>
      </c>
      <c r="D1769" t="s">
        <v>409</v>
      </c>
      <c r="E1769">
        <v>1030370</v>
      </c>
      <c r="F1769" t="s">
        <v>355</v>
      </c>
      <c r="G1769" s="9">
        <v>45014</v>
      </c>
      <c r="H1769" s="7"/>
      <c r="I1769" s="7">
        <v>18143.68</v>
      </c>
      <c r="J1769" s="7"/>
      <c r="K1769" s="7"/>
      <c r="L1769" s="10">
        <v>7.5</v>
      </c>
      <c r="M1769" s="9">
        <v>45021</v>
      </c>
      <c r="N1769" s="10">
        <v>9.5</v>
      </c>
      <c r="O1769" s="9">
        <v>45030</v>
      </c>
      <c r="P1769">
        <v>13</v>
      </c>
      <c r="Q1769" s="11" t="s">
        <v>49</v>
      </c>
      <c r="R1769" s="7"/>
      <c r="S1769" s="7">
        <v>18143.68</v>
      </c>
      <c r="T1769" s="7"/>
      <c r="U1769" s="7"/>
      <c r="V1769" s="10">
        <v>9.5</v>
      </c>
      <c r="W1769" s="9">
        <v>45023</v>
      </c>
      <c r="X1769" s="10">
        <v>11.5</v>
      </c>
      <c r="Y1769" s="9">
        <v>45030</v>
      </c>
      <c r="Z1769">
        <v>13</v>
      </c>
      <c r="AA1769" s="11" t="s">
        <v>49</v>
      </c>
    </row>
    <row r="1770" spans="2:27" ht="16" x14ac:dyDescent="0.2">
      <c r="B1770" t="s">
        <v>35</v>
      </c>
      <c r="C1770">
        <v>40367022</v>
      </c>
      <c r="D1770" t="s">
        <v>409</v>
      </c>
      <c r="E1770">
        <v>1030379</v>
      </c>
      <c r="F1770" t="s">
        <v>97</v>
      </c>
      <c r="G1770" s="9">
        <v>45021</v>
      </c>
      <c r="H1770" s="7"/>
      <c r="I1770" s="7">
        <v>23931.513920000001</v>
      </c>
      <c r="J1770" s="7"/>
      <c r="K1770" s="7"/>
      <c r="L1770" s="10">
        <v>7.5</v>
      </c>
      <c r="M1770" s="9">
        <v>45028</v>
      </c>
      <c r="N1770" s="10">
        <v>9.5</v>
      </c>
      <c r="O1770" s="9">
        <v>45037</v>
      </c>
      <c r="P1770">
        <v>7</v>
      </c>
      <c r="Q1770" s="11" t="s">
        <v>49</v>
      </c>
      <c r="R1770" s="7"/>
      <c r="S1770" s="7">
        <v>23931.513920000001</v>
      </c>
      <c r="T1770" s="7"/>
      <c r="U1770" s="7"/>
      <c r="V1770" s="10">
        <v>9.5</v>
      </c>
      <c r="W1770" s="9">
        <v>45030</v>
      </c>
      <c r="X1770" s="10">
        <v>11.5</v>
      </c>
      <c r="Y1770" s="9">
        <v>45037</v>
      </c>
      <c r="Z1770">
        <v>7</v>
      </c>
      <c r="AA1770" s="11" t="s">
        <v>49</v>
      </c>
    </row>
    <row r="1771" spans="2:27" ht="16" x14ac:dyDescent="0.2">
      <c r="B1771" t="s">
        <v>35</v>
      </c>
      <c r="C1771">
        <v>40367020</v>
      </c>
      <c r="D1771" t="s">
        <v>409</v>
      </c>
      <c r="E1771">
        <v>1030379</v>
      </c>
      <c r="F1771" t="s">
        <v>97</v>
      </c>
      <c r="G1771" s="9">
        <v>45021</v>
      </c>
      <c r="H1771" s="7"/>
      <c r="I1771" s="7">
        <v>24004.088640000002</v>
      </c>
      <c r="J1771" s="7"/>
      <c r="K1771" s="7"/>
      <c r="L1771" s="10">
        <v>7.5</v>
      </c>
      <c r="M1771" s="9">
        <v>45028</v>
      </c>
      <c r="N1771" s="10">
        <v>9.5</v>
      </c>
      <c r="O1771" s="9">
        <v>45037</v>
      </c>
      <c r="P1771">
        <v>7</v>
      </c>
      <c r="Q1771" s="11" t="s">
        <v>49</v>
      </c>
      <c r="R1771" s="7"/>
      <c r="S1771" s="7">
        <v>24004.088640000002</v>
      </c>
      <c r="T1771" s="7"/>
      <c r="U1771" s="7"/>
      <c r="V1771" s="10">
        <v>9.5</v>
      </c>
      <c r="W1771" s="9">
        <v>45030</v>
      </c>
      <c r="X1771" s="10">
        <v>11.5</v>
      </c>
      <c r="Y1771" s="9">
        <v>45037</v>
      </c>
      <c r="Z1771">
        <v>7</v>
      </c>
      <c r="AA1771" s="11" t="s">
        <v>49</v>
      </c>
    </row>
    <row r="1772" spans="2:27" ht="16" x14ac:dyDescent="0.2">
      <c r="B1772" t="s">
        <v>35</v>
      </c>
      <c r="C1772">
        <v>40367019</v>
      </c>
      <c r="D1772" t="s">
        <v>409</v>
      </c>
      <c r="E1772">
        <v>1030379</v>
      </c>
      <c r="F1772" t="s">
        <v>97</v>
      </c>
      <c r="G1772" s="9">
        <v>45021</v>
      </c>
      <c r="H1772" s="7"/>
      <c r="I1772" s="7">
        <v>24004.088640000002</v>
      </c>
      <c r="J1772" s="7"/>
      <c r="K1772" s="7"/>
      <c r="L1772" s="10">
        <v>7.5</v>
      </c>
      <c r="M1772" s="9">
        <v>45028</v>
      </c>
      <c r="N1772" s="10">
        <v>9.5</v>
      </c>
      <c r="O1772" s="9">
        <v>45037</v>
      </c>
      <c r="P1772">
        <v>7</v>
      </c>
      <c r="Q1772" s="11" t="s">
        <v>49</v>
      </c>
      <c r="R1772" s="7"/>
      <c r="S1772" s="7">
        <v>24004.088640000002</v>
      </c>
      <c r="T1772" s="7"/>
      <c r="U1772" s="7"/>
      <c r="V1772" s="10">
        <v>9.5</v>
      </c>
      <c r="W1772" s="9">
        <v>45030</v>
      </c>
      <c r="X1772" s="10">
        <v>11.5</v>
      </c>
      <c r="Y1772" s="9">
        <v>45037</v>
      </c>
      <c r="Z1772">
        <v>7</v>
      </c>
      <c r="AA1772" s="11" t="s">
        <v>49</v>
      </c>
    </row>
    <row r="1773" spans="2:27" ht="16" x14ac:dyDescent="0.2">
      <c r="B1773" t="s">
        <v>35</v>
      </c>
      <c r="C1773">
        <v>40367012</v>
      </c>
      <c r="D1773" t="s">
        <v>409</v>
      </c>
      <c r="E1773">
        <v>1021539</v>
      </c>
      <c r="F1773" t="s">
        <v>437</v>
      </c>
      <c r="G1773" s="9">
        <v>45013</v>
      </c>
      <c r="H1773" s="7"/>
      <c r="I1773" s="7">
        <v>24006.352060000001</v>
      </c>
      <c r="J1773" s="7"/>
      <c r="K1773" s="7"/>
      <c r="L1773" s="10">
        <v>7.5</v>
      </c>
      <c r="M1773" s="9">
        <v>45020</v>
      </c>
      <c r="N1773" s="10">
        <v>9.5</v>
      </c>
      <c r="O1773" s="9">
        <v>45029</v>
      </c>
      <c r="P1773">
        <v>14</v>
      </c>
      <c r="Q1773" s="11" t="s">
        <v>49</v>
      </c>
      <c r="R1773" s="7"/>
      <c r="S1773" s="7">
        <v>24006.352060000001</v>
      </c>
      <c r="T1773" s="7"/>
      <c r="U1773" s="7"/>
      <c r="V1773" s="10">
        <v>9.5</v>
      </c>
      <c r="W1773" s="9">
        <v>45022</v>
      </c>
      <c r="X1773" s="10">
        <v>11.5</v>
      </c>
      <c r="Y1773" s="9">
        <v>45029</v>
      </c>
      <c r="Z1773">
        <v>14</v>
      </c>
      <c r="AA1773" s="11" t="s">
        <v>49</v>
      </c>
    </row>
    <row r="1774" spans="2:27" ht="16" x14ac:dyDescent="0.2">
      <c r="B1774" t="s">
        <v>35</v>
      </c>
      <c r="C1774">
        <v>40367011</v>
      </c>
      <c r="D1774" t="s">
        <v>409</v>
      </c>
      <c r="E1774">
        <v>1021538</v>
      </c>
      <c r="F1774" t="s">
        <v>256</v>
      </c>
      <c r="G1774" s="9">
        <v>45015</v>
      </c>
      <c r="H1774" s="7"/>
      <c r="I1774" s="7">
        <v>23991.05241</v>
      </c>
      <c r="J1774" s="7"/>
      <c r="K1774" s="7"/>
      <c r="L1774" s="10">
        <v>7.5</v>
      </c>
      <c r="M1774" s="9">
        <v>45022</v>
      </c>
      <c r="N1774" s="10">
        <v>9.5</v>
      </c>
      <c r="O1774" s="9">
        <v>45031</v>
      </c>
      <c r="P1774">
        <v>12</v>
      </c>
      <c r="Q1774" s="11" t="s">
        <v>49</v>
      </c>
      <c r="R1774" s="7"/>
      <c r="S1774" s="7">
        <v>23991.05241</v>
      </c>
      <c r="T1774" s="7"/>
      <c r="U1774" s="7"/>
      <c r="V1774" s="10">
        <v>9.5</v>
      </c>
      <c r="W1774" s="9">
        <v>45024</v>
      </c>
      <c r="X1774" s="10">
        <v>11.5</v>
      </c>
      <c r="Y1774" s="9">
        <v>45031</v>
      </c>
      <c r="Z1774">
        <v>12</v>
      </c>
      <c r="AA1774" s="11" t="s">
        <v>49</v>
      </c>
    </row>
    <row r="1775" spans="2:27" ht="16" x14ac:dyDescent="0.2">
      <c r="B1775" t="s">
        <v>35</v>
      </c>
      <c r="C1775">
        <v>40367010</v>
      </c>
      <c r="D1775" t="s">
        <v>409</v>
      </c>
      <c r="E1775">
        <v>1021538</v>
      </c>
      <c r="F1775" t="s">
        <v>256</v>
      </c>
      <c r="G1775" s="9">
        <v>45021</v>
      </c>
      <c r="H1775" s="7"/>
      <c r="I1775" s="7">
        <v>23995.52936</v>
      </c>
      <c r="J1775" s="7"/>
      <c r="K1775" s="7"/>
      <c r="L1775" s="10">
        <v>7.5</v>
      </c>
      <c r="M1775" s="9">
        <v>45028</v>
      </c>
      <c r="N1775" s="10">
        <v>9.5</v>
      </c>
      <c r="O1775" s="9">
        <v>45037</v>
      </c>
      <c r="P1775">
        <v>7</v>
      </c>
      <c r="Q1775" s="11" t="s">
        <v>49</v>
      </c>
      <c r="R1775" s="7"/>
      <c r="S1775" s="7">
        <v>23995.52936</v>
      </c>
      <c r="T1775" s="7"/>
      <c r="U1775" s="7"/>
      <c r="V1775" s="10">
        <v>9.5</v>
      </c>
      <c r="W1775" s="9">
        <v>45030</v>
      </c>
      <c r="X1775" s="10">
        <v>11.5</v>
      </c>
      <c r="Y1775" s="9">
        <v>45037</v>
      </c>
      <c r="Z1775">
        <v>7</v>
      </c>
      <c r="AA1775" s="11" t="s">
        <v>49</v>
      </c>
    </row>
    <row r="1776" spans="2:27" ht="16" x14ac:dyDescent="0.2">
      <c r="B1776" t="s">
        <v>35</v>
      </c>
      <c r="C1776">
        <v>40367009</v>
      </c>
      <c r="D1776" t="s">
        <v>409</v>
      </c>
      <c r="E1776">
        <v>1021538</v>
      </c>
      <c r="F1776" t="s">
        <v>256</v>
      </c>
      <c r="G1776" s="9">
        <v>45006</v>
      </c>
      <c r="H1776" s="7"/>
      <c r="I1776" s="7">
        <v>24011.436829999999</v>
      </c>
      <c r="J1776" s="7"/>
      <c r="K1776" s="7"/>
      <c r="L1776" s="10">
        <v>7.5</v>
      </c>
      <c r="M1776" s="9">
        <v>45013</v>
      </c>
      <c r="N1776" s="10">
        <v>9.5</v>
      </c>
      <c r="O1776" s="9">
        <v>45022</v>
      </c>
      <c r="P1776">
        <v>20</v>
      </c>
      <c r="Q1776" s="11" t="s">
        <v>49</v>
      </c>
      <c r="R1776" s="7"/>
      <c r="S1776" s="7">
        <v>24011.436829999999</v>
      </c>
      <c r="T1776" s="7"/>
      <c r="U1776" s="7"/>
      <c r="V1776" s="10">
        <v>9.5</v>
      </c>
      <c r="W1776" s="9">
        <v>45015</v>
      </c>
      <c r="X1776" s="10">
        <v>11.5</v>
      </c>
      <c r="Y1776" s="9">
        <v>45022</v>
      </c>
      <c r="Z1776">
        <v>20</v>
      </c>
      <c r="AA1776" s="11" t="s">
        <v>49</v>
      </c>
    </row>
    <row r="1777" spans="2:27" ht="16" x14ac:dyDescent="0.2">
      <c r="B1777" t="s">
        <v>35</v>
      </c>
      <c r="C1777">
        <v>40367008</v>
      </c>
      <c r="D1777" t="s">
        <v>409</v>
      </c>
      <c r="E1777">
        <v>1012111</v>
      </c>
      <c r="F1777" t="s">
        <v>137</v>
      </c>
      <c r="G1777" s="9">
        <v>45004</v>
      </c>
      <c r="H1777" s="7"/>
      <c r="I1777" s="7">
        <v>19958.047999999999</v>
      </c>
      <c r="J1777" s="7"/>
      <c r="K1777" s="7"/>
      <c r="L1777" s="10">
        <v>7.5</v>
      </c>
      <c r="M1777" s="9">
        <v>45011</v>
      </c>
      <c r="N1777" s="10">
        <v>9.5</v>
      </c>
      <c r="O1777" s="9">
        <v>45020</v>
      </c>
      <c r="P1777">
        <v>22</v>
      </c>
      <c r="Q1777" s="11" t="s">
        <v>49</v>
      </c>
      <c r="R1777" s="7"/>
      <c r="S1777" s="7">
        <v>19958.047999999999</v>
      </c>
      <c r="T1777" s="7"/>
      <c r="U1777" s="7"/>
      <c r="V1777" s="10">
        <v>9.5</v>
      </c>
      <c r="W1777" s="9">
        <v>45013</v>
      </c>
      <c r="X1777" s="10">
        <v>11.5</v>
      </c>
      <c r="Y1777" s="9">
        <v>45020</v>
      </c>
      <c r="Z1777">
        <v>22</v>
      </c>
      <c r="AA1777" s="11" t="s">
        <v>49</v>
      </c>
    </row>
    <row r="1778" spans="2:27" ht="16" x14ac:dyDescent="0.2">
      <c r="B1778" t="s">
        <v>35</v>
      </c>
      <c r="C1778">
        <v>40367007</v>
      </c>
      <c r="D1778" t="s">
        <v>409</v>
      </c>
      <c r="E1778">
        <v>1012107</v>
      </c>
      <c r="F1778" t="s">
        <v>215</v>
      </c>
      <c r="G1778" s="9">
        <v>45008</v>
      </c>
      <c r="H1778" s="7"/>
      <c r="I1778" s="7">
        <v>9979.0239999999994</v>
      </c>
      <c r="J1778" s="7"/>
      <c r="K1778" s="7"/>
      <c r="L1778" s="10">
        <v>7.5</v>
      </c>
      <c r="M1778" s="9">
        <v>45015</v>
      </c>
      <c r="N1778" s="10">
        <v>9.5</v>
      </c>
      <c r="O1778" s="9">
        <v>45024</v>
      </c>
      <c r="P1778">
        <v>18</v>
      </c>
      <c r="Q1778" s="11" t="s">
        <v>49</v>
      </c>
      <c r="R1778" s="7"/>
      <c r="S1778" s="7">
        <v>9979.0239999999994</v>
      </c>
      <c r="T1778" s="7"/>
      <c r="U1778" s="7"/>
      <c r="V1778" s="10">
        <v>9.5</v>
      </c>
      <c r="W1778" s="9">
        <v>45017</v>
      </c>
      <c r="X1778" s="10">
        <v>11.5</v>
      </c>
      <c r="Y1778" s="9">
        <v>45024</v>
      </c>
      <c r="Z1778">
        <v>18</v>
      </c>
      <c r="AA1778" s="11" t="s">
        <v>49</v>
      </c>
    </row>
    <row r="1779" spans="2:27" ht="16" x14ac:dyDescent="0.2">
      <c r="B1779" t="s">
        <v>35</v>
      </c>
      <c r="C1779">
        <v>40367007</v>
      </c>
      <c r="D1779" t="s">
        <v>409</v>
      </c>
      <c r="E1779">
        <v>1012111</v>
      </c>
      <c r="F1779" t="s">
        <v>137</v>
      </c>
      <c r="G1779" s="9">
        <v>45008</v>
      </c>
      <c r="H1779" s="7"/>
      <c r="I1779" s="7">
        <v>9979.0239999999994</v>
      </c>
      <c r="J1779" s="7"/>
      <c r="K1779" s="7"/>
      <c r="L1779" s="10">
        <v>7.5</v>
      </c>
      <c r="M1779" s="9">
        <v>45015</v>
      </c>
      <c r="N1779" s="10">
        <v>9.5</v>
      </c>
      <c r="O1779" s="9">
        <v>45024</v>
      </c>
      <c r="P1779">
        <v>18</v>
      </c>
      <c r="Q1779" s="11" t="s">
        <v>49</v>
      </c>
      <c r="R1779" s="7"/>
      <c r="S1779" s="7">
        <v>9979.0239999999994</v>
      </c>
      <c r="T1779" s="7"/>
      <c r="U1779" s="7"/>
      <c r="V1779" s="10">
        <v>9.5</v>
      </c>
      <c r="W1779" s="9">
        <v>45017</v>
      </c>
      <c r="X1779" s="10">
        <v>11.5</v>
      </c>
      <c r="Y1779" s="9">
        <v>45024</v>
      </c>
      <c r="Z1779">
        <v>18</v>
      </c>
      <c r="AA1779" s="11" t="s">
        <v>49</v>
      </c>
    </row>
    <row r="1780" spans="2:27" ht="16" x14ac:dyDescent="0.2">
      <c r="B1780" t="s">
        <v>35</v>
      </c>
      <c r="C1780">
        <v>40366995</v>
      </c>
      <c r="D1780" t="s">
        <v>409</v>
      </c>
      <c r="E1780">
        <v>1012109</v>
      </c>
      <c r="F1780" t="s">
        <v>68</v>
      </c>
      <c r="G1780" s="9">
        <v>45015</v>
      </c>
      <c r="H1780" s="7"/>
      <c r="I1780" s="7">
        <v>19958.047999999999</v>
      </c>
      <c r="J1780" s="7"/>
      <c r="K1780" s="7"/>
      <c r="L1780" s="10">
        <v>7.5</v>
      </c>
      <c r="M1780" s="9">
        <v>45022</v>
      </c>
      <c r="N1780" s="10">
        <v>9.5</v>
      </c>
      <c r="O1780" s="9">
        <v>45031</v>
      </c>
      <c r="P1780">
        <v>12</v>
      </c>
      <c r="Q1780" s="11" t="s">
        <v>49</v>
      </c>
      <c r="R1780" s="7"/>
      <c r="S1780" s="7">
        <v>19958.047999999999</v>
      </c>
      <c r="T1780" s="7"/>
      <c r="U1780" s="7"/>
      <c r="V1780" s="10">
        <v>9.5</v>
      </c>
      <c r="W1780" s="9">
        <v>45024</v>
      </c>
      <c r="X1780" s="10">
        <v>11.5</v>
      </c>
      <c r="Y1780" s="9">
        <v>45031</v>
      </c>
      <c r="Z1780">
        <v>12</v>
      </c>
      <c r="AA1780" s="11" t="s">
        <v>49</v>
      </c>
    </row>
    <row r="1781" spans="2:27" ht="16" x14ac:dyDescent="0.2">
      <c r="B1781" t="s">
        <v>35</v>
      </c>
      <c r="C1781">
        <v>40366994</v>
      </c>
      <c r="D1781" t="s">
        <v>409</v>
      </c>
      <c r="E1781">
        <v>1012109</v>
      </c>
      <c r="F1781" t="s">
        <v>68</v>
      </c>
      <c r="G1781" s="9">
        <v>45013</v>
      </c>
      <c r="H1781" s="7"/>
      <c r="I1781" s="7">
        <v>19958.047999999999</v>
      </c>
      <c r="J1781" s="7"/>
      <c r="K1781" s="7"/>
      <c r="L1781" s="10">
        <v>7.5</v>
      </c>
      <c r="M1781" s="9">
        <v>45020</v>
      </c>
      <c r="N1781" s="10">
        <v>9.5</v>
      </c>
      <c r="O1781" s="9">
        <v>45029</v>
      </c>
      <c r="P1781">
        <v>14</v>
      </c>
      <c r="Q1781" s="11" t="s">
        <v>49</v>
      </c>
      <c r="R1781" s="7"/>
      <c r="S1781" s="7">
        <v>19958.047999999999</v>
      </c>
      <c r="T1781" s="7"/>
      <c r="U1781" s="7"/>
      <c r="V1781" s="10">
        <v>9.5</v>
      </c>
      <c r="W1781" s="9">
        <v>45022</v>
      </c>
      <c r="X1781" s="10">
        <v>11.5</v>
      </c>
      <c r="Y1781" s="9">
        <v>45029</v>
      </c>
      <c r="Z1781">
        <v>14</v>
      </c>
      <c r="AA1781" s="11" t="s">
        <v>49</v>
      </c>
    </row>
    <row r="1782" spans="2:27" ht="16" x14ac:dyDescent="0.2">
      <c r="B1782" t="s">
        <v>35</v>
      </c>
      <c r="C1782">
        <v>40366993</v>
      </c>
      <c r="D1782" t="s">
        <v>409</v>
      </c>
      <c r="E1782">
        <v>1012108</v>
      </c>
      <c r="F1782" t="s">
        <v>57</v>
      </c>
      <c r="G1782" s="9">
        <v>45012</v>
      </c>
      <c r="H1782" s="7"/>
      <c r="I1782" s="7">
        <v>19958.047999999999</v>
      </c>
      <c r="J1782" s="7"/>
      <c r="K1782" s="7"/>
      <c r="L1782" s="10">
        <v>7.5</v>
      </c>
      <c r="M1782" s="9">
        <v>45019</v>
      </c>
      <c r="N1782" s="10">
        <v>9.5</v>
      </c>
      <c r="O1782" s="9">
        <v>45028</v>
      </c>
      <c r="P1782">
        <v>15</v>
      </c>
      <c r="Q1782" s="11" t="s">
        <v>49</v>
      </c>
      <c r="R1782" s="7"/>
      <c r="S1782" s="7">
        <v>19958.047999999999</v>
      </c>
      <c r="T1782" s="7"/>
      <c r="U1782" s="7"/>
      <c r="V1782" s="10">
        <v>9.5</v>
      </c>
      <c r="W1782" s="9">
        <v>45021</v>
      </c>
      <c r="X1782" s="10">
        <v>11.5</v>
      </c>
      <c r="Y1782" s="9">
        <v>45028</v>
      </c>
      <c r="Z1782">
        <v>15</v>
      </c>
      <c r="AA1782" s="11" t="s">
        <v>49</v>
      </c>
    </row>
    <row r="1783" spans="2:27" ht="16" x14ac:dyDescent="0.2">
      <c r="B1783" t="s">
        <v>35</v>
      </c>
      <c r="C1783">
        <v>40366992</v>
      </c>
      <c r="D1783" t="s">
        <v>409</v>
      </c>
      <c r="E1783">
        <v>1012108</v>
      </c>
      <c r="F1783" t="s">
        <v>57</v>
      </c>
      <c r="G1783" s="9">
        <v>45014</v>
      </c>
      <c r="H1783" s="7"/>
      <c r="I1783" s="7">
        <v>19958.047999999999</v>
      </c>
      <c r="J1783" s="7"/>
      <c r="K1783" s="7"/>
      <c r="L1783" s="10">
        <v>7.5</v>
      </c>
      <c r="M1783" s="9">
        <v>45021</v>
      </c>
      <c r="N1783" s="10">
        <v>9.5</v>
      </c>
      <c r="O1783" s="9">
        <v>45030</v>
      </c>
      <c r="P1783">
        <v>13</v>
      </c>
      <c r="Q1783" s="11" t="s">
        <v>49</v>
      </c>
      <c r="R1783" s="7"/>
      <c r="S1783" s="7">
        <v>19958.047999999999</v>
      </c>
      <c r="T1783" s="7"/>
      <c r="U1783" s="7"/>
      <c r="V1783" s="10">
        <v>9.5</v>
      </c>
      <c r="W1783" s="9">
        <v>45023</v>
      </c>
      <c r="X1783" s="10">
        <v>11.5</v>
      </c>
      <c r="Y1783" s="9">
        <v>45030</v>
      </c>
      <c r="Z1783">
        <v>13</v>
      </c>
      <c r="AA1783" s="11" t="s">
        <v>49</v>
      </c>
    </row>
    <row r="1784" spans="2:27" ht="16" x14ac:dyDescent="0.2">
      <c r="B1784" t="s">
        <v>35</v>
      </c>
      <c r="C1784">
        <v>40366991</v>
      </c>
      <c r="D1784" t="s">
        <v>409</v>
      </c>
      <c r="E1784">
        <v>1012107</v>
      </c>
      <c r="F1784" t="s">
        <v>215</v>
      </c>
      <c r="G1784" s="9">
        <v>45015</v>
      </c>
      <c r="H1784" s="7"/>
      <c r="I1784" s="7">
        <v>9979.0239999999994</v>
      </c>
      <c r="J1784" s="7"/>
      <c r="K1784" s="7"/>
      <c r="L1784" s="10">
        <v>7.5</v>
      </c>
      <c r="M1784" s="9">
        <v>45022</v>
      </c>
      <c r="N1784" s="10">
        <v>9.5</v>
      </c>
      <c r="O1784" s="9">
        <v>45031</v>
      </c>
      <c r="P1784">
        <v>12</v>
      </c>
      <c r="Q1784" s="11" t="s">
        <v>49</v>
      </c>
      <c r="R1784" s="7"/>
      <c r="S1784" s="7">
        <v>9979.0239999999994</v>
      </c>
      <c r="T1784" s="7"/>
      <c r="U1784" s="7"/>
      <c r="V1784" s="10">
        <v>9.5</v>
      </c>
      <c r="W1784" s="9">
        <v>45024</v>
      </c>
      <c r="X1784" s="10">
        <v>11.5</v>
      </c>
      <c r="Y1784" s="9">
        <v>45031</v>
      </c>
      <c r="Z1784">
        <v>12</v>
      </c>
      <c r="AA1784" s="11" t="s">
        <v>49</v>
      </c>
    </row>
    <row r="1785" spans="2:27" ht="16" x14ac:dyDescent="0.2">
      <c r="B1785" t="s">
        <v>35</v>
      </c>
      <c r="C1785">
        <v>40366991</v>
      </c>
      <c r="D1785" t="s">
        <v>409</v>
      </c>
      <c r="E1785">
        <v>1012108</v>
      </c>
      <c r="F1785" t="s">
        <v>57</v>
      </c>
      <c r="G1785" s="9">
        <v>45015</v>
      </c>
      <c r="H1785" s="7"/>
      <c r="I1785" s="7">
        <v>9979.0239999999994</v>
      </c>
      <c r="J1785" s="7"/>
      <c r="K1785" s="7"/>
      <c r="L1785" s="10">
        <v>7.5</v>
      </c>
      <c r="M1785" s="9">
        <v>45022</v>
      </c>
      <c r="N1785" s="10">
        <v>9.5</v>
      </c>
      <c r="O1785" s="9">
        <v>45031</v>
      </c>
      <c r="P1785">
        <v>12</v>
      </c>
      <c r="Q1785" s="11" t="s">
        <v>49</v>
      </c>
      <c r="R1785" s="7"/>
      <c r="S1785" s="7">
        <v>9979.0239999999994</v>
      </c>
      <c r="T1785" s="7"/>
      <c r="U1785" s="7"/>
      <c r="V1785" s="10">
        <v>9.5</v>
      </c>
      <c r="W1785" s="9">
        <v>45024</v>
      </c>
      <c r="X1785" s="10">
        <v>11.5</v>
      </c>
      <c r="Y1785" s="9">
        <v>45031</v>
      </c>
      <c r="Z1785">
        <v>12</v>
      </c>
      <c r="AA1785" s="11" t="s">
        <v>49</v>
      </c>
    </row>
    <row r="1786" spans="2:27" ht="16" x14ac:dyDescent="0.2">
      <c r="B1786" t="s">
        <v>35</v>
      </c>
      <c r="C1786">
        <v>40366990</v>
      </c>
      <c r="D1786" t="s">
        <v>409</v>
      </c>
      <c r="E1786">
        <v>1012108</v>
      </c>
      <c r="F1786" t="s">
        <v>57</v>
      </c>
      <c r="G1786" s="9">
        <v>45005</v>
      </c>
      <c r="H1786" s="7"/>
      <c r="I1786" s="7">
        <v>19958.047999999999</v>
      </c>
      <c r="J1786" s="7"/>
      <c r="K1786" s="7"/>
      <c r="L1786" s="10">
        <v>7.5</v>
      </c>
      <c r="M1786" s="9">
        <v>45012</v>
      </c>
      <c r="N1786" s="10">
        <v>9.5</v>
      </c>
      <c r="O1786" s="9">
        <v>45021</v>
      </c>
      <c r="P1786">
        <v>21</v>
      </c>
      <c r="Q1786" s="11" t="s">
        <v>49</v>
      </c>
      <c r="R1786" s="7"/>
      <c r="S1786" s="7">
        <v>19958.047999999999</v>
      </c>
      <c r="T1786" s="7"/>
      <c r="U1786" s="7"/>
      <c r="V1786" s="10">
        <v>9.5</v>
      </c>
      <c r="W1786" s="9">
        <v>45014</v>
      </c>
      <c r="X1786" s="10">
        <v>11.5</v>
      </c>
      <c r="Y1786" s="9">
        <v>45021</v>
      </c>
      <c r="Z1786">
        <v>21</v>
      </c>
      <c r="AA1786" s="11" t="s">
        <v>49</v>
      </c>
    </row>
    <row r="1787" spans="2:27" ht="16" x14ac:dyDescent="0.2">
      <c r="B1787" t="s">
        <v>35</v>
      </c>
      <c r="C1787">
        <v>40366989</v>
      </c>
      <c r="D1787" t="s">
        <v>409</v>
      </c>
      <c r="E1787">
        <v>1012107</v>
      </c>
      <c r="F1787" t="s">
        <v>215</v>
      </c>
      <c r="G1787" s="9">
        <v>45005</v>
      </c>
      <c r="H1787" s="7"/>
      <c r="I1787" s="7">
        <v>9979.0239999999994</v>
      </c>
      <c r="J1787" s="7"/>
      <c r="K1787" s="7"/>
      <c r="L1787" s="10">
        <v>7.5</v>
      </c>
      <c r="M1787" s="9">
        <v>45012</v>
      </c>
      <c r="N1787" s="10">
        <v>9.5</v>
      </c>
      <c r="O1787" s="9">
        <v>45021</v>
      </c>
      <c r="P1787">
        <v>21</v>
      </c>
      <c r="Q1787" s="11" t="s">
        <v>49</v>
      </c>
      <c r="R1787" s="7"/>
      <c r="S1787" s="7">
        <v>9979.0239999999994</v>
      </c>
      <c r="T1787" s="7"/>
      <c r="U1787" s="7"/>
      <c r="V1787" s="10">
        <v>9.5</v>
      </c>
      <c r="W1787" s="9">
        <v>45014</v>
      </c>
      <c r="X1787" s="10">
        <v>11.5</v>
      </c>
      <c r="Y1787" s="9">
        <v>45021</v>
      </c>
      <c r="Z1787">
        <v>21</v>
      </c>
      <c r="AA1787" s="11" t="s">
        <v>49</v>
      </c>
    </row>
    <row r="1788" spans="2:27" ht="16" x14ac:dyDescent="0.2">
      <c r="B1788" t="s">
        <v>35</v>
      </c>
      <c r="C1788">
        <v>40366989</v>
      </c>
      <c r="D1788" t="s">
        <v>409</v>
      </c>
      <c r="E1788">
        <v>1012108</v>
      </c>
      <c r="F1788" t="s">
        <v>57</v>
      </c>
      <c r="G1788" s="9">
        <v>45005</v>
      </c>
      <c r="H1788" s="7"/>
      <c r="I1788" s="7">
        <v>9979.0239999999994</v>
      </c>
      <c r="J1788" s="7"/>
      <c r="K1788" s="7"/>
      <c r="L1788" s="10">
        <v>7.5</v>
      </c>
      <c r="M1788" s="9">
        <v>45012</v>
      </c>
      <c r="N1788" s="10">
        <v>9.5</v>
      </c>
      <c r="O1788" s="9">
        <v>45021</v>
      </c>
      <c r="P1788">
        <v>21</v>
      </c>
      <c r="Q1788" s="11" t="s">
        <v>49</v>
      </c>
      <c r="R1788" s="7"/>
      <c r="S1788" s="7">
        <v>9979.0239999999994</v>
      </c>
      <c r="T1788" s="7"/>
      <c r="U1788" s="7"/>
      <c r="V1788" s="10">
        <v>9.5</v>
      </c>
      <c r="W1788" s="9">
        <v>45014</v>
      </c>
      <c r="X1788" s="10">
        <v>11.5</v>
      </c>
      <c r="Y1788" s="9">
        <v>45021</v>
      </c>
      <c r="Z1788">
        <v>21</v>
      </c>
      <c r="AA1788" s="11" t="s">
        <v>49</v>
      </c>
    </row>
    <row r="1789" spans="2:27" ht="16" x14ac:dyDescent="0.2">
      <c r="B1789" t="s">
        <v>35</v>
      </c>
      <c r="C1789">
        <v>40366988</v>
      </c>
      <c r="D1789" t="s">
        <v>409</v>
      </c>
      <c r="E1789">
        <v>1012108</v>
      </c>
      <c r="F1789" t="s">
        <v>57</v>
      </c>
      <c r="G1789" s="9">
        <v>45013</v>
      </c>
      <c r="H1789" s="7"/>
      <c r="I1789" s="7">
        <v>9979.0239999999994</v>
      </c>
      <c r="J1789" s="7"/>
      <c r="K1789" s="7"/>
      <c r="L1789" s="10">
        <v>7.5</v>
      </c>
      <c r="M1789" s="9">
        <v>45020</v>
      </c>
      <c r="N1789" s="10">
        <v>9.5</v>
      </c>
      <c r="O1789" s="9">
        <v>45029</v>
      </c>
      <c r="P1789">
        <v>14</v>
      </c>
      <c r="Q1789" s="11" t="s">
        <v>49</v>
      </c>
      <c r="R1789" s="7"/>
      <c r="S1789" s="7">
        <v>9979.0239999999994</v>
      </c>
      <c r="T1789" s="7"/>
      <c r="U1789" s="7"/>
      <c r="V1789" s="10">
        <v>9.5</v>
      </c>
      <c r="W1789" s="9">
        <v>45022</v>
      </c>
      <c r="X1789" s="10">
        <v>11.5</v>
      </c>
      <c r="Y1789" s="9">
        <v>45029</v>
      </c>
      <c r="Z1789">
        <v>14</v>
      </c>
      <c r="AA1789" s="11" t="s">
        <v>49</v>
      </c>
    </row>
    <row r="1790" spans="2:27" ht="16" x14ac:dyDescent="0.2">
      <c r="B1790" t="s">
        <v>35</v>
      </c>
      <c r="C1790">
        <v>40366988</v>
      </c>
      <c r="D1790" t="s">
        <v>409</v>
      </c>
      <c r="E1790">
        <v>1012107</v>
      </c>
      <c r="F1790" t="s">
        <v>215</v>
      </c>
      <c r="G1790" s="9">
        <v>45013</v>
      </c>
      <c r="H1790" s="7"/>
      <c r="I1790" s="7">
        <v>9979.0239999999994</v>
      </c>
      <c r="J1790" s="7"/>
      <c r="K1790" s="7"/>
      <c r="L1790" s="10">
        <v>7.5</v>
      </c>
      <c r="M1790" s="9">
        <v>45020</v>
      </c>
      <c r="N1790" s="10">
        <v>9.5</v>
      </c>
      <c r="O1790" s="9">
        <v>45029</v>
      </c>
      <c r="P1790">
        <v>14</v>
      </c>
      <c r="Q1790" s="11" t="s">
        <v>49</v>
      </c>
      <c r="R1790" s="7"/>
      <c r="S1790" s="7">
        <v>9979.0239999999994</v>
      </c>
      <c r="T1790" s="7"/>
      <c r="U1790" s="7"/>
      <c r="V1790" s="10">
        <v>9.5</v>
      </c>
      <c r="W1790" s="9">
        <v>45022</v>
      </c>
      <c r="X1790" s="10">
        <v>11.5</v>
      </c>
      <c r="Y1790" s="9">
        <v>45029</v>
      </c>
      <c r="Z1790">
        <v>14</v>
      </c>
      <c r="AA1790" s="11" t="s">
        <v>49</v>
      </c>
    </row>
    <row r="1791" spans="2:27" ht="16" x14ac:dyDescent="0.2">
      <c r="B1791" t="s">
        <v>35</v>
      </c>
      <c r="C1791">
        <v>40366987</v>
      </c>
      <c r="D1791" t="s">
        <v>409</v>
      </c>
      <c r="E1791">
        <v>1012108</v>
      </c>
      <c r="F1791" t="s">
        <v>57</v>
      </c>
      <c r="G1791" s="9">
        <v>45007</v>
      </c>
      <c r="H1791" s="7"/>
      <c r="I1791" s="7">
        <v>9979.0239999999994</v>
      </c>
      <c r="J1791" s="7"/>
      <c r="K1791" s="7"/>
      <c r="L1791" s="10">
        <v>7.5</v>
      </c>
      <c r="M1791" s="9">
        <v>45014</v>
      </c>
      <c r="N1791" s="10">
        <v>9.5</v>
      </c>
      <c r="O1791" s="9">
        <v>45023</v>
      </c>
      <c r="P1791">
        <v>19</v>
      </c>
      <c r="Q1791" s="11" t="s">
        <v>49</v>
      </c>
      <c r="R1791" s="7"/>
      <c r="S1791" s="7">
        <v>9979.0239999999994</v>
      </c>
      <c r="T1791" s="7"/>
      <c r="U1791" s="7"/>
      <c r="V1791" s="10">
        <v>9.5</v>
      </c>
      <c r="W1791" s="9">
        <v>45016</v>
      </c>
      <c r="X1791" s="10">
        <v>11.5</v>
      </c>
      <c r="Y1791" s="9">
        <v>45023</v>
      </c>
      <c r="Z1791">
        <v>19</v>
      </c>
      <c r="AA1791" s="11" t="s">
        <v>49</v>
      </c>
    </row>
    <row r="1792" spans="2:27" ht="16" x14ac:dyDescent="0.2">
      <c r="B1792" t="s">
        <v>35</v>
      </c>
      <c r="C1792">
        <v>40366987</v>
      </c>
      <c r="D1792" t="s">
        <v>409</v>
      </c>
      <c r="E1792">
        <v>1012107</v>
      </c>
      <c r="F1792" t="s">
        <v>215</v>
      </c>
      <c r="G1792" s="9">
        <v>45007</v>
      </c>
      <c r="H1792" s="7"/>
      <c r="I1792" s="7">
        <v>9979.0239999999994</v>
      </c>
      <c r="J1792" s="7"/>
      <c r="K1792" s="7"/>
      <c r="L1792" s="10">
        <v>7.5</v>
      </c>
      <c r="M1792" s="9">
        <v>45014</v>
      </c>
      <c r="N1792" s="10">
        <v>9.5</v>
      </c>
      <c r="O1792" s="9">
        <v>45023</v>
      </c>
      <c r="P1792">
        <v>19</v>
      </c>
      <c r="Q1792" s="11" t="s">
        <v>49</v>
      </c>
      <c r="R1792" s="7"/>
      <c r="S1792" s="7">
        <v>9979.0239999999994</v>
      </c>
      <c r="T1792" s="7"/>
      <c r="U1792" s="7"/>
      <c r="V1792" s="10">
        <v>9.5</v>
      </c>
      <c r="W1792" s="9">
        <v>45016</v>
      </c>
      <c r="X1792" s="10">
        <v>11.5</v>
      </c>
      <c r="Y1792" s="9">
        <v>45023</v>
      </c>
      <c r="Z1792">
        <v>19</v>
      </c>
      <c r="AA1792" s="11" t="s">
        <v>49</v>
      </c>
    </row>
    <row r="1793" spans="2:27" ht="16" x14ac:dyDescent="0.2">
      <c r="B1793" t="s">
        <v>35</v>
      </c>
      <c r="C1793">
        <v>40366983</v>
      </c>
      <c r="D1793" t="s">
        <v>409</v>
      </c>
      <c r="E1793">
        <v>1011701</v>
      </c>
      <c r="F1793" t="s">
        <v>82</v>
      </c>
      <c r="G1793" s="9">
        <v>45013</v>
      </c>
      <c r="H1793" s="7"/>
      <c r="I1793" s="7">
        <v>22981.256819999999</v>
      </c>
      <c r="J1793" s="7"/>
      <c r="K1793" s="7"/>
      <c r="L1793" s="10">
        <v>7.5</v>
      </c>
      <c r="M1793" s="9">
        <v>45020</v>
      </c>
      <c r="N1793" s="10">
        <v>9.5</v>
      </c>
      <c r="O1793" s="9">
        <v>45029</v>
      </c>
      <c r="P1793">
        <v>14</v>
      </c>
      <c r="Q1793" s="11" t="s">
        <v>49</v>
      </c>
      <c r="R1793" s="7"/>
      <c r="S1793" s="7">
        <v>22981.256819999999</v>
      </c>
      <c r="T1793" s="7"/>
      <c r="U1793" s="7"/>
      <c r="V1793" s="10">
        <v>9.5</v>
      </c>
      <c r="W1793" s="9">
        <v>45022</v>
      </c>
      <c r="X1793" s="10">
        <v>11.5</v>
      </c>
      <c r="Y1793" s="9">
        <v>45029</v>
      </c>
      <c r="Z1793">
        <v>14</v>
      </c>
      <c r="AA1793" s="11" t="s">
        <v>49</v>
      </c>
    </row>
    <row r="1794" spans="2:27" ht="16" x14ac:dyDescent="0.2">
      <c r="B1794" t="s">
        <v>35</v>
      </c>
      <c r="C1794">
        <v>40366982</v>
      </c>
      <c r="D1794" t="s">
        <v>409</v>
      </c>
      <c r="E1794">
        <v>1011701</v>
      </c>
      <c r="F1794" t="s">
        <v>82</v>
      </c>
      <c r="G1794" s="9">
        <v>45006</v>
      </c>
      <c r="H1794" s="7"/>
      <c r="I1794" s="7">
        <v>21539.850310000002</v>
      </c>
      <c r="J1794" s="7"/>
      <c r="K1794" s="7"/>
      <c r="L1794" s="10">
        <v>7.5</v>
      </c>
      <c r="M1794" s="9">
        <v>45013</v>
      </c>
      <c r="N1794" s="10">
        <v>9.5</v>
      </c>
      <c r="O1794" s="9">
        <v>45022</v>
      </c>
      <c r="P1794">
        <v>20</v>
      </c>
      <c r="Q1794" s="11" t="s">
        <v>49</v>
      </c>
      <c r="R1794" s="7"/>
      <c r="S1794" s="7">
        <v>21539.850310000002</v>
      </c>
      <c r="T1794" s="7"/>
      <c r="U1794" s="7"/>
      <c r="V1794" s="10">
        <v>9.5</v>
      </c>
      <c r="W1794" s="9">
        <v>45015</v>
      </c>
      <c r="X1794" s="10">
        <v>11.5</v>
      </c>
      <c r="Y1794" s="9">
        <v>45022</v>
      </c>
      <c r="Z1794">
        <v>20</v>
      </c>
      <c r="AA1794" s="11" t="s">
        <v>49</v>
      </c>
    </row>
    <row r="1795" spans="2:27" ht="16" x14ac:dyDescent="0.2">
      <c r="B1795" t="s">
        <v>35</v>
      </c>
      <c r="C1795">
        <v>40366981</v>
      </c>
      <c r="D1795" t="s">
        <v>409</v>
      </c>
      <c r="E1795">
        <v>1011701</v>
      </c>
      <c r="F1795" t="s">
        <v>82</v>
      </c>
      <c r="G1795" s="9">
        <v>45007</v>
      </c>
      <c r="H1795" s="7"/>
      <c r="I1795" s="7">
        <v>18130.02234</v>
      </c>
      <c r="J1795" s="7"/>
      <c r="K1795" s="7"/>
      <c r="L1795" s="10">
        <v>7.5</v>
      </c>
      <c r="M1795" s="9">
        <v>45014</v>
      </c>
      <c r="N1795" s="10">
        <v>9.5</v>
      </c>
      <c r="O1795" s="9">
        <v>45023</v>
      </c>
      <c r="P1795">
        <v>19</v>
      </c>
      <c r="Q1795" s="11" t="s">
        <v>49</v>
      </c>
      <c r="R1795" s="7"/>
      <c r="S1795" s="7">
        <v>18130.02234</v>
      </c>
      <c r="T1795" s="7"/>
      <c r="U1795" s="7"/>
      <c r="V1795" s="10">
        <v>9.5</v>
      </c>
      <c r="W1795" s="9">
        <v>45016</v>
      </c>
      <c r="X1795" s="10">
        <v>11.5</v>
      </c>
      <c r="Y1795" s="9">
        <v>45023</v>
      </c>
      <c r="Z1795">
        <v>19</v>
      </c>
      <c r="AA1795" s="11" t="s">
        <v>49</v>
      </c>
    </row>
    <row r="1796" spans="2:27" ht="16" x14ac:dyDescent="0.2">
      <c r="B1796" t="s">
        <v>35</v>
      </c>
      <c r="C1796">
        <v>40366980</v>
      </c>
      <c r="D1796" t="s">
        <v>409</v>
      </c>
      <c r="E1796">
        <v>1011701</v>
      </c>
      <c r="F1796" t="s">
        <v>82</v>
      </c>
      <c r="G1796" s="9">
        <v>44999</v>
      </c>
      <c r="H1796" s="7">
        <v>18131.718779999999</v>
      </c>
      <c r="I1796" s="7"/>
      <c r="J1796" s="7"/>
      <c r="K1796" s="7"/>
      <c r="L1796" s="10">
        <v>7.5</v>
      </c>
      <c r="M1796" s="9">
        <v>45006</v>
      </c>
      <c r="N1796" s="10">
        <v>9.5</v>
      </c>
      <c r="O1796" s="9">
        <v>45015</v>
      </c>
      <c r="P1796">
        <v>1</v>
      </c>
      <c r="Q1796" s="11" t="s">
        <v>598</v>
      </c>
      <c r="R1796" s="7">
        <v>18131.718779999999</v>
      </c>
      <c r="S1796" s="7"/>
      <c r="T1796" s="7"/>
      <c r="U1796" s="7"/>
      <c r="V1796" s="10">
        <v>9.5</v>
      </c>
      <c r="W1796" s="9">
        <v>45008</v>
      </c>
      <c r="X1796" s="10">
        <v>11.5</v>
      </c>
      <c r="Y1796" s="9">
        <v>45015</v>
      </c>
      <c r="Z1796">
        <v>1</v>
      </c>
      <c r="AA1796" s="11" t="s">
        <v>598</v>
      </c>
    </row>
    <row r="1797" spans="2:27" ht="16" x14ac:dyDescent="0.2">
      <c r="B1797" t="s">
        <v>35</v>
      </c>
      <c r="C1797">
        <v>40366972</v>
      </c>
      <c r="D1797" t="s">
        <v>409</v>
      </c>
      <c r="E1797">
        <v>1012518</v>
      </c>
      <c r="F1797" t="s">
        <v>65</v>
      </c>
      <c r="G1797" s="9">
        <v>45004</v>
      </c>
      <c r="H1797" s="7"/>
      <c r="I1797" s="7">
        <v>18143.68</v>
      </c>
      <c r="J1797" s="7"/>
      <c r="K1797" s="7"/>
      <c r="L1797" s="10">
        <v>7.5</v>
      </c>
      <c r="M1797" s="9">
        <v>45011</v>
      </c>
      <c r="N1797" s="10">
        <v>9.5</v>
      </c>
      <c r="O1797" s="9">
        <v>45020</v>
      </c>
      <c r="P1797">
        <v>22</v>
      </c>
      <c r="Q1797" s="11" t="s">
        <v>49</v>
      </c>
      <c r="R1797" s="7"/>
      <c r="S1797" s="7">
        <v>18143.68</v>
      </c>
      <c r="T1797" s="7"/>
      <c r="U1797" s="7"/>
      <c r="V1797" s="10">
        <v>9.5</v>
      </c>
      <c r="W1797" s="9">
        <v>45013</v>
      </c>
      <c r="X1797" s="10">
        <v>11.5</v>
      </c>
      <c r="Y1797" s="9">
        <v>45020</v>
      </c>
      <c r="Z1797">
        <v>22</v>
      </c>
      <c r="AA1797" s="11" t="s">
        <v>49</v>
      </c>
    </row>
    <row r="1798" spans="2:27" ht="16" x14ac:dyDescent="0.2">
      <c r="B1798" t="s">
        <v>35</v>
      </c>
      <c r="C1798">
        <v>40366970</v>
      </c>
      <c r="D1798" t="s">
        <v>409</v>
      </c>
      <c r="E1798">
        <v>1012163</v>
      </c>
      <c r="F1798" t="s">
        <v>140</v>
      </c>
      <c r="G1798" s="9">
        <v>45014</v>
      </c>
      <c r="H1798" s="7"/>
      <c r="I1798" s="7">
        <v>19958.047999999999</v>
      </c>
      <c r="J1798" s="7"/>
      <c r="K1798" s="7"/>
      <c r="L1798" s="10">
        <v>7.5</v>
      </c>
      <c r="M1798" s="9">
        <v>45021</v>
      </c>
      <c r="N1798" s="10">
        <v>9.5</v>
      </c>
      <c r="O1798" s="9">
        <v>45030</v>
      </c>
      <c r="P1798">
        <v>13</v>
      </c>
      <c r="Q1798" s="11" t="s">
        <v>49</v>
      </c>
      <c r="R1798" s="7"/>
      <c r="S1798" s="7">
        <v>19958.047999999999</v>
      </c>
      <c r="T1798" s="7"/>
      <c r="U1798" s="7"/>
      <c r="V1798" s="10">
        <v>9.5</v>
      </c>
      <c r="W1798" s="9">
        <v>45023</v>
      </c>
      <c r="X1798" s="10">
        <v>11.5</v>
      </c>
      <c r="Y1798" s="9">
        <v>45030</v>
      </c>
      <c r="Z1798">
        <v>13</v>
      </c>
      <c r="AA1798" s="11" t="s">
        <v>49</v>
      </c>
    </row>
    <row r="1799" spans="2:27" ht="16" x14ac:dyDescent="0.2">
      <c r="B1799" t="s">
        <v>35</v>
      </c>
      <c r="C1799">
        <v>40366969</v>
      </c>
      <c r="D1799" t="s">
        <v>409</v>
      </c>
      <c r="E1799">
        <v>1012163</v>
      </c>
      <c r="F1799" t="s">
        <v>140</v>
      </c>
      <c r="G1799" s="9">
        <v>45013</v>
      </c>
      <c r="H1799" s="7"/>
      <c r="I1799" s="7">
        <v>19958.047999999999</v>
      </c>
      <c r="J1799" s="7"/>
      <c r="K1799" s="7"/>
      <c r="L1799" s="10">
        <v>7.5</v>
      </c>
      <c r="M1799" s="9">
        <v>45020</v>
      </c>
      <c r="N1799" s="10">
        <v>9.5</v>
      </c>
      <c r="O1799" s="9">
        <v>45029</v>
      </c>
      <c r="P1799">
        <v>14</v>
      </c>
      <c r="Q1799" s="11" t="s">
        <v>49</v>
      </c>
      <c r="R1799" s="7"/>
      <c r="S1799" s="7">
        <v>19958.047999999999</v>
      </c>
      <c r="T1799" s="7"/>
      <c r="U1799" s="7"/>
      <c r="V1799" s="10">
        <v>9.5</v>
      </c>
      <c r="W1799" s="9">
        <v>45022</v>
      </c>
      <c r="X1799" s="10">
        <v>11.5</v>
      </c>
      <c r="Y1799" s="9">
        <v>45029</v>
      </c>
      <c r="Z1799">
        <v>14</v>
      </c>
      <c r="AA1799" s="11" t="s">
        <v>49</v>
      </c>
    </row>
    <row r="1800" spans="2:27" ht="16" x14ac:dyDescent="0.2">
      <c r="B1800" t="s">
        <v>35</v>
      </c>
      <c r="C1800">
        <v>40366968</v>
      </c>
      <c r="D1800" t="s">
        <v>409</v>
      </c>
      <c r="E1800">
        <v>1012163</v>
      </c>
      <c r="F1800" t="s">
        <v>140</v>
      </c>
      <c r="G1800" s="9">
        <v>45008</v>
      </c>
      <c r="H1800" s="7"/>
      <c r="I1800" s="7">
        <v>19958.047999999999</v>
      </c>
      <c r="J1800" s="7"/>
      <c r="K1800" s="7"/>
      <c r="L1800" s="10">
        <v>7.5</v>
      </c>
      <c r="M1800" s="9">
        <v>45015</v>
      </c>
      <c r="N1800" s="10">
        <v>9.5</v>
      </c>
      <c r="O1800" s="9">
        <v>45024</v>
      </c>
      <c r="P1800">
        <v>18</v>
      </c>
      <c r="Q1800" s="11" t="s">
        <v>49</v>
      </c>
      <c r="R1800" s="7"/>
      <c r="S1800" s="7">
        <v>19958.047999999999</v>
      </c>
      <c r="T1800" s="7"/>
      <c r="U1800" s="7"/>
      <c r="V1800" s="10">
        <v>9.5</v>
      </c>
      <c r="W1800" s="9">
        <v>45017</v>
      </c>
      <c r="X1800" s="10">
        <v>11.5</v>
      </c>
      <c r="Y1800" s="9">
        <v>45024</v>
      </c>
      <c r="Z1800">
        <v>18</v>
      </c>
      <c r="AA1800" s="11" t="s">
        <v>49</v>
      </c>
    </row>
    <row r="1801" spans="2:27" ht="16" x14ac:dyDescent="0.2">
      <c r="B1801" t="s">
        <v>35</v>
      </c>
      <c r="C1801">
        <v>40366967</v>
      </c>
      <c r="D1801" t="s">
        <v>409</v>
      </c>
      <c r="E1801">
        <v>1012163</v>
      </c>
      <c r="F1801" t="s">
        <v>140</v>
      </c>
      <c r="G1801" s="9">
        <v>45004</v>
      </c>
      <c r="H1801" s="7"/>
      <c r="I1801" s="7">
        <v>19958.047999999999</v>
      </c>
      <c r="J1801" s="7"/>
      <c r="K1801" s="7"/>
      <c r="L1801" s="10">
        <v>7.5</v>
      </c>
      <c r="M1801" s="9">
        <v>45011</v>
      </c>
      <c r="N1801" s="10">
        <v>9.5</v>
      </c>
      <c r="O1801" s="9">
        <v>45020</v>
      </c>
      <c r="P1801">
        <v>22</v>
      </c>
      <c r="Q1801" s="11" t="s">
        <v>49</v>
      </c>
      <c r="R1801" s="7"/>
      <c r="S1801" s="7">
        <v>19958.047999999999</v>
      </c>
      <c r="T1801" s="7"/>
      <c r="U1801" s="7"/>
      <c r="V1801" s="10">
        <v>9.5</v>
      </c>
      <c r="W1801" s="9">
        <v>45013</v>
      </c>
      <c r="X1801" s="10">
        <v>11.5</v>
      </c>
      <c r="Y1801" s="9">
        <v>45020</v>
      </c>
      <c r="Z1801">
        <v>22</v>
      </c>
      <c r="AA1801" s="11" t="s">
        <v>49</v>
      </c>
    </row>
    <row r="1802" spans="2:27" ht="16" x14ac:dyDescent="0.2">
      <c r="B1802" t="s">
        <v>35</v>
      </c>
      <c r="C1802">
        <v>40366965</v>
      </c>
      <c r="D1802" t="s">
        <v>409</v>
      </c>
      <c r="E1802">
        <v>1012158</v>
      </c>
      <c r="F1802" t="s">
        <v>86</v>
      </c>
      <c r="G1802" s="9">
        <v>45005</v>
      </c>
      <c r="H1802" s="7"/>
      <c r="I1802" s="7">
        <v>19958.047999999999</v>
      </c>
      <c r="J1802" s="7"/>
      <c r="K1802" s="7"/>
      <c r="L1802" s="10">
        <v>7.5</v>
      </c>
      <c r="M1802" s="9">
        <v>45012</v>
      </c>
      <c r="N1802" s="10">
        <v>9.5</v>
      </c>
      <c r="O1802" s="9">
        <v>45021</v>
      </c>
      <c r="P1802">
        <v>21</v>
      </c>
      <c r="Q1802" s="11" t="s">
        <v>49</v>
      </c>
      <c r="R1802" s="7"/>
      <c r="S1802" s="7">
        <v>19958.047999999999</v>
      </c>
      <c r="T1802" s="7"/>
      <c r="U1802" s="7"/>
      <c r="V1802" s="10">
        <v>9.5</v>
      </c>
      <c r="W1802" s="9">
        <v>45014</v>
      </c>
      <c r="X1802" s="10">
        <v>11.5</v>
      </c>
      <c r="Y1802" s="9">
        <v>45021</v>
      </c>
      <c r="Z1802">
        <v>21</v>
      </c>
      <c r="AA1802" s="11" t="s">
        <v>49</v>
      </c>
    </row>
    <row r="1803" spans="2:27" ht="16" x14ac:dyDescent="0.2">
      <c r="B1803" t="s">
        <v>35</v>
      </c>
      <c r="C1803">
        <v>40366958</v>
      </c>
      <c r="D1803" t="s">
        <v>409</v>
      </c>
      <c r="E1803">
        <v>1012483</v>
      </c>
      <c r="F1803" t="s">
        <v>90</v>
      </c>
      <c r="G1803" s="9">
        <v>45014</v>
      </c>
      <c r="H1803" s="7"/>
      <c r="I1803" s="7">
        <v>19958.047999999999</v>
      </c>
      <c r="J1803" s="7"/>
      <c r="K1803" s="7"/>
      <c r="L1803" s="10">
        <v>7.5</v>
      </c>
      <c r="M1803" s="9">
        <v>45021</v>
      </c>
      <c r="N1803" s="10">
        <v>9.5</v>
      </c>
      <c r="O1803" s="9">
        <v>45030</v>
      </c>
      <c r="P1803">
        <v>13</v>
      </c>
      <c r="Q1803" s="11" t="s">
        <v>49</v>
      </c>
      <c r="R1803" s="7"/>
      <c r="S1803" s="7">
        <v>19958.047999999999</v>
      </c>
      <c r="T1803" s="7"/>
      <c r="U1803" s="7"/>
      <c r="V1803" s="10">
        <v>9.5</v>
      </c>
      <c r="W1803" s="9">
        <v>45023</v>
      </c>
      <c r="X1803" s="10">
        <v>11.5</v>
      </c>
      <c r="Y1803" s="9">
        <v>45030</v>
      </c>
      <c r="Z1803">
        <v>13</v>
      </c>
      <c r="AA1803" s="11" t="s">
        <v>49</v>
      </c>
    </row>
    <row r="1804" spans="2:27" ht="16" x14ac:dyDescent="0.2">
      <c r="B1804" t="s">
        <v>35</v>
      </c>
      <c r="C1804">
        <v>40366957</v>
      </c>
      <c r="D1804" t="s">
        <v>409</v>
      </c>
      <c r="E1804">
        <v>1012483</v>
      </c>
      <c r="F1804" t="s">
        <v>90</v>
      </c>
      <c r="G1804" s="9">
        <v>45013</v>
      </c>
      <c r="H1804" s="7"/>
      <c r="I1804" s="7">
        <v>19958.047999999999</v>
      </c>
      <c r="J1804" s="7"/>
      <c r="K1804" s="7"/>
      <c r="L1804" s="10">
        <v>7.5</v>
      </c>
      <c r="M1804" s="9">
        <v>45020</v>
      </c>
      <c r="N1804" s="10">
        <v>9.5</v>
      </c>
      <c r="O1804" s="9">
        <v>45029</v>
      </c>
      <c r="P1804">
        <v>14</v>
      </c>
      <c r="Q1804" s="11" t="s">
        <v>49</v>
      </c>
      <c r="R1804" s="7"/>
      <c r="S1804" s="7">
        <v>19958.047999999999</v>
      </c>
      <c r="T1804" s="7"/>
      <c r="U1804" s="7"/>
      <c r="V1804" s="10">
        <v>9.5</v>
      </c>
      <c r="W1804" s="9">
        <v>45022</v>
      </c>
      <c r="X1804" s="10">
        <v>11.5</v>
      </c>
      <c r="Y1804" s="9">
        <v>45029</v>
      </c>
      <c r="Z1804">
        <v>14</v>
      </c>
      <c r="AA1804" s="11" t="s">
        <v>49</v>
      </c>
    </row>
    <row r="1805" spans="2:27" ht="16" x14ac:dyDescent="0.2">
      <c r="B1805" t="s">
        <v>35</v>
      </c>
      <c r="C1805">
        <v>40366956</v>
      </c>
      <c r="D1805" t="s">
        <v>409</v>
      </c>
      <c r="E1805">
        <v>1012483</v>
      </c>
      <c r="F1805" t="s">
        <v>90</v>
      </c>
      <c r="G1805" s="9">
        <v>45013</v>
      </c>
      <c r="H1805" s="7"/>
      <c r="I1805" s="7">
        <v>19958.047999999999</v>
      </c>
      <c r="J1805" s="7"/>
      <c r="K1805" s="7"/>
      <c r="L1805" s="10">
        <v>7.5</v>
      </c>
      <c r="M1805" s="9">
        <v>45020</v>
      </c>
      <c r="N1805" s="10">
        <v>9.5</v>
      </c>
      <c r="O1805" s="9">
        <v>45029</v>
      </c>
      <c r="P1805">
        <v>14</v>
      </c>
      <c r="Q1805" s="11" t="s">
        <v>49</v>
      </c>
      <c r="R1805" s="7"/>
      <c r="S1805" s="7">
        <v>19958.047999999999</v>
      </c>
      <c r="T1805" s="7"/>
      <c r="U1805" s="7"/>
      <c r="V1805" s="10">
        <v>9.5</v>
      </c>
      <c r="W1805" s="9">
        <v>45022</v>
      </c>
      <c r="X1805" s="10">
        <v>11.5</v>
      </c>
      <c r="Y1805" s="9">
        <v>45029</v>
      </c>
      <c r="Z1805">
        <v>14</v>
      </c>
      <c r="AA1805" s="11" t="s">
        <v>49</v>
      </c>
    </row>
    <row r="1806" spans="2:27" ht="16" x14ac:dyDescent="0.2">
      <c r="B1806" t="s">
        <v>35</v>
      </c>
      <c r="C1806">
        <v>40366955</v>
      </c>
      <c r="D1806" t="s">
        <v>409</v>
      </c>
      <c r="E1806">
        <v>1012483</v>
      </c>
      <c r="F1806" t="s">
        <v>90</v>
      </c>
      <c r="G1806" s="9">
        <v>45013</v>
      </c>
      <c r="H1806" s="7"/>
      <c r="I1806" s="7">
        <v>19958.047999999999</v>
      </c>
      <c r="J1806" s="7"/>
      <c r="K1806" s="7"/>
      <c r="L1806" s="10">
        <v>7.5</v>
      </c>
      <c r="M1806" s="9">
        <v>45020</v>
      </c>
      <c r="N1806" s="10">
        <v>9.5</v>
      </c>
      <c r="O1806" s="9">
        <v>45029</v>
      </c>
      <c r="P1806">
        <v>14</v>
      </c>
      <c r="Q1806" s="11" t="s">
        <v>49</v>
      </c>
      <c r="R1806" s="7"/>
      <c r="S1806" s="7">
        <v>19958.047999999999</v>
      </c>
      <c r="T1806" s="7"/>
      <c r="U1806" s="7"/>
      <c r="V1806" s="10">
        <v>9.5</v>
      </c>
      <c r="W1806" s="9">
        <v>45022</v>
      </c>
      <c r="X1806" s="10">
        <v>11.5</v>
      </c>
      <c r="Y1806" s="9">
        <v>45029</v>
      </c>
      <c r="Z1806">
        <v>14</v>
      </c>
      <c r="AA1806" s="11" t="s">
        <v>49</v>
      </c>
    </row>
    <row r="1807" spans="2:27" ht="16" x14ac:dyDescent="0.2">
      <c r="B1807" t="s">
        <v>35</v>
      </c>
      <c r="C1807">
        <v>40366954</v>
      </c>
      <c r="D1807" t="s">
        <v>409</v>
      </c>
      <c r="E1807">
        <v>1012483</v>
      </c>
      <c r="F1807" t="s">
        <v>90</v>
      </c>
      <c r="G1807" s="9">
        <v>45006</v>
      </c>
      <c r="H1807" s="7"/>
      <c r="I1807" s="7">
        <v>19958.047999999999</v>
      </c>
      <c r="J1807" s="7"/>
      <c r="K1807" s="7"/>
      <c r="L1807" s="10">
        <v>7.5</v>
      </c>
      <c r="M1807" s="9">
        <v>45013</v>
      </c>
      <c r="N1807" s="10">
        <v>9.5</v>
      </c>
      <c r="O1807" s="9">
        <v>45022</v>
      </c>
      <c r="P1807">
        <v>20</v>
      </c>
      <c r="Q1807" s="11" t="s">
        <v>49</v>
      </c>
      <c r="R1807" s="7"/>
      <c r="S1807" s="7">
        <v>19958.047999999999</v>
      </c>
      <c r="T1807" s="7"/>
      <c r="U1807" s="7"/>
      <c r="V1807" s="10">
        <v>9.5</v>
      </c>
      <c r="W1807" s="9">
        <v>45015</v>
      </c>
      <c r="X1807" s="10">
        <v>11.5</v>
      </c>
      <c r="Y1807" s="9">
        <v>45022</v>
      </c>
      <c r="Z1807">
        <v>20</v>
      </c>
      <c r="AA1807" s="11" t="s">
        <v>49</v>
      </c>
    </row>
    <row r="1808" spans="2:27" ht="16" x14ac:dyDescent="0.2">
      <c r="B1808" t="s">
        <v>35</v>
      </c>
      <c r="C1808">
        <v>40366953</v>
      </c>
      <c r="D1808" t="s">
        <v>409</v>
      </c>
      <c r="E1808">
        <v>1012483</v>
      </c>
      <c r="F1808" t="s">
        <v>90</v>
      </c>
      <c r="G1808" s="9">
        <v>45006</v>
      </c>
      <c r="H1808" s="7"/>
      <c r="I1808" s="7">
        <v>19958.047999999999</v>
      </c>
      <c r="J1808" s="7"/>
      <c r="K1808" s="7"/>
      <c r="L1808" s="10">
        <v>7.5</v>
      </c>
      <c r="M1808" s="9">
        <v>45013</v>
      </c>
      <c r="N1808" s="10">
        <v>9.5</v>
      </c>
      <c r="O1808" s="9">
        <v>45022</v>
      </c>
      <c r="P1808">
        <v>20</v>
      </c>
      <c r="Q1808" s="11" t="s">
        <v>49</v>
      </c>
      <c r="R1808" s="7"/>
      <c r="S1808" s="7">
        <v>19958.047999999999</v>
      </c>
      <c r="T1808" s="7"/>
      <c r="U1808" s="7"/>
      <c r="V1808" s="10">
        <v>9.5</v>
      </c>
      <c r="W1808" s="9">
        <v>45015</v>
      </c>
      <c r="X1808" s="10">
        <v>11.5</v>
      </c>
      <c r="Y1808" s="9">
        <v>45022</v>
      </c>
      <c r="Z1808">
        <v>20</v>
      </c>
      <c r="AA1808" s="11" t="s">
        <v>49</v>
      </c>
    </row>
    <row r="1809" spans="2:27" ht="16" x14ac:dyDescent="0.2">
      <c r="B1809" t="s">
        <v>35</v>
      </c>
      <c r="C1809">
        <v>40366952</v>
      </c>
      <c r="D1809" t="s">
        <v>409</v>
      </c>
      <c r="E1809">
        <v>1012483</v>
      </c>
      <c r="F1809" t="s">
        <v>90</v>
      </c>
      <c r="G1809" s="9">
        <v>45007</v>
      </c>
      <c r="H1809" s="7"/>
      <c r="I1809" s="7">
        <v>19958.047999999999</v>
      </c>
      <c r="J1809" s="7"/>
      <c r="K1809" s="7"/>
      <c r="L1809" s="10">
        <v>7.5</v>
      </c>
      <c r="M1809" s="9">
        <v>45014</v>
      </c>
      <c r="N1809" s="10">
        <v>9.5</v>
      </c>
      <c r="O1809" s="9">
        <v>45023</v>
      </c>
      <c r="P1809">
        <v>19</v>
      </c>
      <c r="Q1809" s="11" t="s">
        <v>49</v>
      </c>
      <c r="R1809" s="7"/>
      <c r="S1809" s="7">
        <v>19958.047999999999</v>
      </c>
      <c r="T1809" s="7"/>
      <c r="U1809" s="7"/>
      <c r="V1809" s="10">
        <v>9.5</v>
      </c>
      <c r="W1809" s="9">
        <v>45016</v>
      </c>
      <c r="X1809" s="10">
        <v>11.5</v>
      </c>
      <c r="Y1809" s="9">
        <v>45023</v>
      </c>
      <c r="Z1809">
        <v>19</v>
      </c>
      <c r="AA1809" s="11" t="s">
        <v>49</v>
      </c>
    </row>
    <row r="1810" spans="2:27" ht="16" x14ac:dyDescent="0.2">
      <c r="B1810" t="s">
        <v>35</v>
      </c>
      <c r="C1810">
        <v>40366951</v>
      </c>
      <c r="D1810" t="s">
        <v>409</v>
      </c>
      <c r="E1810">
        <v>1012483</v>
      </c>
      <c r="F1810" t="s">
        <v>90</v>
      </c>
      <c r="G1810" s="9">
        <v>44999</v>
      </c>
      <c r="H1810" s="7">
        <v>19958.047999999999</v>
      </c>
      <c r="I1810" s="7"/>
      <c r="J1810" s="7"/>
      <c r="K1810" s="7"/>
      <c r="L1810" s="10">
        <v>7.5</v>
      </c>
      <c r="M1810" s="9">
        <v>45006</v>
      </c>
      <c r="N1810" s="10">
        <v>9.5</v>
      </c>
      <c r="O1810" s="9">
        <v>45015</v>
      </c>
      <c r="P1810">
        <v>1</v>
      </c>
      <c r="Q1810" s="11" t="s">
        <v>598</v>
      </c>
      <c r="R1810" s="7">
        <v>19958.047999999999</v>
      </c>
      <c r="S1810" s="7"/>
      <c r="T1810" s="7"/>
      <c r="U1810" s="7"/>
      <c r="V1810" s="10">
        <v>9.5</v>
      </c>
      <c r="W1810" s="9">
        <v>45008</v>
      </c>
      <c r="X1810" s="10">
        <v>11.5</v>
      </c>
      <c r="Y1810" s="9">
        <v>45015</v>
      </c>
      <c r="Z1810">
        <v>1</v>
      </c>
      <c r="AA1810" s="11" t="s">
        <v>598</v>
      </c>
    </row>
    <row r="1811" spans="2:27" ht="16" x14ac:dyDescent="0.2">
      <c r="B1811" t="s">
        <v>35</v>
      </c>
      <c r="C1811">
        <v>40366950</v>
      </c>
      <c r="D1811" t="s">
        <v>409</v>
      </c>
      <c r="E1811">
        <v>1012483</v>
      </c>
      <c r="F1811" t="s">
        <v>90</v>
      </c>
      <c r="G1811" s="9">
        <v>44999</v>
      </c>
      <c r="H1811" s="7">
        <v>19958.047999999999</v>
      </c>
      <c r="I1811" s="7"/>
      <c r="J1811" s="7"/>
      <c r="K1811" s="7"/>
      <c r="L1811" s="10">
        <v>7.5</v>
      </c>
      <c r="M1811" s="9">
        <v>45006</v>
      </c>
      <c r="N1811" s="10">
        <v>9.5</v>
      </c>
      <c r="O1811" s="9">
        <v>45015</v>
      </c>
      <c r="P1811">
        <v>1</v>
      </c>
      <c r="Q1811" s="11" t="s">
        <v>598</v>
      </c>
      <c r="R1811" s="7">
        <v>19958.047999999999</v>
      </c>
      <c r="S1811" s="7"/>
      <c r="T1811" s="7"/>
      <c r="U1811" s="7"/>
      <c r="V1811" s="10">
        <v>9.5</v>
      </c>
      <c r="W1811" s="9">
        <v>45008</v>
      </c>
      <c r="X1811" s="10">
        <v>11.5</v>
      </c>
      <c r="Y1811" s="9">
        <v>45015</v>
      </c>
      <c r="Z1811">
        <v>1</v>
      </c>
      <c r="AA1811" s="11" t="s">
        <v>598</v>
      </c>
    </row>
    <row r="1812" spans="2:27" ht="16" x14ac:dyDescent="0.2">
      <c r="B1812" t="s">
        <v>35</v>
      </c>
      <c r="C1812">
        <v>40366943</v>
      </c>
      <c r="D1812" t="s">
        <v>409</v>
      </c>
      <c r="E1812">
        <v>1012165</v>
      </c>
      <c r="F1812" t="s">
        <v>61</v>
      </c>
      <c r="G1812" s="9">
        <v>45013</v>
      </c>
      <c r="H1812" s="7"/>
      <c r="I1812" s="7">
        <v>19939.904320000001</v>
      </c>
      <c r="J1812" s="7"/>
      <c r="K1812" s="7"/>
      <c r="L1812" s="10">
        <v>7.5</v>
      </c>
      <c r="M1812" s="9">
        <v>45020</v>
      </c>
      <c r="N1812" s="10">
        <v>9.5</v>
      </c>
      <c r="O1812" s="9">
        <v>45029</v>
      </c>
      <c r="P1812">
        <v>14</v>
      </c>
      <c r="Q1812" s="11" t="s">
        <v>49</v>
      </c>
      <c r="R1812" s="7"/>
      <c r="S1812" s="7">
        <v>19939.904320000001</v>
      </c>
      <c r="T1812" s="7"/>
      <c r="U1812" s="7"/>
      <c r="V1812" s="10">
        <v>9.5</v>
      </c>
      <c r="W1812" s="9">
        <v>45022</v>
      </c>
      <c r="X1812" s="10">
        <v>11.5</v>
      </c>
      <c r="Y1812" s="9">
        <v>45029</v>
      </c>
      <c r="Z1812">
        <v>14</v>
      </c>
      <c r="AA1812" s="11" t="s">
        <v>49</v>
      </c>
    </row>
    <row r="1813" spans="2:27" ht="16" x14ac:dyDescent="0.2">
      <c r="B1813" t="s">
        <v>35</v>
      </c>
      <c r="C1813">
        <v>40366942</v>
      </c>
      <c r="D1813" t="s">
        <v>409</v>
      </c>
      <c r="E1813">
        <v>1012165</v>
      </c>
      <c r="F1813" t="s">
        <v>61</v>
      </c>
      <c r="G1813" s="9">
        <v>45004</v>
      </c>
      <c r="H1813" s="7"/>
      <c r="I1813" s="7">
        <v>19958.047999999999</v>
      </c>
      <c r="J1813" s="7"/>
      <c r="K1813" s="7"/>
      <c r="L1813" s="10">
        <v>7.5</v>
      </c>
      <c r="M1813" s="9">
        <v>45011</v>
      </c>
      <c r="N1813" s="10">
        <v>9.5</v>
      </c>
      <c r="O1813" s="9">
        <v>45020</v>
      </c>
      <c r="P1813">
        <v>22</v>
      </c>
      <c r="Q1813" s="11" t="s">
        <v>49</v>
      </c>
      <c r="R1813" s="7"/>
      <c r="S1813" s="7">
        <v>19958.047999999999</v>
      </c>
      <c r="T1813" s="7"/>
      <c r="U1813" s="7"/>
      <c r="V1813" s="10">
        <v>9.5</v>
      </c>
      <c r="W1813" s="9">
        <v>45013</v>
      </c>
      <c r="X1813" s="10">
        <v>11.5</v>
      </c>
      <c r="Y1813" s="9">
        <v>45020</v>
      </c>
      <c r="Z1813">
        <v>22</v>
      </c>
      <c r="AA1813" s="11" t="s">
        <v>49</v>
      </c>
    </row>
    <row r="1814" spans="2:27" ht="16" x14ac:dyDescent="0.2">
      <c r="B1814" t="s">
        <v>35</v>
      </c>
      <c r="C1814">
        <v>40366941</v>
      </c>
      <c r="D1814" t="s">
        <v>409</v>
      </c>
      <c r="E1814">
        <v>1012165</v>
      </c>
      <c r="F1814" t="s">
        <v>61</v>
      </c>
      <c r="G1814" s="9">
        <v>45013</v>
      </c>
      <c r="H1814" s="7"/>
      <c r="I1814" s="7">
        <v>19958.047999999999</v>
      </c>
      <c r="J1814" s="7"/>
      <c r="K1814" s="7"/>
      <c r="L1814" s="10">
        <v>7.5</v>
      </c>
      <c r="M1814" s="9">
        <v>45020</v>
      </c>
      <c r="N1814" s="10">
        <v>9.5</v>
      </c>
      <c r="O1814" s="9">
        <v>45029</v>
      </c>
      <c r="P1814">
        <v>14</v>
      </c>
      <c r="Q1814" s="11" t="s">
        <v>49</v>
      </c>
      <c r="R1814" s="7"/>
      <c r="S1814" s="7">
        <v>19958.047999999999</v>
      </c>
      <c r="T1814" s="7"/>
      <c r="U1814" s="7"/>
      <c r="V1814" s="10">
        <v>9.5</v>
      </c>
      <c r="W1814" s="9">
        <v>45022</v>
      </c>
      <c r="X1814" s="10">
        <v>11.5</v>
      </c>
      <c r="Y1814" s="9">
        <v>45029</v>
      </c>
      <c r="Z1814">
        <v>14</v>
      </c>
      <c r="AA1814" s="11" t="s">
        <v>49</v>
      </c>
    </row>
    <row r="1815" spans="2:27" ht="16" x14ac:dyDescent="0.2">
      <c r="B1815" t="s">
        <v>35</v>
      </c>
      <c r="C1815">
        <v>40366940</v>
      </c>
      <c r="D1815" t="s">
        <v>409</v>
      </c>
      <c r="E1815">
        <v>1012165</v>
      </c>
      <c r="F1815" t="s">
        <v>61</v>
      </c>
      <c r="G1815" s="9">
        <v>45014</v>
      </c>
      <c r="H1815" s="7"/>
      <c r="I1815" s="7">
        <v>19958.047999999999</v>
      </c>
      <c r="J1815" s="7"/>
      <c r="K1815" s="7"/>
      <c r="L1815" s="10">
        <v>7.5</v>
      </c>
      <c r="M1815" s="9">
        <v>45021</v>
      </c>
      <c r="N1815" s="10">
        <v>9.5</v>
      </c>
      <c r="O1815" s="9">
        <v>45030</v>
      </c>
      <c r="P1815">
        <v>13</v>
      </c>
      <c r="Q1815" s="11" t="s">
        <v>49</v>
      </c>
      <c r="R1815" s="7"/>
      <c r="S1815" s="7">
        <v>19958.047999999999</v>
      </c>
      <c r="T1815" s="7"/>
      <c r="U1815" s="7"/>
      <c r="V1815" s="10">
        <v>9.5</v>
      </c>
      <c r="W1815" s="9">
        <v>45023</v>
      </c>
      <c r="X1815" s="10">
        <v>11.5</v>
      </c>
      <c r="Y1815" s="9">
        <v>45030</v>
      </c>
      <c r="Z1815">
        <v>13</v>
      </c>
      <c r="AA1815" s="11" t="s">
        <v>49</v>
      </c>
    </row>
    <row r="1816" spans="2:27" ht="16" x14ac:dyDescent="0.2">
      <c r="B1816" t="s">
        <v>35</v>
      </c>
      <c r="C1816">
        <v>40366939</v>
      </c>
      <c r="D1816" t="s">
        <v>409</v>
      </c>
      <c r="E1816">
        <v>1012165</v>
      </c>
      <c r="F1816" t="s">
        <v>61</v>
      </c>
      <c r="G1816" s="9">
        <v>45006</v>
      </c>
      <c r="H1816" s="7"/>
      <c r="I1816" s="7">
        <v>19958.047999999999</v>
      </c>
      <c r="J1816" s="7"/>
      <c r="K1816" s="7"/>
      <c r="L1816" s="10">
        <v>7.5</v>
      </c>
      <c r="M1816" s="9">
        <v>45013</v>
      </c>
      <c r="N1816" s="10">
        <v>9.5</v>
      </c>
      <c r="O1816" s="9">
        <v>45022</v>
      </c>
      <c r="P1816">
        <v>20</v>
      </c>
      <c r="Q1816" s="11" t="s">
        <v>49</v>
      </c>
      <c r="R1816" s="7"/>
      <c r="S1816" s="7">
        <v>19958.047999999999</v>
      </c>
      <c r="T1816" s="7"/>
      <c r="U1816" s="7"/>
      <c r="V1816" s="10">
        <v>9.5</v>
      </c>
      <c r="W1816" s="9">
        <v>45015</v>
      </c>
      <c r="X1816" s="10">
        <v>11.5</v>
      </c>
      <c r="Y1816" s="9">
        <v>45022</v>
      </c>
      <c r="Z1816">
        <v>20</v>
      </c>
      <c r="AA1816" s="11" t="s">
        <v>49</v>
      </c>
    </row>
    <row r="1817" spans="2:27" ht="16" x14ac:dyDescent="0.2">
      <c r="B1817" t="s">
        <v>35</v>
      </c>
      <c r="C1817">
        <v>40366938</v>
      </c>
      <c r="D1817" t="s">
        <v>409</v>
      </c>
      <c r="E1817">
        <v>1012165</v>
      </c>
      <c r="F1817" t="s">
        <v>61</v>
      </c>
      <c r="G1817" s="9">
        <v>45004</v>
      </c>
      <c r="H1817" s="7"/>
      <c r="I1817" s="7">
        <v>19958.047999999999</v>
      </c>
      <c r="J1817" s="7"/>
      <c r="K1817" s="7"/>
      <c r="L1817" s="10">
        <v>7.5</v>
      </c>
      <c r="M1817" s="9">
        <v>45011</v>
      </c>
      <c r="N1817" s="10">
        <v>9.5</v>
      </c>
      <c r="O1817" s="9">
        <v>45020</v>
      </c>
      <c r="P1817">
        <v>22</v>
      </c>
      <c r="Q1817" s="11" t="s">
        <v>49</v>
      </c>
      <c r="R1817" s="7"/>
      <c r="S1817" s="7">
        <v>19958.047999999999</v>
      </c>
      <c r="T1817" s="7"/>
      <c r="U1817" s="7"/>
      <c r="V1817" s="10">
        <v>9.5</v>
      </c>
      <c r="W1817" s="9">
        <v>45013</v>
      </c>
      <c r="X1817" s="10">
        <v>11.5</v>
      </c>
      <c r="Y1817" s="9">
        <v>45020</v>
      </c>
      <c r="Z1817">
        <v>22</v>
      </c>
      <c r="AA1817" s="11" t="s">
        <v>49</v>
      </c>
    </row>
    <row r="1818" spans="2:27" ht="16" x14ac:dyDescent="0.2">
      <c r="B1818" t="s">
        <v>35</v>
      </c>
      <c r="C1818">
        <v>40366937</v>
      </c>
      <c r="D1818" t="s">
        <v>409</v>
      </c>
      <c r="E1818">
        <v>1012164</v>
      </c>
      <c r="F1818" t="s">
        <v>142</v>
      </c>
      <c r="G1818" s="9">
        <v>45014</v>
      </c>
      <c r="H1818" s="7"/>
      <c r="I1818" s="7">
        <v>19921.76064</v>
      </c>
      <c r="J1818" s="7"/>
      <c r="K1818" s="7"/>
      <c r="L1818" s="10">
        <v>7.5</v>
      </c>
      <c r="M1818" s="9">
        <v>45021</v>
      </c>
      <c r="N1818" s="10">
        <v>9.5</v>
      </c>
      <c r="O1818" s="9">
        <v>45030</v>
      </c>
      <c r="P1818">
        <v>13</v>
      </c>
      <c r="Q1818" s="11" t="s">
        <v>49</v>
      </c>
      <c r="R1818" s="7"/>
      <c r="S1818" s="7">
        <v>19921.76064</v>
      </c>
      <c r="T1818" s="7"/>
      <c r="U1818" s="7"/>
      <c r="V1818" s="10">
        <v>9.5</v>
      </c>
      <c r="W1818" s="9">
        <v>45023</v>
      </c>
      <c r="X1818" s="10">
        <v>11.5</v>
      </c>
      <c r="Y1818" s="9">
        <v>45030</v>
      </c>
      <c r="Z1818">
        <v>13</v>
      </c>
      <c r="AA1818" s="11" t="s">
        <v>49</v>
      </c>
    </row>
    <row r="1819" spans="2:27" ht="16" x14ac:dyDescent="0.2">
      <c r="B1819" t="s">
        <v>35</v>
      </c>
      <c r="C1819">
        <v>40366936</v>
      </c>
      <c r="D1819" t="s">
        <v>409</v>
      </c>
      <c r="E1819">
        <v>1012161</v>
      </c>
      <c r="F1819" t="s">
        <v>101</v>
      </c>
      <c r="G1819" s="9">
        <v>45013</v>
      </c>
      <c r="H1819" s="7"/>
      <c r="I1819" s="7">
        <v>19958.047999999999</v>
      </c>
      <c r="J1819" s="7"/>
      <c r="K1819" s="7"/>
      <c r="L1819" s="10">
        <v>7.5</v>
      </c>
      <c r="M1819" s="9">
        <v>45020</v>
      </c>
      <c r="N1819" s="10">
        <v>9.5</v>
      </c>
      <c r="O1819" s="9">
        <v>45029</v>
      </c>
      <c r="P1819">
        <v>14</v>
      </c>
      <c r="Q1819" s="11" t="s">
        <v>49</v>
      </c>
      <c r="R1819" s="7"/>
      <c r="S1819" s="7">
        <v>19958.047999999999</v>
      </c>
      <c r="T1819" s="7"/>
      <c r="U1819" s="7"/>
      <c r="V1819" s="10">
        <v>9.5</v>
      </c>
      <c r="W1819" s="9">
        <v>45022</v>
      </c>
      <c r="X1819" s="10">
        <v>11.5</v>
      </c>
      <c r="Y1819" s="9">
        <v>45029</v>
      </c>
      <c r="Z1819">
        <v>14</v>
      </c>
      <c r="AA1819" s="11" t="s">
        <v>49</v>
      </c>
    </row>
    <row r="1820" spans="2:27" ht="16" x14ac:dyDescent="0.2">
      <c r="B1820" t="s">
        <v>35</v>
      </c>
      <c r="C1820">
        <v>40366935</v>
      </c>
      <c r="D1820" t="s">
        <v>409</v>
      </c>
      <c r="E1820">
        <v>1012161</v>
      </c>
      <c r="F1820" t="s">
        <v>101</v>
      </c>
      <c r="G1820" s="9">
        <v>45003</v>
      </c>
      <c r="H1820" s="7"/>
      <c r="I1820" s="7">
        <v>19958.047999999999</v>
      </c>
      <c r="J1820" s="7"/>
      <c r="K1820" s="7"/>
      <c r="L1820" s="10">
        <v>7.5</v>
      </c>
      <c r="M1820" s="9">
        <v>45010</v>
      </c>
      <c r="N1820" s="10">
        <v>9.5</v>
      </c>
      <c r="O1820" s="9">
        <v>45019</v>
      </c>
      <c r="P1820">
        <v>23</v>
      </c>
      <c r="Q1820" s="11" t="s">
        <v>49</v>
      </c>
      <c r="R1820" s="7"/>
      <c r="S1820" s="7">
        <v>19958.047999999999</v>
      </c>
      <c r="T1820" s="7"/>
      <c r="U1820" s="7"/>
      <c r="V1820" s="10">
        <v>9.5</v>
      </c>
      <c r="W1820" s="9">
        <v>45012</v>
      </c>
      <c r="X1820" s="10">
        <v>11.5</v>
      </c>
      <c r="Y1820" s="9">
        <v>45019</v>
      </c>
      <c r="Z1820">
        <v>23</v>
      </c>
      <c r="AA1820" s="11" t="s">
        <v>49</v>
      </c>
    </row>
    <row r="1821" spans="2:27" ht="16" x14ac:dyDescent="0.2">
      <c r="B1821" t="s">
        <v>35</v>
      </c>
      <c r="C1821">
        <v>40366934</v>
      </c>
      <c r="D1821" t="s">
        <v>409</v>
      </c>
      <c r="E1821">
        <v>1012161</v>
      </c>
      <c r="F1821" t="s">
        <v>101</v>
      </c>
      <c r="G1821" s="9">
        <v>44996</v>
      </c>
      <c r="H1821" s="7">
        <v>19958.047999999999</v>
      </c>
      <c r="I1821" s="7"/>
      <c r="J1821" s="7"/>
      <c r="K1821" s="7"/>
      <c r="L1821" s="10">
        <v>7.5</v>
      </c>
      <c r="M1821" s="9">
        <v>45003</v>
      </c>
      <c r="N1821" s="10">
        <v>9.5</v>
      </c>
      <c r="O1821" s="9">
        <v>45012</v>
      </c>
      <c r="P1821">
        <v>4</v>
      </c>
      <c r="Q1821" s="11" t="s">
        <v>49</v>
      </c>
      <c r="R1821" s="7">
        <v>19958.047999999999</v>
      </c>
      <c r="S1821" s="7"/>
      <c r="T1821" s="7"/>
      <c r="U1821" s="7"/>
      <c r="V1821" s="10">
        <v>9.5</v>
      </c>
      <c r="W1821" s="9">
        <v>45005</v>
      </c>
      <c r="X1821" s="10">
        <v>11.5</v>
      </c>
      <c r="Y1821" s="9">
        <v>45012</v>
      </c>
      <c r="Z1821">
        <v>4</v>
      </c>
      <c r="AA1821" s="11" t="s">
        <v>49</v>
      </c>
    </row>
    <row r="1822" spans="2:27" ht="16" x14ac:dyDescent="0.2">
      <c r="B1822" t="s">
        <v>35</v>
      </c>
      <c r="C1822">
        <v>40366930</v>
      </c>
      <c r="D1822" t="s">
        <v>386</v>
      </c>
      <c r="E1822">
        <v>1020660</v>
      </c>
      <c r="F1822" t="s">
        <v>497</v>
      </c>
      <c r="G1822" s="9">
        <v>45020</v>
      </c>
      <c r="H1822" s="7"/>
      <c r="I1822" s="7">
        <v>23996.98</v>
      </c>
      <c r="J1822" s="7"/>
      <c r="K1822" s="7"/>
      <c r="L1822" s="10">
        <v>5.1420118343195256</v>
      </c>
      <c r="M1822" s="9">
        <v>45025</v>
      </c>
      <c r="N1822" s="10">
        <v>7.5</v>
      </c>
      <c r="O1822" s="9">
        <v>45032</v>
      </c>
      <c r="P1822">
        <v>11</v>
      </c>
      <c r="Q1822" s="11" t="s">
        <v>49</v>
      </c>
      <c r="R1822" s="7"/>
      <c r="S1822" s="7">
        <v>23996.98</v>
      </c>
      <c r="T1822" s="7"/>
      <c r="U1822" s="7"/>
      <c r="V1822" s="10">
        <v>7.1420118343195256</v>
      </c>
      <c r="W1822" s="9">
        <v>45027</v>
      </c>
      <c r="X1822" s="10">
        <v>9.5</v>
      </c>
      <c r="Y1822" s="9">
        <v>45032</v>
      </c>
      <c r="Z1822">
        <v>11</v>
      </c>
      <c r="AA1822" s="11" t="s">
        <v>49</v>
      </c>
    </row>
    <row r="1823" spans="2:27" x14ac:dyDescent="0.2">
      <c r="B1823" t="s">
        <v>394</v>
      </c>
      <c r="C1823">
        <v>40366928</v>
      </c>
      <c r="D1823" t="s">
        <v>485</v>
      </c>
      <c r="E1823">
        <v>1020412</v>
      </c>
      <c r="F1823" t="s">
        <v>486</v>
      </c>
      <c r="G1823" s="9">
        <v>44996</v>
      </c>
      <c r="H1823" s="7">
        <v>23947.84</v>
      </c>
      <c r="I1823" s="7"/>
      <c r="J1823" s="7"/>
      <c r="K1823" s="7"/>
      <c r="L1823" s="10"/>
      <c r="N1823" s="10"/>
      <c r="Q1823" s="11"/>
      <c r="R1823" s="7">
        <v>23947.84</v>
      </c>
      <c r="S1823" s="7"/>
      <c r="T1823" s="7"/>
      <c r="U1823" s="7"/>
      <c r="V1823" s="10"/>
      <c r="X1823" s="10"/>
      <c r="AA1823" s="11"/>
    </row>
    <row r="1824" spans="2:27" x14ac:dyDescent="0.2">
      <c r="B1824" t="s">
        <v>394</v>
      </c>
      <c r="C1824">
        <v>40366927</v>
      </c>
      <c r="D1824" t="s">
        <v>485</v>
      </c>
      <c r="E1824">
        <v>1020944</v>
      </c>
      <c r="F1824" t="s">
        <v>498</v>
      </c>
      <c r="G1824" s="9">
        <v>44990</v>
      </c>
      <c r="H1824" s="7">
        <v>23997.88</v>
      </c>
      <c r="I1824" s="7"/>
      <c r="J1824" s="7"/>
      <c r="K1824" s="7"/>
      <c r="L1824" s="10"/>
      <c r="N1824" s="10"/>
      <c r="Q1824" s="11"/>
      <c r="R1824" s="7">
        <v>23997.88</v>
      </c>
      <c r="S1824" s="7"/>
      <c r="T1824" s="7"/>
      <c r="U1824" s="7"/>
      <c r="V1824" s="10"/>
      <c r="X1824" s="10"/>
      <c r="AA1824" s="11"/>
    </row>
    <row r="1825" spans="2:27" x14ac:dyDescent="0.2">
      <c r="B1825" t="s">
        <v>394</v>
      </c>
      <c r="C1825">
        <v>40366926</v>
      </c>
      <c r="D1825" t="s">
        <v>485</v>
      </c>
      <c r="E1825">
        <v>1021385</v>
      </c>
      <c r="F1825" t="s">
        <v>495</v>
      </c>
      <c r="G1825" s="9">
        <v>44984</v>
      </c>
      <c r="H1825" s="7"/>
      <c r="I1825" s="7"/>
      <c r="J1825" s="7"/>
      <c r="K1825" s="7"/>
      <c r="L1825" s="10"/>
      <c r="N1825" s="10"/>
      <c r="Q1825" s="11"/>
      <c r="R1825" s="7"/>
      <c r="S1825" s="7"/>
      <c r="T1825" s="7"/>
      <c r="U1825" s="7"/>
      <c r="V1825" s="10"/>
      <c r="X1825" s="10"/>
      <c r="AA1825" s="11"/>
    </row>
    <row r="1826" spans="2:27" x14ac:dyDescent="0.2">
      <c r="B1826" t="s">
        <v>394</v>
      </c>
      <c r="C1826">
        <v>40366925</v>
      </c>
      <c r="D1826" t="s">
        <v>485</v>
      </c>
      <c r="E1826">
        <v>1023433</v>
      </c>
      <c r="F1826" t="s">
        <v>490</v>
      </c>
      <c r="G1826" s="9">
        <v>44990</v>
      </c>
      <c r="H1826" s="7">
        <v>23986.71</v>
      </c>
      <c r="I1826" s="7"/>
      <c r="J1826" s="7"/>
      <c r="K1826" s="7"/>
      <c r="L1826" s="10"/>
      <c r="N1826" s="10"/>
      <c r="Q1826" s="11"/>
      <c r="R1826" s="7">
        <v>23986.71</v>
      </c>
      <c r="S1826" s="7"/>
      <c r="T1826" s="7"/>
      <c r="U1826" s="7"/>
      <c r="V1826" s="10"/>
      <c r="X1826" s="10"/>
      <c r="AA1826" s="11"/>
    </row>
    <row r="1827" spans="2:27" x14ac:dyDescent="0.2">
      <c r="B1827" t="s">
        <v>394</v>
      </c>
      <c r="C1827">
        <v>40366924</v>
      </c>
      <c r="D1827" t="s">
        <v>485</v>
      </c>
      <c r="E1827">
        <v>1023433</v>
      </c>
      <c r="F1827" t="s">
        <v>490</v>
      </c>
      <c r="G1827" s="9">
        <v>44999</v>
      </c>
      <c r="H1827" s="7">
        <v>24002.23</v>
      </c>
      <c r="I1827" s="7"/>
      <c r="J1827" s="7"/>
      <c r="K1827" s="7"/>
      <c r="L1827" s="10"/>
      <c r="N1827" s="10"/>
      <c r="Q1827" s="11"/>
      <c r="R1827" s="7">
        <v>24002.23</v>
      </c>
      <c r="S1827" s="7"/>
      <c r="T1827" s="7"/>
      <c r="U1827" s="7"/>
      <c r="V1827" s="10"/>
      <c r="X1827" s="10"/>
      <c r="AA1827" s="11"/>
    </row>
    <row r="1828" spans="2:27" x14ac:dyDescent="0.2">
      <c r="B1828" t="s">
        <v>394</v>
      </c>
      <c r="C1828">
        <v>40366923</v>
      </c>
      <c r="D1828" t="s">
        <v>485</v>
      </c>
      <c r="E1828">
        <v>1020944</v>
      </c>
      <c r="F1828" t="s">
        <v>498</v>
      </c>
      <c r="G1828" s="9">
        <v>44999</v>
      </c>
      <c r="H1828" s="7">
        <v>24033.39</v>
      </c>
      <c r="I1828" s="7"/>
      <c r="J1828" s="7"/>
      <c r="K1828" s="7"/>
      <c r="L1828" s="10"/>
      <c r="N1828" s="10"/>
      <c r="Q1828" s="11"/>
      <c r="R1828" s="7">
        <v>24033.39</v>
      </c>
      <c r="S1828" s="7"/>
      <c r="T1828" s="7"/>
      <c r="U1828" s="7"/>
      <c r="V1828" s="10"/>
      <c r="X1828" s="10"/>
      <c r="AA1828" s="11"/>
    </row>
    <row r="1829" spans="2:27" x14ac:dyDescent="0.2">
      <c r="B1829" t="s">
        <v>394</v>
      </c>
      <c r="C1829">
        <v>40366921</v>
      </c>
      <c r="D1829" t="s">
        <v>485</v>
      </c>
      <c r="E1829">
        <v>1021105</v>
      </c>
      <c r="F1829" t="s">
        <v>499</v>
      </c>
      <c r="G1829" s="9">
        <v>44999</v>
      </c>
      <c r="H1829" s="7">
        <v>23874.95</v>
      </c>
      <c r="I1829" s="7"/>
      <c r="J1829" s="7"/>
      <c r="K1829" s="7"/>
      <c r="L1829" s="10"/>
      <c r="N1829" s="10"/>
      <c r="Q1829" s="11"/>
      <c r="R1829" s="7">
        <v>23874.95</v>
      </c>
      <c r="S1829" s="7"/>
      <c r="T1829" s="7"/>
      <c r="U1829" s="7"/>
      <c r="V1829" s="10"/>
      <c r="X1829" s="10"/>
      <c r="AA1829" s="11"/>
    </row>
    <row r="1830" spans="2:27" x14ac:dyDescent="0.2">
      <c r="B1830" t="s">
        <v>394</v>
      </c>
      <c r="C1830">
        <v>40366920</v>
      </c>
      <c r="D1830" t="s">
        <v>485</v>
      </c>
      <c r="E1830">
        <v>1020412</v>
      </c>
      <c r="F1830" t="s">
        <v>486</v>
      </c>
      <c r="G1830" s="9">
        <v>44991</v>
      </c>
      <c r="H1830" s="7">
        <v>24015.96</v>
      </c>
      <c r="I1830" s="7"/>
      <c r="J1830" s="7"/>
      <c r="K1830" s="7"/>
      <c r="L1830" s="10"/>
      <c r="N1830" s="10"/>
      <c r="Q1830" s="11"/>
      <c r="R1830" s="7">
        <v>24015.96</v>
      </c>
      <c r="S1830" s="7"/>
      <c r="T1830" s="7"/>
      <c r="U1830" s="7"/>
      <c r="V1830" s="10"/>
      <c r="X1830" s="10"/>
      <c r="AA1830" s="11"/>
    </row>
    <row r="1831" spans="2:27" x14ac:dyDescent="0.2">
      <c r="B1831" t="s">
        <v>394</v>
      </c>
      <c r="C1831">
        <v>40366919</v>
      </c>
      <c r="D1831" t="s">
        <v>485</v>
      </c>
      <c r="E1831">
        <v>1022150</v>
      </c>
      <c r="F1831" t="s">
        <v>500</v>
      </c>
      <c r="G1831" s="9">
        <v>44998</v>
      </c>
      <c r="H1831" s="7">
        <v>24001.45</v>
      </c>
      <c r="I1831" s="7"/>
      <c r="J1831" s="7"/>
      <c r="K1831" s="7"/>
      <c r="L1831" s="10"/>
      <c r="N1831" s="10"/>
      <c r="Q1831" s="11"/>
      <c r="R1831" s="7">
        <v>24001.45</v>
      </c>
      <c r="S1831" s="7"/>
      <c r="T1831" s="7"/>
      <c r="U1831" s="7"/>
      <c r="V1831" s="10"/>
      <c r="X1831" s="10"/>
      <c r="AA1831" s="11"/>
    </row>
    <row r="1832" spans="2:27" x14ac:dyDescent="0.2">
      <c r="B1832" t="s">
        <v>394</v>
      </c>
      <c r="C1832">
        <v>40366918</v>
      </c>
      <c r="D1832" t="s">
        <v>485</v>
      </c>
      <c r="E1832">
        <v>1020944</v>
      </c>
      <c r="F1832" t="s">
        <v>498</v>
      </c>
      <c r="G1832" s="9">
        <v>44996</v>
      </c>
      <c r="H1832" s="7">
        <v>23979.87</v>
      </c>
      <c r="I1832" s="7"/>
      <c r="J1832" s="7"/>
      <c r="K1832" s="7"/>
      <c r="L1832" s="10"/>
      <c r="N1832" s="10"/>
      <c r="Q1832" s="11"/>
      <c r="R1832" s="7">
        <v>23979.87</v>
      </c>
      <c r="S1832" s="7"/>
      <c r="T1832" s="7"/>
      <c r="U1832" s="7"/>
      <c r="V1832" s="10"/>
      <c r="X1832" s="10"/>
      <c r="AA1832" s="11"/>
    </row>
    <row r="1833" spans="2:27" x14ac:dyDescent="0.2">
      <c r="B1833" t="s">
        <v>394</v>
      </c>
      <c r="C1833">
        <v>40366894</v>
      </c>
      <c r="D1833" t="s">
        <v>396</v>
      </c>
      <c r="E1833">
        <v>1023038</v>
      </c>
      <c r="F1833" t="s">
        <v>397</v>
      </c>
      <c r="G1833" s="9">
        <v>45016</v>
      </c>
      <c r="H1833" s="7">
        <v>22004.61</v>
      </c>
      <c r="I1833" s="7"/>
      <c r="J1833" s="7"/>
      <c r="K1833" s="7"/>
      <c r="L1833" s="10"/>
      <c r="N1833" s="10"/>
      <c r="Q1833" s="11"/>
      <c r="R1833" s="7">
        <v>22004.61</v>
      </c>
      <c r="S1833" s="7"/>
      <c r="T1833" s="7"/>
      <c r="U1833" s="7"/>
      <c r="V1833" s="10"/>
      <c r="X1833" s="10"/>
      <c r="AA1833" s="11"/>
    </row>
    <row r="1834" spans="2:27" x14ac:dyDescent="0.2">
      <c r="B1834" t="s">
        <v>394</v>
      </c>
      <c r="C1834">
        <v>40366893</v>
      </c>
      <c r="D1834" t="s">
        <v>396</v>
      </c>
      <c r="E1834">
        <v>1023038</v>
      </c>
      <c r="F1834" t="s">
        <v>397</v>
      </c>
      <c r="G1834" s="9">
        <v>45015</v>
      </c>
      <c r="H1834" s="7">
        <v>22001.14</v>
      </c>
      <c r="I1834" s="7"/>
      <c r="J1834" s="7"/>
      <c r="K1834" s="7"/>
      <c r="L1834" s="10"/>
      <c r="N1834" s="10"/>
      <c r="Q1834" s="11"/>
      <c r="R1834" s="7">
        <v>22001.14</v>
      </c>
      <c r="S1834" s="7"/>
      <c r="T1834" s="7"/>
      <c r="U1834" s="7"/>
      <c r="V1834" s="10"/>
      <c r="X1834" s="10"/>
      <c r="AA1834" s="11"/>
    </row>
    <row r="1835" spans="2:27" x14ac:dyDescent="0.2">
      <c r="B1835" t="s">
        <v>394</v>
      </c>
      <c r="C1835">
        <v>40366888</v>
      </c>
      <c r="D1835" t="s">
        <v>396</v>
      </c>
      <c r="E1835">
        <v>1021149</v>
      </c>
      <c r="F1835" t="s">
        <v>399</v>
      </c>
      <c r="G1835" s="9">
        <v>45021</v>
      </c>
      <c r="H1835" s="7"/>
      <c r="I1835" s="7">
        <v>22000</v>
      </c>
      <c r="J1835" s="7"/>
      <c r="K1835" s="7"/>
      <c r="L1835" s="10"/>
      <c r="N1835" s="10"/>
      <c r="Q1835" s="11"/>
      <c r="R1835" s="7"/>
      <c r="S1835" s="7">
        <v>22000</v>
      </c>
      <c r="T1835" s="7"/>
      <c r="U1835" s="7"/>
      <c r="V1835" s="10"/>
      <c r="X1835" s="10"/>
      <c r="AA1835" s="11"/>
    </row>
    <row r="1836" spans="2:27" x14ac:dyDescent="0.2">
      <c r="B1836" t="s">
        <v>394</v>
      </c>
      <c r="C1836">
        <v>40366886</v>
      </c>
      <c r="D1836" t="s">
        <v>396</v>
      </c>
      <c r="E1836">
        <v>1021664</v>
      </c>
      <c r="F1836" t="s">
        <v>452</v>
      </c>
      <c r="G1836" s="9">
        <v>45021</v>
      </c>
      <c r="H1836" s="7"/>
      <c r="I1836" s="7">
        <v>21702.5</v>
      </c>
      <c r="J1836" s="7"/>
      <c r="K1836" s="7"/>
      <c r="L1836" s="10"/>
      <c r="N1836" s="10"/>
      <c r="Q1836" s="11"/>
      <c r="R1836" s="7"/>
      <c r="S1836" s="7">
        <v>21702.5</v>
      </c>
      <c r="T1836" s="7"/>
      <c r="U1836" s="7"/>
      <c r="V1836" s="10"/>
      <c r="X1836" s="10"/>
      <c r="AA1836" s="11"/>
    </row>
    <row r="1837" spans="2:27" x14ac:dyDescent="0.2">
      <c r="B1837" t="s">
        <v>394</v>
      </c>
      <c r="C1837">
        <v>40366879</v>
      </c>
      <c r="D1837" t="s">
        <v>396</v>
      </c>
      <c r="E1837">
        <v>1022885</v>
      </c>
      <c r="F1837" t="s">
        <v>401</v>
      </c>
      <c r="G1837" s="9">
        <v>45021</v>
      </c>
      <c r="H1837" s="7"/>
      <c r="I1837" s="7">
        <v>22011.24</v>
      </c>
      <c r="J1837" s="7"/>
      <c r="K1837" s="7"/>
      <c r="L1837" s="10"/>
      <c r="N1837" s="10"/>
      <c r="Q1837" s="11"/>
      <c r="R1837" s="7"/>
      <c r="S1837" s="7">
        <v>22011.24</v>
      </c>
      <c r="T1837" s="7"/>
      <c r="U1837" s="7"/>
      <c r="V1837" s="10"/>
      <c r="X1837" s="10"/>
      <c r="AA1837" s="11"/>
    </row>
    <row r="1838" spans="2:27" x14ac:dyDescent="0.2">
      <c r="B1838" t="s">
        <v>394</v>
      </c>
      <c r="C1838">
        <v>40366878</v>
      </c>
      <c r="D1838" t="s">
        <v>396</v>
      </c>
      <c r="E1838">
        <v>1022885</v>
      </c>
      <c r="F1838" t="s">
        <v>401</v>
      </c>
      <c r="G1838" s="9">
        <v>45021</v>
      </c>
      <c r="H1838" s="7"/>
      <c r="I1838" s="7">
        <v>22001.39</v>
      </c>
      <c r="J1838" s="7"/>
      <c r="K1838" s="7"/>
      <c r="L1838" s="10"/>
      <c r="N1838" s="10"/>
      <c r="Q1838" s="11"/>
      <c r="R1838" s="7"/>
      <c r="S1838" s="7">
        <v>22001.39</v>
      </c>
      <c r="T1838" s="7"/>
      <c r="U1838" s="7"/>
      <c r="V1838" s="10"/>
      <c r="X1838" s="10"/>
      <c r="AA1838" s="11"/>
    </row>
    <row r="1839" spans="2:27" x14ac:dyDescent="0.2">
      <c r="B1839" t="s">
        <v>394</v>
      </c>
      <c r="C1839">
        <v>40366877</v>
      </c>
      <c r="D1839" t="s">
        <v>396</v>
      </c>
      <c r="E1839">
        <v>1022885</v>
      </c>
      <c r="F1839" t="s">
        <v>401</v>
      </c>
      <c r="G1839" s="9">
        <v>45021</v>
      </c>
      <c r="H1839" s="7"/>
      <c r="I1839" s="7">
        <v>22000.01</v>
      </c>
      <c r="J1839" s="7"/>
      <c r="K1839" s="7"/>
      <c r="L1839" s="10"/>
      <c r="N1839" s="10"/>
      <c r="Q1839" s="11"/>
      <c r="R1839" s="7"/>
      <c r="S1839" s="7">
        <v>22000.01</v>
      </c>
      <c r="T1839" s="7"/>
      <c r="U1839" s="7"/>
      <c r="V1839" s="10"/>
      <c r="X1839" s="10"/>
      <c r="AA1839" s="11"/>
    </row>
    <row r="1840" spans="2:27" x14ac:dyDescent="0.2">
      <c r="B1840" t="s">
        <v>394</v>
      </c>
      <c r="C1840">
        <v>40366876</v>
      </c>
      <c r="D1840" t="s">
        <v>396</v>
      </c>
      <c r="E1840">
        <v>1022885</v>
      </c>
      <c r="F1840" t="s">
        <v>401</v>
      </c>
      <c r="G1840" s="9">
        <v>45021</v>
      </c>
      <c r="H1840" s="7"/>
      <c r="I1840" s="7">
        <v>22006.57</v>
      </c>
      <c r="J1840" s="7"/>
      <c r="K1840" s="7"/>
      <c r="L1840" s="10"/>
      <c r="N1840" s="10"/>
      <c r="Q1840" s="11"/>
      <c r="R1840" s="7"/>
      <c r="S1840" s="7">
        <v>22006.57</v>
      </c>
      <c r="T1840" s="7"/>
      <c r="U1840" s="7"/>
      <c r="V1840" s="10"/>
      <c r="X1840" s="10"/>
      <c r="AA1840" s="11"/>
    </row>
    <row r="1841" spans="2:27" x14ac:dyDescent="0.2">
      <c r="B1841" t="s">
        <v>394</v>
      </c>
      <c r="C1841">
        <v>40366875</v>
      </c>
      <c r="D1841" t="s">
        <v>396</v>
      </c>
      <c r="E1841">
        <v>1022885</v>
      </c>
      <c r="F1841" t="s">
        <v>401</v>
      </c>
      <c r="G1841" s="9">
        <v>45016</v>
      </c>
      <c r="H1841" s="7">
        <v>22017.83</v>
      </c>
      <c r="I1841" s="7"/>
      <c r="J1841" s="7"/>
      <c r="K1841" s="7"/>
      <c r="L1841" s="10"/>
      <c r="N1841" s="10"/>
      <c r="Q1841" s="11"/>
      <c r="R1841" s="7">
        <v>22017.83</v>
      </c>
      <c r="S1841" s="7"/>
      <c r="T1841" s="7"/>
      <c r="U1841" s="7"/>
      <c r="V1841" s="10"/>
      <c r="X1841" s="10"/>
      <c r="AA1841" s="11"/>
    </row>
    <row r="1842" spans="2:27" x14ac:dyDescent="0.2">
      <c r="B1842" t="s">
        <v>394</v>
      </c>
      <c r="C1842">
        <v>40366874</v>
      </c>
      <c r="D1842" t="s">
        <v>396</v>
      </c>
      <c r="E1842">
        <v>1022885</v>
      </c>
      <c r="F1842" t="s">
        <v>401</v>
      </c>
      <c r="G1842" s="9">
        <v>45016</v>
      </c>
      <c r="H1842" s="7">
        <v>22009.96</v>
      </c>
      <c r="I1842" s="7"/>
      <c r="J1842" s="7"/>
      <c r="K1842" s="7"/>
      <c r="L1842" s="10"/>
      <c r="N1842" s="10"/>
      <c r="Q1842" s="11"/>
      <c r="R1842" s="7">
        <v>22009.96</v>
      </c>
      <c r="S1842" s="7"/>
      <c r="T1842" s="7"/>
      <c r="U1842" s="7"/>
      <c r="V1842" s="10"/>
      <c r="X1842" s="10"/>
      <c r="AA1842" s="11"/>
    </row>
    <row r="1843" spans="2:27" x14ac:dyDescent="0.2">
      <c r="B1843" t="s">
        <v>394</v>
      </c>
      <c r="C1843">
        <v>40366873</v>
      </c>
      <c r="D1843" t="s">
        <v>396</v>
      </c>
      <c r="E1843">
        <v>1022885</v>
      </c>
      <c r="F1843" t="s">
        <v>401</v>
      </c>
      <c r="G1843" s="9">
        <v>45016</v>
      </c>
      <c r="H1843" s="7">
        <v>22005.46</v>
      </c>
      <c r="I1843" s="7"/>
      <c r="J1843" s="7"/>
      <c r="K1843" s="7"/>
      <c r="L1843" s="10"/>
      <c r="N1843" s="10"/>
      <c r="Q1843" s="11"/>
      <c r="R1843" s="7">
        <v>22005.46</v>
      </c>
      <c r="S1843" s="7"/>
      <c r="T1843" s="7"/>
      <c r="U1843" s="7"/>
      <c r="V1843" s="10"/>
      <c r="X1843" s="10"/>
      <c r="AA1843" s="11"/>
    </row>
    <row r="1844" spans="2:27" x14ac:dyDescent="0.2">
      <c r="B1844" t="s">
        <v>394</v>
      </c>
      <c r="C1844">
        <v>40366872</v>
      </c>
      <c r="D1844" t="s">
        <v>396</v>
      </c>
      <c r="E1844">
        <v>1022885</v>
      </c>
      <c r="F1844" t="s">
        <v>401</v>
      </c>
      <c r="G1844" s="9">
        <v>45015</v>
      </c>
      <c r="H1844" s="7">
        <v>22017.52</v>
      </c>
      <c r="I1844" s="7"/>
      <c r="J1844" s="7"/>
      <c r="K1844" s="7"/>
      <c r="L1844" s="10"/>
      <c r="N1844" s="10"/>
      <c r="Q1844" s="11"/>
      <c r="R1844" s="7">
        <v>22017.52</v>
      </c>
      <c r="S1844" s="7"/>
      <c r="T1844" s="7"/>
      <c r="U1844" s="7"/>
      <c r="V1844" s="10"/>
      <c r="X1844" s="10"/>
      <c r="AA1844" s="11"/>
    </row>
    <row r="1845" spans="2:27" x14ac:dyDescent="0.2">
      <c r="B1845" t="s">
        <v>394</v>
      </c>
      <c r="C1845">
        <v>40366871</v>
      </c>
      <c r="D1845" t="s">
        <v>396</v>
      </c>
      <c r="E1845">
        <v>1022885</v>
      </c>
      <c r="F1845" t="s">
        <v>401</v>
      </c>
      <c r="G1845" s="9">
        <v>45015</v>
      </c>
      <c r="H1845" s="7">
        <v>22000.55</v>
      </c>
      <c r="I1845" s="7"/>
      <c r="J1845" s="7"/>
      <c r="K1845" s="7"/>
      <c r="L1845" s="10"/>
      <c r="N1845" s="10"/>
      <c r="Q1845" s="11"/>
      <c r="R1845" s="7">
        <v>22000.55</v>
      </c>
      <c r="S1845" s="7"/>
      <c r="T1845" s="7"/>
      <c r="U1845" s="7"/>
      <c r="V1845" s="10"/>
      <c r="X1845" s="10"/>
      <c r="AA1845" s="11"/>
    </row>
    <row r="1846" spans="2:27" x14ac:dyDescent="0.2">
      <c r="B1846" t="s">
        <v>394</v>
      </c>
      <c r="C1846">
        <v>40366870</v>
      </c>
      <c r="D1846" t="s">
        <v>396</v>
      </c>
      <c r="E1846">
        <v>1022885</v>
      </c>
      <c r="F1846" t="s">
        <v>401</v>
      </c>
      <c r="G1846" s="9">
        <v>45015</v>
      </c>
      <c r="H1846" s="7">
        <v>22006.959999999999</v>
      </c>
      <c r="I1846" s="7"/>
      <c r="J1846" s="7"/>
      <c r="K1846" s="7"/>
      <c r="L1846" s="10"/>
      <c r="N1846" s="10"/>
      <c r="Q1846" s="11"/>
      <c r="R1846" s="7">
        <v>22006.959999999999</v>
      </c>
      <c r="S1846" s="7"/>
      <c r="T1846" s="7"/>
      <c r="U1846" s="7"/>
      <c r="V1846" s="10"/>
      <c r="X1846" s="10"/>
      <c r="AA1846" s="11"/>
    </row>
    <row r="1847" spans="2:27" x14ac:dyDescent="0.2">
      <c r="B1847" t="s">
        <v>394</v>
      </c>
      <c r="C1847">
        <v>40366869</v>
      </c>
      <c r="D1847" t="s">
        <v>396</v>
      </c>
      <c r="E1847">
        <v>1022885</v>
      </c>
      <c r="F1847" t="s">
        <v>401</v>
      </c>
      <c r="G1847" s="9">
        <v>45015</v>
      </c>
      <c r="H1847" s="7">
        <v>22002.22</v>
      </c>
      <c r="I1847" s="7"/>
      <c r="J1847" s="7"/>
      <c r="K1847" s="7"/>
      <c r="L1847" s="10"/>
      <c r="N1847" s="10"/>
      <c r="Q1847" s="11"/>
      <c r="R1847" s="7">
        <v>22002.22</v>
      </c>
      <c r="S1847" s="7"/>
      <c r="T1847" s="7"/>
      <c r="U1847" s="7"/>
      <c r="V1847" s="10"/>
      <c r="X1847" s="10"/>
      <c r="AA1847" s="11"/>
    </row>
    <row r="1848" spans="2:27" x14ac:dyDescent="0.2">
      <c r="B1848" t="s">
        <v>394</v>
      </c>
      <c r="C1848">
        <v>40366868</v>
      </c>
      <c r="D1848" t="s">
        <v>396</v>
      </c>
      <c r="E1848">
        <v>1022885</v>
      </c>
      <c r="F1848" t="s">
        <v>401</v>
      </c>
      <c r="G1848" s="9">
        <v>45010</v>
      </c>
      <c r="H1848" s="7">
        <v>22007.66</v>
      </c>
      <c r="I1848" s="7"/>
      <c r="J1848" s="7"/>
      <c r="K1848" s="7"/>
      <c r="L1848" s="10"/>
      <c r="N1848" s="10"/>
      <c r="Q1848" s="11"/>
      <c r="R1848" s="7">
        <v>22007.66</v>
      </c>
      <c r="S1848" s="7"/>
      <c r="T1848" s="7"/>
      <c r="U1848" s="7"/>
      <c r="V1848" s="10"/>
      <c r="X1848" s="10"/>
      <c r="AA1848" s="11"/>
    </row>
    <row r="1849" spans="2:27" x14ac:dyDescent="0.2">
      <c r="B1849" t="s">
        <v>394</v>
      </c>
      <c r="C1849">
        <v>40366867</v>
      </c>
      <c r="D1849" t="s">
        <v>396</v>
      </c>
      <c r="E1849">
        <v>1022885</v>
      </c>
      <c r="F1849" t="s">
        <v>401</v>
      </c>
      <c r="G1849" s="9">
        <v>45008</v>
      </c>
      <c r="H1849" s="7">
        <v>22018.55</v>
      </c>
      <c r="I1849" s="7"/>
      <c r="J1849" s="7"/>
      <c r="K1849" s="7"/>
      <c r="L1849" s="10"/>
      <c r="N1849" s="10"/>
      <c r="Q1849" s="11"/>
      <c r="R1849" s="7">
        <v>22018.55</v>
      </c>
      <c r="S1849" s="7"/>
      <c r="T1849" s="7"/>
      <c r="U1849" s="7"/>
      <c r="V1849" s="10"/>
      <c r="X1849" s="10"/>
      <c r="AA1849" s="11"/>
    </row>
    <row r="1850" spans="2:27" x14ac:dyDescent="0.2">
      <c r="B1850" t="s">
        <v>394</v>
      </c>
      <c r="C1850">
        <v>40366855</v>
      </c>
      <c r="D1850" t="s">
        <v>396</v>
      </c>
      <c r="E1850">
        <v>1021150</v>
      </c>
      <c r="F1850" t="s">
        <v>402</v>
      </c>
      <c r="G1850" s="9">
        <v>45021</v>
      </c>
      <c r="H1850" s="7"/>
      <c r="I1850" s="7">
        <v>22000</v>
      </c>
      <c r="J1850" s="7"/>
      <c r="K1850" s="7"/>
      <c r="L1850" s="10"/>
      <c r="N1850" s="10"/>
      <c r="Q1850" s="11"/>
      <c r="R1850" s="7"/>
      <c r="S1850" s="7">
        <v>22000</v>
      </c>
      <c r="T1850" s="7"/>
      <c r="U1850" s="7"/>
      <c r="V1850" s="10"/>
      <c r="X1850" s="10"/>
      <c r="AA1850" s="11"/>
    </row>
    <row r="1851" spans="2:27" x14ac:dyDescent="0.2">
      <c r="B1851" t="s">
        <v>394</v>
      </c>
      <c r="C1851">
        <v>40366854</v>
      </c>
      <c r="D1851" t="s">
        <v>396</v>
      </c>
      <c r="E1851">
        <v>1021150</v>
      </c>
      <c r="F1851" t="s">
        <v>402</v>
      </c>
      <c r="G1851" s="9">
        <v>45015</v>
      </c>
      <c r="H1851" s="7">
        <v>7728</v>
      </c>
      <c r="I1851" s="7"/>
      <c r="J1851" s="7"/>
      <c r="K1851" s="7"/>
      <c r="L1851" s="10"/>
      <c r="N1851" s="10"/>
      <c r="Q1851" s="11"/>
      <c r="R1851" s="7">
        <v>7728</v>
      </c>
      <c r="S1851" s="7"/>
      <c r="T1851" s="7"/>
      <c r="U1851" s="7"/>
      <c r="V1851" s="10"/>
      <c r="X1851" s="10"/>
      <c r="AA1851" s="11"/>
    </row>
    <row r="1852" spans="2:27" x14ac:dyDescent="0.2">
      <c r="B1852" t="s">
        <v>394</v>
      </c>
      <c r="C1852">
        <v>40366854</v>
      </c>
      <c r="D1852" t="s">
        <v>396</v>
      </c>
      <c r="E1852">
        <v>1021150</v>
      </c>
      <c r="F1852" t="s">
        <v>402</v>
      </c>
      <c r="G1852" s="9">
        <v>45015</v>
      </c>
      <c r="H1852" s="7">
        <v>22000</v>
      </c>
      <c r="I1852" s="7"/>
      <c r="J1852" s="7"/>
      <c r="K1852" s="7"/>
      <c r="L1852" s="10"/>
      <c r="N1852" s="10"/>
      <c r="Q1852" s="11"/>
      <c r="R1852" s="7">
        <v>22000</v>
      </c>
      <c r="S1852" s="7"/>
      <c r="T1852" s="7"/>
      <c r="U1852" s="7"/>
      <c r="V1852" s="10"/>
      <c r="X1852" s="10"/>
      <c r="AA1852" s="11"/>
    </row>
    <row r="1853" spans="2:27" x14ac:dyDescent="0.2">
      <c r="B1853" t="s">
        <v>394</v>
      </c>
      <c r="C1853">
        <v>40366853</v>
      </c>
      <c r="D1853" t="s">
        <v>396</v>
      </c>
      <c r="E1853">
        <v>1023038</v>
      </c>
      <c r="F1853" t="s">
        <v>397</v>
      </c>
      <c r="G1853" s="9">
        <v>45010</v>
      </c>
      <c r="H1853" s="7">
        <v>22005.33</v>
      </c>
      <c r="I1853" s="7"/>
      <c r="J1853" s="7"/>
      <c r="K1853" s="7"/>
      <c r="L1853" s="10"/>
      <c r="N1853" s="10"/>
      <c r="Q1853" s="11"/>
      <c r="R1853" s="7">
        <v>22005.33</v>
      </c>
      <c r="S1853" s="7"/>
      <c r="T1853" s="7"/>
      <c r="U1853" s="7"/>
      <c r="V1853" s="10"/>
      <c r="X1853" s="10"/>
      <c r="AA1853" s="11"/>
    </row>
    <row r="1854" spans="2:27" x14ac:dyDescent="0.2">
      <c r="B1854" t="s">
        <v>394</v>
      </c>
      <c r="C1854">
        <v>40366852</v>
      </c>
      <c r="D1854" t="s">
        <v>396</v>
      </c>
      <c r="E1854">
        <v>1020860</v>
      </c>
      <c r="F1854" t="s">
        <v>403</v>
      </c>
      <c r="G1854" s="9">
        <v>45021</v>
      </c>
      <c r="H1854" s="7"/>
      <c r="I1854" s="7">
        <v>22008.6</v>
      </c>
      <c r="J1854" s="7"/>
      <c r="K1854" s="7"/>
      <c r="L1854" s="10"/>
      <c r="N1854" s="10"/>
      <c r="Q1854" s="11"/>
      <c r="R1854" s="7"/>
      <c r="S1854" s="7">
        <v>22008.6</v>
      </c>
      <c r="T1854" s="7"/>
      <c r="U1854" s="7"/>
      <c r="V1854" s="10"/>
      <c r="X1854" s="10"/>
      <c r="AA1854" s="11"/>
    </row>
    <row r="1855" spans="2:27" x14ac:dyDescent="0.2">
      <c r="B1855" t="s">
        <v>394</v>
      </c>
      <c r="C1855">
        <v>40366851</v>
      </c>
      <c r="D1855" t="s">
        <v>396</v>
      </c>
      <c r="E1855">
        <v>1020860</v>
      </c>
      <c r="F1855" t="s">
        <v>403</v>
      </c>
      <c r="G1855" s="9">
        <v>45021</v>
      </c>
      <c r="H1855" s="7"/>
      <c r="I1855" s="7">
        <v>22010.35</v>
      </c>
      <c r="J1855" s="7"/>
      <c r="K1855" s="7"/>
      <c r="L1855" s="10"/>
      <c r="N1855" s="10"/>
      <c r="Q1855" s="11"/>
      <c r="R1855" s="7"/>
      <c r="S1855" s="7">
        <v>22010.35</v>
      </c>
      <c r="T1855" s="7"/>
      <c r="U1855" s="7"/>
      <c r="V1855" s="10"/>
      <c r="X1855" s="10"/>
      <c r="AA1855" s="11"/>
    </row>
    <row r="1856" spans="2:27" x14ac:dyDescent="0.2">
      <c r="B1856" t="s">
        <v>394</v>
      </c>
      <c r="C1856">
        <v>40366850</v>
      </c>
      <c r="D1856" t="s">
        <v>396</v>
      </c>
      <c r="E1856">
        <v>1020860</v>
      </c>
      <c r="F1856" t="s">
        <v>403</v>
      </c>
      <c r="G1856" s="9">
        <v>45016</v>
      </c>
      <c r="H1856" s="7">
        <v>4502.7700000000004</v>
      </c>
      <c r="I1856" s="7"/>
      <c r="J1856" s="7"/>
      <c r="K1856" s="7"/>
      <c r="L1856" s="10"/>
      <c r="N1856" s="10"/>
      <c r="Q1856" s="11"/>
      <c r="R1856" s="7">
        <v>4502.7700000000004</v>
      </c>
      <c r="S1856" s="7"/>
      <c r="T1856" s="7"/>
      <c r="U1856" s="7"/>
      <c r="V1856" s="10"/>
      <c r="X1856" s="10"/>
      <c r="AA1856" s="11"/>
    </row>
    <row r="1857" spans="2:27" x14ac:dyDescent="0.2">
      <c r="B1857" t="s">
        <v>394</v>
      </c>
      <c r="C1857">
        <v>40366850</v>
      </c>
      <c r="D1857" t="s">
        <v>396</v>
      </c>
      <c r="E1857">
        <v>1020860</v>
      </c>
      <c r="F1857" t="s">
        <v>403</v>
      </c>
      <c r="G1857" s="9">
        <v>45016</v>
      </c>
      <c r="H1857" s="7">
        <v>22004.37</v>
      </c>
      <c r="I1857" s="7"/>
      <c r="J1857" s="7"/>
      <c r="K1857" s="7"/>
      <c r="L1857" s="10"/>
      <c r="N1857" s="10"/>
      <c r="Q1857" s="11"/>
      <c r="R1857" s="7">
        <v>22004.37</v>
      </c>
      <c r="S1857" s="7"/>
      <c r="T1857" s="7"/>
      <c r="U1857" s="7"/>
      <c r="V1857" s="10"/>
      <c r="X1857" s="10"/>
      <c r="AA1857" s="11"/>
    </row>
    <row r="1858" spans="2:27" x14ac:dyDescent="0.2">
      <c r="B1858" t="s">
        <v>394</v>
      </c>
      <c r="C1858">
        <v>40366849</v>
      </c>
      <c r="D1858" t="s">
        <v>396</v>
      </c>
      <c r="E1858">
        <v>1020860</v>
      </c>
      <c r="F1858" t="s">
        <v>403</v>
      </c>
      <c r="G1858" s="9">
        <v>45015</v>
      </c>
      <c r="H1858" s="7">
        <v>7861.81</v>
      </c>
      <c r="I1858" s="7"/>
      <c r="J1858" s="7"/>
      <c r="K1858" s="7"/>
      <c r="L1858" s="10"/>
      <c r="N1858" s="10"/>
      <c r="Q1858" s="11"/>
      <c r="R1858" s="7">
        <v>7861.81</v>
      </c>
      <c r="S1858" s="7"/>
      <c r="T1858" s="7"/>
      <c r="U1858" s="7"/>
      <c r="V1858" s="10"/>
      <c r="X1858" s="10"/>
      <c r="AA1858" s="11"/>
    </row>
    <row r="1859" spans="2:27" x14ac:dyDescent="0.2">
      <c r="B1859" t="s">
        <v>394</v>
      </c>
      <c r="C1859">
        <v>40366849</v>
      </c>
      <c r="D1859" t="s">
        <v>396</v>
      </c>
      <c r="E1859">
        <v>1020860</v>
      </c>
      <c r="F1859" t="s">
        <v>403</v>
      </c>
      <c r="G1859" s="9">
        <v>45015</v>
      </c>
      <c r="H1859" s="7">
        <v>22000.31</v>
      </c>
      <c r="I1859" s="7"/>
      <c r="J1859" s="7"/>
      <c r="K1859" s="7"/>
      <c r="L1859" s="10"/>
      <c r="N1859" s="10"/>
      <c r="Q1859" s="11"/>
      <c r="R1859" s="7">
        <v>22000.31</v>
      </c>
      <c r="S1859" s="7"/>
      <c r="T1859" s="7"/>
      <c r="U1859" s="7"/>
      <c r="V1859" s="10"/>
      <c r="X1859" s="10"/>
      <c r="AA1859" s="11"/>
    </row>
    <row r="1860" spans="2:27" x14ac:dyDescent="0.2">
      <c r="B1860" t="s">
        <v>394</v>
      </c>
      <c r="C1860">
        <v>40366848</v>
      </c>
      <c r="D1860" t="s">
        <v>396</v>
      </c>
      <c r="E1860">
        <v>1021665</v>
      </c>
      <c r="F1860" t="s">
        <v>453</v>
      </c>
      <c r="G1860" s="9">
        <v>45016</v>
      </c>
      <c r="H1860" s="7">
        <v>22108.36</v>
      </c>
      <c r="I1860" s="7"/>
      <c r="J1860" s="7"/>
      <c r="K1860" s="7"/>
      <c r="L1860" s="10"/>
      <c r="N1860" s="10"/>
      <c r="Q1860" s="11"/>
      <c r="R1860" s="7">
        <v>22108.36</v>
      </c>
      <c r="S1860" s="7"/>
      <c r="T1860" s="7"/>
      <c r="U1860" s="7"/>
      <c r="V1860" s="10"/>
      <c r="X1860" s="10"/>
      <c r="AA1860" s="11"/>
    </row>
    <row r="1861" spans="2:27" x14ac:dyDescent="0.2">
      <c r="B1861" t="s">
        <v>394</v>
      </c>
      <c r="C1861">
        <v>40366840</v>
      </c>
      <c r="D1861" t="s">
        <v>396</v>
      </c>
      <c r="E1861">
        <v>1022887</v>
      </c>
      <c r="F1861" t="s">
        <v>404</v>
      </c>
      <c r="G1861" s="9">
        <v>45021</v>
      </c>
      <c r="H1861" s="7"/>
      <c r="I1861" s="7">
        <v>22006.880000000001</v>
      </c>
      <c r="J1861" s="7"/>
      <c r="K1861" s="7"/>
      <c r="L1861" s="10"/>
      <c r="N1861" s="10"/>
      <c r="Q1861" s="11"/>
      <c r="R1861" s="7"/>
      <c r="S1861" s="7">
        <v>22006.880000000001</v>
      </c>
      <c r="T1861" s="7"/>
      <c r="U1861" s="7"/>
      <c r="V1861" s="10"/>
      <c r="X1861" s="10"/>
      <c r="AA1861" s="11"/>
    </row>
    <row r="1862" spans="2:27" x14ac:dyDescent="0.2">
      <c r="B1862" t="s">
        <v>394</v>
      </c>
      <c r="C1862">
        <v>40366839</v>
      </c>
      <c r="D1862" t="s">
        <v>396</v>
      </c>
      <c r="E1862">
        <v>1022887</v>
      </c>
      <c r="F1862" t="s">
        <v>404</v>
      </c>
      <c r="G1862" s="9">
        <v>45021</v>
      </c>
      <c r="H1862" s="7"/>
      <c r="I1862" s="7">
        <v>22007.31</v>
      </c>
      <c r="J1862" s="7"/>
      <c r="K1862" s="7"/>
      <c r="L1862" s="10"/>
      <c r="N1862" s="10"/>
      <c r="Q1862" s="11"/>
      <c r="R1862" s="7"/>
      <c r="S1862" s="7">
        <v>22007.31</v>
      </c>
      <c r="T1862" s="7"/>
      <c r="U1862" s="7"/>
      <c r="V1862" s="10"/>
      <c r="X1862" s="10"/>
      <c r="AA1862" s="11"/>
    </row>
    <row r="1863" spans="2:27" x14ac:dyDescent="0.2">
      <c r="B1863" t="s">
        <v>394</v>
      </c>
      <c r="C1863">
        <v>40366838</v>
      </c>
      <c r="D1863" t="s">
        <v>396</v>
      </c>
      <c r="E1863">
        <v>1022887</v>
      </c>
      <c r="F1863" t="s">
        <v>404</v>
      </c>
      <c r="G1863" s="9">
        <v>45010</v>
      </c>
      <c r="H1863" s="7">
        <v>22016.080000000002</v>
      </c>
      <c r="I1863" s="7"/>
      <c r="J1863" s="7"/>
      <c r="K1863" s="7"/>
      <c r="L1863" s="10"/>
      <c r="N1863" s="10"/>
      <c r="Q1863" s="11"/>
      <c r="R1863" s="7">
        <v>22016.080000000002</v>
      </c>
      <c r="S1863" s="7"/>
      <c r="T1863" s="7"/>
      <c r="U1863" s="7"/>
      <c r="V1863" s="10"/>
      <c r="X1863" s="10"/>
      <c r="AA1863" s="11"/>
    </row>
    <row r="1864" spans="2:27" ht="16" x14ac:dyDescent="0.2">
      <c r="B1864" t="s">
        <v>35</v>
      </c>
      <c r="C1864">
        <v>40366836</v>
      </c>
      <c r="D1864" t="s">
        <v>391</v>
      </c>
      <c r="E1864">
        <v>1022791</v>
      </c>
      <c r="F1864" t="s">
        <v>501</v>
      </c>
      <c r="G1864" s="9">
        <v>45012</v>
      </c>
      <c r="H1864" s="7"/>
      <c r="I1864" s="7">
        <v>86.12</v>
      </c>
      <c r="J1864" s="7"/>
      <c r="K1864" s="7"/>
      <c r="L1864" s="10">
        <v>4.830303030303031</v>
      </c>
      <c r="M1864" s="9">
        <v>45016</v>
      </c>
      <c r="N1864" s="10">
        <v>15</v>
      </c>
      <c r="O1864" s="9">
        <v>45031</v>
      </c>
      <c r="P1864">
        <v>12</v>
      </c>
      <c r="Q1864" s="11" t="s">
        <v>49</v>
      </c>
      <c r="R1864" s="7"/>
      <c r="S1864" s="7">
        <v>86.12</v>
      </c>
      <c r="T1864" s="7"/>
      <c r="U1864" s="7"/>
      <c r="V1864" s="10">
        <v>6.830303030303031</v>
      </c>
      <c r="W1864" s="9">
        <v>45018</v>
      </c>
      <c r="X1864" s="10">
        <v>17</v>
      </c>
      <c r="Y1864" s="9">
        <v>45031</v>
      </c>
      <c r="Z1864">
        <v>12</v>
      </c>
      <c r="AA1864" s="11" t="s">
        <v>49</v>
      </c>
    </row>
    <row r="1865" spans="2:27" x14ac:dyDescent="0.2">
      <c r="B1865" t="s">
        <v>394</v>
      </c>
      <c r="C1865">
        <v>40366830</v>
      </c>
      <c r="D1865" t="s">
        <v>485</v>
      </c>
      <c r="E1865">
        <v>1012207</v>
      </c>
      <c r="F1865" t="s">
        <v>633</v>
      </c>
      <c r="G1865" s="9">
        <v>44983</v>
      </c>
      <c r="H1865" s="7"/>
      <c r="I1865" s="7"/>
      <c r="J1865" s="7"/>
      <c r="K1865" s="7"/>
      <c r="L1865" s="10"/>
      <c r="N1865" s="10"/>
      <c r="Q1865" s="11"/>
      <c r="R1865" s="7"/>
      <c r="S1865" s="7"/>
      <c r="T1865" s="7"/>
      <c r="U1865" s="7"/>
      <c r="V1865" s="10"/>
      <c r="X1865" s="10"/>
      <c r="AA1865" s="11"/>
    </row>
    <row r="1866" spans="2:27" x14ac:dyDescent="0.2">
      <c r="B1866" t="s">
        <v>394</v>
      </c>
      <c r="C1866">
        <v>40366828</v>
      </c>
      <c r="D1866" t="s">
        <v>485</v>
      </c>
      <c r="E1866">
        <v>1010877</v>
      </c>
      <c r="F1866" t="s">
        <v>502</v>
      </c>
      <c r="G1866" s="9">
        <v>44987</v>
      </c>
      <c r="H1866" s="7">
        <v>25000</v>
      </c>
      <c r="I1866" s="7"/>
      <c r="J1866" s="7"/>
      <c r="K1866" s="7"/>
      <c r="L1866" s="10"/>
      <c r="N1866" s="10"/>
      <c r="Q1866" s="11"/>
      <c r="R1866" s="7">
        <v>25000</v>
      </c>
      <c r="S1866" s="7"/>
      <c r="T1866" s="7"/>
      <c r="U1866" s="7"/>
      <c r="V1866" s="10"/>
      <c r="X1866" s="10"/>
      <c r="AA1866" s="11"/>
    </row>
    <row r="1867" spans="2:27" x14ac:dyDescent="0.2">
      <c r="B1867" t="s">
        <v>394</v>
      </c>
      <c r="C1867">
        <v>40366827</v>
      </c>
      <c r="D1867" t="s">
        <v>485</v>
      </c>
      <c r="E1867">
        <v>1020944</v>
      </c>
      <c r="F1867" t="s">
        <v>498</v>
      </c>
      <c r="G1867" s="9">
        <v>44987</v>
      </c>
      <c r="H1867" s="7">
        <v>23839.439999999999</v>
      </c>
      <c r="I1867" s="7"/>
      <c r="J1867" s="7"/>
      <c r="K1867" s="7"/>
      <c r="L1867" s="10"/>
      <c r="N1867" s="10"/>
      <c r="Q1867" s="11"/>
      <c r="R1867" s="7">
        <v>23839.439999999999</v>
      </c>
      <c r="S1867" s="7"/>
      <c r="T1867" s="7"/>
      <c r="U1867" s="7"/>
      <c r="V1867" s="10"/>
      <c r="X1867" s="10"/>
      <c r="AA1867" s="11"/>
    </row>
    <row r="1868" spans="2:27" x14ac:dyDescent="0.2">
      <c r="B1868" t="s">
        <v>394</v>
      </c>
      <c r="C1868">
        <v>40366826</v>
      </c>
      <c r="D1868" t="s">
        <v>485</v>
      </c>
      <c r="E1868">
        <v>1020944</v>
      </c>
      <c r="F1868" t="s">
        <v>498</v>
      </c>
      <c r="G1868" s="9">
        <v>44987</v>
      </c>
      <c r="H1868" s="7">
        <v>23739.919999999998</v>
      </c>
      <c r="I1868" s="7"/>
      <c r="J1868" s="7"/>
      <c r="K1868" s="7"/>
      <c r="L1868" s="10"/>
      <c r="N1868" s="10"/>
      <c r="Q1868" s="11"/>
      <c r="R1868" s="7">
        <v>23739.919999999998</v>
      </c>
      <c r="S1868" s="7"/>
      <c r="T1868" s="7"/>
      <c r="U1868" s="7"/>
      <c r="V1868" s="10"/>
      <c r="X1868" s="10"/>
      <c r="AA1868" s="11"/>
    </row>
    <row r="1869" spans="2:27" x14ac:dyDescent="0.2">
      <c r="B1869" t="s">
        <v>394</v>
      </c>
      <c r="C1869">
        <v>40366825</v>
      </c>
      <c r="D1869" t="s">
        <v>485</v>
      </c>
      <c r="E1869">
        <v>1020944</v>
      </c>
      <c r="F1869" t="s">
        <v>498</v>
      </c>
      <c r="G1869" s="9">
        <v>44987</v>
      </c>
      <c r="H1869" s="7">
        <v>23998.04</v>
      </c>
      <c r="I1869" s="7"/>
      <c r="J1869" s="7"/>
      <c r="K1869" s="7"/>
      <c r="L1869" s="10"/>
      <c r="N1869" s="10"/>
      <c r="Q1869" s="11"/>
      <c r="R1869" s="7">
        <v>23998.04</v>
      </c>
      <c r="S1869" s="7"/>
      <c r="T1869" s="7"/>
      <c r="U1869" s="7"/>
      <c r="V1869" s="10"/>
      <c r="X1869" s="10"/>
      <c r="AA1869" s="11"/>
    </row>
    <row r="1870" spans="2:27" x14ac:dyDescent="0.2">
      <c r="B1870" t="s">
        <v>394</v>
      </c>
      <c r="C1870">
        <v>40366806</v>
      </c>
      <c r="D1870" t="s">
        <v>396</v>
      </c>
      <c r="E1870">
        <v>1023038</v>
      </c>
      <c r="F1870" t="s">
        <v>397</v>
      </c>
      <c r="G1870" s="9">
        <v>45008</v>
      </c>
      <c r="H1870" s="7">
        <v>22002.82</v>
      </c>
      <c r="I1870" s="7"/>
      <c r="J1870" s="7"/>
      <c r="K1870" s="7"/>
      <c r="L1870" s="10"/>
      <c r="N1870" s="10"/>
      <c r="Q1870" s="11"/>
      <c r="R1870" s="7">
        <v>22002.82</v>
      </c>
      <c r="S1870" s="7"/>
      <c r="T1870" s="7"/>
      <c r="U1870" s="7"/>
      <c r="V1870" s="10"/>
      <c r="X1870" s="10"/>
      <c r="AA1870" s="11"/>
    </row>
    <row r="1871" spans="2:27" x14ac:dyDescent="0.2">
      <c r="B1871" t="s">
        <v>394</v>
      </c>
      <c r="C1871">
        <v>40366738</v>
      </c>
      <c r="D1871" t="s">
        <v>485</v>
      </c>
      <c r="E1871">
        <v>1020848</v>
      </c>
      <c r="F1871" t="s">
        <v>503</v>
      </c>
      <c r="G1871" s="9">
        <v>44998</v>
      </c>
      <c r="H1871" s="7">
        <v>23999.27</v>
      </c>
      <c r="I1871" s="7"/>
      <c r="J1871" s="7"/>
      <c r="K1871" s="7"/>
      <c r="L1871" s="10"/>
      <c r="N1871" s="10"/>
      <c r="Q1871" s="11"/>
      <c r="R1871" s="7">
        <v>23999.27</v>
      </c>
      <c r="S1871" s="7"/>
      <c r="T1871" s="7"/>
      <c r="U1871" s="7"/>
      <c r="V1871" s="10"/>
      <c r="X1871" s="10"/>
      <c r="AA1871" s="11"/>
    </row>
    <row r="1872" spans="2:27" x14ac:dyDescent="0.2">
      <c r="B1872" t="s">
        <v>394</v>
      </c>
      <c r="C1872">
        <v>40366712</v>
      </c>
      <c r="D1872" t="s">
        <v>485</v>
      </c>
      <c r="E1872">
        <v>1030817</v>
      </c>
      <c r="F1872" t="s">
        <v>504</v>
      </c>
      <c r="G1872" s="9">
        <v>44989</v>
      </c>
      <c r="H1872" s="7">
        <v>24006.36</v>
      </c>
      <c r="I1872" s="7"/>
      <c r="J1872" s="7"/>
      <c r="K1872" s="7"/>
      <c r="L1872" s="10"/>
      <c r="N1872" s="10"/>
      <c r="Q1872" s="11"/>
      <c r="R1872" s="7">
        <v>24006.36</v>
      </c>
      <c r="S1872" s="7"/>
      <c r="T1872" s="7"/>
      <c r="U1872" s="7"/>
      <c r="V1872" s="10"/>
      <c r="X1872" s="10"/>
      <c r="AA1872" s="11"/>
    </row>
    <row r="1873" spans="2:27" x14ac:dyDescent="0.2">
      <c r="B1873" t="s">
        <v>394</v>
      </c>
      <c r="C1873">
        <v>40366711</v>
      </c>
      <c r="D1873" t="s">
        <v>485</v>
      </c>
      <c r="E1873">
        <v>1030817</v>
      </c>
      <c r="F1873" t="s">
        <v>504</v>
      </c>
      <c r="G1873" s="9">
        <v>44987</v>
      </c>
      <c r="H1873" s="7">
        <v>24010.68</v>
      </c>
      <c r="I1873" s="7"/>
      <c r="J1873" s="7"/>
      <c r="K1873" s="7"/>
      <c r="L1873" s="10"/>
      <c r="N1873" s="10"/>
      <c r="Q1873" s="11"/>
      <c r="R1873" s="7">
        <v>24010.68</v>
      </c>
      <c r="S1873" s="7"/>
      <c r="T1873" s="7"/>
      <c r="U1873" s="7"/>
      <c r="V1873" s="10"/>
      <c r="X1873" s="10"/>
      <c r="AA1873" s="11"/>
    </row>
    <row r="1874" spans="2:27" x14ac:dyDescent="0.2">
      <c r="B1874" t="s">
        <v>394</v>
      </c>
      <c r="C1874">
        <v>40366710</v>
      </c>
      <c r="D1874" t="s">
        <v>485</v>
      </c>
      <c r="E1874">
        <v>1030817</v>
      </c>
      <c r="F1874" t="s">
        <v>504</v>
      </c>
      <c r="G1874" s="9">
        <v>44987</v>
      </c>
      <c r="H1874" s="7">
        <v>24006.67</v>
      </c>
      <c r="I1874" s="7"/>
      <c r="J1874" s="7"/>
      <c r="K1874" s="7"/>
      <c r="L1874" s="10"/>
      <c r="N1874" s="10"/>
      <c r="Q1874" s="11"/>
      <c r="R1874" s="7">
        <v>24006.67</v>
      </c>
      <c r="S1874" s="7"/>
      <c r="T1874" s="7"/>
      <c r="U1874" s="7"/>
      <c r="V1874" s="10"/>
      <c r="X1874" s="10"/>
      <c r="AA1874" s="11"/>
    </row>
    <row r="1875" spans="2:27" ht="16" x14ac:dyDescent="0.2">
      <c r="B1875" t="s">
        <v>35</v>
      </c>
      <c r="C1875">
        <v>40366683</v>
      </c>
      <c r="D1875" t="s">
        <v>386</v>
      </c>
      <c r="E1875">
        <v>1020853</v>
      </c>
      <c r="F1875" t="s">
        <v>262</v>
      </c>
      <c r="G1875" s="9">
        <v>45011</v>
      </c>
      <c r="H1875" s="7"/>
      <c r="I1875" s="7">
        <v>20000</v>
      </c>
      <c r="J1875" s="7"/>
      <c r="K1875" s="7"/>
      <c r="L1875" s="10">
        <v>5.1420118343195256</v>
      </c>
      <c r="M1875" s="9">
        <v>45016</v>
      </c>
      <c r="N1875" s="10">
        <v>7.5</v>
      </c>
      <c r="O1875" s="9">
        <v>45023</v>
      </c>
      <c r="P1875">
        <v>17</v>
      </c>
      <c r="Q1875" s="11" t="s">
        <v>49</v>
      </c>
      <c r="R1875" s="7"/>
      <c r="S1875" s="7">
        <v>20000</v>
      </c>
      <c r="T1875" s="7"/>
      <c r="U1875" s="7"/>
      <c r="V1875" s="10">
        <v>7.1420118343195256</v>
      </c>
      <c r="W1875" s="9">
        <v>45018</v>
      </c>
      <c r="X1875" s="10">
        <v>9.5</v>
      </c>
      <c r="Y1875" s="9">
        <v>45023</v>
      </c>
      <c r="Z1875">
        <v>17</v>
      </c>
      <c r="AA1875" s="11" t="s">
        <v>49</v>
      </c>
    </row>
    <row r="1876" spans="2:27" ht="16" x14ac:dyDescent="0.2">
      <c r="B1876" t="s">
        <v>35</v>
      </c>
      <c r="C1876">
        <v>40366682</v>
      </c>
      <c r="D1876" t="s">
        <v>386</v>
      </c>
      <c r="E1876">
        <v>1020853</v>
      </c>
      <c r="F1876" t="s">
        <v>262</v>
      </c>
      <c r="G1876" s="9">
        <v>45009</v>
      </c>
      <c r="H1876" s="7"/>
      <c r="I1876" s="7">
        <v>13200</v>
      </c>
      <c r="J1876" s="7"/>
      <c r="K1876" s="7"/>
      <c r="L1876" s="10">
        <v>5.1420118343195256</v>
      </c>
      <c r="M1876" s="9">
        <v>45014</v>
      </c>
      <c r="N1876" s="10">
        <v>7.5</v>
      </c>
      <c r="O1876" s="9">
        <v>45021</v>
      </c>
      <c r="P1876">
        <v>19</v>
      </c>
      <c r="Q1876" s="11" t="s">
        <v>49</v>
      </c>
      <c r="R1876" s="7"/>
      <c r="S1876" s="7">
        <v>13200</v>
      </c>
      <c r="T1876" s="7"/>
      <c r="U1876" s="7"/>
      <c r="V1876" s="10">
        <v>7.1420118343195256</v>
      </c>
      <c r="W1876" s="9">
        <v>45016</v>
      </c>
      <c r="X1876" s="10">
        <v>9.5</v>
      </c>
      <c r="Y1876" s="9">
        <v>45021</v>
      </c>
      <c r="Z1876">
        <v>19</v>
      </c>
      <c r="AA1876" s="11" t="s">
        <v>49</v>
      </c>
    </row>
    <row r="1877" spans="2:27" ht="16" x14ac:dyDescent="0.2">
      <c r="B1877" t="s">
        <v>35</v>
      </c>
      <c r="C1877">
        <v>40366682</v>
      </c>
      <c r="D1877" t="s">
        <v>386</v>
      </c>
      <c r="E1877">
        <v>1020853</v>
      </c>
      <c r="F1877" t="s">
        <v>262</v>
      </c>
      <c r="G1877" s="9">
        <v>45009</v>
      </c>
      <c r="H1877" s="7"/>
      <c r="I1877" s="7">
        <v>19985</v>
      </c>
      <c r="J1877" s="7"/>
      <c r="K1877" s="7"/>
      <c r="L1877" s="10">
        <v>5.1420118343195256</v>
      </c>
      <c r="M1877" s="9">
        <v>45014</v>
      </c>
      <c r="N1877" s="10">
        <v>7.5</v>
      </c>
      <c r="O1877" s="9">
        <v>45021</v>
      </c>
      <c r="P1877">
        <v>19</v>
      </c>
      <c r="Q1877" s="11" t="s">
        <v>49</v>
      </c>
      <c r="R1877" s="7"/>
      <c r="S1877" s="7">
        <v>19985</v>
      </c>
      <c r="T1877" s="7"/>
      <c r="U1877" s="7"/>
      <c r="V1877" s="10">
        <v>7.1420118343195256</v>
      </c>
      <c r="W1877" s="9">
        <v>45016</v>
      </c>
      <c r="X1877" s="10">
        <v>9.5</v>
      </c>
      <c r="Y1877" s="9">
        <v>45021</v>
      </c>
      <c r="Z1877">
        <v>19</v>
      </c>
      <c r="AA1877" s="11" t="s">
        <v>49</v>
      </c>
    </row>
    <row r="1878" spans="2:27" ht="16" x14ac:dyDescent="0.2">
      <c r="B1878" t="s">
        <v>35</v>
      </c>
      <c r="C1878">
        <v>40366681</v>
      </c>
      <c r="D1878" t="s">
        <v>386</v>
      </c>
      <c r="E1878">
        <v>1020853</v>
      </c>
      <c r="F1878" t="s">
        <v>262</v>
      </c>
      <c r="G1878" s="9">
        <v>45002</v>
      </c>
      <c r="H1878" s="7">
        <v>20000</v>
      </c>
      <c r="I1878" s="7"/>
      <c r="J1878" s="7"/>
      <c r="K1878" s="7"/>
      <c r="L1878" s="10">
        <v>5.1420118343195256</v>
      </c>
      <c r="M1878" s="9">
        <v>45007</v>
      </c>
      <c r="N1878" s="10">
        <v>7.5</v>
      </c>
      <c r="O1878" s="9">
        <v>45014</v>
      </c>
      <c r="P1878">
        <v>2</v>
      </c>
      <c r="Q1878" s="11" t="s">
        <v>598</v>
      </c>
      <c r="R1878" s="7">
        <v>20000</v>
      </c>
      <c r="S1878" s="7"/>
      <c r="T1878" s="7"/>
      <c r="U1878" s="7"/>
      <c r="V1878" s="10">
        <v>7.1420118343195256</v>
      </c>
      <c r="W1878" s="9">
        <v>45009</v>
      </c>
      <c r="X1878" s="10">
        <v>9.5</v>
      </c>
      <c r="Y1878" s="9">
        <v>45014</v>
      </c>
      <c r="Z1878">
        <v>2</v>
      </c>
      <c r="AA1878" s="11" t="s">
        <v>598</v>
      </c>
    </row>
    <row r="1879" spans="2:27" ht="16" x14ac:dyDescent="0.2">
      <c r="B1879" t="s">
        <v>35</v>
      </c>
      <c r="C1879">
        <v>40366680</v>
      </c>
      <c r="D1879" t="s">
        <v>386</v>
      </c>
      <c r="E1879">
        <v>1020853</v>
      </c>
      <c r="F1879" t="s">
        <v>262</v>
      </c>
      <c r="G1879" s="9">
        <v>45002</v>
      </c>
      <c r="H1879" s="7">
        <v>5300</v>
      </c>
      <c r="I1879" s="7"/>
      <c r="J1879" s="7"/>
      <c r="K1879" s="7"/>
      <c r="L1879" s="10">
        <v>5.1420118343195256</v>
      </c>
      <c r="M1879" s="9">
        <v>45007</v>
      </c>
      <c r="N1879" s="10">
        <v>7.5</v>
      </c>
      <c r="O1879" s="9">
        <v>45014</v>
      </c>
      <c r="P1879">
        <v>2</v>
      </c>
      <c r="Q1879" s="11" t="s">
        <v>598</v>
      </c>
      <c r="R1879" s="7">
        <v>5300</v>
      </c>
      <c r="S1879" s="7"/>
      <c r="T1879" s="7"/>
      <c r="U1879" s="7"/>
      <c r="V1879" s="10">
        <v>7.1420118343195256</v>
      </c>
      <c r="W1879" s="9">
        <v>45009</v>
      </c>
      <c r="X1879" s="10">
        <v>9.5</v>
      </c>
      <c r="Y1879" s="9">
        <v>45014</v>
      </c>
      <c r="Z1879">
        <v>2</v>
      </c>
      <c r="AA1879" s="11" t="s">
        <v>598</v>
      </c>
    </row>
    <row r="1880" spans="2:27" ht="16" x14ac:dyDescent="0.2">
      <c r="B1880" t="s">
        <v>35</v>
      </c>
      <c r="C1880">
        <v>40366680</v>
      </c>
      <c r="D1880" t="s">
        <v>386</v>
      </c>
      <c r="E1880">
        <v>1020853</v>
      </c>
      <c r="F1880" t="s">
        <v>262</v>
      </c>
      <c r="G1880" s="9">
        <v>45002</v>
      </c>
      <c r="H1880" s="7">
        <v>20000</v>
      </c>
      <c r="I1880" s="7"/>
      <c r="J1880" s="7"/>
      <c r="K1880" s="7"/>
      <c r="L1880" s="10">
        <v>5.1420118343195256</v>
      </c>
      <c r="M1880" s="9">
        <v>45007</v>
      </c>
      <c r="N1880" s="10">
        <v>7.5</v>
      </c>
      <c r="O1880" s="9">
        <v>45014</v>
      </c>
      <c r="P1880">
        <v>2</v>
      </c>
      <c r="Q1880" s="11" t="s">
        <v>598</v>
      </c>
      <c r="R1880" s="7">
        <v>20000</v>
      </c>
      <c r="S1880" s="7"/>
      <c r="T1880" s="7"/>
      <c r="U1880" s="7"/>
      <c r="V1880" s="10">
        <v>7.1420118343195256</v>
      </c>
      <c r="W1880" s="9">
        <v>45009</v>
      </c>
      <c r="X1880" s="10">
        <v>9.5</v>
      </c>
      <c r="Y1880" s="9">
        <v>45014</v>
      </c>
      <c r="Z1880">
        <v>2</v>
      </c>
      <c r="AA1880" s="11" t="s">
        <v>598</v>
      </c>
    </row>
    <row r="1881" spans="2:27" ht="16" x14ac:dyDescent="0.2">
      <c r="B1881" t="s">
        <v>35</v>
      </c>
      <c r="C1881">
        <v>40366675</v>
      </c>
      <c r="D1881" t="s">
        <v>389</v>
      </c>
      <c r="E1881">
        <v>1012452</v>
      </c>
      <c r="F1881" t="s">
        <v>419</v>
      </c>
      <c r="G1881" s="9">
        <v>45012</v>
      </c>
      <c r="H1881" s="7"/>
      <c r="I1881" s="7">
        <v>19976</v>
      </c>
      <c r="J1881" s="7"/>
      <c r="K1881" s="7"/>
      <c r="L1881" s="10">
        <v>5.5741092456127026</v>
      </c>
      <c r="M1881" s="9">
        <v>45017</v>
      </c>
      <c r="N1881" s="10">
        <v>5.5</v>
      </c>
      <c r="O1881" s="9">
        <v>45022</v>
      </c>
      <c r="P1881">
        <v>20</v>
      </c>
      <c r="Q1881" s="11" t="s">
        <v>49</v>
      </c>
      <c r="R1881" s="7"/>
      <c r="S1881" s="7">
        <v>19976</v>
      </c>
      <c r="T1881" s="7"/>
      <c r="U1881" s="7"/>
      <c r="V1881" s="10">
        <v>7.5741092456127026</v>
      </c>
      <c r="W1881" s="9">
        <v>45019</v>
      </c>
      <c r="X1881" s="10">
        <v>7.5</v>
      </c>
      <c r="Y1881" s="9">
        <v>45022</v>
      </c>
      <c r="Z1881">
        <v>20</v>
      </c>
      <c r="AA1881" s="11" t="s">
        <v>49</v>
      </c>
    </row>
    <row r="1882" spans="2:27" ht="16" x14ac:dyDescent="0.2">
      <c r="B1882" t="s">
        <v>35</v>
      </c>
      <c r="C1882">
        <v>40366670</v>
      </c>
      <c r="D1882" t="s">
        <v>389</v>
      </c>
      <c r="E1882">
        <v>1022417</v>
      </c>
      <c r="F1882" t="s">
        <v>173</v>
      </c>
      <c r="G1882" s="9">
        <v>45019</v>
      </c>
      <c r="H1882" s="7"/>
      <c r="I1882" s="7">
        <v>24160</v>
      </c>
      <c r="J1882" s="7"/>
      <c r="K1882" s="7"/>
      <c r="L1882" s="10">
        <v>5.5741092456127026</v>
      </c>
      <c r="M1882" s="9">
        <v>45024</v>
      </c>
      <c r="N1882" s="10">
        <v>5.5</v>
      </c>
      <c r="O1882" s="9">
        <v>45029</v>
      </c>
      <c r="P1882">
        <v>14</v>
      </c>
      <c r="Q1882" s="11" t="s">
        <v>49</v>
      </c>
      <c r="R1882" s="7"/>
      <c r="S1882" s="7">
        <v>24160</v>
      </c>
      <c r="T1882" s="7"/>
      <c r="U1882" s="7"/>
      <c r="V1882" s="10">
        <v>7.5741092456127026</v>
      </c>
      <c r="W1882" s="9">
        <v>45026</v>
      </c>
      <c r="X1882" s="10">
        <v>7.5</v>
      </c>
      <c r="Y1882" s="9">
        <v>45029</v>
      </c>
      <c r="Z1882">
        <v>14</v>
      </c>
      <c r="AA1882" s="11" t="s">
        <v>49</v>
      </c>
    </row>
    <row r="1883" spans="2:27" ht="16" x14ac:dyDescent="0.2">
      <c r="B1883" t="s">
        <v>35</v>
      </c>
      <c r="C1883">
        <v>40366669</v>
      </c>
      <c r="D1883" t="s">
        <v>389</v>
      </c>
      <c r="E1883">
        <v>1022417</v>
      </c>
      <c r="F1883" t="s">
        <v>173</v>
      </c>
      <c r="G1883" s="9">
        <v>45015</v>
      </c>
      <c r="H1883" s="7"/>
      <c r="I1883" s="7">
        <v>25000</v>
      </c>
      <c r="J1883" s="7"/>
      <c r="K1883" s="7"/>
      <c r="L1883" s="10">
        <v>5.5741092456127026</v>
      </c>
      <c r="M1883" s="9">
        <v>45020</v>
      </c>
      <c r="N1883" s="10">
        <v>5.5</v>
      </c>
      <c r="O1883" s="9">
        <v>45025</v>
      </c>
      <c r="P1883">
        <v>18</v>
      </c>
      <c r="Q1883" s="11" t="s">
        <v>49</v>
      </c>
      <c r="R1883" s="7"/>
      <c r="S1883" s="7">
        <v>25000</v>
      </c>
      <c r="T1883" s="7"/>
      <c r="U1883" s="7"/>
      <c r="V1883" s="10">
        <v>7.5741092456127026</v>
      </c>
      <c r="W1883" s="9">
        <v>45022</v>
      </c>
      <c r="X1883" s="10">
        <v>7.5</v>
      </c>
      <c r="Y1883" s="9">
        <v>45025</v>
      </c>
      <c r="Z1883">
        <v>18</v>
      </c>
      <c r="AA1883" s="11" t="s">
        <v>49</v>
      </c>
    </row>
    <row r="1884" spans="2:27" ht="16" x14ac:dyDescent="0.2">
      <c r="B1884" t="s">
        <v>35</v>
      </c>
      <c r="C1884">
        <v>40366666</v>
      </c>
      <c r="D1884" t="s">
        <v>389</v>
      </c>
      <c r="E1884">
        <v>1022939</v>
      </c>
      <c r="F1884" t="s">
        <v>505</v>
      </c>
      <c r="G1884" s="9">
        <v>45018</v>
      </c>
      <c r="H1884" s="7"/>
      <c r="I1884" s="7">
        <v>24000</v>
      </c>
      <c r="J1884" s="7"/>
      <c r="K1884" s="7"/>
      <c r="L1884" s="10">
        <v>5.5741092456127026</v>
      </c>
      <c r="M1884" s="9">
        <v>45023</v>
      </c>
      <c r="N1884" s="10">
        <v>5.5</v>
      </c>
      <c r="O1884" s="9">
        <v>45028</v>
      </c>
      <c r="P1884">
        <v>15</v>
      </c>
      <c r="Q1884" s="11" t="s">
        <v>49</v>
      </c>
      <c r="R1884" s="7"/>
      <c r="S1884" s="7">
        <v>24000</v>
      </c>
      <c r="T1884" s="7"/>
      <c r="U1884" s="7"/>
      <c r="V1884" s="10">
        <v>7.5741092456127026</v>
      </c>
      <c r="W1884" s="9">
        <v>45025</v>
      </c>
      <c r="X1884" s="10">
        <v>7.5</v>
      </c>
      <c r="Y1884" s="9">
        <v>45028</v>
      </c>
      <c r="Z1884">
        <v>15</v>
      </c>
      <c r="AA1884" s="11" t="s">
        <v>49</v>
      </c>
    </row>
    <row r="1885" spans="2:27" ht="16" x14ac:dyDescent="0.2">
      <c r="B1885" t="s">
        <v>35</v>
      </c>
      <c r="C1885">
        <v>40366660</v>
      </c>
      <c r="D1885" t="s">
        <v>389</v>
      </c>
      <c r="E1885">
        <v>1022291</v>
      </c>
      <c r="F1885" t="s">
        <v>414</v>
      </c>
      <c r="G1885" s="9">
        <v>45012</v>
      </c>
      <c r="H1885" s="7"/>
      <c r="I1885" s="7">
        <v>24015.11</v>
      </c>
      <c r="J1885" s="7"/>
      <c r="K1885" s="7"/>
      <c r="L1885" s="10">
        <v>5.5741092456127026</v>
      </c>
      <c r="M1885" s="9">
        <v>45017</v>
      </c>
      <c r="N1885" s="10">
        <v>5.5</v>
      </c>
      <c r="O1885" s="9">
        <v>45022</v>
      </c>
      <c r="P1885">
        <v>20</v>
      </c>
      <c r="Q1885" s="11" t="s">
        <v>49</v>
      </c>
      <c r="R1885" s="7"/>
      <c r="S1885" s="7">
        <v>24015.11</v>
      </c>
      <c r="T1885" s="7"/>
      <c r="U1885" s="7"/>
      <c r="V1885" s="10">
        <v>7.5741092456127026</v>
      </c>
      <c r="W1885" s="9">
        <v>45019</v>
      </c>
      <c r="X1885" s="10">
        <v>7.5</v>
      </c>
      <c r="Y1885" s="9">
        <v>45022</v>
      </c>
      <c r="Z1885">
        <v>20</v>
      </c>
      <c r="AA1885" s="11" t="s">
        <v>49</v>
      </c>
    </row>
    <row r="1886" spans="2:27" ht="16" x14ac:dyDescent="0.2">
      <c r="B1886" t="s">
        <v>35</v>
      </c>
      <c r="C1886">
        <v>40366656</v>
      </c>
      <c r="D1886" t="s">
        <v>389</v>
      </c>
      <c r="E1886">
        <v>1011967</v>
      </c>
      <c r="F1886" t="s">
        <v>418</v>
      </c>
      <c r="G1886" s="9">
        <v>45008</v>
      </c>
      <c r="H1886" s="7"/>
      <c r="I1886" s="7">
        <v>24000</v>
      </c>
      <c r="J1886" s="7"/>
      <c r="K1886" s="7"/>
      <c r="L1886" s="10">
        <v>5.5741092456127026</v>
      </c>
      <c r="M1886" s="9">
        <v>45013</v>
      </c>
      <c r="N1886" s="10">
        <v>5.5</v>
      </c>
      <c r="O1886" s="9">
        <v>45018</v>
      </c>
      <c r="P1886">
        <v>23</v>
      </c>
      <c r="Q1886" s="11" t="s">
        <v>49</v>
      </c>
      <c r="R1886" s="7"/>
      <c r="S1886" s="7">
        <v>24000</v>
      </c>
      <c r="T1886" s="7"/>
      <c r="U1886" s="7"/>
      <c r="V1886" s="10">
        <v>7.5741092456127026</v>
      </c>
      <c r="W1886" s="9">
        <v>45015</v>
      </c>
      <c r="X1886" s="10">
        <v>7.5</v>
      </c>
      <c r="Y1886" s="9">
        <v>45018</v>
      </c>
      <c r="Z1886">
        <v>23</v>
      </c>
      <c r="AA1886" s="11" t="s">
        <v>49</v>
      </c>
    </row>
    <row r="1887" spans="2:27" ht="16" x14ac:dyDescent="0.2">
      <c r="B1887" t="s">
        <v>35</v>
      </c>
      <c r="C1887">
        <v>40366655</v>
      </c>
      <c r="D1887" t="s">
        <v>389</v>
      </c>
      <c r="E1887">
        <v>1011967</v>
      </c>
      <c r="F1887" t="s">
        <v>418</v>
      </c>
      <c r="G1887" s="9">
        <v>45004</v>
      </c>
      <c r="H1887" s="7">
        <v>23340</v>
      </c>
      <c r="I1887" s="7"/>
      <c r="J1887" s="7"/>
      <c r="K1887" s="7"/>
      <c r="L1887" s="10">
        <v>5.5741092456127026</v>
      </c>
      <c r="M1887" s="9">
        <v>45009</v>
      </c>
      <c r="N1887" s="10">
        <v>5.5</v>
      </c>
      <c r="O1887" s="9">
        <v>45014</v>
      </c>
      <c r="P1887">
        <v>2</v>
      </c>
      <c r="Q1887" s="11" t="s">
        <v>598</v>
      </c>
      <c r="R1887" s="7">
        <v>23340</v>
      </c>
      <c r="S1887" s="7"/>
      <c r="T1887" s="7"/>
      <c r="U1887" s="7"/>
      <c r="V1887" s="10">
        <v>7.5741092456127026</v>
      </c>
      <c r="W1887" s="9">
        <v>45011</v>
      </c>
      <c r="X1887" s="10">
        <v>7.5</v>
      </c>
      <c r="Y1887" s="9">
        <v>45014</v>
      </c>
      <c r="Z1887">
        <v>2</v>
      </c>
      <c r="AA1887" s="11" t="s">
        <v>598</v>
      </c>
    </row>
    <row r="1888" spans="2:27" ht="16" x14ac:dyDescent="0.2">
      <c r="B1888" t="s">
        <v>35</v>
      </c>
      <c r="C1888">
        <v>40366654</v>
      </c>
      <c r="D1888" t="s">
        <v>389</v>
      </c>
      <c r="E1888">
        <v>1011967</v>
      </c>
      <c r="F1888" t="s">
        <v>418</v>
      </c>
      <c r="G1888" s="9">
        <v>45012</v>
      </c>
      <c r="H1888" s="7"/>
      <c r="I1888" s="7">
        <v>24000</v>
      </c>
      <c r="J1888" s="7"/>
      <c r="K1888" s="7"/>
      <c r="L1888" s="10">
        <v>5.5741092456127026</v>
      </c>
      <c r="M1888" s="9">
        <v>45017</v>
      </c>
      <c r="N1888" s="10">
        <v>5.5</v>
      </c>
      <c r="O1888" s="9">
        <v>45022</v>
      </c>
      <c r="P1888">
        <v>20</v>
      </c>
      <c r="Q1888" s="11" t="s">
        <v>49</v>
      </c>
      <c r="R1888" s="7"/>
      <c r="S1888" s="7">
        <v>24000</v>
      </c>
      <c r="T1888" s="7"/>
      <c r="U1888" s="7"/>
      <c r="V1888" s="10">
        <v>7.5741092456127026</v>
      </c>
      <c r="W1888" s="9">
        <v>45019</v>
      </c>
      <c r="X1888" s="10">
        <v>7.5</v>
      </c>
      <c r="Y1888" s="9">
        <v>45022</v>
      </c>
      <c r="Z1888">
        <v>20</v>
      </c>
      <c r="AA1888" s="11" t="s">
        <v>49</v>
      </c>
    </row>
    <row r="1889" spans="2:27" ht="16" x14ac:dyDescent="0.2">
      <c r="B1889" t="s">
        <v>35</v>
      </c>
      <c r="C1889">
        <v>40366650</v>
      </c>
      <c r="D1889" t="s">
        <v>389</v>
      </c>
      <c r="E1889">
        <v>1022186</v>
      </c>
      <c r="F1889" t="s">
        <v>388</v>
      </c>
      <c r="G1889" s="9">
        <v>45018</v>
      </c>
      <c r="H1889" s="7"/>
      <c r="I1889" s="7">
        <v>25002</v>
      </c>
      <c r="J1889" s="7"/>
      <c r="K1889" s="7"/>
      <c r="L1889" s="10">
        <v>5.5741092456127026</v>
      </c>
      <c r="M1889" s="9">
        <v>45023</v>
      </c>
      <c r="N1889" s="10">
        <v>5.5</v>
      </c>
      <c r="O1889" s="9">
        <v>45028</v>
      </c>
      <c r="P1889">
        <v>15</v>
      </c>
      <c r="Q1889" s="11" t="s">
        <v>49</v>
      </c>
      <c r="R1889" s="7"/>
      <c r="S1889" s="7">
        <v>25002</v>
      </c>
      <c r="T1889" s="7"/>
      <c r="U1889" s="7"/>
      <c r="V1889" s="10">
        <v>7.5741092456127026</v>
      </c>
      <c r="W1889" s="9">
        <v>45025</v>
      </c>
      <c r="X1889" s="10">
        <v>7.5</v>
      </c>
      <c r="Y1889" s="9">
        <v>45028</v>
      </c>
      <c r="Z1889">
        <v>15</v>
      </c>
      <c r="AA1889" s="11" t="s">
        <v>49</v>
      </c>
    </row>
    <row r="1890" spans="2:27" ht="16" x14ac:dyDescent="0.2">
      <c r="B1890" t="s">
        <v>35</v>
      </c>
      <c r="C1890">
        <v>40366649</v>
      </c>
      <c r="D1890" t="s">
        <v>389</v>
      </c>
      <c r="E1890">
        <v>1022186</v>
      </c>
      <c r="F1890" t="s">
        <v>388</v>
      </c>
      <c r="G1890" s="9">
        <v>45005</v>
      </c>
      <c r="H1890" s="7">
        <v>18486</v>
      </c>
      <c r="I1890" s="7"/>
      <c r="J1890" s="7"/>
      <c r="K1890" s="7"/>
      <c r="L1890" s="10">
        <v>5.5741092456127026</v>
      </c>
      <c r="M1890" s="9">
        <v>45010</v>
      </c>
      <c r="N1890" s="10">
        <v>5.5</v>
      </c>
      <c r="O1890" s="9">
        <v>45015</v>
      </c>
      <c r="P1890">
        <v>1</v>
      </c>
      <c r="Q1890" s="11" t="s">
        <v>598</v>
      </c>
      <c r="R1890" s="7">
        <v>18486</v>
      </c>
      <c r="S1890" s="7"/>
      <c r="T1890" s="7"/>
      <c r="U1890" s="7"/>
      <c r="V1890" s="10">
        <v>7.5741092456127026</v>
      </c>
      <c r="W1890" s="9">
        <v>45012</v>
      </c>
      <c r="X1890" s="10">
        <v>7.5</v>
      </c>
      <c r="Y1890" s="9">
        <v>45015</v>
      </c>
      <c r="Z1890">
        <v>1</v>
      </c>
      <c r="AA1890" s="11" t="s">
        <v>598</v>
      </c>
    </row>
    <row r="1891" spans="2:27" ht="16" x14ac:dyDescent="0.2">
      <c r="B1891" t="s">
        <v>35</v>
      </c>
      <c r="C1891">
        <v>40366649</v>
      </c>
      <c r="D1891" t="s">
        <v>389</v>
      </c>
      <c r="E1891">
        <v>1022186</v>
      </c>
      <c r="F1891" t="s">
        <v>388</v>
      </c>
      <c r="G1891" s="9">
        <v>45005</v>
      </c>
      <c r="H1891" s="7">
        <v>24012</v>
      </c>
      <c r="I1891" s="7"/>
      <c r="J1891" s="7"/>
      <c r="K1891" s="7"/>
      <c r="L1891" s="10">
        <v>5.5741092456127026</v>
      </c>
      <c r="M1891" s="9">
        <v>45010</v>
      </c>
      <c r="N1891" s="10">
        <v>5.5</v>
      </c>
      <c r="O1891" s="9">
        <v>45015</v>
      </c>
      <c r="P1891">
        <v>1</v>
      </c>
      <c r="Q1891" s="11" t="s">
        <v>598</v>
      </c>
      <c r="R1891" s="7">
        <v>24012</v>
      </c>
      <c r="S1891" s="7"/>
      <c r="T1891" s="7"/>
      <c r="U1891" s="7"/>
      <c r="V1891" s="10">
        <v>7.5741092456127026</v>
      </c>
      <c r="W1891" s="9">
        <v>45012</v>
      </c>
      <c r="X1891" s="10">
        <v>7.5</v>
      </c>
      <c r="Y1891" s="9">
        <v>45015</v>
      </c>
      <c r="Z1891">
        <v>1</v>
      </c>
      <c r="AA1891" s="11" t="s">
        <v>598</v>
      </c>
    </row>
    <row r="1892" spans="2:27" ht="16" x14ac:dyDescent="0.2">
      <c r="B1892" t="s">
        <v>35</v>
      </c>
      <c r="C1892">
        <v>40366633</v>
      </c>
      <c r="D1892" t="s">
        <v>389</v>
      </c>
      <c r="E1892">
        <v>1021731</v>
      </c>
      <c r="F1892" t="s">
        <v>273</v>
      </c>
      <c r="G1892" s="9">
        <v>45013</v>
      </c>
      <c r="H1892" s="7"/>
      <c r="I1892" s="7">
        <v>19240</v>
      </c>
      <c r="J1892" s="7"/>
      <c r="K1892" s="7"/>
      <c r="L1892" s="10">
        <v>5.5741092456127026</v>
      </c>
      <c r="M1892" s="9">
        <v>45018</v>
      </c>
      <c r="N1892" s="10">
        <v>5.5</v>
      </c>
      <c r="O1892" s="9">
        <v>45023</v>
      </c>
      <c r="P1892">
        <v>19</v>
      </c>
      <c r="Q1892" s="11" t="s">
        <v>49</v>
      </c>
      <c r="R1892" s="7"/>
      <c r="S1892" s="7">
        <v>19240</v>
      </c>
      <c r="T1892" s="7"/>
      <c r="U1892" s="7"/>
      <c r="V1892" s="10">
        <v>7.5741092456127026</v>
      </c>
      <c r="W1892" s="9">
        <v>45020</v>
      </c>
      <c r="X1892" s="10">
        <v>7.5</v>
      </c>
      <c r="Y1892" s="9">
        <v>45023</v>
      </c>
      <c r="Z1892">
        <v>19</v>
      </c>
      <c r="AA1892" s="11" t="s">
        <v>49</v>
      </c>
    </row>
    <row r="1893" spans="2:27" ht="16" x14ac:dyDescent="0.2">
      <c r="B1893" t="s">
        <v>35</v>
      </c>
      <c r="C1893">
        <v>40366633</v>
      </c>
      <c r="D1893" t="s">
        <v>389</v>
      </c>
      <c r="E1893">
        <v>1021731</v>
      </c>
      <c r="F1893" t="s">
        <v>273</v>
      </c>
      <c r="G1893" s="9">
        <v>45013</v>
      </c>
      <c r="H1893" s="7"/>
      <c r="I1893" s="7">
        <v>24860</v>
      </c>
      <c r="J1893" s="7"/>
      <c r="K1893" s="7"/>
      <c r="L1893" s="10">
        <v>5.5741092456127026</v>
      </c>
      <c r="M1893" s="9">
        <v>45018</v>
      </c>
      <c r="N1893" s="10">
        <v>5.5</v>
      </c>
      <c r="O1893" s="9">
        <v>45023</v>
      </c>
      <c r="P1893">
        <v>19</v>
      </c>
      <c r="Q1893" s="11" t="s">
        <v>49</v>
      </c>
      <c r="R1893" s="7"/>
      <c r="S1893" s="7">
        <v>24860</v>
      </c>
      <c r="T1893" s="7"/>
      <c r="U1893" s="7"/>
      <c r="V1893" s="10">
        <v>7.5741092456127026</v>
      </c>
      <c r="W1893" s="9">
        <v>45020</v>
      </c>
      <c r="X1893" s="10">
        <v>7.5</v>
      </c>
      <c r="Y1893" s="9">
        <v>45023</v>
      </c>
      <c r="Z1893">
        <v>19</v>
      </c>
      <c r="AA1893" s="11" t="s">
        <v>49</v>
      </c>
    </row>
    <row r="1894" spans="2:27" ht="16" x14ac:dyDescent="0.2">
      <c r="B1894" t="s">
        <v>35</v>
      </c>
      <c r="C1894">
        <v>40366630</v>
      </c>
      <c r="D1894" t="s">
        <v>389</v>
      </c>
      <c r="E1894">
        <v>1011586</v>
      </c>
      <c r="F1894" t="s">
        <v>420</v>
      </c>
      <c r="G1894" s="9">
        <v>45018</v>
      </c>
      <c r="H1894" s="7"/>
      <c r="I1894" s="7">
        <v>19954</v>
      </c>
      <c r="J1894" s="7"/>
      <c r="K1894" s="7"/>
      <c r="L1894" s="10">
        <v>5.5741092456127026</v>
      </c>
      <c r="M1894" s="9">
        <v>45023</v>
      </c>
      <c r="N1894" s="10">
        <v>5.5</v>
      </c>
      <c r="O1894" s="9">
        <v>45028</v>
      </c>
      <c r="P1894">
        <v>15</v>
      </c>
      <c r="Q1894" s="11" t="s">
        <v>49</v>
      </c>
      <c r="R1894" s="7"/>
      <c r="S1894" s="7">
        <v>19954</v>
      </c>
      <c r="T1894" s="7"/>
      <c r="U1894" s="7"/>
      <c r="V1894" s="10">
        <v>7.5741092456127026</v>
      </c>
      <c r="W1894" s="9">
        <v>45025</v>
      </c>
      <c r="X1894" s="10">
        <v>7.5</v>
      </c>
      <c r="Y1894" s="9">
        <v>45028</v>
      </c>
      <c r="Z1894">
        <v>15</v>
      </c>
      <c r="AA1894" s="11" t="s">
        <v>49</v>
      </c>
    </row>
    <row r="1895" spans="2:27" ht="16" x14ac:dyDescent="0.2">
      <c r="B1895" t="s">
        <v>35</v>
      </c>
      <c r="C1895">
        <v>40366629</v>
      </c>
      <c r="D1895" t="s">
        <v>389</v>
      </c>
      <c r="E1895">
        <v>1011586</v>
      </c>
      <c r="F1895" t="s">
        <v>420</v>
      </c>
      <c r="G1895" s="9">
        <v>45012</v>
      </c>
      <c r="H1895" s="7"/>
      <c r="I1895" s="7">
        <v>19954</v>
      </c>
      <c r="J1895" s="7"/>
      <c r="K1895" s="7"/>
      <c r="L1895" s="10">
        <v>5.5741092456127026</v>
      </c>
      <c r="M1895" s="9">
        <v>45017</v>
      </c>
      <c r="N1895" s="10">
        <v>5.5</v>
      </c>
      <c r="O1895" s="9">
        <v>45022</v>
      </c>
      <c r="P1895">
        <v>20</v>
      </c>
      <c r="Q1895" s="11" t="s">
        <v>49</v>
      </c>
      <c r="R1895" s="7"/>
      <c r="S1895" s="7">
        <v>19954</v>
      </c>
      <c r="T1895" s="7"/>
      <c r="U1895" s="7"/>
      <c r="V1895" s="10">
        <v>7.5741092456127026</v>
      </c>
      <c r="W1895" s="9">
        <v>45019</v>
      </c>
      <c r="X1895" s="10">
        <v>7.5</v>
      </c>
      <c r="Y1895" s="9">
        <v>45022</v>
      </c>
      <c r="Z1895">
        <v>20</v>
      </c>
      <c r="AA1895" s="11" t="s">
        <v>49</v>
      </c>
    </row>
    <row r="1896" spans="2:27" ht="16" x14ac:dyDescent="0.2">
      <c r="B1896" t="s">
        <v>35</v>
      </c>
      <c r="C1896">
        <v>40366624</v>
      </c>
      <c r="D1896" t="s">
        <v>389</v>
      </c>
      <c r="E1896">
        <v>1011417</v>
      </c>
      <c r="F1896" t="s">
        <v>421</v>
      </c>
      <c r="G1896" s="9">
        <v>45018</v>
      </c>
      <c r="H1896" s="7"/>
      <c r="I1896" s="7">
        <v>19800</v>
      </c>
      <c r="J1896" s="7"/>
      <c r="K1896" s="7"/>
      <c r="L1896" s="10">
        <v>5.5741092456127026</v>
      </c>
      <c r="M1896" s="9">
        <v>45023</v>
      </c>
      <c r="N1896" s="10">
        <v>5.5</v>
      </c>
      <c r="O1896" s="9">
        <v>45028</v>
      </c>
      <c r="P1896">
        <v>15</v>
      </c>
      <c r="Q1896" s="11" t="s">
        <v>49</v>
      </c>
      <c r="R1896" s="7"/>
      <c r="S1896" s="7">
        <v>19800</v>
      </c>
      <c r="T1896" s="7"/>
      <c r="U1896" s="7"/>
      <c r="V1896" s="10">
        <v>7.5741092456127026</v>
      </c>
      <c r="W1896" s="9">
        <v>45025</v>
      </c>
      <c r="X1896" s="10">
        <v>7.5</v>
      </c>
      <c r="Y1896" s="9">
        <v>45028</v>
      </c>
      <c r="Z1896">
        <v>15</v>
      </c>
      <c r="AA1896" s="11" t="s">
        <v>49</v>
      </c>
    </row>
    <row r="1897" spans="2:27" ht="16" x14ac:dyDescent="0.2">
      <c r="B1897" t="s">
        <v>35</v>
      </c>
      <c r="C1897">
        <v>40366623</v>
      </c>
      <c r="D1897" t="s">
        <v>389</v>
      </c>
      <c r="E1897">
        <v>1011417</v>
      </c>
      <c r="F1897" t="s">
        <v>421</v>
      </c>
      <c r="G1897" s="9">
        <v>45012</v>
      </c>
      <c r="H1897" s="7"/>
      <c r="I1897" s="7">
        <v>19800</v>
      </c>
      <c r="J1897" s="7"/>
      <c r="K1897" s="7"/>
      <c r="L1897" s="10">
        <v>5.5741092456127026</v>
      </c>
      <c r="M1897" s="9">
        <v>45017</v>
      </c>
      <c r="N1897" s="10">
        <v>5.5</v>
      </c>
      <c r="O1897" s="9">
        <v>45022</v>
      </c>
      <c r="P1897">
        <v>20</v>
      </c>
      <c r="Q1897" s="11" t="s">
        <v>49</v>
      </c>
      <c r="R1897" s="7"/>
      <c r="S1897" s="7">
        <v>19800</v>
      </c>
      <c r="T1897" s="7"/>
      <c r="U1897" s="7"/>
      <c r="V1897" s="10">
        <v>7.5741092456127026</v>
      </c>
      <c r="W1897" s="9">
        <v>45019</v>
      </c>
      <c r="X1897" s="10">
        <v>7.5</v>
      </c>
      <c r="Y1897" s="9">
        <v>45022</v>
      </c>
      <c r="Z1897">
        <v>20</v>
      </c>
      <c r="AA1897" s="11" t="s">
        <v>49</v>
      </c>
    </row>
    <row r="1898" spans="2:27" ht="16" x14ac:dyDescent="0.2">
      <c r="B1898" t="s">
        <v>35</v>
      </c>
      <c r="C1898">
        <v>40366615</v>
      </c>
      <c r="D1898" t="s">
        <v>389</v>
      </c>
      <c r="E1898">
        <v>1030685</v>
      </c>
      <c r="F1898" t="s">
        <v>413</v>
      </c>
      <c r="G1898" s="9">
        <v>45019</v>
      </c>
      <c r="H1898" s="7"/>
      <c r="I1898" s="7">
        <v>24000</v>
      </c>
      <c r="J1898" s="7"/>
      <c r="K1898" s="7"/>
      <c r="L1898" s="10">
        <v>5.5741092456127026</v>
      </c>
      <c r="M1898" s="9">
        <v>45024</v>
      </c>
      <c r="N1898" s="10">
        <v>5.5</v>
      </c>
      <c r="O1898" s="9">
        <v>45029</v>
      </c>
      <c r="P1898">
        <v>14</v>
      </c>
      <c r="Q1898" s="11" t="s">
        <v>49</v>
      </c>
      <c r="R1898" s="7"/>
      <c r="S1898" s="7">
        <v>24000</v>
      </c>
      <c r="T1898" s="7"/>
      <c r="U1898" s="7"/>
      <c r="V1898" s="10">
        <v>7.5741092456127026</v>
      </c>
      <c r="W1898" s="9">
        <v>45026</v>
      </c>
      <c r="X1898" s="10">
        <v>7.5</v>
      </c>
      <c r="Y1898" s="9">
        <v>45029</v>
      </c>
      <c r="Z1898">
        <v>14</v>
      </c>
      <c r="AA1898" s="11" t="s">
        <v>49</v>
      </c>
    </row>
    <row r="1899" spans="2:27" ht="16" x14ac:dyDescent="0.2">
      <c r="B1899" t="s">
        <v>35</v>
      </c>
      <c r="C1899">
        <v>40366614</v>
      </c>
      <c r="D1899" t="s">
        <v>389</v>
      </c>
      <c r="E1899">
        <v>1030685</v>
      </c>
      <c r="F1899" t="s">
        <v>413</v>
      </c>
      <c r="G1899" s="9">
        <v>45012</v>
      </c>
      <c r="H1899" s="7"/>
      <c r="I1899" s="7">
        <v>24000</v>
      </c>
      <c r="J1899" s="7"/>
      <c r="K1899" s="7"/>
      <c r="L1899" s="10">
        <v>5.5741092456127026</v>
      </c>
      <c r="M1899" s="9">
        <v>45017</v>
      </c>
      <c r="N1899" s="10">
        <v>5.5</v>
      </c>
      <c r="O1899" s="9">
        <v>45022</v>
      </c>
      <c r="P1899">
        <v>20</v>
      </c>
      <c r="Q1899" s="11" t="s">
        <v>49</v>
      </c>
      <c r="R1899" s="7"/>
      <c r="S1899" s="7">
        <v>24000</v>
      </c>
      <c r="T1899" s="7"/>
      <c r="U1899" s="7"/>
      <c r="V1899" s="10">
        <v>7.5741092456127026</v>
      </c>
      <c r="W1899" s="9">
        <v>45019</v>
      </c>
      <c r="X1899" s="10">
        <v>7.5</v>
      </c>
      <c r="Y1899" s="9">
        <v>45022</v>
      </c>
      <c r="Z1899">
        <v>20</v>
      </c>
      <c r="AA1899" s="11" t="s">
        <v>49</v>
      </c>
    </row>
    <row r="1900" spans="2:27" ht="16" x14ac:dyDescent="0.2">
      <c r="B1900" t="s">
        <v>35</v>
      </c>
      <c r="C1900">
        <v>40366613</v>
      </c>
      <c r="D1900" t="s">
        <v>389</v>
      </c>
      <c r="E1900">
        <v>1030685</v>
      </c>
      <c r="F1900" t="s">
        <v>413</v>
      </c>
      <c r="G1900" s="9">
        <v>45012</v>
      </c>
      <c r="H1900" s="7"/>
      <c r="I1900" s="7">
        <v>24000</v>
      </c>
      <c r="J1900" s="7"/>
      <c r="K1900" s="7"/>
      <c r="L1900" s="10">
        <v>5.5741092456127026</v>
      </c>
      <c r="M1900" s="9">
        <v>45017</v>
      </c>
      <c r="N1900" s="10">
        <v>5.5</v>
      </c>
      <c r="O1900" s="9">
        <v>45022</v>
      </c>
      <c r="P1900">
        <v>20</v>
      </c>
      <c r="Q1900" s="11" t="s">
        <v>49</v>
      </c>
      <c r="R1900" s="7"/>
      <c r="S1900" s="7">
        <v>24000</v>
      </c>
      <c r="T1900" s="7"/>
      <c r="U1900" s="7"/>
      <c r="V1900" s="10">
        <v>7.5741092456127026</v>
      </c>
      <c r="W1900" s="9">
        <v>45019</v>
      </c>
      <c r="X1900" s="10">
        <v>7.5</v>
      </c>
      <c r="Y1900" s="9">
        <v>45022</v>
      </c>
      <c r="Z1900">
        <v>20</v>
      </c>
      <c r="AA1900" s="11" t="s">
        <v>49</v>
      </c>
    </row>
    <row r="1901" spans="2:27" ht="16" x14ac:dyDescent="0.2">
      <c r="B1901" t="s">
        <v>35</v>
      </c>
      <c r="C1901">
        <v>40366611</v>
      </c>
      <c r="D1901" t="s">
        <v>389</v>
      </c>
      <c r="E1901">
        <v>1011969</v>
      </c>
      <c r="F1901" t="s">
        <v>417</v>
      </c>
      <c r="G1901" s="9">
        <v>45015</v>
      </c>
      <c r="H1901" s="7"/>
      <c r="I1901" s="7">
        <v>24000</v>
      </c>
      <c r="J1901" s="7"/>
      <c r="K1901" s="7"/>
      <c r="L1901" s="10">
        <v>5.5741092456127026</v>
      </c>
      <c r="M1901" s="9">
        <v>45020</v>
      </c>
      <c r="N1901" s="10">
        <v>5.5</v>
      </c>
      <c r="O1901" s="9">
        <v>45025</v>
      </c>
      <c r="P1901">
        <v>18</v>
      </c>
      <c r="Q1901" s="11" t="s">
        <v>49</v>
      </c>
      <c r="R1901" s="7"/>
      <c r="S1901" s="7">
        <v>24000</v>
      </c>
      <c r="T1901" s="7"/>
      <c r="U1901" s="7"/>
      <c r="V1901" s="10">
        <v>7.5741092456127026</v>
      </c>
      <c r="W1901" s="9">
        <v>45022</v>
      </c>
      <c r="X1901" s="10">
        <v>7.5</v>
      </c>
      <c r="Y1901" s="9">
        <v>45025</v>
      </c>
      <c r="Z1901">
        <v>18</v>
      </c>
      <c r="AA1901" s="11" t="s">
        <v>49</v>
      </c>
    </row>
    <row r="1902" spans="2:27" ht="16" x14ac:dyDescent="0.2">
      <c r="B1902" t="s">
        <v>35</v>
      </c>
      <c r="C1902">
        <v>40366610</v>
      </c>
      <c r="D1902" t="s">
        <v>389</v>
      </c>
      <c r="E1902">
        <v>1011969</v>
      </c>
      <c r="F1902" t="s">
        <v>417</v>
      </c>
      <c r="G1902" s="9">
        <v>45008</v>
      </c>
      <c r="H1902" s="7"/>
      <c r="I1902" s="7">
        <v>24000</v>
      </c>
      <c r="J1902" s="7"/>
      <c r="K1902" s="7"/>
      <c r="L1902" s="10">
        <v>5.5741092456127026</v>
      </c>
      <c r="M1902" s="9">
        <v>45013</v>
      </c>
      <c r="N1902" s="10">
        <v>5.5</v>
      </c>
      <c r="O1902" s="9">
        <v>45018</v>
      </c>
      <c r="P1902">
        <v>23</v>
      </c>
      <c r="Q1902" s="11" t="s">
        <v>49</v>
      </c>
      <c r="R1902" s="7"/>
      <c r="S1902" s="7">
        <v>24000</v>
      </c>
      <c r="T1902" s="7"/>
      <c r="U1902" s="7"/>
      <c r="V1902" s="10">
        <v>7.5741092456127026</v>
      </c>
      <c r="W1902" s="9">
        <v>45015</v>
      </c>
      <c r="X1902" s="10">
        <v>7.5</v>
      </c>
      <c r="Y1902" s="9">
        <v>45018</v>
      </c>
      <c r="Z1902">
        <v>23</v>
      </c>
      <c r="AA1902" s="11" t="s">
        <v>49</v>
      </c>
    </row>
    <row r="1903" spans="2:27" ht="16" x14ac:dyDescent="0.2">
      <c r="B1903" t="s">
        <v>35</v>
      </c>
      <c r="C1903">
        <v>40366609</v>
      </c>
      <c r="D1903" t="s">
        <v>389</v>
      </c>
      <c r="E1903">
        <v>1011969</v>
      </c>
      <c r="F1903" t="s">
        <v>417</v>
      </c>
      <c r="G1903" s="9">
        <v>45008</v>
      </c>
      <c r="H1903" s="7"/>
      <c r="I1903" s="7">
        <v>24000</v>
      </c>
      <c r="J1903" s="7"/>
      <c r="K1903" s="7"/>
      <c r="L1903" s="10">
        <v>5.5741092456127026</v>
      </c>
      <c r="M1903" s="9">
        <v>45013</v>
      </c>
      <c r="N1903" s="10">
        <v>5.5</v>
      </c>
      <c r="O1903" s="9">
        <v>45018</v>
      </c>
      <c r="P1903">
        <v>23</v>
      </c>
      <c r="Q1903" s="11" t="s">
        <v>49</v>
      </c>
      <c r="R1903" s="7"/>
      <c r="S1903" s="7">
        <v>24000</v>
      </c>
      <c r="T1903" s="7"/>
      <c r="U1903" s="7"/>
      <c r="V1903" s="10">
        <v>7.5741092456127026</v>
      </c>
      <c r="W1903" s="9">
        <v>45015</v>
      </c>
      <c r="X1903" s="10">
        <v>7.5</v>
      </c>
      <c r="Y1903" s="9">
        <v>45018</v>
      </c>
      <c r="Z1903">
        <v>23</v>
      </c>
      <c r="AA1903" s="11" t="s">
        <v>49</v>
      </c>
    </row>
    <row r="1904" spans="2:27" ht="16" x14ac:dyDescent="0.2">
      <c r="B1904" t="s">
        <v>35</v>
      </c>
      <c r="C1904">
        <v>40366608</v>
      </c>
      <c r="D1904" t="s">
        <v>389</v>
      </c>
      <c r="E1904">
        <v>1011969</v>
      </c>
      <c r="F1904" t="s">
        <v>417</v>
      </c>
      <c r="G1904" s="9">
        <v>45004</v>
      </c>
      <c r="H1904" s="7">
        <v>24000</v>
      </c>
      <c r="I1904" s="7"/>
      <c r="J1904" s="7"/>
      <c r="K1904" s="7"/>
      <c r="L1904" s="10">
        <v>5.5741092456127026</v>
      </c>
      <c r="M1904" s="9">
        <v>45009</v>
      </c>
      <c r="N1904" s="10">
        <v>5.5</v>
      </c>
      <c r="O1904" s="9">
        <v>45014</v>
      </c>
      <c r="P1904">
        <v>2</v>
      </c>
      <c r="Q1904" s="11" t="s">
        <v>598</v>
      </c>
      <c r="R1904" s="7">
        <v>24000</v>
      </c>
      <c r="S1904" s="7"/>
      <c r="T1904" s="7"/>
      <c r="U1904" s="7"/>
      <c r="V1904" s="10">
        <v>7.5741092456127026</v>
      </c>
      <c r="W1904" s="9">
        <v>45011</v>
      </c>
      <c r="X1904" s="10">
        <v>7.5</v>
      </c>
      <c r="Y1904" s="9">
        <v>45014</v>
      </c>
      <c r="Z1904">
        <v>2</v>
      </c>
      <c r="AA1904" s="11" t="s">
        <v>598</v>
      </c>
    </row>
    <row r="1905" spans="2:27" ht="16" x14ac:dyDescent="0.2">
      <c r="B1905" t="s">
        <v>35</v>
      </c>
      <c r="C1905">
        <v>40366604</v>
      </c>
      <c r="D1905" t="s">
        <v>389</v>
      </c>
      <c r="E1905">
        <v>1022125</v>
      </c>
      <c r="F1905" t="s">
        <v>296</v>
      </c>
      <c r="G1905" s="9">
        <v>45019</v>
      </c>
      <c r="H1905" s="7"/>
      <c r="I1905" s="7">
        <v>24034.43</v>
      </c>
      <c r="J1905" s="7"/>
      <c r="K1905" s="7"/>
      <c r="L1905" s="10">
        <v>5.5741092456127026</v>
      </c>
      <c r="M1905" s="9">
        <v>45024</v>
      </c>
      <c r="N1905" s="10">
        <v>5.5</v>
      </c>
      <c r="O1905" s="9">
        <v>45029</v>
      </c>
      <c r="P1905">
        <v>14</v>
      </c>
      <c r="Q1905" s="11" t="s">
        <v>49</v>
      </c>
      <c r="R1905" s="7"/>
      <c r="S1905" s="7">
        <v>24034.43</v>
      </c>
      <c r="T1905" s="7"/>
      <c r="U1905" s="7"/>
      <c r="V1905" s="10">
        <v>7.5741092456127026</v>
      </c>
      <c r="W1905" s="9">
        <v>45026</v>
      </c>
      <c r="X1905" s="10">
        <v>7.5</v>
      </c>
      <c r="Y1905" s="9">
        <v>45029</v>
      </c>
      <c r="Z1905">
        <v>14</v>
      </c>
      <c r="AA1905" s="11" t="s">
        <v>49</v>
      </c>
    </row>
    <row r="1906" spans="2:27" ht="16" x14ac:dyDescent="0.2">
      <c r="B1906" t="s">
        <v>35</v>
      </c>
      <c r="C1906">
        <v>40366602</v>
      </c>
      <c r="D1906" t="s">
        <v>389</v>
      </c>
      <c r="E1906">
        <v>1022125</v>
      </c>
      <c r="F1906" t="s">
        <v>296</v>
      </c>
      <c r="G1906" s="9">
        <v>45013</v>
      </c>
      <c r="H1906" s="7"/>
      <c r="I1906" s="7">
        <v>24007.01</v>
      </c>
      <c r="J1906" s="7"/>
      <c r="K1906" s="7"/>
      <c r="L1906" s="10">
        <v>5.5741092456127026</v>
      </c>
      <c r="M1906" s="9">
        <v>45018</v>
      </c>
      <c r="N1906" s="10">
        <v>5.5</v>
      </c>
      <c r="O1906" s="9">
        <v>45023</v>
      </c>
      <c r="P1906">
        <v>19</v>
      </c>
      <c r="Q1906" s="11" t="s">
        <v>49</v>
      </c>
      <c r="R1906" s="7"/>
      <c r="S1906" s="7">
        <v>24007.01</v>
      </c>
      <c r="T1906" s="7"/>
      <c r="U1906" s="7"/>
      <c r="V1906" s="10">
        <v>7.5741092456127026</v>
      </c>
      <c r="W1906" s="9">
        <v>45020</v>
      </c>
      <c r="X1906" s="10">
        <v>7.5</v>
      </c>
      <c r="Y1906" s="9">
        <v>45023</v>
      </c>
      <c r="Z1906">
        <v>19</v>
      </c>
      <c r="AA1906" s="11" t="s">
        <v>49</v>
      </c>
    </row>
    <row r="1907" spans="2:27" ht="16" x14ac:dyDescent="0.2">
      <c r="B1907" t="s">
        <v>35</v>
      </c>
      <c r="C1907">
        <v>40366584</v>
      </c>
      <c r="D1907" t="s">
        <v>389</v>
      </c>
      <c r="E1907">
        <v>1030683</v>
      </c>
      <c r="F1907" t="s">
        <v>379</v>
      </c>
      <c r="G1907" s="9">
        <v>45012</v>
      </c>
      <c r="H1907" s="7"/>
      <c r="I1907" s="7">
        <v>24000</v>
      </c>
      <c r="J1907" s="7"/>
      <c r="K1907" s="7"/>
      <c r="L1907" s="10">
        <v>5.5741092456127026</v>
      </c>
      <c r="M1907" s="9">
        <v>45017</v>
      </c>
      <c r="N1907" s="10">
        <v>5.5</v>
      </c>
      <c r="O1907" s="9">
        <v>45022</v>
      </c>
      <c r="P1907">
        <v>20</v>
      </c>
      <c r="Q1907" s="11" t="s">
        <v>49</v>
      </c>
      <c r="R1907" s="7"/>
      <c r="S1907" s="7">
        <v>24000</v>
      </c>
      <c r="T1907" s="7"/>
      <c r="U1907" s="7"/>
      <c r="V1907" s="10">
        <v>7.5741092456127026</v>
      </c>
      <c r="W1907" s="9">
        <v>45019</v>
      </c>
      <c r="X1907" s="10">
        <v>7.5</v>
      </c>
      <c r="Y1907" s="9">
        <v>45022</v>
      </c>
      <c r="Z1907">
        <v>20</v>
      </c>
      <c r="AA1907" s="11" t="s">
        <v>49</v>
      </c>
    </row>
    <row r="1908" spans="2:27" ht="16" x14ac:dyDescent="0.2">
      <c r="B1908" t="s">
        <v>35</v>
      </c>
      <c r="C1908">
        <v>40366580</v>
      </c>
      <c r="D1908" t="s">
        <v>389</v>
      </c>
      <c r="E1908">
        <v>1021738</v>
      </c>
      <c r="F1908" t="s">
        <v>282</v>
      </c>
      <c r="G1908" s="9">
        <v>45011</v>
      </c>
      <c r="H1908" s="7"/>
      <c r="I1908" s="7">
        <v>24560</v>
      </c>
      <c r="J1908" s="7"/>
      <c r="K1908" s="7"/>
      <c r="L1908" s="10">
        <v>5.5741092456127026</v>
      </c>
      <c r="M1908" s="9">
        <v>45016</v>
      </c>
      <c r="N1908" s="10">
        <v>5.5</v>
      </c>
      <c r="O1908" s="9">
        <v>45021</v>
      </c>
      <c r="P1908">
        <v>21</v>
      </c>
      <c r="Q1908" s="11" t="s">
        <v>49</v>
      </c>
      <c r="R1908" s="7"/>
      <c r="S1908" s="7">
        <v>24560</v>
      </c>
      <c r="T1908" s="7"/>
      <c r="U1908" s="7"/>
      <c r="V1908" s="10">
        <v>7.5741092456127026</v>
      </c>
      <c r="W1908" s="9">
        <v>45018</v>
      </c>
      <c r="X1908" s="10">
        <v>7.5</v>
      </c>
      <c r="Y1908" s="9">
        <v>45021</v>
      </c>
      <c r="Z1908">
        <v>21</v>
      </c>
      <c r="AA1908" s="11" t="s">
        <v>49</v>
      </c>
    </row>
    <row r="1909" spans="2:27" ht="16" x14ac:dyDescent="0.2">
      <c r="B1909" t="s">
        <v>35</v>
      </c>
      <c r="C1909">
        <v>40366579</v>
      </c>
      <c r="D1909" t="s">
        <v>389</v>
      </c>
      <c r="E1909">
        <v>1021738</v>
      </c>
      <c r="F1909" t="s">
        <v>282</v>
      </c>
      <c r="G1909" s="9">
        <v>45012</v>
      </c>
      <c r="H1909" s="7"/>
      <c r="I1909" s="7">
        <v>24380</v>
      </c>
      <c r="J1909" s="7"/>
      <c r="K1909" s="7"/>
      <c r="L1909" s="10">
        <v>5.5741092456127026</v>
      </c>
      <c r="M1909" s="9">
        <v>45017</v>
      </c>
      <c r="N1909" s="10">
        <v>5.5</v>
      </c>
      <c r="O1909" s="9">
        <v>45022</v>
      </c>
      <c r="P1909">
        <v>20</v>
      </c>
      <c r="Q1909" s="11" t="s">
        <v>49</v>
      </c>
      <c r="R1909" s="7"/>
      <c r="S1909" s="7">
        <v>24380</v>
      </c>
      <c r="T1909" s="7"/>
      <c r="U1909" s="7"/>
      <c r="V1909" s="10">
        <v>7.5741092456127026</v>
      </c>
      <c r="W1909" s="9">
        <v>45019</v>
      </c>
      <c r="X1909" s="10">
        <v>7.5</v>
      </c>
      <c r="Y1909" s="9">
        <v>45022</v>
      </c>
      <c r="Z1909">
        <v>20</v>
      </c>
      <c r="AA1909" s="11" t="s">
        <v>49</v>
      </c>
    </row>
    <row r="1910" spans="2:27" ht="16" x14ac:dyDescent="0.2">
      <c r="B1910" t="s">
        <v>35</v>
      </c>
      <c r="C1910">
        <v>40366578</v>
      </c>
      <c r="D1910" t="s">
        <v>389</v>
      </c>
      <c r="E1910">
        <v>1021738</v>
      </c>
      <c r="F1910" t="s">
        <v>282</v>
      </c>
      <c r="G1910" s="9">
        <v>45012</v>
      </c>
      <c r="H1910" s="7"/>
      <c r="I1910" s="7">
        <v>24380</v>
      </c>
      <c r="J1910" s="7"/>
      <c r="K1910" s="7"/>
      <c r="L1910" s="10">
        <v>5.5741092456127026</v>
      </c>
      <c r="M1910" s="9">
        <v>45017</v>
      </c>
      <c r="N1910" s="10">
        <v>5.5</v>
      </c>
      <c r="O1910" s="9">
        <v>45022</v>
      </c>
      <c r="P1910">
        <v>20</v>
      </c>
      <c r="Q1910" s="11" t="s">
        <v>49</v>
      </c>
      <c r="R1910" s="7"/>
      <c r="S1910" s="7">
        <v>24380</v>
      </c>
      <c r="T1910" s="7"/>
      <c r="U1910" s="7"/>
      <c r="V1910" s="10">
        <v>7.5741092456127026</v>
      </c>
      <c r="W1910" s="9">
        <v>45019</v>
      </c>
      <c r="X1910" s="10">
        <v>7.5</v>
      </c>
      <c r="Y1910" s="9">
        <v>45022</v>
      </c>
      <c r="Z1910">
        <v>20</v>
      </c>
      <c r="AA1910" s="11" t="s">
        <v>49</v>
      </c>
    </row>
    <row r="1911" spans="2:27" ht="16" x14ac:dyDescent="0.2">
      <c r="B1911" t="s">
        <v>35</v>
      </c>
      <c r="C1911">
        <v>40366577</v>
      </c>
      <c r="D1911" t="s">
        <v>389</v>
      </c>
      <c r="E1911">
        <v>1021738</v>
      </c>
      <c r="F1911" t="s">
        <v>282</v>
      </c>
      <c r="G1911" s="9">
        <v>45007</v>
      </c>
      <c r="H1911" s="7"/>
      <c r="I1911" s="7">
        <v>24540</v>
      </c>
      <c r="J1911" s="7"/>
      <c r="K1911" s="7"/>
      <c r="L1911" s="10">
        <v>5.5741092456127026</v>
      </c>
      <c r="M1911" s="9">
        <v>45012</v>
      </c>
      <c r="N1911" s="10">
        <v>5.5</v>
      </c>
      <c r="O1911" s="9">
        <v>45017</v>
      </c>
      <c r="P1911">
        <v>23</v>
      </c>
      <c r="Q1911" s="11" t="s">
        <v>49</v>
      </c>
      <c r="R1911" s="7"/>
      <c r="S1911" s="7">
        <v>24540</v>
      </c>
      <c r="T1911" s="7"/>
      <c r="U1911" s="7"/>
      <c r="V1911" s="10">
        <v>7.5741092456127026</v>
      </c>
      <c r="W1911" s="9">
        <v>45014</v>
      </c>
      <c r="X1911" s="10">
        <v>7.5</v>
      </c>
      <c r="Y1911" s="9">
        <v>45017</v>
      </c>
      <c r="Z1911">
        <v>23</v>
      </c>
      <c r="AA1911" s="11" t="s">
        <v>49</v>
      </c>
    </row>
    <row r="1912" spans="2:27" ht="16" x14ac:dyDescent="0.2">
      <c r="B1912" t="s">
        <v>35</v>
      </c>
      <c r="C1912">
        <v>40366572</v>
      </c>
      <c r="D1912" t="s">
        <v>389</v>
      </c>
      <c r="E1912">
        <v>1022388</v>
      </c>
      <c r="F1912" t="s">
        <v>170</v>
      </c>
      <c r="G1912" s="9">
        <v>45015</v>
      </c>
      <c r="H1912" s="7"/>
      <c r="I1912" s="7">
        <v>1000</v>
      </c>
      <c r="J1912" s="7"/>
      <c r="K1912" s="7"/>
      <c r="L1912" s="10">
        <v>5.5741092456127026</v>
      </c>
      <c r="M1912" s="9">
        <v>45020</v>
      </c>
      <c r="N1912" s="10">
        <v>5.5</v>
      </c>
      <c r="O1912" s="9">
        <v>45025</v>
      </c>
      <c r="P1912">
        <v>18</v>
      </c>
      <c r="Q1912" s="11" t="s">
        <v>49</v>
      </c>
      <c r="R1912" s="7"/>
      <c r="S1912" s="7">
        <v>1000</v>
      </c>
      <c r="T1912" s="7"/>
      <c r="U1912" s="7"/>
      <c r="V1912" s="10">
        <v>7.5741092456127026</v>
      </c>
      <c r="W1912" s="9">
        <v>45022</v>
      </c>
      <c r="X1912" s="10">
        <v>7.5</v>
      </c>
      <c r="Y1912" s="9">
        <v>45025</v>
      </c>
      <c r="Z1912">
        <v>18</v>
      </c>
      <c r="AA1912" s="11" t="s">
        <v>49</v>
      </c>
    </row>
    <row r="1913" spans="2:27" ht="16" x14ac:dyDescent="0.2">
      <c r="B1913" t="s">
        <v>35</v>
      </c>
      <c r="C1913">
        <v>40366572</v>
      </c>
      <c r="D1913" t="s">
        <v>389</v>
      </c>
      <c r="E1913">
        <v>1022388</v>
      </c>
      <c r="F1913" t="s">
        <v>170</v>
      </c>
      <c r="G1913" s="9">
        <v>45015</v>
      </c>
      <c r="H1913" s="7"/>
      <c r="I1913" s="7">
        <v>24090</v>
      </c>
      <c r="J1913" s="7"/>
      <c r="K1913" s="7"/>
      <c r="L1913" s="10">
        <v>5.5741092456127026</v>
      </c>
      <c r="M1913" s="9">
        <v>45020</v>
      </c>
      <c r="N1913" s="10">
        <v>5.5</v>
      </c>
      <c r="O1913" s="9">
        <v>45025</v>
      </c>
      <c r="P1913">
        <v>18</v>
      </c>
      <c r="Q1913" s="11" t="s">
        <v>49</v>
      </c>
      <c r="R1913" s="7"/>
      <c r="S1913" s="7">
        <v>24090</v>
      </c>
      <c r="T1913" s="7"/>
      <c r="U1913" s="7"/>
      <c r="V1913" s="10">
        <v>7.5741092456127026</v>
      </c>
      <c r="W1913" s="9">
        <v>45022</v>
      </c>
      <c r="X1913" s="10">
        <v>7.5</v>
      </c>
      <c r="Y1913" s="9">
        <v>45025</v>
      </c>
      <c r="Z1913">
        <v>18</v>
      </c>
      <c r="AA1913" s="11" t="s">
        <v>49</v>
      </c>
    </row>
    <row r="1914" spans="2:27" ht="16" x14ac:dyDescent="0.2">
      <c r="B1914" t="s">
        <v>35</v>
      </c>
      <c r="C1914">
        <v>40366571</v>
      </c>
      <c r="D1914" t="s">
        <v>389</v>
      </c>
      <c r="E1914">
        <v>1022388</v>
      </c>
      <c r="F1914" t="s">
        <v>170</v>
      </c>
      <c r="G1914" s="9">
        <v>45008</v>
      </c>
      <c r="H1914" s="7"/>
      <c r="I1914" s="7">
        <v>4760</v>
      </c>
      <c r="J1914" s="7"/>
      <c r="K1914" s="7"/>
      <c r="L1914" s="10">
        <v>5.5741092456127026</v>
      </c>
      <c r="M1914" s="9">
        <v>45013</v>
      </c>
      <c r="N1914" s="10">
        <v>5.5</v>
      </c>
      <c r="O1914" s="9">
        <v>45018</v>
      </c>
      <c r="P1914">
        <v>23</v>
      </c>
      <c r="Q1914" s="11" t="s">
        <v>49</v>
      </c>
      <c r="R1914" s="7"/>
      <c r="S1914" s="7">
        <v>4760</v>
      </c>
      <c r="T1914" s="7"/>
      <c r="U1914" s="7"/>
      <c r="V1914" s="10">
        <v>7.5741092456127026</v>
      </c>
      <c r="W1914" s="9">
        <v>45015</v>
      </c>
      <c r="X1914" s="10">
        <v>7.5</v>
      </c>
      <c r="Y1914" s="9">
        <v>45018</v>
      </c>
      <c r="Z1914">
        <v>23</v>
      </c>
      <c r="AA1914" s="11" t="s">
        <v>49</v>
      </c>
    </row>
    <row r="1915" spans="2:27" ht="16" x14ac:dyDescent="0.2">
      <c r="B1915" t="s">
        <v>35</v>
      </c>
      <c r="C1915">
        <v>40366571</v>
      </c>
      <c r="D1915" t="s">
        <v>389</v>
      </c>
      <c r="E1915">
        <v>1022388</v>
      </c>
      <c r="F1915" t="s">
        <v>170</v>
      </c>
      <c r="G1915" s="9">
        <v>45008</v>
      </c>
      <c r="H1915" s="7"/>
      <c r="I1915" s="7">
        <v>24010</v>
      </c>
      <c r="J1915" s="7"/>
      <c r="K1915" s="7"/>
      <c r="L1915" s="10">
        <v>5.5741092456127026</v>
      </c>
      <c r="M1915" s="9">
        <v>45013</v>
      </c>
      <c r="N1915" s="10">
        <v>5.5</v>
      </c>
      <c r="O1915" s="9">
        <v>45018</v>
      </c>
      <c r="P1915">
        <v>23</v>
      </c>
      <c r="Q1915" s="11" t="s">
        <v>49</v>
      </c>
      <c r="R1915" s="7"/>
      <c r="S1915" s="7">
        <v>24010</v>
      </c>
      <c r="T1915" s="7"/>
      <c r="U1915" s="7"/>
      <c r="V1915" s="10">
        <v>7.5741092456127026</v>
      </c>
      <c r="W1915" s="9">
        <v>45015</v>
      </c>
      <c r="X1915" s="10">
        <v>7.5</v>
      </c>
      <c r="Y1915" s="9">
        <v>45018</v>
      </c>
      <c r="Z1915">
        <v>23</v>
      </c>
      <c r="AA1915" s="11" t="s">
        <v>49</v>
      </c>
    </row>
    <row r="1916" spans="2:27" ht="16" x14ac:dyDescent="0.2">
      <c r="B1916" t="s">
        <v>35</v>
      </c>
      <c r="C1916">
        <v>40366570</v>
      </c>
      <c r="D1916" t="s">
        <v>389</v>
      </c>
      <c r="E1916">
        <v>1022388</v>
      </c>
      <c r="F1916" t="s">
        <v>170</v>
      </c>
      <c r="G1916" s="9">
        <v>45008</v>
      </c>
      <c r="H1916" s="7"/>
      <c r="I1916" s="7">
        <v>24260</v>
      </c>
      <c r="J1916" s="7"/>
      <c r="K1916" s="7"/>
      <c r="L1916" s="10">
        <v>5.5741092456127026</v>
      </c>
      <c r="M1916" s="9">
        <v>45013</v>
      </c>
      <c r="N1916" s="10">
        <v>5.5</v>
      </c>
      <c r="O1916" s="9">
        <v>45018</v>
      </c>
      <c r="P1916">
        <v>23</v>
      </c>
      <c r="Q1916" s="11" t="s">
        <v>49</v>
      </c>
      <c r="R1916" s="7"/>
      <c r="S1916" s="7">
        <v>24260</v>
      </c>
      <c r="T1916" s="7"/>
      <c r="U1916" s="7"/>
      <c r="V1916" s="10">
        <v>7.5741092456127026</v>
      </c>
      <c r="W1916" s="9">
        <v>45015</v>
      </c>
      <c r="X1916" s="10">
        <v>7.5</v>
      </c>
      <c r="Y1916" s="9">
        <v>45018</v>
      </c>
      <c r="Z1916">
        <v>23</v>
      </c>
      <c r="AA1916" s="11" t="s">
        <v>49</v>
      </c>
    </row>
    <row r="1917" spans="2:27" ht="16" x14ac:dyDescent="0.2">
      <c r="B1917" t="s">
        <v>35</v>
      </c>
      <c r="C1917">
        <v>40366555</v>
      </c>
      <c r="D1917" t="s">
        <v>389</v>
      </c>
      <c r="E1917">
        <v>1022169</v>
      </c>
      <c r="F1917" t="s">
        <v>298</v>
      </c>
      <c r="G1917" s="9">
        <v>45018</v>
      </c>
      <c r="H1917" s="7"/>
      <c r="I1917" s="7">
        <v>24090</v>
      </c>
      <c r="J1917" s="7"/>
      <c r="K1917" s="7"/>
      <c r="L1917" s="10">
        <v>5.5741092456127026</v>
      </c>
      <c r="M1917" s="9">
        <v>45023</v>
      </c>
      <c r="N1917" s="10">
        <v>5.5</v>
      </c>
      <c r="O1917" s="9">
        <v>45028</v>
      </c>
      <c r="P1917">
        <v>15</v>
      </c>
      <c r="Q1917" s="11" t="s">
        <v>49</v>
      </c>
      <c r="R1917" s="7"/>
      <c r="S1917" s="7">
        <v>24090</v>
      </c>
      <c r="T1917" s="7"/>
      <c r="U1917" s="7"/>
      <c r="V1917" s="10">
        <v>7.5741092456127026</v>
      </c>
      <c r="W1917" s="9">
        <v>45025</v>
      </c>
      <c r="X1917" s="10">
        <v>7.5</v>
      </c>
      <c r="Y1917" s="9">
        <v>45028</v>
      </c>
      <c r="Z1917">
        <v>15</v>
      </c>
      <c r="AA1917" s="11" t="s">
        <v>49</v>
      </c>
    </row>
    <row r="1918" spans="2:27" ht="16" x14ac:dyDescent="0.2">
      <c r="B1918" t="s">
        <v>35</v>
      </c>
      <c r="C1918">
        <v>40366541</v>
      </c>
      <c r="D1918" t="s">
        <v>389</v>
      </c>
      <c r="E1918">
        <v>1022378</v>
      </c>
      <c r="F1918" t="s">
        <v>304</v>
      </c>
      <c r="G1918" s="9">
        <v>45004</v>
      </c>
      <c r="H1918" s="7">
        <v>15300</v>
      </c>
      <c r="I1918" s="7"/>
      <c r="J1918" s="7"/>
      <c r="K1918" s="7"/>
      <c r="L1918" s="10">
        <v>5.5741092456127026</v>
      </c>
      <c r="M1918" s="9">
        <v>45009</v>
      </c>
      <c r="N1918" s="10">
        <v>5.5</v>
      </c>
      <c r="O1918" s="9">
        <v>45014</v>
      </c>
      <c r="P1918">
        <v>2</v>
      </c>
      <c r="Q1918" s="11" t="s">
        <v>598</v>
      </c>
      <c r="R1918" s="7">
        <v>15300</v>
      </c>
      <c r="S1918" s="7"/>
      <c r="T1918" s="7"/>
      <c r="U1918" s="7"/>
      <c r="V1918" s="10">
        <v>7.5741092456127026</v>
      </c>
      <c r="W1918" s="9">
        <v>45011</v>
      </c>
      <c r="X1918" s="10">
        <v>7.5</v>
      </c>
      <c r="Y1918" s="9">
        <v>45014</v>
      </c>
      <c r="Z1918">
        <v>2</v>
      </c>
      <c r="AA1918" s="11" t="s">
        <v>598</v>
      </c>
    </row>
    <row r="1919" spans="2:27" ht="16" x14ac:dyDescent="0.2">
      <c r="B1919" t="s">
        <v>35</v>
      </c>
      <c r="C1919">
        <v>40366541</v>
      </c>
      <c r="D1919" t="s">
        <v>389</v>
      </c>
      <c r="E1919">
        <v>1022378</v>
      </c>
      <c r="F1919" t="s">
        <v>304</v>
      </c>
      <c r="G1919" s="9">
        <v>45004</v>
      </c>
      <c r="H1919" s="7">
        <v>24000</v>
      </c>
      <c r="I1919" s="7"/>
      <c r="J1919" s="7"/>
      <c r="K1919" s="7"/>
      <c r="L1919" s="10">
        <v>5.5741092456127026</v>
      </c>
      <c r="M1919" s="9">
        <v>45009</v>
      </c>
      <c r="N1919" s="10">
        <v>5.5</v>
      </c>
      <c r="O1919" s="9">
        <v>45014</v>
      </c>
      <c r="P1919">
        <v>2</v>
      </c>
      <c r="Q1919" s="11" t="s">
        <v>598</v>
      </c>
      <c r="R1919" s="7">
        <v>24000</v>
      </c>
      <c r="S1919" s="7"/>
      <c r="T1919" s="7"/>
      <c r="U1919" s="7"/>
      <c r="V1919" s="10">
        <v>7.5741092456127026</v>
      </c>
      <c r="W1919" s="9">
        <v>45011</v>
      </c>
      <c r="X1919" s="10">
        <v>7.5</v>
      </c>
      <c r="Y1919" s="9">
        <v>45014</v>
      </c>
      <c r="Z1919">
        <v>2</v>
      </c>
      <c r="AA1919" s="11" t="s">
        <v>598</v>
      </c>
    </row>
    <row r="1920" spans="2:27" ht="16" x14ac:dyDescent="0.2">
      <c r="B1920" t="s">
        <v>35</v>
      </c>
      <c r="C1920">
        <v>40366540</v>
      </c>
      <c r="D1920" t="s">
        <v>389</v>
      </c>
      <c r="E1920">
        <v>1012503</v>
      </c>
      <c r="F1920" t="s">
        <v>448</v>
      </c>
      <c r="G1920" s="9">
        <v>45014</v>
      </c>
      <c r="H1920" s="7"/>
      <c r="I1920" s="7">
        <v>24000</v>
      </c>
      <c r="J1920" s="7"/>
      <c r="K1920" s="7"/>
      <c r="L1920" s="10">
        <v>5.5741092456127026</v>
      </c>
      <c r="M1920" s="9">
        <v>45019</v>
      </c>
      <c r="N1920" s="10">
        <v>5.5</v>
      </c>
      <c r="O1920" s="9">
        <v>45024</v>
      </c>
      <c r="P1920">
        <v>18</v>
      </c>
      <c r="Q1920" s="11" t="s">
        <v>49</v>
      </c>
      <c r="R1920" s="7"/>
      <c r="S1920" s="7">
        <v>24000</v>
      </c>
      <c r="T1920" s="7"/>
      <c r="U1920" s="7"/>
      <c r="V1920" s="10">
        <v>7.5741092456127026</v>
      </c>
      <c r="W1920" s="9">
        <v>45021</v>
      </c>
      <c r="X1920" s="10">
        <v>7.5</v>
      </c>
      <c r="Y1920" s="9">
        <v>45024</v>
      </c>
      <c r="Z1920">
        <v>18</v>
      </c>
      <c r="AA1920" s="11" t="s">
        <v>49</v>
      </c>
    </row>
    <row r="1921" spans="2:27" ht="16" x14ac:dyDescent="0.2">
      <c r="B1921" t="s">
        <v>35</v>
      </c>
      <c r="C1921">
        <v>40366539</v>
      </c>
      <c r="D1921" t="s">
        <v>389</v>
      </c>
      <c r="E1921">
        <v>1012503</v>
      </c>
      <c r="F1921" t="s">
        <v>448</v>
      </c>
      <c r="G1921" s="9">
        <v>45015</v>
      </c>
      <c r="H1921" s="7"/>
      <c r="I1921" s="7">
        <v>24000</v>
      </c>
      <c r="J1921" s="7"/>
      <c r="K1921" s="7"/>
      <c r="L1921" s="10">
        <v>5.5741092456127026</v>
      </c>
      <c r="M1921" s="9">
        <v>45020</v>
      </c>
      <c r="N1921" s="10">
        <v>5.5</v>
      </c>
      <c r="O1921" s="9">
        <v>45025</v>
      </c>
      <c r="P1921">
        <v>18</v>
      </c>
      <c r="Q1921" s="11" t="s">
        <v>49</v>
      </c>
      <c r="R1921" s="7"/>
      <c r="S1921" s="7">
        <v>24000</v>
      </c>
      <c r="T1921" s="7"/>
      <c r="U1921" s="7"/>
      <c r="V1921" s="10">
        <v>7.5741092456127026</v>
      </c>
      <c r="W1921" s="9">
        <v>45022</v>
      </c>
      <c r="X1921" s="10">
        <v>7.5</v>
      </c>
      <c r="Y1921" s="9">
        <v>45025</v>
      </c>
      <c r="Z1921">
        <v>18</v>
      </c>
      <c r="AA1921" s="11" t="s">
        <v>49</v>
      </c>
    </row>
    <row r="1922" spans="2:27" ht="16" x14ac:dyDescent="0.2">
      <c r="B1922" t="s">
        <v>35</v>
      </c>
      <c r="C1922">
        <v>40366538</v>
      </c>
      <c r="D1922" t="s">
        <v>389</v>
      </c>
      <c r="E1922">
        <v>1012503</v>
      </c>
      <c r="F1922" t="s">
        <v>448</v>
      </c>
      <c r="G1922" s="9">
        <v>45011</v>
      </c>
      <c r="H1922" s="7"/>
      <c r="I1922" s="7">
        <v>24000</v>
      </c>
      <c r="J1922" s="7"/>
      <c r="K1922" s="7"/>
      <c r="L1922" s="10">
        <v>5.5741092456127026</v>
      </c>
      <c r="M1922" s="9">
        <v>45016</v>
      </c>
      <c r="N1922" s="10">
        <v>5.5</v>
      </c>
      <c r="O1922" s="9">
        <v>45021</v>
      </c>
      <c r="P1922">
        <v>21</v>
      </c>
      <c r="Q1922" s="11" t="s">
        <v>49</v>
      </c>
      <c r="R1922" s="7"/>
      <c r="S1922" s="7">
        <v>24000</v>
      </c>
      <c r="T1922" s="7"/>
      <c r="U1922" s="7"/>
      <c r="V1922" s="10">
        <v>7.5741092456127026</v>
      </c>
      <c r="W1922" s="9">
        <v>45018</v>
      </c>
      <c r="X1922" s="10">
        <v>7.5</v>
      </c>
      <c r="Y1922" s="9">
        <v>45021</v>
      </c>
      <c r="Z1922">
        <v>21</v>
      </c>
      <c r="AA1922" s="11" t="s">
        <v>49</v>
      </c>
    </row>
    <row r="1923" spans="2:27" ht="16" x14ac:dyDescent="0.2">
      <c r="B1923" t="s">
        <v>35</v>
      </c>
      <c r="C1923">
        <v>40366537</v>
      </c>
      <c r="D1923" t="s">
        <v>389</v>
      </c>
      <c r="E1923">
        <v>1012503</v>
      </c>
      <c r="F1923" t="s">
        <v>448</v>
      </c>
      <c r="G1923" s="9">
        <v>45008</v>
      </c>
      <c r="H1923" s="7"/>
      <c r="I1923" s="7">
        <v>24000</v>
      </c>
      <c r="J1923" s="7"/>
      <c r="K1923" s="7"/>
      <c r="L1923" s="10">
        <v>5.5741092456127026</v>
      </c>
      <c r="M1923" s="9">
        <v>45013</v>
      </c>
      <c r="N1923" s="10">
        <v>5.5</v>
      </c>
      <c r="O1923" s="9">
        <v>45018</v>
      </c>
      <c r="P1923">
        <v>23</v>
      </c>
      <c r="Q1923" s="11" t="s">
        <v>49</v>
      </c>
      <c r="R1923" s="7"/>
      <c r="S1923" s="7">
        <v>24000</v>
      </c>
      <c r="T1923" s="7"/>
      <c r="U1923" s="7"/>
      <c r="V1923" s="10">
        <v>7.5741092456127026</v>
      </c>
      <c r="W1923" s="9">
        <v>45015</v>
      </c>
      <c r="X1923" s="10">
        <v>7.5</v>
      </c>
      <c r="Y1923" s="9">
        <v>45018</v>
      </c>
      <c r="Z1923">
        <v>23</v>
      </c>
      <c r="AA1923" s="11" t="s">
        <v>49</v>
      </c>
    </row>
    <row r="1924" spans="2:27" ht="16" x14ac:dyDescent="0.2">
      <c r="B1924" t="s">
        <v>35</v>
      </c>
      <c r="C1924">
        <v>40366536</v>
      </c>
      <c r="D1924" t="s">
        <v>389</v>
      </c>
      <c r="E1924">
        <v>1012503</v>
      </c>
      <c r="F1924" t="s">
        <v>448</v>
      </c>
      <c r="G1924" s="9">
        <v>45008</v>
      </c>
      <c r="H1924" s="7"/>
      <c r="I1924" s="7">
        <v>24000</v>
      </c>
      <c r="J1924" s="7"/>
      <c r="K1924" s="7"/>
      <c r="L1924" s="10">
        <v>5.5741092456127026</v>
      </c>
      <c r="M1924" s="9">
        <v>45013</v>
      </c>
      <c r="N1924" s="10">
        <v>5.5</v>
      </c>
      <c r="O1924" s="9">
        <v>45018</v>
      </c>
      <c r="P1924">
        <v>23</v>
      </c>
      <c r="Q1924" s="11" t="s">
        <v>49</v>
      </c>
      <c r="R1924" s="7"/>
      <c r="S1924" s="7">
        <v>24000</v>
      </c>
      <c r="T1924" s="7"/>
      <c r="U1924" s="7"/>
      <c r="V1924" s="10">
        <v>7.5741092456127026</v>
      </c>
      <c r="W1924" s="9">
        <v>45015</v>
      </c>
      <c r="X1924" s="10">
        <v>7.5</v>
      </c>
      <c r="Y1924" s="9">
        <v>45018</v>
      </c>
      <c r="Z1924">
        <v>23</v>
      </c>
      <c r="AA1924" s="11" t="s">
        <v>49</v>
      </c>
    </row>
    <row r="1925" spans="2:27" ht="16" x14ac:dyDescent="0.2">
      <c r="B1925" t="s">
        <v>35</v>
      </c>
      <c r="C1925">
        <v>40366535</v>
      </c>
      <c r="D1925" t="s">
        <v>389</v>
      </c>
      <c r="E1925">
        <v>1012503</v>
      </c>
      <c r="F1925" t="s">
        <v>448</v>
      </c>
      <c r="G1925" s="9">
        <v>45004</v>
      </c>
      <c r="H1925" s="7">
        <v>24000</v>
      </c>
      <c r="I1925" s="7"/>
      <c r="J1925" s="7"/>
      <c r="K1925" s="7"/>
      <c r="L1925" s="10">
        <v>5.5741092456127026</v>
      </c>
      <c r="M1925" s="9">
        <v>45009</v>
      </c>
      <c r="N1925" s="10">
        <v>5.5</v>
      </c>
      <c r="O1925" s="9">
        <v>45014</v>
      </c>
      <c r="P1925">
        <v>2</v>
      </c>
      <c r="Q1925" s="11" t="s">
        <v>598</v>
      </c>
      <c r="R1925" s="7">
        <v>24000</v>
      </c>
      <c r="S1925" s="7"/>
      <c r="T1925" s="7"/>
      <c r="U1925" s="7"/>
      <c r="V1925" s="10">
        <v>7.5741092456127026</v>
      </c>
      <c r="W1925" s="9">
        <v>45011</v>
      </c>
      <c r="X1925" s="10">
        <v>7.5</v>
      </c>
      <c r="Y1925" s="9">
        <v>45014</v>
      </c>
      <c r="Z1925">
        <v>2</v>
      </c>
      <c r="AA1925" s="11" t="s">
        <v>598</v>
      </c>
    </row>
    <row r="1926" spans="2:27" ht="16" x14ac:dyDescent="0.2">
      <c r="B1926" t="s">
        <v>35</v>
      </c>
      <c r="C1926">
        <v>40366534</v>
      </c>
      <c r="D1926" t="s">
        <v>389</v>
      </c>
      <c r="E1926">
        <v>1012503</v>
      </c>
      <c r="F1926" t="s">
        <v>448</v>
      </c>
      <c r="G1926" s="9">
        <v>45001</v>
      </c>
      <c r="H1926" s="7">
        <v>24000</v>
      </c>
      <c r="I1926" s="7"/>
      <c r="J1926" s="7"/>
      <c r="K1926" s="7"/>
      <c r="L1926" s="10">
        <v>5.5741092456127026</v>
      </c>
      <c r="M1926" s="9">
        <v>45006</v>
      </c>
      <c r="N1926" s="10">
        <v>5.5</v>
      </c>
      <c r="O1926" s="9">
        <v>45011</v>
      </c>
      <c r="P1926">
        <v>5</v>
      </c>
      <c r="Q1926" s="11" t="s">
        <v>49</v>
      </c>
      <c r="R1926" s="7">
        <v>24000</v>
      </c>
      <c r="S1926" s="7"/>
      <c r="T1926" s="7"/>
      <c r="U1926" s="7"/>
      <c r="V1926" s="10">
        <v>7.5741092456127026</v>
      </c>
      <c r="W1926" s="9">
        <v>45008</v>
      </c>
      <c r="X1926" s="10">
        <v>7.5</v>
      </c>
      <c r="Y1926" s="9">
        <v>45011</v>
      </c>
      <c r="Z1926">
        <v>5</v>
      </c>
      <c r="AA1926" s="11" t="s">
        <v>49</v>
      </c>
    </row>
    <row r="1927" spans="2:27" ht="16" x14ac:dyDescent="0.2">
      <c r="B1927" t="s">
        <v>35</v>
      </c>
      <c r="C1927">
        <v>40366529</v>
      </c>
      <c r="D1927" t="s">
        <v>389</v>
      </c>
      <c r="E1927">
        <v>1022636</v>
      </c>
      <c r="F1927" t="s">
        <v>312</v>
      </c>
      <c r="G1927" s="9">
        <v>45018</v>
      </c>
      <c r="H1927" s="7"/>
      <c r="I1927" s="7">
        <v>21660</v>
      </c>
      <c r="J1927" s="7"/>
      <c r="K1927" s="7"/>
      <c r="L1927" s="10">
        <v>5.5741092456127026</v>
      </c>
      <c r="M1927" s="9">
        <v>45023</v>
      </c>
      <c r="N1927" s="10">
        <v>5.5</v>
      </c>
      <c r="O1927" s="9">
        <v>45028</v>
      </c>
      <c r="P1927">
        <v>15</v>
      </c>
      <c r="Q1927" s="11" t="s">
        <v>49</v>
      </c>
      <c r="R1927" s="7"/>
      <c r="S1927" s="7">
        <v>21660</v>
      </c>
      <c r="T1927" s="7"/>
      <c r="U1927" s="7"/>
      <c r="V1927" s="10">
        <v>7.5741092456127026</v>
      </c>
      <c r="W1927" s="9">
        <v>45025</v>
      </c>
      <c r="X1927" s="10">
        <v>7.5</v>
      </c>
      <c r="Y1927" s="9">
        <v>45028</v>
      </c>
      <c r="Z1927">
        <v>15</v>
      </c>
      <c r="AA1927" s="11" t="s">
        <v>49</v>
      </c>
    </row>
    <row r="1928" spans="2:27" ht="16" x14ac:dyDescent="0.2">
      <c r="B1928" t="s">
        <v>35</v>
      </c>
      <c r="C1928">
        <v>40366528</v>
      </c>
      <c r="D1928" t="s">
        <v>389</v>
      </c>
      <c r="E1928">
        <v>1022636</v>
      </c>
      <c r="F1928" t="s">
        <v>312</v>
      </c>
      <c r="G1928" s="9">
        <v>45015</v>
      </c>
      <c r="H1928" s="7"/>
      <c r="I1928" s="7">
        <v>21450</v>
      </c>
      <c r="J1928" s="7"/>
      <c r="K1928" s="7"/>
      <c r="L1928" s="10">
        <v>5.5741092456127026</v>
      </c>
      <c r="M1928" s="9">
        <v>45020</v>
      </c>
      <c r="N1928" s="10">
        <v>5.5</v>
      </c>
      <c r="O1928" s="9">
        <v>45025</v>
      </c>
      <c r="P1928">
        <v>18</v>
      </c>
      <c r="Q1928" s="11" t="s">
        <v>49</v>
      </c>
      <c r="R1928" s="7"/>
      <c r="S1928" s="7">
        <v>21450</v>
      </c>
      <c r="T1928" s="7"/>
      <c r="U1928" s="7"/>
      <c r="V1928" s="10">
        <v>7.5741092456127026</v>
      </c>
      <c r="W1928" s="9">
        <v>45022</v>
      </c>
      <c r="X1928" s="10">
        <v>7.5</v>
      </c>
      <c r="Y1928" s="9">
        <v>45025</v>
      </c>
      <c r="Z1928">
        <v>18</v>
      </c>
      <c r="AA1928" s="11" t="s">
        <v>49</v>
      </c>
    </row>
    <row r="1929" spans="2:27" ht="16" x14ac:dyDescent="0.2">
      <c r="B1929" t="s">
        <v>35</v>
      </c>
      <c r="C1929">
        <v>40366527</v>
      </c>
      <c r="D1929" t="s">
        <v>389</v>
      </c>
      <c r="E1929">
        <v>1022636</v>
      </c>
      <c r="F1929" t="s">
        <v>312</v>
      </c>
      <c r="G1929" s="9">
        <v>45012</v>
      </c>
      <c r="H1929" s="7"/>
      <c r="I1929" s="7">
        <v>13515</v>
      </c>
      <c r="J1929" s="7"/>
      <c r="K1929" s="7"/>
      <c r="L1929" s="10">
        <v>5.5741092456127026</v>
      </c>
      <c r="M1929" s="9">
        <v>45017</v>
      </c>
      <c r="N1929" s="10">
        <v>5.5</v>
      </c>
      <c r="O1929" s="9">
        <v>45022</v>
      </c>
      <c r="P1929">
        <v>20</v>
      </c>
      <c r="Q1929" s="11" t="s">
        <v>49</v>
      </c>
      <c r="R1929" s="7"/>
      <c r="S1929" s="7">
        <v>13515</v>
      </c>
      <c r="T1929" s="7"/>
      <c r="U1929" s="7"/>
      <c r="V1929" s="10">
        <v>7.5741092456127026</v>
      </c>
      <c r="W1929" s="9">
        <v>45019</v>
      </c>
      <c r="X1929" s="10">
        <v>7.5</v>
      </c>
      <c r="Y1929" s="9">
        <v>45022</v>
      </c>
      <c r="Z1929">
        <v>20</v>
      </c>
      <c r="AA1929" s="11" t="s">
        <v>49</v>
      </c>
    </row>
    <row r="1930" spans="2:27" ht="16" x14ac:dyDescent="0.2">
      <c r="B1930" t="s">
        <v>35</v>
      </c>
      <c r="C1930">
        <v>40366527</v>
      </c>
      <c r="D1930" t="s">
        <v>389</v>
      </c>
      <c r="E1930">
        <v>1022636</v>
      </c>
      <c r="F1930" t="s">
        <v>312</v>
      </c>
      <c r="G1930" s="9">
        <v>45012</v>
      </c>
      <c r="H1930" s="7"/>
      <c r="I1930" s="7">
        <v>20520</v>
      </c>
      <c r="J1930" s="7"/>
      <c r="K1930" s="7"/>
      <c r="L1930" s="10">
        <v>5.5741092456127026</v>
      </c>
      <c r="M1930" s="9">
        <v>45017</v>
      </c>
      <c r="N1930" s="10">
        <v>5.5</v>
      </c>
      <c r="O1930" s="9">
        <v>45022</v>
      </c>
      <c r="P1930">
        <v>20</v>
      </c>
      <c r="Q1930" s="11" t="s">
        <v>49</v>
      </c>
      <c r="R1930" s="7"/>
      <c r="S1930" s="7">
        <v>20520</v>
      </c>
      <c r="T1930" s="7"/>
      <c r="U1930" s="7"/>
      <c r="V1930" s="10">
        <v>7.5741092456127026</v>
      </c>
      <c r="W1930" s="9">
        <v>45019</v>
      </c>
      <c r="X1930" s="10">
        <v>7.5</v>
      </c>
      <c r="Y1930" s="9">
        <v>45022</v>
      </c>
      <c r="Z1930">
        <v>20</v>
      </c>
      <c r="AA1930" s="11" t="s">
        <v>49</v>
      </c>
    </row>
    <row r="1931" spans="2:27" ht="16" x14ac:dyDescent="0.2">
      <c r="B1931" t="s">
        <v>35</v>
      </c>
      <c r="C1931">
        <v>40366526</v>
      </c>
      <c r="D1931" t="s">
        <v>389</v>
      </c>
      <c r="E1931">
        <v>1022636</v>
      </c>
      <c r="F1931" t="s">
        <v>312</v>
      </c>
      <c r="G1931" s="9">
        <v>45012</v>
      </c>
      <c r="H1931" s="7"/>
      <c r="I1931" s="7">
        <v>21285</v>
      </c>
      <c r="J1931" s="7"/>
      <c r="K1931" s="7"/>
      <c r="L1931" s="10">
        <v>5.5741092456127026</v>
      </c>
      <c r="M1931" s="9">
        <v>45017</v>
      </c>
      <c r="N1931" s="10">
        <v>5.5</v>
      </c>
      <c r="O1931" s="9">
        <v>45022</v>
      </c>
      <c r="P1931">
        <v>20</v>
      </c>
      <c r="Q1931" s="11" t="s">
        <v>49</v>
      </c>
      <c r="R1931" s="7"/>
      <c r="S1931" s="7">
        <v>21285</v>
      </c>
      <c r="T1931" s="7"/>
      <c r="U1931" s="7"/>
      <c r="V1931" s="10">
        <v>7.5741092456127026</v>
      </c>
      <c r="W1931" s="9">
        <v>45019</v>
      </c>
      <c r="X1931" s="10">
        <v>7.5</v>
      </c>
      <c r="Y1931" s="9">
        <v>45022</v>
      </c>
      <c r="Z1931">
        <v>20</v>
      </c>
      <c r="AA1931" s="11" t="s">
        <v>49</v>
      </c>
    </row>
    <row r="1932" spans="2:27" ht="16" x14ac:dyDescent="0.2">
      <c r="B1932" t="s">
        <v>35</v>
      </c>
      <c r="C1932">
        <v>40366525</v>
      </c>
      <c r="D1932" t="s">
        <v>389</v>
      </c>
      <c r="E1932">
        <v>1022636</v>
      </c>
      <c r="F1932" t="s">
        <v>312</v>
      </c>
      <c r="G1932" s="9">
        <v>45012</v>
      </c>
      <c r="H1932" s="7"/>
      <c r="I1932" s="7">
        <v>24540</v>
      </c>
      <c r="J1932" s="7"/>
      <c r="K1932" s="7"/>
      <c r="L1932" s="10">
        <v>5.5741092456127026</v>
      </c>
      <c r="M1932" s="9">
        <v>45017</v>
      </c>
      <c r="N1932" s="10">
        <v>5.5</v>
      </c>
      <c r="O1932" s="9">
        <v>45022</v>
      </c>
      <c r="P1932">
        <v>20</v>
      </c>
      <c r="Q1932" s="11" t="s">
        <v>49</v>
      </c>
      <c r="R1932" s="7"/>
      <c r="S1932" s="7">
        <v>24540</v>
      </c>
      <c r="T1932" s="7"/>
      <c r="U1932" s="7"/>
      <c r="V1932" s="10">
        <v>7.5741092456127026</v>
      </c>
      <c r="W1932" s="9">
        <v>45019</v>
      </c>
      <c r="X1932" s="10">
        <v>7.5</v>
      </c>
      <c r="Y1932" s="9">
        <v>45022</v>
      </c>
      <c r="Z1932">
        <v>20</v>
      </c>
      <c r="AA1932" s="11" t="s">
        <v>49</v>
      </c>
    </row>
    <row r="1933" spans="2:27" ht="16" x14ac:dyDescent="0.2">
      <c r="B1933" t="s">
        <v>35</v>
      </c>
      <c r="C1933">
        <v>40366510</v>
      </c>
      <c r="D1933" t="s">
        <v>389</v>
      </c>
      <c r="E1933">
        <v>1022099</v>
      </c>
      <c r="F1933" t="s">
        <v>294</v>
      </c>
      <c r="G1933" s="9">
        <v>45018</v>
      </c>
      <c r="H1933" s="7"/>
      <c r="I1933" s="7">
        <v>24102</v>
      </c>
      <c r="J1933" s="7"/>
      <c r="K1933" s="7"/>
      <c r="L1933" s="10">
        <v>5.5741092456127026</v>
      </c>
      <c r="M1933" s="9">
        <v>45023</v>
      </c>
      <c r="N1933" s="10">
        <v>5.5</v>
      </c>
      <c r="O1933" s="9">
        <v>45028</v>
      </c>
      <c r="P1933">
        <v>15</v>
      </c>
      <c r="Q1933" s="11" t="s">
        <v>49</v>
      </c>
      <c r="R1933" s="7"/>
      <c r="S1933" s="7">
        <v>24102</v>
      </c>
      <c r="T1933" s="7"/>
      <c r="U1933" s="7"/>
      <c r="V1933" s="10">
        <v>7.5741092456127026</v>
      </c>
      <c r="W1933" s="9">
        <v>45025</v>
      </c>
      <c r="X1933" s="10">
        <v>7.5</v>
      </c>
      <c r="Y1933" s="9">
        <v>45028</v>
      </c>
      <c r="Z1933">
        <v>15</v>
      </c>
      <c r="AA1933" s="11" t="s">
        <v>49</v>
      </c>
    </row>
    <row r="1934" spans="2:27" ht="16" x14ac:dyDescent="0.2">
      <c r="B1934" t="s">
        <v>35</v>
      </c>
      <c r="C1934">
        <v>40366509</v>
      </c>
      <c r="D1934" t="s">
        <v>389</v>
      </c>
      <c r="E1934">
        <v>1022099</v>
      </c>
      <c r="F1934" t="s">
        <v>294</v>
      </c>
      <c r="G1934" s="9">
        <v>45018</v>
      </c>
      <c r="H1934" s="7"/>
      <c r="I1934" s="7">
        <v>8496</v>
      </c>
      <c r="J1934" s="7"/>
      <c r="K1934" s="7"/>
      <c r="L1934" s="10">
        <v>5.5741092456127026</v>
      </c>
      <c r="M1934" s="9">
        <v>45023</v>
      </c>
      <c r="N1934" s="10">
        <v>5.5</v>
      </c>
      <c r="O1934" s="9">
        <v>45028</v>
      </c>
      <c r="P1934">
        <v>15</v>
      </c>
      <c r="Q1934" s="11" t="s">
        <v>49</v>
      </c>
      <c r="R1934" s="7"/>
      <c r="S1934" s="7">
        <v>8496</v>
      </c>
      <c r="T1934" s="7"/>
      <c r="U1934" s="7"/>
      <c r="V1934" s="10">
        <v>7.5741092456127026</v>
      </c>
      <c r="W1934" s="9">
        <v>45025</v>
      </c>
      <c r="X1934" s="10">
        <v>7.5</v>
      </c>
      <c r="Y1934" s="9">
        <v>45028</v>
      </c>
      <c r="Z1934">
        <v>15</v>
      </c>
      <c r="AA1934" s="11" t="s">
        <v>49</v>
      </c>
    </row>
    <row r="1935" spans="2:27" ht="16" x14ac:dyDescent="0.2">
      <c r="B1935" t="s">
        <v>35</v>
      </c>
      <c r="C1935">
        <v>40366509</v>
      </c>
      <c r="D1935" t="s">
        <v>389</v>
      </c>
      <c r="E1935">
        <v>1022099</v>
      </c>
      <c r="F1935" t="s">
        <v>294</v>
      </c>
      <c r="G1935" s="9">
        <v>45018</v>
      </c>
      <c r="H1935" s="7"/>
      <c r="I1935" s="7">
        <v>23454</v>
      </c>
      <c r="J1935" s="7"/>
      <c r="K1935" s="7"/>
      <c r="L1935" s="10">
        <v>5.5741092456127026</v>
      </c>
      <c r="M1935" s="9">
        <v>45023</v>
      </c>
      <c r="N1935" s="10">
        <v>5.5</v>
      </c>
      <c r="O1935" s="9">
        <v>45028</v>
      </c>
      <c r="P1935">
        <v>15</v>
      </c>
      <c r="Q1935" s="11" t="s">
        <v>49</v>
      </c>
      <c r="R1935" s="7"/>
      <c r="S1935" s="7">
        <v>23454</v>
      </c>
      <c r="T1935" s="7"/>
      <c r="U1935" s="7"/>
      <c r="V1935" s="10">
        <v>7.5741092456127026</v>
      </c>
      <c r="W1935" s="9">
        <v>45025</v>
      </c>
      <c r="X1935" s="10">
        <v>7.5</v>
      </c>
      <c r="Y1935" s="9">
        <v>45028</v>
      </c>
      <c r="Z1935">
        <v>15</v>
      </c>
      <c r="AA1935" s="11" t="s">
        <v>49</v>
      </c>
    </row>
    <row r="1936" spans="2:27" ht="16" x14ac:dyDescent="0.2">
      <c r="B1936" t="s">
        <v>35</v>
      </c>
      <c r="C1936">
        <v>40366508</v>
      </c>
      <c r="D1936" t="s">
        <v>389</v>
      </c>
      <c r="E1936">
        <v>1022099</v>
      </c>
      <c r="F1936" t="s">
        <v>294</v>
      </c>
      <c r="G1936" s="9">
        <v>45013</v>
      </c>
      <c r="H1936" s="7"/>
      <c r="I1936" s="7">
        <v>24156</v>
      </c>
      <c r="J1936" s="7"/>
      <c r="K1936" s="7"/>
      <c r="L1936" s="10">
        <v>5.5741092456127026</v>
      </c>
      <c r="M1936" s="9">
        <v>45018</v>
      </c>
      <c r="N1936" s="10">
        <v>5.5</v>
      </c>
      <c r="O1936" s="9">
        <v>45023</v>
      </c>
      <c r="P1936">
        <v>19</v>
      </c>
      <c r="Q1936" s="11" t="s">
        <v>49</v>
      </c>
      <c r="R1936" s="7"/>
      <c r="S1936" s="7">
        <v>24156</v>
      </c>
      <c r="T1936" s="7"/>
      <c r="U1936" s="7"/>
      <c r="V1936" s="10">
        <v>7.5741092456127026</v>
      </c>
      <c r="W1936" s="9">
        <v>45020</v>
      </c>
      <c r="X1936" s="10">
        <v>7.5</v>
      </c>
      <c r="Y1936" s="9">
        <v>45023</v>
      </c>
      <c r="Z1936">
        <v>19</v>
      </c>
      <c r="AA1936" s="11" t="s">
        <v>49</v>
      </c>
    </row>
    <row r="1937" spans="2:27" ht="16" x14ac:dyDescent="0.2">
      <c r="B1937" t="s">
        <v>35</v>
      </c>
      <c r="C1937">
        <v>40366507</v>
      </c>
      <c r="D1937" t="s">
        <v>389</v>
      </c>
      <c r="E1937">
        <v>1022099</v>
      </c>
      <c r="F1937" t="s">
        <v>294</v>
      </c>
      <c r="G1937" s="9">
        <v>45007</v>
      </c>
      <c r="H1937" s="7"/>
      <c r="I1937" s="7">
        <v>24408</v>
      </c>
      <c r="J1937" s="7"/>
      <c r="K1937" s="7"/>
      <c r="L1937" s="10">
        <v>5.5741092456127026</v>
      </c>
      <c r="M1937" s="9">
        <v>45012</v>
      </c>
      <c r="N1937" s="10">
        <v>5.5</v>
      </c>
      <c r="O1937" s="9">
        <v>45017</v>
      </c>
      <c r="P1937">
        <v>23</v>
      </c>
      <c r="Q1937" s="11" t="s">
        <v>49</v>
      </c>
      <c r="R1937" s="7"/>
      <c r="S1937" s="7">
        <v>24408</v>
      </c>
      <c r="T1937" s="7"/>
      <c r="U1937" s="7"/>
      <c r="V1937" s="10">
        <v>7.5741092456127026</v>
      </c>
      <c r="W1937" s="9">
        <v>45014</v>
      </c>
      <c r="X1937" s="10">
        <v>7.5</v>
      </c>
      <c r="Y1937" s="9">
        <v>45017</v>
      </c>
      <c r="Z1937">
        <v>23</v>
      </c>
      <c r="AA1937" s="11" t="s">
        <v>49</v>
      </c>
    </row>
    <row r="1938" spans="2:27" ht="16" x14ac:dyDescent="0.2">
      <c r="B1938" t="s">
        <v>35</v>
      </c>
      <c r="C1938">
        <v>40366500</v>
      </c>
      <c r="D1938" t="s">
        <v>389</v>
      </c>
      <c r="E1938">
        <v>1022414</v>
      </c>
      <c r="F1938" t="s">
        <v>308</v>
      </c>
      <c r="G1938" s="9">
        <v>45018</v>
      </c>
      <c r="H1938" s="7"/>
      <c r="I1938" s="7">
        <v>24100</v>
      </c>
      <c r="J1938" s="7"/>
      <c r="K1938" s="7"/>
      <c r="L1938" s="10">
        <v>5.5741092456127026</v>
      </c>
      <c r="M1938" s="9">
        <v>45023</v>
      </c>
      <c r="N1938" s="10">
        <v>5.5</v>
      </c>
      <c r="O1938" s="9">
        <v>45028</v>
      </c>
      <c r="P1938">
        <v>15</v>
      </c>
      <c r="Q1938" s="11" t="s">
        <v>49</v>
      </c>
      <c r="R1938" s="7"/>
      <c r="S1938" s="7">
        <v>24100</v>
      </c>
      <c r="T1938" s="7"/>
      <c r="U1938" s="7"/>
      <c r="V1938" s="10">
        <v>7.5741092456127026</v>
      </c>
      <c r="W1938" s="9">
        <v>45025</v>
      </c>
      <c r="X1938" s="10">
        <v>7.5</v>
      </c>
      <c r="Y1938" s="9">
        <v>45028</v>
      </c>
      <c r="Z1938">
        <v>15</v>
      </c>
      <c r="AA1938" s="11" t="s">
        <v>49</v>
      </c>
    </row>
    <row r="1939" spans="2:27" ht="16" x14ac:dyDescent="0.2">
      <c r="B1939" t="s">
        <v>35</v>
      </c>
      <c r="C1939">
        <v>40366499</v>
      </c>
      <c r="D1939" t="s">
        <v>389</v>
      </c>
      <c r="E1939">
        <v>1022414</v>
      </c>
      <c r="F1939" t="s">
        <v>308</v>
      </c>
      <c r="G1939" s="9">
        <v>45012</v>
      </c>
      <c r="H1939" s="7"/>
      <c r="I1939" s="7">
        <v>24120</v>
      </c>
      <c r="J1939" s="7"/>
      <c r="K1939" s="7"/>
      <c r="L1939" s="10">
        <v>5.5741092456127026</v>
      </c>
      <c r="M1939" s="9">
        <v>45017</v>
      </c>
      <c r="N1939" s="10">
        <v>5.5</v>
      </c>
      <c r="O1939" s="9">
        <v>45022</v>
      </c>
      <c r="P1939">
        <v>20</v>
      </c>
      <c r="Q1939" s="11" t="s">
        <v>49</v>
      </c>
      <c r="R1939" s="7"/>
      <c r="S1939" s="7">
        <v>24120</v>
      </c>
      <c r="T1939" s="7"/>
      <c r="U1939" s="7"/>
      <c r="V1939" s="10">
        <v>7.5741092456127026</v>
      </c>
      <c r="W1939" s="9">
        <v>45019</v>
      </c>
      <c r="X1939" s="10">
        <v>7.5</v>
      </c>
      <c r="Y1939" s="9">
        <v>45022</v>
      </c>
      <c r="Z1939">
        <v>20</v>
      </c>
      <c r="AA1939" s="11" t="s">
        <v>49</v>
      </c>
    </row>
    <row r="1940" spans="2:27" ht="16" x14ac:dyDescent="0.2">
      <c r="B1940" t="s">
        <v>35</v>
      </c>
      <c r="C1940">
        <v>40366498</v>
      </c>
      <c r="D1940" t="s">
        <v>389</v>
      </c>
      <c r="E1940">
        <v>1022414</v>
      </c>
      <c r="F1940" t="s">
        <v>308</v>
      </c>
      <c r="G1940" s="9">
        <v>45012</v>
      </c>
      <c r="H1940" s="7"/>
      <c r="I1940" s="7">
        <v>24400</v>
      </c>
      <c r="J1940" s="7"/>
      <c r="K1940" s="7"/>
      <c r="L1940" s="10">
        <v>5.5741092456127026</v>
      </c>
      <c r="M1940" s="9">
        <v>45017</v>
      </c>
      <c r="N1940" s="10">
        <v>5.5</v>
      </c>
      <c r="O1940" s="9">
        <v>45022</v>
      </c>
      <c r="P1940">
        <v>20</v>
      </c>
      <c r="Q1940" s="11" t="s">
        <v>49</v>
      </c>
      <c r="R1940" s="7"/>
      <c r="S1940" s="7">
        <v>24400</v>
      </c>
      <c r="T1940" s="7"/>
      <c r="U1940" s="7"/>
      <c r="V1940" s="10">
        <v>7.5741092456127026</v>
      </c>
      <c r="W1940" s="9">
        <v>45019</v>
      </c>
      <c r="X1940" s="10">
        <v>7.5</v>
      </c>
      <c r="Y1940" s="9">
        <v>45022</v>
      </c>
      <c r="Z1940">
        <v>20</v>
      </c>
      <c r="AA1940" s="11" t="s">
        <v>49</v>
      </c>
    </row>
    <row r="1941" spans="2:27" ht="16" x14ac:dyDescent="0.2">
      <c r="B1941" t="s">
        <v>35</v>
      </c>
      <c r="C1941">
        <v>40366488</v>
      </c>
      <c r="D1941" t="s">
        <v>389</v>
      </c>
      <c r="E1941">
        <v>1023034</v>
      </c>
      <c r="F1941" t="s">
        <v>441</v>
      </c>
      <c r="G1941" s="9">
        <v>45017</v>
      </c>
      <c r="H1941" s="7"/>
      <c r="I1941" s="7">
        <v>23980</v>
      </c>
      <c r="J1941" s="7"/>
      <c r="K1941" s="7"/>
      <c r="L1941" s="10">
        <v>5.5741092456127026</v>
      </c>
      <c r="M1941" s="9">
        <v>45022</v>
      </c>
      <c r="N1941" s="10">
        <v>5.5</v>
      </c>
      <c r="O1941" s="9">
        <v>45027</v>
      </c>
      <c r="P1941">
        <v>16</v>
      </c>
      <c r="Q1941" s="11" t="s">
        <v>49</v>
      </c>
      <c r="R1941" s="7"/>
      <c r="S1941" s="7">
        <v>23980</v>
      </c>
      <c r="T1941" s="7"/>
      <c r="U1941" s="7"/>
      <c r="V1941" s="10">
        <v>7.5741092456127026</v>
      </c>
      <c r="W1941" s="9">
        <v>45024</v>
      </c>
      <c r="X1941" s="10">
        <v>7.5</v>
      </c>
      <c r="Y1941" s="9">
        <v>45027</v>
      </c>
      <c r="Z1941">
        <v>16</v>
      </c>
      <c r="AA1941" s="11" t="s">
        <v>49</v>
      </c>
    </row>
    <row r="1942" spans="2:27" ht="16" x14ac:dyDescent="0.2">
      <c r="B1942" t="s">
        <v>35</v>
      </c>
      <c r="C1942">
        <v>40366479</v>
      </c>
      <c r="D1942" t="s">
        <v>389</v>
      </c>
      <c r="E1942">
        <v>1021767</v>
      </c>
      <c r="F1942" t="s">
        <v>288</v>
      </c>
      <c r="G1942" s="9">
        <v>45031</v>
      </c>
      <c r="H1942" s="7"/>
      <c r="I1942" s="7">
        <v>24624</v>
      </c>
      <c r="J1942" s="7"/>
      <c r="K1942" s="7"/>
      <c r="L1942" s="10">
        <v>5.5741092456127026</v>
      </c>
      <c r="M1942" s="9">
        <v>45036</v>
      </c>
      <c r="N1942" s="10">
        <v>5.5</v>
      </c>
      <c r="O1942" s="9">
        <v>45041</v>
      </c>
      <c r="P1942">
        <v>4</v>
      </c>
      <c r="Q1942" s="11" t="s">
        <v>49</v>
      </c>
      <c r="R1942" s="7"/>
      <c r="S1942" s="7">
        <v>24624</v>
      </c>
      <c r="T1942" s="7"/>
      <c r="U1942" s="7"/>
      <c r="V1942" s="10">
        <v>7.5741092456127026</v>
      </c>
      <c r="W1942" s="9">
        <v>45038</v>
      </c>
      <c r="X1942" s="10">
        <v>7.5</v>
      </c>
      <c r="Y1942" s="9">
        <v>45041</v>
      </c>
      <c r="Z1942">
        <v>4</v>
      </c>
      <c r="AA1942" s="11" t="s">
        <v>49</v>
      </c>
    </row>
    <row r="1943" spans="2:27" ht="16" x14ac:dyDescent="0.2">
      <c r="B1943" t="s">
        <v>35</v>
      </c>
      <c r="C1943">
        <v>40366478</v>
      </c>
      <c r="D1943" t="s">
        <v>389</v>
      </c>
      <c r="E1943">
        <v>1021767</v>
      </c>
      <c r="F1943" t="s">
        <v>288</v>
      </c>
      <c r="G1943" s="9">
        <v>45026</v>
      </c>
      <c r="H1943" s="7"/>
      <c r="I1943" s="7">
        <v>25002</v>
      </c>
      <c r="J1943" s="7"/>
      <c r="K1943" s="7"/>
      <c r="L1943" s="10">
        <v>5.5741092456127026</v>
      </c>
      <c r="M1943" s="9">
        <v>45031</v>
      </c>
      <c r="N1943" s="10">
        <v>5.5</v>
      </c>
      <c r="O1943" s="9">
        <v>45036</v>
      </c>
      <c r="P1943">
        <v>8</v>
      </c>
      <c r="Q1943" s="11" t="s">
        <v>49</v>
      </c>
      <c r="R1943" s="7"/>
      <c r="S1943" s="7">
        <v>25002</v>
      </c>
      <c r="T1943" s="7"/>
      <c r="U1943" s="7"/>
      <c r="V1943" s="10">
        <v>7.5741092456127026</v>
      </c>
      <c r="W1943" s="9">
        <v>45033</v>
      </c>
      <c r="X1943" s="10">
        <v>7.5</v>
      </c>
      <c r="Y1943" s="9">
        <v>45036</v>
      </c>
      <c r="Z1943">
        <v>8</v>
      </c>
      <c r="AA1943" s="11" t="s">
        <v>49</v>
      </c>
    </row>
    <row r="1944" spans="2:27" ht="16" x14ac:dyDescent="0.2">
      <c r="B1944" t="s">
        <v>35</v>
      </c>
      <c r="C1944">
        <v>40366477</v>
      </c>
      <c r="D1944" t="s">
        <v>389</v>
      </c>
      <c r="E1944">
        <v>1021767</v>
      </c>
      <c r="F1944" t="s">
        <v>288</v>
      </c>
      <c r="G1944" s="9">
        <v>45025</v>
      </c>
      <c r="H1944" s="7"/>
      <c r="I1944" s="7">
        <v>23148</v>
      </c>
      <c r="J1944" s="7"/>
      <c r="K1944" s="7"/>
      <c r="L1944" s="10">
        <v>5.5741092456127026</v>
      </c>
      <c r="M1944" s="9">
        <v>45030</v>
      </c>
      <c r="N1944" s="10">
        <v>5.5</v>
      </c>
      <c r="O1944" s="9">
        <v>45035</v>
      </c>
      <c r="P1944">
        <v>9</v>
      </c>
      <c r="Q1944" s="11" t="s">
        <v>49</v>
      </c>
      <c r="R1944" s="7"/>
      <c r="S1944" s="7">
        <v>23148</v>
      </c>
      <c r="T1944" s="7"/>
      <c r="U1944" s="7"/>
      <c r="V1944" s="10">
        <v>7.5741092456127026</v>
      </c>
      <c r="W1944" s="9">
        <v>45032</v>
      </c>
      <c r="X1944" s="10">
        <v>7.5</v>
      </c>
      <c r="Y1944" s="9">
        <v>45035</v>
      </c>
      <c r="Z1944">
        <v>9</v>
      </c>
      <c r="AA1944" s="11" t="s">
        <v>49</v>
      </c>
    </row>
    <row r="1945" spans="2:27" ht="16" x14ac:dyDescent="0.2">
      <c r="B1945" t="s">
        <v>35</v>
      </c>
      <c r="C1945">
        <v>40366476</v>
      </c>
      <c r="D1945" t="s">
        <v>389</v>
      </c>
      <c r="E1945">
        <v>1021767</v>
      </c>
      <c r="F1945" t="s">
        <v>288</v>
      </c>
      <c r="G1945" s="9">
        <v>45012</v>
      </c>
      <c r="H1945" s="7"/>
      <c r="I1945" s="7">
        <v>24030</v>
      </c>
      <c r="J1945" s="7"/>
      <c r="K1945" s="7"/>
      <c r="L1945" s="10">
        <v>5.5741092456127026</v>
      </c>
      <c r="M1945" s="9">
        <v>45017</v>
      </c>
      <c r="N1945" s="10">
        <v>5.5</v>
      </c>
      <c r="O1945" s="9">
        <v>45022</v>
      </c>
      <c r="P1945">
        <v>20</v>
      </c>
      <c r="Q1945" s="11" t="s">
        <v>49</v>
      </c>
      <c r="R1945" s="7"/>
      <c r="S1945" s="7">
        <v>24030</v>
      </c>
      <c r="T1945" s="7"/>
      <c r="U1945" s="7"/>
      <c r="V1945" s="10">
        <v>7.5741092456127026</v>
      </c>
      <c r="W1945" s="9">
        <v>45019</v>
      </c>
      <c r="X1945" s="10">
        <v>7.5</v>
      </c>
      <c r="Y1945" s="9">
        <v>45022</v>
      </c>
      <c r="Z1945">
        <v>20</v>
      </c>
      <c r="AA1945" s="11" t="s">
        <v>49</v>
      </c>
    </row>
    <row r="1946" spans="2:27" ht="16" x14ac:dyDescent="0.2">
      <c r="B1946" t="s">
        <v>35</v>
      </c>
      <c r="C1946">
        <v>40366458</v>
      </c>
      <c r="D1946" t="s">
        <v>389</v>
      </c>
      <c r="E1946">
        <v>1021766</v>
      </c>
      <c r="F1946" t="s">
        <v>286</v>
      </c>
      <c r="G1946" s="9">
        <v>45018</v>
      </c>
      <c r="H1946" s="7"/>
      <c r="I1946" s="7">
        <v>23400</v>
      </c>
      <c r="J1946" s="7"/>
      <c r="K1946" s="7"/>
      <c r="L1946" s="10">
        <v>5.5741092456127026</v>
      </c>
      <c r="M1946" s="9">
        <v>45023</v>
      </c>
      <c r="N1946" s="10">
        <v>5.5</v>
      </c>
      <c r="O1946" s="9">
        <v>45028</v>
      </c>
      <c r="P1946">
        <v>15</v>
      </c>
      <c r="Q1946" s="11" t="s">
        <v>49</v>
      </c>
      <c r="R1946" s="7"/>
      <c r="S1946" s="7">
        <v>23400</v>
      </c>
      <c r="T1946" s="7"/>
      <c r="U1946" s="7"/>
      <c r="V1946" s="10">
        <v>7.5741092456127026</v>
      </c>
      <c r="W1946" s="9">
        <v>45025</v>
      </c>
      <c r="X1946" s="10">
        <v>7.5</v>
      </c>
      <c r="Y1946" s="9">
        <v>45028</v>
      </c>
      <c r="Z1946">
        <v>15</v>
      </c>
      <c r="AA1946" s="11" t="s">
        <v>49</v>
      </c>
    </row>
    <row r="1947" spans="2:27" ht="16" x14ac:dyDescent="0.2">
      <c r="B1947" t="s">
        <v>35</v>
      </c>
      <c r="C1947">
        <v>40366457</v>
      </c>
      <c r="D1947" t="s">
        <v>389</v>
      </c>
      <c r="E1947">
        <v>1021766</v>
      </c>
      <c r="F1947" t="s">
        <v>286</v>
      </c>
      <c r="G1947" s="9">
        <v>45015</v>
      </c>
      <c r="H1947" s="7"/>
      <c r="I1947" s="7">
        <v>24354</v>
      </c>
      <c r="J1947" s="7"/>
      <c r="K1947" s="7"/>
      <c r="L1947" s="10">
        <v>5.5741092456127026</v>
      </c>
      <c r="M1947" s="9">
        <v>45020</v>
      </c>
      <c r="N1947" s="10">
        <v>5.5</v>
      </c>
      <c r="O1947" s="9">
        <v>45025</v>
      </c>
      <c r="P1947">
        <v>18</v>
      </c>
      <c r="Q1947" s="11" t="s">
        <v>49</v>
      </c>
      <c r="R1947" s="7"/>
      <c r="S1947" s="7">
        <v>24354</v>
      </c>
      <c r="T1947" s="7"/>
      <c r="U1947" s="7"/>
      <c r="V1947" s="10">
        <v>7.5741092456127026</v>
      </c>
      <c r="W1947" s="9">
        <v>45022</v>
      </c>
      <c r="X1947" s="10">
        <v>7.5</v>
      </c>
      <c r="Y1947" s="9">
        <v>45025</v>
      </c>
      <c r="Z1947">
        <v>18</v>
      </c>
      <c r="AA1947" s="11" t="s">
        <v>49</v>
      </c>
    </row>
    <row r="1948" spans="2:27" ht="16" x14ac:dyDescent="0.2">
      <c r="B1948" t="s">
        <v>35</v>
      </c>
      <c r="C1948">
        <v>40366449</v>
      </c>
      <c r="D1948" t="s">
        <v>389</v>
      </c>
      <c r="E1948">
        <v>1021732</v>
      </c>
      <c r="F1948" t="s">
        <v>275</v>
      </c>
      <c r="G1948" s="9">
        <v>45025</v>
      </c>
      <c r="H1948" s="7"/>
      <c r="I1948" s="7">
        <v>24800</v>
      </c>
      <c r="J1948" s="7"/>
      <c r="K1948" s="7"/>
      <c r="L1948" s="10">
        <v>5.5741092456127026</v>
      </c>
      <c r="M1948" s="9">
        <v>45030</v>
      </c>
      <c r="N1948" s="10">
        <v>5.5</v>
      </c>
      <c r="O1948" s="9">
        <v>45035</v>
      </c>
      <c r="P1948">
        <v>9</v>
      </c>
      <c r="Q1948" s="11" t="s">
        <v>49</v>
      </c>
      <c r="R1948" s="7"/>
      <c r="S1948" s="7">
        <v>24800</v>
      </c>
      <c r="T1948" s="7"/>
      <c r="U1948" s="7"/>
      <c r="V1948" s="10">
        <v>7.5741092456127026</v>
      </c>
      <c r="W1948" s="9">
        <v>45032</v>
      </c>
      <c r="X1948" s="10">
        <v>7.5</v>
      </c>
      <c r="Y1948" s="9">
        <v>45035</v>
      </c>
      <c r="Z1948">
        <v>9</v>
      </c>
      <c r="AA1948" s="11" t="s">
        <v>49</v>
      </c>
    </row>
    <row r="1949" spans="2:27" ht="16" x14ac:dyDescent="0.2">
      <c r="B1949" t="s">
        <v>35</v>
      </c>
      <c r="C1949">
        <v>40366448</v>
      </c>
      <c r="D1949" t="s">
        <v>389</v>
      </c>
      <c r="E1949">
        <v>1021732</v>
      </c>
      <c r="F1949" t="s">
        <v>275</v>
      </c>
      <c r="G1949" s="9">
        <v>45031</v>
      </c>
      <c r="H1949" s="7"/>
      <c r="I1949" s="7">
        <v>11580</v>
      </c>
      <c r="J1949" s="7"/>
      <c r="K1949" s="7"/>
      <c r="L1949" s="10">
        <v>5.5741092456127026</v>
      </c>
      <c r="M1949" s="9">
        <v>45036</v>
      </c>
      <c r="N1949" s="10">
        <v>5.5</v>
      </c>
      <c r="O1949" s="9">
        <v>45041</v>
      </c>
      <c r="P1949">
        <v>4</v>
      </c>
      <c r="Q1949" s="11" t="s">
        <v>49</v>
      </c>
      <c r="R1949" s="7"/>
      <c r="S1949" s="7">
        <v>11580</v>
      </c>
      <c r="T1949" s="7"/>
      <c r="U1949" s="7"/>
      <c r="V1949" s="10">
        <v>7.5741092456127026</v>
      </c>
      <c r="W1949" s="9">
        <v>45038</v>
      </c>
      <c r="X1949" s="10">
        <v>7.5</v>
      </c>
      <c r="Y1949" s="9">
        <v>45041</v>
      </c>
      <c r="Z1949">
        <v>4</v>
      </c>
      <c r="AA1949" s="11" t="s">
        <v>49</v>
      </c>
    </row>
    <row r="1950" spans="2:27" ht="16" x14ac:dyDescent="0.2">
      <c r="B1950" t="s">
        <v>35</v>
      </c>
      <c r="C1950">
        <v>40366448</v>
      </c>
      <c r="D1950" t="s">
        <v>389</v>
      </c>
      <c r="E1950">
        <v>1021732</v>
      </c>
      <c r="F1950" t="s">
        <v>275</v>
      </c>
      <c r="G1950" s="9">
        <v>45031</v>
      </c>
      <c r="H1950" s="7"/>
      <c r="I1950" s="7">
        <v>24660</v>
      </c>
      <c r="J1950" s="7"/>
      <c r="K1950" s="7"/>
      <c r="L1950" s="10">
        <v>5.5741092456127026</v>
      </c>
      <c r="M1950" s="9">
        <v>45036</v>
      </c>
      <c r="N1950" s="10">
        <v>5.5</v>
      </c>
      <c r="O1950" s="9">
        <v>45041</v>
      </c>
      <c r="P1950">
        <v>4</v>
      </c>
      <c r="Q1950" s="11" t="s">
        <v>49</v>
      </c>
      <c r="R1950" s="7"/>
      <c r="S1950" s="7">
        <v>24660</v>
      </c>
      <c r="T1950" s="7"/>
      <c r="U1950" s="7"/>
      <c r="V1950" s="10">
        <v>7.5741092456127026</v>
      </c>
      <c r="W1950" s="9">
        <v>45038</v>
      </c>
      <c r="X1950" s="10">
        <v>7.5</v>
      </c>
      <c r="Y1950" s="9">
        <v>45041</v>
      </c>
      <c r="Z1950">
        <v>4</v>
      </c>
      <c r="AA1950" s="11" t="s">
        <v>49</v>
      </c>
    </row>
    <row r="1951" spans="2:27" ht="16" x14ac:dyDescent="0.2">
      <c r="B1951" t="s">
        <v>35</v>
      </c>
      <c r="C1951">
        <v>40366447</v>
      </c>
      <c r="D1951" t="s">
        <v>389</v>
      </c>
      <c r="E1951">
        <v>1021732</v>
      </c>
      <c r="F1951" t="s">
        <v>275</v>
      </c>
      <c r="G1951" s="9">
        <v>45025</v>
      </c>
      <c r="H1951" s="7"/>
      <c r="I1951" s="7">
        <v>23220</v>
      </c>
      <c r="J1951" s="7"/>
      <c r="K1951" s="7"/>
      <c r="L1951" s="10">
        <v>5.5741092456127026</v>
      </c>
      <c r="M1951" s="9">
        <v>45030</v>
      </c>
      <c r="N1951" s="10">
        <v>5.5</v>
      </c>
      <c r="O1951" s="9">
        <v>45035</v>
      </c>
      <c r="P1951">
        <v>9</v>
      </c>
      <c r="Q1951" s="11" t="s">
        <v>49</v>
      </c>
      <c r="R1951" s="7"/>
      <c r="S1951" s="7">
        <v>23220</v>
      </c>
      <c r="T1951" s="7"/>
      <c r="U1951" s="7"/>
      <c r="V1951" s="10">
        <v>7.5741092456127026</v>
      </c>
      <c r="W1951" s="9">
        <v>45032</v>
      </c>
      <c r="X1951" s="10">
        <v>7.5</v>
      </c>
      <c r="Y1951" s="9">
        <v>45035</v>
      </c>
      <c r="Z1951">
        <v>9</v>
      </c>
      <c r="AA1951" s="11" t="s">
        <v>49</v>
      </c>
    </row>
    <row r="1952" spans="2:27" ht="16" x14ac:dyDescent="0.2">
      <c r="B1952" t="s">
        <v>35</v>
      </c>
      <c r="C1952">
        <v>40366445</v>
      </c>
      <c r="D1952" t="s">
        <v>389</v>
      </c>
      <c r="E1952">
        <v>1021732</v>
      </c>
      <c r="F1952" t="s">
        <v>275</v>
      </c>
      <c r="G1952" s="9">
        <v>45013</v>
      </c>
      <c r="H1952" s="7"/>
      <c r="I1952" s="7">
        <v>24300</v>
      </c>
      <c r="J1952" s="7"/>
      <c r="K1952" s="7"/>
      <c r="L1952" s="10">
        <v>5.5741092456127026</v>
      </c>
      <c r="M1952" s="9">
        <v>45018</v>
      </c>
      <c r="N1952" s="10">
        <v>5.5</v>
      </c>
      <c r="O1952" s="9">
        <v>45023</v>
      </c>
      <c r="P1952">
        <v>19</v>
      </c>
      <c r="Q1952" s="11" t="s">
        <v>49</v>
      </c>
      <c r="R1952" s="7"/>
      <c r="S1952" s="7">
        <v>24300</v>
      </c>
      <c r="T1952" s="7"/>
      <c r="U1952" s="7"/>
      <c r="V1952" s="10">
        <v>7.5741092456127026</v>
      </c>
      <c r="W1952" s="9">
        <v>45020</v>
      </c>
      <c r="X1952" s="10">
        <v>7.5</v>
      </c>
      <c r="Y1952" s="9">
        <v>45023</v>
      </c>
      <c r="Z1952">
        <v>19</v>
      </c>
      <c r="AA1952" s="11" t="s">
        <v>49</v>
      </c>
    </row>
    <row r="1953" spans="2:27" ht="16" x14ac:dyDescent="0.2">
      <c r="B1953" t="s">
        <v>35</v>
      </c>
      <c r="C1953">
        <v>40366444</v>
      </c>
      <c r="D1953" t="s">
        <v>389</v>
      </c>
      <c r="E1953">
        <v>1021732</v>
      </c>
      <c r="F1953" t="s">
        <v>275</v>
      </c>
      <c r="G1953" s="9">
        <v>45015</v>
      </c>
      <c r="H1953" s="7"/>
      <c r="I1953" s="7">
        <v>25000</v>
      </c>
      <c r="J1953" s="7"/>
      <c r="K1953" s="7"/>
      <c r="L1953" s="10">
        <v>5.5741092456127026</v>
      </c>
      <c r="M1953" s="9">
        <v>45020</v>
      </c>
      <c r="N1953" s="10">
        <v>5.5</v>
      </c>
      <c r="O1953" s="9">
        <v>45025</v>
      </c>
      <c r="P1953">
        <v>18</v>
      </c>
      <c r="Q1953" s="11" t="s">
        <v>49</v>
      </c>
      <c r="R1953" s="7"/>
      <c r="S1953" s="7">
        <v>25000</v>
      </c>
      <c r="T1953" s="7"/>
      <c r="U1953" s="7"/>
      <c r="V1953" s="10">
        <v>7.5741092456127026</v>
      </c>
      <c r="W1953" s="9">
        <v>45022</v>
      </c>
      <c r="X1953" s="10">
        <v>7.5</v>
      </c>
      <c r="Y1953" s="9">
        <v>45025</v>
      </c>
      <c r="Z1953">
        <v>18</v>
      </c>
      <c r="AA1953" s="11" t="s">
        <v>49</v>
      </c>
    </row>
    <row r="1954" spans="2:27" ht="16" x14ac:dyDescent="0.2">
      <c r="B1954" t="s">
        <v>35</v>
      </c>
      <c r="C1954">
        <v>40366443</v>
      </c>
      <c r="D1954" t="s">
        <v>389</v>
      </c>
      <c r="E1954">
        <v>1021732</v>
      </c>
      <c r="F1954" t="s">
        <v>275</v>
      </c>
      <c r="G1954" s="9">
        <v>45007</v>
      </c>
      <c r="H1954" s="7"/>
      <c r="I1954" s="7">
        <v>24920</v>
      </c>
      <c r="J1954" s="7"/>
      <c r="K1954" s="7"/>
      <c r="L1954" s="10">
        <v>5.5741092456127026</v>
      </c>
      <c r="M1954" s="9">
        <v>45012</v>
      </c>
      <c r="N1954" s="10">
        <v>5.5</v>
      </c>
      <c r="O1954" s="9">
        <v>45017</v>
      </c>
      <c r="P1954">
        <v>23</v>
      </c>
      <c r="Q1954" s="11" t="s">
        <v>49</v>
      </c>
      <c r="R1954" s="7"/>
      <c r="S1954" s="7">
        <v>24920</v>
      </c>
      <c r="T1954" s="7"/>
      <c r="U1954" s="7"/>
      <c r="V1954" s="10">
        <v>7.5741092456127026</v>
      </c>
      <c r="W1954" s="9">
        <v>45014</v>
      </c>
      <c r="X1954" s="10">
        <v>7.5</v>
      </c>
      <c r="Y1954" s="9">
        <v>45017</v>
      </c>
      <c r="Z1954">
        <v>23</v>
      </c>
      <c r="AA1954" s="11" t="s">
        <v>49</v>
      </c>
    </row>
    <row r="1955" spans="2:27" ht="16" x14ac:dyDescent="0.2">
      <c r="B1955" t="s">
        <v>35</v>
      </c>
      <c r="C1955">
        <v>40366442</v>
      </c>
      <c r="D1955" t="s">
        <v>389</v>
      </c>
      <c r="E1955">
        <v>1021732</v>
      </c>
      <c r="F1955" t="s">
        <v>275</v>
      </c>
      <c r="G1955" s="9">
        <v>45007</v>
      </c>
      <c r="H1955" s="7"/>
      <c r="I1955" s="7">
        <v>24680</v>
      </c>
      <c r="J1955" s="7"/>
      <c r="K1955" s="7"/>
      <c r="L1955" s="10">
        <v>5.5741092456127026</v>
      </c>
      <c r="M1955" s="9">
        <v>45012</v>
      </c>
      <c r="N1955" s="10">
        <v>5.5</v>
      </c>
      <c r="O1955" s="9">
        <v>45017</v>
      </c>
      <c r="P1955">
        <v>23</v>
      </c>
      <c r="Q1955" s="11" t="s">
        <v>49</v>
      </c>
      <c r="R1955" s="7"/>
      <c r="S1955" s="7">
        <v>24680</v>
      </c>
      <c r="T1955" s="7"/>
      <c r="U1955" s="7"/>
      <c r="V1955" s="10">
        <v>7.5741092456127026</v>
      </c>
      <c r="W1955" s="9">
        <v>45014</v>
      </c>
      <c r="X1955" s="10">
        <v>7.5</v>
      </c>
      <c r="Y1955" s="9">
        <v>45017</v>
      </c>
      <c r="Z1955">
        <v>23</v>
      </c>
      <c r="AA1955" s="11" t="s">
        <v>49</v>
      </c>
    </row>
    <row r="1956" spans="2:27" ht="16" x14ac:dyDescent="0.2">
      <c r="B1956" t="s">
        <v>35</v>
      </c>
      <c r="C1956">
        <v>40366441</v>
      </c>
      <c r="D1956" t="s">
        <v>389</v>
      </c>
      <c r="E1956">
        <v>1021732</v>
      </c>
      <c r="F1956" t="s">
        <v>275</v>
      </c>
      <c r="G1956" s="9">
        <v>45005</v>
      </c>
      <c r="H1956" s="7">
        <v>24680</v>
      </c>
      <c r="I1956" s="7"/>
      <c r="J1956" s="7"/>
      <c r="K1956" s="7"/>
      <c r="L1956" s="10">
        <v>5.5741092456127026</v>
      </c>
      <c r="M1956" s="9">
        <v>45010</v>
      </c>
      <c r="N1956" s="10">
        <v>5.5</v>
      </c>
      <c r="O1956" s="9">
        <v>45015</v>
      </c>
      <c r="P1956">
        <v>1</v>
      </c>
      <c r="Q1956" s="11" t="s">
        <v>598</v>
      </c>
      <c r="R1956" s="7">
        <v>24680</v>
      </c>
      <c r="S1956" s="7"/>
      <c r="T1956" s="7"/>
      <c r="U1956" s="7"/>
      <c r="V1956" s="10">
        <v>7.5741092456127026</v>
      </c>
      <c r="W1956" s="9">
        <v>45012</v>
      </c>
      <c r="X1956" s="10">
        <v>7.5</v>
      </c>
      <c r="Y1956" s="9">
        <v>45015</v>
      </c>
      <c r="Z1956">
        <v>1</v>
      </c>
      <c r="AA1956" s="11" t="s">
        <v>598</v>
      </c>
    </row>
    <row r="1957" spans="2:27" ht="16" x14ac:dyDescent="0.2">
      <c r="B1957" t="s">
        <v>35</v>
      </c>
      <c r="C1957">
        <v>40366440</v>
      </c>
      <c r="D1957" t="s">
        <v>389</v>
      </c>
      <c r="E1957">
        <v>1021732</v>
      </c>
      <c r="F1957" t="s">
        <v>275</v>
      </c>
      <c r="G1957" s="9">
        <v>45007</v>
      </c>
      <c r="H1957" s="7"/>
      <c r="I1957" s="7">
        <v>19800</v>
      </c>
      <c r="J1957" s="7"/>
      <c r="K1957" s="7"/>
      <c r="L1957" s="10">
        <v>5.5741092456127026</v>
      </c>
      <c r="M1957" s="9">
        <v>45012</v>
      </c>
      <c r="N1957" s="10">
        <v>5.5</v>
      </c>
      <c r="O1957" s="9">
        <v>45017</v>
      </c>
      <c r="P1957">
        <v>23</v>
      </c>
      <c r="Q1957" s="11" t="s">
        <v>49</v>
      </c>
      <c r="R1957" s="7"/>
      <c r="S1957" s="7">
        <v>19800</v>
      </c>
      <c r="T1957" s="7"/>
      <c r="U1957" s="7"/>
      <c r="V1957" s="10">
        <v>7.5741092456127026</v>
      </c>
      <c r="W1957" s="9">
        <v>45014</v>
      </c>
      <c r="X1957" s="10">
        <v>7.5</v>
      </c>
      <c r="Y1957" s="9">
        <v>45017</v>
      </c>
      <c r="Z1957">
        <v>23</v>
      </c>
      <c r="AA1957" s="11" t="s">
        <v>49</v>
      </c>
    </row>
    <row r="1958" spans="2:27" ht="16" x14ac:dyDescent="0.2">
      <c r="B1958" t="s">
        <v>35</v>
      </c>
      <c r="C1958">
        <v>40366440</v>
      </c>
      <c r="D1958" t="s">
        <v>389</v>
      </c>
      <c r="E1958">
        <v>1021732</v>
      </c>
      <c r="F1958" t="s">
        <v>275</v>
      </c>
      <c r="G1958" s="9">
        <v>45007</v>
      </c>
      <c r="H1958" s="7"/>
      <c r="I1958" s="7">
        <v>24000</v>
      </c>
      <c r="J1958" s="7"/>
      <c r="K1958" s="7"/>
      <c r="L1958" s="10">
        <v>5.5741092456127026</v>
      </c>
      <c r="M1958" s="9">
        <v>45012</v>
      </c>
      <c r="N1958" s="10">
        <v>5.5</v>
      </c>
      <c r="O1958" s="9">
        <v>45017</v>
      </c>
      <c r="P1958">
        <v>23</v>
      </c>
      <c r="Q1958" s="11" t="s">
        <v>49</v>
      </c>
      <c r="R1958" s="7"/>
      <c r="S1958" s="7">
        <v>24000</v>
      </c>
      <c r="T1958" s="7"/>
      <c r="U1958" s="7"/>
      <c r="V1958" s="10">
        <v>7.5741092456127026</v>
      </c>
      <c r="W1958" s="9">
        <v>45014</v>
      </c>
      <c r="X1958" s="10">
        <v>7.5</v>
      </c>
      <c r="Y1958" s="9">
        <v>45017</v>
      </c>
      <c r="Z1958">
        <v>23</v>
      </c>
      <c r="AA1958" s="11" t="s">
        <v>49</v>
      </c>
    </row>
    <row r="1959" spans="2:27" ht="16" x14ac:dyDescent="0.2">
      <c r="B1959" t="s">
        <v>35</v>
      </c>
      <c r="C1959">
        <v>40366437</v>
      </c>
      <c r="D1959" t="s">
        <v>389</v>
      </c>
      <c r="E1959">
        <v>1021739</v>
      </c>
      <c r="F1959" t="s">
        <v>416</v>
      </c>
      <c r="G1959" s="9">
        <v>45031</v>
      </c>
      <c r="H1959" s="7"/>
      <c r="I1959" s="7">
        <v>21179.69</v>
      </c>
      <c r="J1959" s="7"/>
      <c r="K1959" s="7"/>
      <c r="L1959" s="10">
        <v>5.5741092456127026</v>
      </c>
      <c r="M1959" s="9">
        <v>45036</v>
      </c>
      <c r="N1959" s="10">
        <v>5.5</v>
      </c>
      <c r="O1959" s="9">
        <v>45041</v>
      </c>
      <c r="P1959">
        <v>4</v>
      </c>
      <c r="Q1959" s="11" t="s">
        <v>49</v>
      </c>
      <c r="R1959" s="7"/>
      <c r="S1959" s="7">
        <v>21179.69</v>
      </c>
      <c r="T1959" s="7"/>
      <c r="U1959" s="7"/>
      <c r="V1959" s="10">
        <v>7.5741092456127026</v>
      </c>
      <c r="W1959" s="9">
        <v>45038</v>
      </c>
      <c r="X1959" s="10">
        <v>7.5</v>
      </c>
      <c r="Y1959" s="9">
        <v>45041</v>
      </c>
      <c r="Z1959">
        <v>4</v>
      </c>
      <c r="AA1959" s="11" t="s">
        <v>49</v>
      </c>
    </row>
    <row r="1960" spans="2:27" ht="16" x14ac:dyDescent="0.2">
      <c r="B1960" t="s">
        <v>35</v>
      </c>
      <c r="C1960">
        <v>40366428</v>
      </c>
      <c r="D1960" t="s">
        <v>389</v>
      </c>
      <c r="E1960">
        <v>1030686</v>
      </c>
      <c r="F1960" t="s">
        <v>381</v>
      </c>
      <c r="G1960" s="9">
        <v>45018</v>
      </c>
      <c r="H1960" s="7"/>
      <c r="I1960" s="7">
        <v>24000</v>
      </c>
      <c r="J1960" s="7"/>
      <c r="K1960" s="7"/>
      <c r="L1960" s="10">
        <v>5.5741092456127026</v>
      </c>
      <c r="M1960" s="9">
        <v>45023</v>
      </c>
      <c r="N1960" s="10">
        <v>5.5</v>
      </c>
      <c r="O1960" s="9">
        <v>45028</v>
      </c>
      <c r="P1960">
        <v>15</v>
      </c>
      <c r="Q1960" s="11" t="s">
        <v>49</v>
      </c>
      <c r="R1960" s="7"/>
      <c r="S1960" s="7">
        <v>24000</v>
      </c>
      <c r="T1960" s="7"/>
      <c r="U1960" s="7"/>
      <c r="V1960" s="10">
        <v>7.5741092456127026</v>
      </c>
      <c r="W1960" s="9">
        <v>45025</v>
      </c>
      <c r="X1960" s="10">
        <v>7.5</v>
      </c>
      <c r="Y1960" s="9">
        <v>45028</v>
      </c>
      <c r="Z1960">
        <v>15</v>
      </c>
      <c r="AA1960" s="11" t="s">
        <v>49</v>
      </c>
    </row>
    <row r="1961" spans="2:27" ht="16" x14ac:dyDescent="0.2">
      <c r="B1961" t="s">
        <v>35</v>
      </c>
      <c r="C1961">
        <v>40366420</v>
      </c>
      <c r="D1961" t="s">
        <v>389</v>
      </c>
      <c r="E1961">
        <v>1030506</v>
      </c>
      <c r="F1961" t="s">
        <v>506</v>
      </c>
      <c r="G1961" s="9">
        <v>45019</v>
      </c>
      <c r="H1961" s="7"/>
      <c r="I1961" s="7">
        <v>24000</v>
      </c>
      <c r="J1961" s="7"/>
      <c r="K1961" s="7"/>
      <c r="L1961" s="10">
        <v>5.5741092456127026</v>
      </c>
      <c r="M1961" s="9">
        <v>45024</v>
      </c>
      <c r="N1961" s="10">
        <v>5.5</v>
      </c>
      <c r="O1961" s="9">
        <v>45029</v>
      </c>
      <c r="P1961">
        <v>14</v>
      </c>
      <c r="Q1961" s="11" t="s">
        <v>49</v>
      </c>
      <c r="R1961" s="7"/>
      <c r="S1961" s="7">
        <v>24000</v>
      </c>
      <c r="T1961" s="7"/>
      <c r="U1961" s="7"/>
      <c r="V1961" s="10">
        <v>7.5741092456127026</v>
      </c>
      <c r="W1961" s="9">
        <v>45026</v>
      </c>
      <c r="X1961" s="10">
        <v>7.5</v>
      </c>
      <c r="Y1961" s="9">
        <v>45029</v>
      </c>
      <c r="Z1961">
        <v>14</v>
      </c>
      <c r="AA1961" s="11" t="s">
        <v>49</v>
      </c>
    </row>
    <row r="1962" spans="2:27" ht="16" x14ac:dyDescent="0.2">
      <c r="B1962" t="s">
        <v>35</v>
      </c>
      <c r="C1962">
        <v>40366411</v>
      </c>
      <c r="D1962" t="s">
        <v>389</v>
      </c>
      <c r="E1962">
        <v>1022212</v>
      </c>
      <c r="F1962" t="s">
        <v>300</v>
      </c>
      <c r="G1962" s="9">
        <v>45012</v>
      </c>
      <c r="H1962" s="7"/>
      <c r="I1962" s="7">
        <v>23707.62</v>
      </c>
      <c r="J1962" s="7"/>
      <c r="K1962" s="7"/>
      <c r="L1962" s="10">
        <v>5.5741092456127026</v>
      </c>
      <c r="M1962" s="9">
        <v>45017</v>
      </c>
      <c r="N1962" s="10">
        <v>5.5</v>
      </c>
      <c r="O1962" s="9">
        <v>45022</v>
      </c>
      <c r="P1962">
        <v>20</v>
      </c>
      <c r="Q1962" s="11" t="s">
        <v>49</v>
      </c>
      <c r="R1962" s="7"/>
      <c r="S1962" s="7">
        <v>23707.62</v>
      </c>
      <c r="T1962" s="7"/>
      <c r="U1962" s="7"/>
      <c r="V1962" s="10">
        <v>7.5741092456127026</v>
      </c>
      <c r="W1962" s="9">
        <v>45019</v>
      </c>
      <c r="X1962" s="10">
        <v>7.5</v>
      </c>
      <c r="Y1962" s="9">
        <v>45022</v>
      </c>
      <c r="Z1962">
        <v>20</v>
      </c>
      <c r="AA1962" s="11" t="s">
        <v>49</v>
      </c>
    </row>
    <row r="1963" spans="2:27" ht="16" x14ac:dyDescent="0.2">
      <c r="B1963" t="s">
        <v>35</v>
      </c>
      <c r="C1963">
        <v>40366396</v>
      </c>
      <c r="D1963" t="s">
        <v>389</v>
      </c>
      <c r="E1963">
        <v>1022183</v>
      </c>
      <c r="F1963" t="s">
        <v>165</v>
      </c>
      <c r="G1963" s="9">
        <v>45014</v>
      </c>
      <c r="H1963" s="7"/>
      <c r="I1963" s="7">
        <v>24395.22</v>
      </c>
      <c r="J1963" s="7"/>
      <c r="K1963" s="7"/>
      <c r="L1963" s="10">
        <v>5.5741092456127026</v>
      </c>
      <c r="M1963" s="9">
        <v>45019</v>
      </c>
      <c r="N1963" s="10">
        <v>5.5</v>
      </c>
      <c r="O1963" s="9">
        <v>45024</v>
      </c>
      <c r="P1963">
        <v>18</v>
      </c>
      <c r="Q1963" s="11" t="s">
        <v>49</v>
      </c>
      <c r="R1963" s="7"/>
      <c r="S1963" s="7">
        <v>24395.22</v>
      </c>
      <c r="T1963" s="7"/>
      <c r="U1963" s="7"/>
      <c r="V1963" s="10">
        <v>7.5741092456127026</v>
      </c>
      <c r="W1963" s="9">
        <v>45021</v>
      </c>
      <c r="X1963" s="10">
        <v>7.5</v>
      </c>
      <c r="Y1963" s="9">
        <v>45024</v>
      </c>
      <c r="Z1963">
        <v>18</v>
      </c>
      <c r="AA1963" s="11" t="s">
        <v>49</v>
      </c>
    </row>
    <row r="1964" spans="2:27" ht="16" x14ac:dyDescent="0.2">
      <c r="B1964" t="s">
        <v>35</v>
      </c>
      <c r="C1964">
        <v>40366394</v>
      </c>
      <c r="D1964" t="s">
        <v>389</v>
      </c>
      <c r="E1964">
        <v>1022183</v>
      </c>
      <c r="F1964" t="s">
        <v>165</v>
      </c>
      <c r="G1964" s="9">
        <v>45014</v>
      </c>
      <c r="H1964" s="7"/>
      <c r="I1964" s="7">
        <v>24282.25</v>
      </c>
      <c r="J1964" s="7"/>
      <c r="K1964" s="7"/>
      <c r="L1964" s="10">
        <v>5.5741092456127026</v>
      </c>
      <c r="M1964" s="9">
        <v>45019</v>
      </c>
      <c r="N1964" s="10">
        <v>5.5</v>
      </c>
      <c r="O1964" s="9">
        <v>45024</v>
      </c>
      <c r="P1964">
        <v>18</v>
      </c>
      <c r="Q1964" s="11" t="s">
        <v>49</v>
      </c>
      <c r="R1964" s="7"/>
      <c r="S1964" s="7">
        <v>24282.25</v>
      </c>
      <c r="T1964" s="7"/>
      <c r="U1964" s="7"/>
      <c r="V1964" s="10">
        <v>7.5741092456127026</v>
      </c>
      <c r="W1964" s="9">
        <v>45021</v>
      </c>
      <c r="X1964" s="10">
        <v>7.5</v>
      </c>
      <c r="Y1964" s="9">
        <v>45024</v>
      </c>
      <c r="Z1964">
        <v>18</v>
      </c>
      <c r="AA1964" s="11" t="s">
        <v>49</v>
      </c>
    </row>
    <row r="1965" spans="2:27" ht="16" x14ac:dyDescent="0.2">
      <c r="B1965" t="s">
        <v>35</v>
      </c>
      <c r="C1965">
        <v>40366393</v>
      </c>
      <c r="D1965" t="s">
        <v>389</v>
      </c>
      <c r="E1965">
        <v>1022183</v>
      </c>
      <c r="F1965" t="s">
        <v>165</v>
      </c>
      <c r="G1965" s="9">
        <v>45015</v>
      </c>
      <c r="H1965" s="7"/>
      <c r="I1965" s="7">
        <v>24024.15</v>
      </c>
      <c r="J1965" s="7"/>
      <c r="K1965" s="7"/>
      <c r="L1965" s="10">
        <v>5.5741092456127026</v>
      </c>
      <c r="M1965" s="9">
        <v>45020</v>
      </c>
      <c r="N1965" s="10">
        <v>5.5</v>
      </c>
      <c r="O1965" s="9">
        <v>45025</v>
      </c>
      <c r="P1965">
        <v>18</v>
      </c>
      <c r="Q1965" s="11" t="s">
        <v>49</v>
      </c>
      <c r="R1965" s="7"/>
      <c r="S1965" s="7">
        <v>24024.15</v>
      </c>
      <c r="T1965" s="7"/>
      <c r="U1965" s="7"/>
      <c r="V1965" s="10">
        <v>7.5741092456127026</v>
      </c>
      <c r="W1965" s="9">
        <v>45022</v>
      </c>
      <c r="X1965" s="10">
        <v>7.5</v>
      </c>
      <c r="Y1965" s="9">
        <v>45025</v>
      </c>
      <c r="Z1965">
        <v>18</v>
      </c>
      <c r="AA1965" s="11" t="s">
        <v>49</v>
      </c>
    </row>
    <row r="1966" spans="2:27" ht="16" x14ac:dyDescent="0.2">
      <c r="B1966" t="s">
        <v>35</v>
      </c>
      <c r="C1966">
        <v>40366388</v>
      </c>
      <c r="D1966" t="s">
        <v>389</v>
      </c>
      <c r="E1966">
        <v>1022183</v>
      </c>
      <c r="F1966" t="s">
        <v>165</v>
      </c>
      <c r="G1966" s="9">
        <v>45018</v>
      </c>
      <c r="H1966" s="7"/>
      <c r="I1966" s="7">
        <v>24684.37</v>
      </c>
      <c r="J1966" s="7"/>
      <c r="K1966" s="7"/>
      <c r="L1966" s="10">
        <v>5.5741092456127026</v>
      </c>
      <c r="M1966" s="9">
        <v>45023</v>
      </c>
      <c r="N1966" s="10">
        <v>5.5</v>
      </c>
      <c r="O1966" s="9">
        <v>45028</v>
      </c>
      <c r="P1966">
        <v>15</v>
      </c>
      <c r="Q1966" s="11" t="s">
        <v>49</v>
      </c>
      <c r="R1966" s="7"/>
      <c r="S1966" s="7">
        <v>24684.37</v>
      </c>
      <c r="T1966" s="7"/>
      <c r="U1966" s="7"/>
      <c r="V1966" s="10">
        <v>7.5741092456127026</v>
      </c>
      <c r="W1966" s="9">
        <v>45025</v>
      </c>
      <c r="X1966" s="10">
        <v>7.5</v>
      </c>
      <c r="Y1966" s="9">
        <v>45028</v>
      </c>
      <c r="Z1966">
        <v>15</v>
      </c>
      <c r="AA1966" s="11" t="s">
        <v>49</v>
      </c>
    </row>
    <row r="1967" spans="2:27" ht="16" x14ac:dyDescent="0.2">
      <c r="B1967" t="s">
        <v>35</v>
      </c>
      <c r="C1967">
        <v>40366387</v>
      </c>
      <c r="D1967" t="s">
        <v>389</v>
      </c>
      <c r="E1967">
        <v>1022183</v>
      </c>
      <c r="F1967" t="s">
        <v>165</v>
      </c>
      <c r="G1967" s="9">
        <v>45018</v>
      </c>
      <c r="H1967" s="7"/>
      <c r="I1967" s="7">
        <v>24923.56</v>
      </c>
      <c r="J1967" s="7"/>
      <c r="K1967" s="7"/>
      <c r="L1967" s="10">
        <v>5.5741092456127026</v>
      </c>
      <c r="M1967" s="9">
        <v>45023</v>
      </c>
      <c r="N1967" s="10">
        <v>5.5</v>
      </c>
      <c r="O1967" s="9">
        <v>45028</v>
      </c>
      <c r="P1967">
        <v>15</v>
      </c>
      <c r="Q1967" s="11" t="s">
        <v>49</v>
      </c>
      <c r="R1967" s="7"/>
      <c r="S1967" s="7">
        <v>24923.56</v>
      </c>
      <c r="T1967" s="7"/>
      <c r="U1967" s="7"/>
      <c r="V1967" s="10">
        <v>7.5741092456127026</v>
      </c>
      <c r="W1967" s="9">
        <v>45025</v>
      </c>
      <c r="X1967" s="10">
        <v>7.5</v>
      </c>
      <c r="Y1967" s="9">
        <v>45028</v>
      </c>
      <c r="Z1967">
        <v>15</v>
      </c>
      <c r="AA1967" s="11" t="s">
        <v>49</v>
      </c>
    </row>
    <row r="1968" spans="2:27" ht="16" x14ac:dyDescent="0.2">
      <c r="B1968" t="s">
        <v>35</v>
      </c>
      <c r="C1968">
        <v>40366386</v>
      </c>
      <c r="D1968" t="s">
        <v>389</v>
      </c>
      <c r="E1968">
        <v>1022183</v>
      </c>
      <c r="F1968" t="s">
        <v>165</v>
      </c>
      <c r="G1968" s="9">
        <v>45015</v>
      </c>
      <c r="H1968" s="7"/>
      <c r="I1968" s="7">
        <v>24440.37</v>
      </c>
      <c r="J1968" s="7"/>
      <c r="K1968" s="7"/>
      <c r="L1968" s="10">
        <v>5.5741092456127026</v>
      </c>
      <c r="M1968" s="9">
        <v>45020</v>
      </c>
      <c r="N1968" s="10">
        <v>5.5</v>
      </c>
      <c r="O1968" s="9">
        <v>45025</v>
      </c>
      <c r="P1968">
        <v>18</v>
      </c>
      <c r="Q1968" s="11" t="s">
        <v>49</v>
      </c>
      <c r="R1968" s="7"/>
      <c r="S1968" s="7">
        <v>24440.37</v>
      </c>
      <c r="T1968" s="7"/>
      <c r="U1968" s="7"/>
      <c r="V1968" s="10">
        <v>7.5741092456127026</v>
      </c>
      <c r="W1968" s="9">
        <v>45022</v>
      </c>
      <c r="X1968" s="10">
        <v>7.5</v>
      </c>
      <c r="Y1968" s="9">
        <v>45025</v>
      </c>
      <c r="Z1968">
        <v>18</v>
      </c>
      <c r="AA1968" s="11" t="s">
        <v>49</v>
      </c>
    </row>
    <row r="1969" spans="2:27" ht="16" x14ac:dyDescent="0.2">
      <c r="B1969" t="s">
        <v>35</v>
      </c>
      <c r="C1969">
        <v>40366385</v>
      </c>
      <c r="D1969" t="s">
        <v>389</v>
      </c>
      <c r="E1969">
        <v>1022183</v>
      </c>
      <c r="F1969" t="s">
        <v>165</v>
      </c>
      <c r="G1969" s="9">
        <v>45015</v>
      </c>
      <c r="H1969" s="7"/>
      <c r="I1969" s="7">
        <v>25010.92</v>
      </c>
      <c r="J1969" s="7"/>
      <c r="K1969" s="7"/>
      <c r="L1969" s="10">
        <v>5.5741092456127026</v>
      </c>
      <c r="M1969" s="9">
        <v>45020</v>
      </c>
      <c r="N1969" s="10">
        <v>5.5</v>
      </c>
      <c r="O1969" s="9">
        <v>45025</v>
      </c>
      <c r="P1969">
        <v>18</v>
      </c>
      <c r="Q1969" s="11" t="s">
        <v>49</v>
      </c>
      <c r="R1969" s="7"/>
      <c r="S1969" s="7">
        <v>25010.92</v>
      </c>
      <c r="T1969" s="7"/>
      <c r="U1969" s="7"/>
      <c r="V1969" s="10">
        <v>7.5741092456127026</v>
      </c>
      <c r="W1969" s="9">
        <v>45022</v>
      </c>
      <c r="X1969" s="10">
        <v>7.5</v>
      </c>
      <c r="Y1969" s="9">
        <v>45025</v>
      </c>
      <c r="Z1969">
        <v>18</v>
      </c>
      <c r="AA1969" s="11" t="s">
        <v>49</v>
      </c>
    </row>
    <row r="1970" spans="2:27" ht="16" x14ac:dyDescent="0.2">
      <c r="B1970" t="s">
        <v>35</v>
      </c>
      <c r="C1970">
        <v>40366384</v>
      </c>
      <c r="D1970" t="s">
        <v>389</v>
      </c>
      <c r="E1970">
        <v>1022183</v>
      </c>
      <c r="F1970" t="s">
        <v>165</v>
      </c>
      <c r="G1970" s="9">
        <v>45013</v>
      </c>
      <c r="H1970" s="7"/>
      <c r="I1970" s="7">
        <v>23961.08</v>
      </c>
      <c r="J1970" s="7"/>
      <c r="K1970" s="7"/>
      <c r="L1970" s="10">
        <v>5.5741092456127026</v>
      </c>
      <c r="M1970" s="9">
        <v>45018</v>
      </c>
      <c r="N1970" s="10">
        <v>5.5</v>
      </c>
      <c r="O1970" s="9">
        <v>45023</v>
      </c>
      <c r="P1970">
        <v>19</v>
      </c>
      <c r="Q1970" s="11" t="s">
        <v>49</v>
      </c>
      <c r="R1970" s="7"/>
      <c r="S1970" s="7">
        <v>23961.08</v>
      </c>
      <c r="T1970" s="7"/>
      <c r="U1970" s="7"/>
      <c r="V1970" s="10">
        <v>7.5741092456127026</v>
      </c>
      <c r="W1970" s="9">
        <v>45020</v>
      </c>
      <c r="X1970" s="10">
        <v>7.5</v>
      </c>
      <c r="Y1970" s="9">
        <v>45023</v>
      </c>
      <c r="Z1970">
        <v>19</v>
      </c>
      <c r="AA1970" s="11" t="s">
        <v>49</v>
      </c>
    </row>
    <row r="1971" spans="2:27" ht="16" x14ac:dyDescent="0.2">
      <c r="B1971" t="s">
        <v>35</v>
      </c>
      <c r="C1971">
        <v>40366383</v>
      </c>
      <c r="D1971" t="s">
        <v>389</v>
      </c>
      <c r="E1971">
        <v>1022183</v>
      </c>
      <c r="F1971" t="s">
        <v>165</v>
      </c>
      <c r="G1971" s="9">
        <v>45012</v>
      </c>
      <c r="H1971" s="7"/>
      <c r="I1971" s="7">
        <v>24543.33</v>
      </c>
      <c r="J1971" s="7"/>
      <c r="K1971" s="7"/>
      <c r="L1971" s="10">
        <v>5.5741092456127026</v>
      </c>
      <c r="M1971" s="9">
        <v>45017</v>
      </c>
      <c r="N1971" s="10">
        <v>5.5</v>
      </c>
      <c r="O1971" s="9">
        <v>45022</v>
      </c>
      <c r="P1971">
        <v>20</v>
      </c>
      <c r="Q1971" s="11" t="s">
        <v>49</v>
      </c>
      <c r="R1971" s="7"/>
      <c r="S1971" s="7">
        <v>24543.33</v>
      </c>
      <c r="T1971" s="7"/>
      <c r="U1971" s="7"/>
      <c r="V1971" s="10">
        <v>7.5741092456127026</v>
      </c>
      <c r="W1971" s="9">
        <v>45019</v>
      </c>
      <c r="X1971" s="10">
        <v>7.5</v>
      </c>
      <c r="Y1971" s="9">
        <v>45022</v>
      </c>
      <c r="Z1971">
        <v>20</v>
      </c>
      <c r="AA1971" s="11" t="s">
        <v>49</v>
      </c>
    </row>
    <row r="1972" spans="2:27" ht="16" x14ac:dyDescent="0.2">
      <c r="B1972" t="s">
        <v>35</v>
      </c>
      <c r="C1972">
        <v>40366382</v>
      </c>
      <c r="D1972" t="s">
        <v>389</v>
      </c>
      <c r="E1972">
        <v>1022183</v>
      </c>
      <c r="F1972" t="s">
        <v>165</v>
      </c>
      <c r="G1972" s="9">
        <v>45012</v>
      </c>
      <c r="H1972" s="7"/>
      <c r="I1972" s="7">
        <v>24769.37</v>
      </c>
      <c r="J1972" s="7"/>
      <c r="K1972" s="7"/>
      <c r="L1972" s="10">
        <v>5.5741092456127026</v>
      </c>
      <c r="M1972" s="9">
        <v>45017</v>
      </c>
      <c r="N1972" s="10">
        <v>5.5</v>
      </c>
      <c r="O1972" s="9">
        <v>45022</v>
      </c>
      <c r="P1972">
        <v>20</v>
      </c>
      <c r="Q1972" s="11" t="s">
        <v>49</v>
      </c>
      <c r="R1972" s="7"/>
      <c r="S1972" s="7">
        <v>24769.37</v>
      </c>
      <c r="T1972" s="7"/>
      <c r="U1972" s="7"/>
      <c r="V1972" s="10">
        <v>7.5741092456127026</v>
      </c>
      <c r="W1972" s="9">
        <v>45019</v>
      </c>
      <c r="X1972" s="10">
        <v>7.5</v>
      </c>
      <c r="Y1972" s="9">
        <v>45022</v>
      </c>
      <c r="Z1972">
        <v>20</v>
      </c>
      <c r="AA1972" s="11" t="s">
        <v>49</v>
      </c>
    </row>
    <row r="1973" spans="2:27" ht="16" x14ac:dyDescent="0.2">
      <c r="B1973" t="s">
        <v>35</v>
      </c>
      <c r="C1973">
        <v>40366381</v>
      </c>
      <c r="D1973" t="s">
        <v>389</v>
      </c>
      <c r="E1973">
        <v>1022183</v>
      </c>
      <c r="F1973" t="s">
        <v>165</v>
      </c>
      <c r="G1973" s="9">
        <v>45013</v>
      </c>
      <c r="H1973" s="7"/>
      <c r="I1973" s="7">
        <v>25018.14</v>
      </c>
      <c r="J1973" s="7"/>
      <c r="K1973" s="7"/>
      <c r="L1973" s="10">
        <v>5.5741092456127026</v>
      </c>
      <c r="M1973" s="9">
        <v>45018</v>
      </c>
      <c r="N1973" s="10">
        <v>5.5</v>
      </c>
      <c r="O1973" s="9">
        <v>45023</v>
      </c>
      <c r="P1973">
        <v>19</v>
      </c>
      <c r="Q1973" s="11" t="s">
        <v>49</v>
      </c>
      <c r="R1973" s="7"/>
      <c r="S1973" s="7">
        <v>25018.14</v>
      </c>
      <c r="T1973" s="7"/>
      <c r="U1973" s="7"/>
      <c r="V1973" s="10">
        <v>7.5741092456127026</v>
      </c>
      <c r="W1973" s="9">
        <v>45020</v>
      </c>
      <c r="X1973" s="10">
        <v>7.5</v>
      </c>
      <c r="Y1973" s="9">
        <v>45023</v>
      </c>
      <c r="Z1973">
        <v>19</v>
      </c>
      <c r="AA1973" s="11" t="s">
        <v>49</v>
      </c>
    </row>
    <row r="1974" spans="2:27" ht="16" x14ac:dyDescent="0.2">
      <c r="B1974" t="s">
        <v>35</v>
      </c>
      <c r="C1974">
        <v>40366380</v>
      </c>
      <c r="D1974" t="s">
        <v>389</v>
      </c>
      <c r="E1974">
        <v>1022183</v>
      </c>
      <c r="F1974" t="s">
        <v>165</v>
      </c>
      <c r="G1974" s="9">
        <v>45013</v>
      </c>
      <c r="H1974" s="7"/>
      <c r="I1974" s="7">
        <v>25011.99</v>
      </c>
      <c r="J1974" s="7"/>
      <c r="K1974" s="7"/>
      <c r="L1974" s="10">
        <v>5.5741092456127026</v>
      </c>
      <c r="M1974" s="9">
        <v>45018</v>
      </c>
      <c r="N1974" s="10">
        <v>5.5</v>
      </c>
      <c r="O1974" s="9">
        <v>45023</v>
      </c>
      <c r="P1974">
        <v>19</v>
      </c>
      <c r="Q1974" s="11" t="s">
        <v>49</v>
      </c>
      <c r="R1974" s="7"/>
      <c r="S1974" s="7">
        <v>25011.99</v>
      </c>
      <c r="T1974" s="7"/>
      <c r="U1974" s="7"/>
      <c r="V1974" s="10">
        <v>7.5741092456127026</v>
      </c>
      <c r="W1974" s="9">
        <v>45020</v>
      </c>
      <c r="X1974" s="10">
        <v>7.5</v>
      </c>
      <c r="Y1974" s="9">
        <v>45023</v>
      </c>
      <c r="Z1974">
        <v>19</v>
      </c>
      <c r="AA1974" s="11" t="s">
        <v>49</v>
      </c>
    </row>
    <row r="1975" spans="2:27" ht="16" x14ac:dyDescent="0.2">
      <c r="B1975" t="s">
        <v>35</v>
      </c>
      <c r="C1975">
        <v>40366379</v>
      </c>
      <c r="D1975" t="s">
        <v>389</v>
      </c>
      <c r="E1975">
        <v>1022183</v>
      </c>
      <c r="F1975" t="s">
        <v>165</v>
      </c>
      <c r="G1975" s="9">
        <v>45012</v>
      </c>
      <c r="H1975" s="7"/>
      <c r="I1975" s="7">
        <v>24557.19</v>
      </c>
      <c r="J1975" s="7"/>
      <c r="K1975" s="7"/>
      <c r="L1975" s="10">
        <v>5.5741092456127026</v>
      </c>
      <c r="M1975" s="9">
        <v>45017</v>
      </c>
      <c r="N1975" s="10">
        <v>5.5</v>
      </c>
      <c r="O1975" s="9">
        <v>45022</v>
      </c>
      <c r="P1975">
        <v>20</v>
      </c>
      <c r="Q1975" s="11" t="s">
        <v>49</v>
      </c>
      <c r="R1975" s="7"/>
      <c r="S1975" s="7">
        <v>24557.19</v>
      </c>
      <c r="T1975" s="7"/>
      <c r="U1975" s="7"/>
      <c r="V1975" s="10">
        <v>7.5741092456127026</v>
      </c>
      <c r="W1975" s="9">
        <v>45019</v>
      </c>
      <c r="X1975" s="10">
        <v>7.5</v>
      </c>
      <c r="Y1975" s="9">
        <v>45022</v>
      </c>
      <c r="Z1975">
        <v>20</v>
      </c>
      <c r="AA1975" s="11" t="s">
        <v>49</v>
      </c>
    </row>
    <row r="1976" spans="2:27" ht="16" x14ac:dyDescent="0.2">
      <c r="B1976" t="s">
        <v>35</v>
      </c>
      <c r="C1976">
        <v>40366378</v>
      </c>
      <c r="D1976" t="s">
        <v>389</v>
      </c>
      <c r="E1976">
        <v>1022183</v>
      </c>
      <c r="F1976" t="s">
        <v>165</v>
      </c>
      <c r="G1976" s="9">
        <v>45012</v>
      </c>
      <c r="H1976" s="7"/>
      <c r="I1976" s="7">
        <v>24546.87</v>
      </c>
      <c r="J1976" s="7"/>
      <c r="K1976" s="7"/>
      <c r="L1976" s="10">
        <v>5.5741092456127026</v>
      </c>
      <c r="M1976" s="9">
        <v>45017</v>
      </c>
      <c r="N1976" s="10">
        <v>5.5</v>
      </c>
      <c r="O1976" s="9">
        <v>45022</v>
      </c>
      <c r="P1976">
        <v>20</v>
      </c>
      <c r="Q1976" s="11" t="s">
        <v>49</v>
      </c>
      <c r="R1976" s="7"/>
      <c r="S1976" s="7">
        <v>24546.87</v>
      </c>
      <c r="T1976" s="7"/>
      <c r="U1976" s="7"/>
      <c r="V1976" s="10">
        <v>7.5741092456127026</v>
      </c>
      <c r="W1976" s="9">
        <v>45019</v>
      </c>
      <c r="X1976" s="10">
        <v>7.5</v>
      </c>
      <c r="Y1976" s="9">
        <v>45022</v>
      </c>
      <c r="Z1976">
        <v>20</v>
      </c>
      <c r="AA1976" s="11" t="s">
        <v>49</v>
      </c>
    </row>
    <row r="1977" spans="2:27" ht="16" x14ac:dyDescent="0.2">
      <c r="B1977" t="s">
        <v>35</v>
      </c>
      <c r="C1977">
        <v>40366377</v>
      </c>
      <c r="D1977" t="s">
        <v>389</v>
      </c>
      <c r="E1977">
        <v>1022183</v>
      </c>
      <c r="F1977" t="s">
        <v>165</v>
      </c>
      <c r="G1977" s="9">
        <v>45007</v>
      </c>
      <c r="H1977" s="7"/>
      <c r="I1977" s="7">
        <v>25013.58</v>
      </c>
      <c r="J1977" s="7"/>
      <c r="K1977" s="7"/>
      <c r="L1977" s="10">
        <v>5.5741092456127026</v>
      </c>
      <c r="M1977" s="9">
        <v>45012</v>
      </c>
      <c r="N1977" s="10">
        <v>5.5</v>
      </c>
      <c r="O1977" s="9">
        <v>45017</v>
      </c>
      <c r="P1977">
        <v>23</v>
      </c>
      <c r="Q1977" s="11" t="s">
        <v>49</v>
      </c>
      <c r="R1977" s="7"/>
      <c r="S1977" s="7">
        <v>25013.58</v>
      </c>
      <c r="T1977" s="7"/>
      <c r="U1977" s="7"/>
      <c r="V1977" s="10">
        <v>7.5741092456127026</v>
      </c>
      <c r="W1977" s="9">
        <v>45014</v>
      </c>
      <c r="X1977" s="10">
        <v>7.5</v>
      </c>
      <c r="Y1977" s="9">
        <v>45017</v>
      </c>
      <c r="Z1977">
        <v>23</v>
      </c>
      <c r="AA1977" s="11" t="s">
        <v>49</v>
      </c>
    </row>
    <row r="1978" spans="2:27" ht="16" x14ac:dyDescent="0.2">
      <c r="B1978" t="s">
        <v>35</v>
      </c>
      <c r="C1978">
        <v>40366376</v>
      </c>
      <c r="D1978" t="s">
        <v>389</v>
      </c>
      <c r="E1978">
        <v>1022183</v>
      </c>
      <c r="F1978" t="s">
        <v>165</v>
      </c>
      <c r="G1978" s="9">
        <v>45007</v>
      </c>
      <c r="H1978" s="7"/>
      <c r="I1978" s="7">
        <v>24982.91</v>
      </c>
      <c r="J1978" s="7"/>
      <c r="K1978" s="7"/>
      <c r="L1978" s="10">
        <v>5.5741092456127026</v>
      </c>
      <c r="M1978" s="9">
        <v>45012</v>
      </c>
      <c r="N1978" s="10">
        <v>5.5</v>
      </c>
      <c r="O1978" s="9">
        <v>45017</v>
      </c>
      <c r="P1978">
        <v>23</v>
      </c>
      <c r="Q1978" s="11" t="s">
        <v>49</v>
      </c>
      <c r="R1978" s="7"/>
      <c r="S1978" s="7">
        <v>24982.91</v>
      </c>
      <c r="T1978" s="7"/>
      <c r="U1978" s="7"/>
      <c r="V1978" s="10">
        <v>7.5741092456127026</v>
      </c>
      <c r="W1978" s="9">
        <v>45014</v>
      </c>
      <c r="X1978" s="10">
        <v>7.5</v>
      </c>
      <c r="Y1978" s="9">
        <v>45017</v>
      </c>
      <c r="Z1978">
        <v>23</v>
      </c>
      <c r="AA1978" s="11" t="s">
        <v>49</v>
      </c>
    </row>
    <row r="1979" spans="2:27" ht="16" x14ac:dyDescent="0.2">
      <c r="B1979" t="s">
        <v>35</v>
      </c>
      <c r="C1979">
        <v>40366375</v>
      </c>
      <c r="D1979" t="s">
        <v>389</v>
      </c>
      <c r="E1979">
        <v>1022183</v>
      </c>
      <c r="F1979" t="s">
        <v>165</v>
      </c>
      <c r="G1979" s="9">
        <v>45005</v>
      </c>
      <c r="H1979" s="7">
        <v>24876.46</v>
      </c>
      <c r="I1979" s="7"/>
      <c r="J1979" s="7"/>
      <c r="K1979" s="7"/>
      <c r="L1979" s="10">
        <v>5.5741092456127026</v>
      </c>
      <c r="M1979" s="9">
        <v>45010</v>
      </c>
      <c r="N1979" s="10">
        <v>5.5</v>
      </c>
      <c r="O1979" s="9">
        <v>45015</v>
      </c>
      <c r="P1979">
        <v>1</v>
      </c>
      <c r="Q1979" s="11" t="s">
        <v>598</v>
      </c>
      <c r="R1979" s="7">
        <v>24876.46</v>
      </c>
      <c r="S1979" s="7"/>
      <c r="T1979" s="7"/>
      <c r="U1979" s="7"/>
      <c r="V1979" s="10">
        <v>7.5741092456127026</v>
      </c>
      <c r="W1979" s="9">
        <v>45012</v>
      </c>
      <c r="X1979" s="10">
        <v>7.5</v>
      </c>
      <c r="Y1979" s="9">
        <v>45015</v>
      </c>
      <c r="Z1979">
        <v>1</v>
      </c>
      <c r="AA1979" s="11" t="s">
        <v>598</v>
      </c>
    </row>
    <row r="1980" spans="2:27" ht="16" x14ac:dyDescent="0.2">
      <c r="B1980" t="s">
        <v>35</v>
      </c>
      <c r="C1980">
        <v>40366351</v>
      </c>
      <c r="D1980" t="s">
        <v>389</v>
      </c>
      <c r="E1980">
        <v>1022639</v>
      </c>
      <c r="F1980" t="s">
        <v>316</v>
      </c>
      <c r="G1980" s="9">
        <v>45031</v>
      </c>
      <c r="H1980" s="7"/>
      <c r="I1980" s="7">
        <v>22129.97</v>
      </c>
      <c r="J1980" s="7"/>
      <c r="K1980" s="7"/>
      <c r="L1980" s="10">
        <v>5.5741092456127026</v>
      </c>
      <c r="M1980" s="9">
        <v>45036</v>
      </c>
      <c r="N1980" s="10">
        <v>5.5</v>
      </c>
      <c r="O1980" s="9">
        <v>45041</v>
      </c>
      <c r="P1980">
        <v>4</v>
      </c>
      <c r="Q1980" s="11" t="s">
        <v>49</v>
      </c>
      <c r="R1980" s="7"/>
      <c r="S1980" s="7">
        <v>22129.97</v>
      </c>
      <c r="T1980" s="7"/>
      <c r="U1980" s="7"/>
      <c r="V1980" s="10">
        <v>7.5741092456127026</v>
      </c>
      <c r="W1980" s="9">
        <v>45038</v>
      </c>
      <c r="X1980" s="10">
        <v>7.5</v>
      </c>
      <c r="Y1980" s="9">
        <v>45041</v>
      </c>
      <c r="Z1980">
        <v>4</v>
      </c>
      <c r="AA1980" s="11" t="s">
        <v>49</v>
      </c>
    </row>
    <row r="1981" spans="2:27" ht="16" x14ac:dyDescent="0.2">
      <c r="B1981" t="s">
        <v>35</v>
      </c>
      <c r="C1981">
        <v>40366348</v>
      </c>
      <c r="D1981" t="s">
        <v>389</v>
      </c>
      <c r="E1981">
        <v>1022639</v>
      </c>
      <c r="F1981" t="s">
        <v>316</v>
      </c>
      <c r="G1981" s="9">
        <v>45026</v>
      </c>
      <c r="H1981" s="7"/>
      <c r="I1981" s="7">
        <v>22696.44</v>
      </c>
      <c r="J1981" s="7"/>
      <c r="K1981" s="7"/>
      <c r="L1981" s="10">
        <v>5.5741092456127026</v>
      </c>
      <c r="M1981" s="9">
        <v>45031</v>
      </c>
      <c r="N1981" s="10">
        <v>5.5</v>
      </c>
      <c r="O1981" s="9">
        <v>45036</v>
      </c>
      <c r="P1981">
        <v>8</v>
      </c>
      <c r="Q1981" s="11" t="s">
        <v>49</v>
      </c>
      <c r="R1981" s="7"/>
      <c r="S1981" s="7">
        <v>22696.44</v>
      </c>
      <c r="T1981" s="7"/>
      <c r="U1981" s="7"/>
      <c r="V1981" s="10">
        <v>7.5741092456127026</v>
      </c>
      <c r="W1981" s="9">
        <v>45033</v>
      </c>
      <c r="X1981" s="10">
        <v>7.5</v>
      </c>
      <c r="Y1981" s="9">
        <v>45036</v>
      </c>
      <c r="Z1981">
        <v>8</v>
      </c>
      <c r="AA1981" s="11" t="s">
        <v>49</v>
      </c>
    </row>
    <row r="1982" spans="2:27" ht="16" x14ac:dyDescent="0.2">
      <c r="B1982" t="s">
        <v>35</v>
      </c>
      <c r="C1982">
        <v>40366346</v>
      </c>
      <c r="D1982" t="s">
        <v>389</v>
      </c>
      <c r="E1982">
        <v>1022639</v>
      </c>
      <c r="F1982" t="s">
        <v>316</v>
      </c>
      <c r="G1982" s="9">
        <v>45018</v>
      </c>
      <c r="H1982" s="7"/>
      <c r="I1982" s="7">
        <v>22717.78</v>
      </c>
      <c r="J1982" s="7"/>
      <c r="K1982" s="7"/>
      <c r="L1982" s="10">
        <v>5.5741092456127026</v>
      </c>
      <c r="M1982" s="9">
        <v>45023</v>
      </c>
      <c r="N1982" s="10">
        <v>5.5</v>
      </c>
      <c r="O1982" s="9">
        <v>45028</v>
      </c>
      <c r="P1982">
        <v>15</v>
      </c>
      <c r="Q1982" s="11" t="s">
        <v>49</v>
      </c>
      <c r="R1982" s="7"/>
      <c r="S1982" s="7">
        <v>22717.78</v>
      </c>
      <c r="T1982" s="7"/>
      <c r="U1982" s="7"/>
      <c r="V1982" s="10">
        <v>7.5741092456127026</v>
      </c>
      <c r="W1982" s="9">
        <v>45025</v>
      </c>
      <c r="X1982" s="10">
        <v>7.5</v>
      </c>
      <c r="Y1982" s="9">
        <v>45028</v>
      </c>
      <c r="Z1982">
        <v>15</v>
      </c>
      <c r="AA1982" s="11" t="s">
        <v>49</v>
      </c>
    </row>
    <row r="1983" spans="2:27" ht="16" x14ac:dyDescent="0.2">
      <c r="B1983" t="s">
        <v>35</v>
      </c>
      <c r="C1983">
        <v>40366345</v>
      </c>
      <c r="D1983" t="s">
        <v>389</v>
      </c>
      <c r="E1983">
        <v>1022639</v>
      </c>
      <c r="F1983" t="s">
        <v>316</v>
      </c>
      <c r="G1983" s="9">
        <v>45018</v>
      </c>
      <c r="H1983" s="7"/>
      <c r="I1983" s="7">
        <v>22835.7</v>
      </c>
      <c r="J1983" s="7"/>
      <c r="K1983" s="7"/>
      <c r="L1983" s="10">
        <v>5.5741092456127026</v>
      </c>
      <c r="M1983" s="9">
        <v>45023</v>
      </c>
      <c r="N1983" s="10">
        <v>5.5</v>
      </c>
      <c r="O1983" s="9">
        <v>45028</v>
      </c>
      <c r="P1983">
        <v>15</v>
      </c>
      <c r="Q1983" s="11" t="s">
        <v>49</v>
      </c>
      <c r="R1983" s="7"/>
      <c r="S1983" s="7">
        <v>22835.7</v>
      </c>
      <c r="T1983" s="7"/>
      <c r="U1983" s="7"/>
      <c r="V1983" s="10">
        <v>7.5741092456127026</v>
      </c>
      <c r="W1983" s="9">
        <v>45025</v>
      </c>
      <c r="X1983" s="10">
        <v>7.5</v>
      </c>
      <c r="Y1983" s="9">
        <v>45028</v>
      </c>
      <c r="Z1983">
        <v>15</v>
      </c>
      <c r="AA1983" s="11" t="s">
        <v>49</v>
      </c>
    </row>
    <row r="1984" spans="2:27" ht="16" x14ac:dyDescent="0.2">
      <c r="B1984" t="s">
        <v>35</v>
      </c>
      <c r="C1984">
        <v>40366344</v>
      </c>
      <c r="D1984" t="s">
        <v>389</v>
      </c>
      <c r="E1984">
        <v>1022639</v>
      </c>
      <c r="F1984" t="s">
        <v>316</v>
      </c>
      <c r="G1984" s="9">
        <v>45012</v>
      </c>
      <c r="H1984" s="7"/>
      <c r="I1984" s="7">
        <v>23191.94</v>
      </c>
      <c r="J1984" s="7"/>
      <c r="K1984" s="7"/>
      <c r="L1984" s="10">
        <v>5.5741092456127026</v>
      </c>
      <c r="M1984" s="9">
        <v>45017</v>
      </c>
      <c r="N1984" s="10">
        <v>5.5</v>
      </c>
      <c r="O1984" s="9">
        <v>45022</v>
      </c>
      <c r="P1984">
        <v>20</v>
      </c>
      <c r="Q1984" s="11" t="s">
        <v>49</v>
      </c>
      <c r="R1984" s="7"/>
      <c r="S1984" s="7">
        <v>23191.94</v>
      </c>
      <c r="T1984" s="7"/>
      <c r="U1984" s="7"/>
      <c r="V1984" s="10">
        <v>7.5741092456127026</v>
      </c>
      <c r="W1984" s="9">
        <v>45019</v>
      </c>
      <c r="X1984" s="10">
        <v>7.5</v>
      </c>
      <c r="Y1984" s="9">
        <v>45022</v>
      </c>
      <c r="Z1984">
        <v>20</v>
      </c>
      <c r="AA1984" s="11" t="s">
        <v>49</v>
      </c>
    </row>
    <row r="1985" spans="2:27" ht="16" x14ac:dyDescent="0.2">
      <c r="B1985" t="s">
        <v>35</v>
      </c>
      <c r="C1985">
        <v>40366343</v>
      </c>
      <c r="D1985" t="s">
        <v>389</v>
      </c>
      <c r="E1985">
        <v>1022639</v>
      </c>
      <c r="F1985" t="s">
        <v>316</v>
      </c>
      <c r="G1985" s="9">
        <v>45012</v>
      </c>
      <c r="H1985" s="7"/>
      <c r="I1985" s="7">
        <v>23201.41</v>
      </c>
      <c r="J1985" s="7"/>
      <c r="K1985" s="7"/>
      <c r="L1985" s="10">
        <v>5.5741092456127026</v>
      </c>
      <c r="M1985" s="9">
        <v>45017</v>
      </c>
      <c r="N1985" s="10">
        <v>5.5</v>
      </c>
      <c r="O1985" s="9">
        <v>45022</v>
      </c>
      <c r="P1985">
        <v>20</v>
      </c>
      <c r="Q1985" s="11" t="s">
        <v>49</v>
      </c>
      <c r="R1985" s="7"/>
      <c r="S1985" s="7">
        <v>23201.41</v>
      </c>
      <c r="T1985" s="7"/>
      <c r="U1985" s="7"/>
      <c r="V1985" s="10">
        <v>7.5741092456127026</v>
      </c>
      <c r="W1985" s="9">
        <v>45019</v>
      </c>
      <c r="X1985" s="10">
        <v>7.5</v>
      </c>
      <c r="Y1985" s="9">
        <v>45022</v>
      </c>
      <c r="Z1985">
        <v>20</v>
      </c>
      <c r="AA1985" s="11" t="s">
        <v>49</v>
      </c>
    </row>
    <row r="1986" spans="2:27" ht="16" x14ac:dyDescent="0.2">
      <c r="B1986" t="s">
        <v>35</v>
      </c>
      <c r="C1986">
        <v>40366342</v>
      </c>
      <c r="D1986" t="s">
        <v>389</v>
      </c>
      <c r="E1986">
        <v>1022639</v>
      </c>
      <c r="F1986" t="s">
        <v>316</v>
      </c>
      <c r="G1986" s="9">
        <v>45012</v>
      </c>
      <c r="H1986" s="7"/>
      <c r="I1986" s="7">
        <v>22555.52</v>
      </c>
      <c r="J1986" s="7"/>
      <c r="K1986" s="7"/>
      <c r="L1986" s="10">
        <v>5.5741092456127026</v>
      </c>
      <c r="M1986" s="9">
        <v>45017</v>
      </c>
      <c r="N1986" s="10">
        <v>5.5</v>
      </c>
      <c r="O1986" s="9">
        <v>45022</v>
      </c>
      <c r="P1986">
        <v>20</v>
      </c>
      <c r="Q1986" s="11" t="s">
        <v>49</v>
      </c>
      <c r="R1986" s="7"/>
      <c r="S1986" s="7">
        <v>22555.52</v>
      </c>
      <c r="T1986" s="7"/>
      <c r="U1986" s="7"/>
      <c r="V1986" s="10">
        <v>7.5741092456127026</v>
      </c>
      <c r="W1986" s="9">
        <v>45019</v>
      </c>
      <c r="X1986" s="10">
        <v>7.5</v>
      </c>
      <c r="Y1986" s="9">
        <v>45022</v>
      </c>
      <c r="Z1986">
        <v>20</v>
      </c>
      <c r="AA1986" s="11" t="s">
        <v>49</v>
      </c>
    </row>
    <row r="1987" spans="2:27" ht="16" x14ac:dyDescent="0.2">
      <c r="B1987" t="s">
        <v>35</v>
      </c>
      <c r="C1987">
        <v>40366341</v>
      </c>
      <c r="D1987" t="s">
        <v>389</v>
      </c>
      <c r="E1987">
        <v>1022639</v>
      </c>
      <c r="F1987" t="s">
        <v>316</v>
      </c>
      <c r="G1987" s="9">
        <v>45007</v>
      </c>
      <c r="H1987" s="7"/>
      <c r="I1987" s="7">
        <v>22091.09</v>
      </c>
      <c r="J1987" s="7"/>
      <c r="K1987" s="7"/>
      <c r="L1987" s="10">
        <v>5.5741092456127026</v>
      </c>
      <c r="M1987" s="9">
        <v>45012</v>
      </c>
      <c r="N1987" s="10">
        <v>5.5</v>
      </c>
      <c r="O1987" s="9">
        <v>45017</v>
      </c>
      <c r="P1987">
        <v>23</v>
      </c>
      <c r="Q1987" s="11" t="s">
        <v>49</v>
      </c>
      <c r="R1987" s="7"/>
      <c r="S1987" s="7">
        <v>22091.09</v>
      </c>
      <c r="T1987" s="7"/>
      <c r="U1987" s="7"/>
      <c r="V1987" s="10">
        <v>7.5741092456127026</v>
      </c>
      <c r="W1987" s="9">
        <v>45014</v>
      </c>
      <c r="X1987" s="10">
        <v>7.5</v>
      </c>
      <c r="Y1987" s="9">
        <v>45017</v>
      </c>
      <c r="Z1987">
        <v>23</v>
      </c>
      <c r="AA1987" s="11" t="s">
        <v>49</v>
      </c>
    </row>
    <row r="1988" spans="2:27" ht="16" x14ac:dyDescent="0.2">
      <c r="B1988" t="s">
        <v>35</v>
      </c>
      <c r="C1988">
        <v>40366340</v>
      </c>
      <c r="D1988" t="s">
        <v>389</v>
      </c>
      <c r="E1988">
        <v>1022639</v>
      </c>
      <c r="F1988" t="s">
        <v>316</v>
      </c>
      <c r="G1988" s="9">
        <v>45007</v>
      </c>
      <c r="H1988" s="7"/>
      <c r="I1988" s="7">
        <v>22592.89</v>
      </c>
      <c r="J1988" s="7"/>
      <c r="K1988" s="7"/>
      <c r="L1988" s="10">
        <v>5.5741092456127026</v>
      </c>
      <c r="M1988" s="9">
        <v>45012</v>
      </c>
      <c r="N1988" s="10">
        <v>5.5</v>
      </c>
      <c r="O1988" s="9">
        <v>45017</v>
      </c>
      <c r="P1988">
        <v>23</v>
      </c>
      <c r="Q1988" s="11" t="s">
        <v>49</v>
      </c>
      <c r="R1988" s="7"/>
      <c r="S1988" s="7">
        <v>22592.89</v>
      </c>
      <c r="T1988" s="7"/>
      <c r="U1988" s="7"/>
      <c r="V1988" s="10">
        <v>7.5741092456127026</v>
      </c>
      <c r="W1988" s="9">
        <v>45014</v>
      </c>
      <c r="X1988" s="10">
        <v>7.5</v>
      </c>
      <c r="Y1988" s="9">
        <v>45017</v>
      </c>
      <c r="Z1988">
        <v>23</v>
      </c>
      <c r="AA1988" s="11" t="s">
        <v>49</v>
      </c>
    </row>
    <row r="1989" spans="2:27" ht="16" x14ac:dyDescent="0.2">
      <c r="B1989" t="s">
        <v>35</v>
      </c>
      <c r="C1989">
        <v>40366339</v>
      </c>
      <c r="D1989" t="s">
        <v>389</v>
      </c>
      <c r="E1989">
        <v>1022639</v>
      </c>
      <c r="F1989" t="s">
        <v>316</v>
      </c>
      <c r="G1989" s="9">
        <v>45013</v>
      </c>
      <c r="H1989" s="7"/>
      <c r="I1989" s="7">
        <v>22666.41</v>
      </c>
      <c r="J1989" s="7"/>
      <c r="K1989" s="7"/>
      <c r="L1989" s="10">
        <v>5.5741092456127026</v>
      </c>
      <c r="M1989" s="9">
        <v>45018</v>
      </c>
      <c r="N1989" s="10">
        <v>5.5</v>
      </c>
      <c r="O1989" s="9">
        <v>45023</v>
      </c>
      <c r="P1989">
        <v>19</v>
      </c>
      <c r="Q1989" s="11" t="s">
        <v>49</v>
      </c>
      <c r="R1989" s="7"/>
      <c r="S1989" s="7">
        <v>22666.41</v>
      </c>
      <c r="T1989" s="7"/>
      <c r="U1989" s="7"/>
      <c r="V1989" s="10">
        <v>7.5741092456127026</v>
      </c>
      <c r="W1989" s="9">
        <v>45020</v>
      </c>
      <c r="X1989" s="10">
        <v>7.5</v>
      </c>
      <c r="Y1989" s="9">
        <v>45023</v>
      </c>
      <c r="Z1989">
        <v>19</v>
      </c>
      <c r="AA1989" s="11" t="s">
        <v>49</v>
      </c>
    </row>
    <row r="1990" spans="2:27" ht="16" x14ac:dyDescent="0.2">
      <c r="B1990" t="s">
        <v>35</v>
      </c>
      <c r="C1990">
        <v>40366338</v>
      </c>
      <c r="D1990" t="s">
        <v>389</v>
      </c>
      <c r="E1990">
        <v>1022639</v>
      </c>
      <c r="F1990" t="s">
        <v>316</v>
      </c>
      <c r="G1990" s="9">
        <v>45013</v>
      </c>
      <c r="H1990" s="7"/>
      <c r="I1990" s="7">
        <v>22857.84</v>
      </c>
      <c r="J1990" s="7"/>
      <c r="K1990" s="7"/>
      <c r="L1990" s="10">
        <v>5.5741092456127026</v>
      </c>
      <c r="M1990" s="9">
        <v>45018</v>
      </c>
      <c r="N1990" s="10">
        <v>5.5</v>
      </c>
      <c r="O1990" s="9">
        <v>45023</v>
      </c>
      <c r="P1990">
        <v>19</v>
      </c>
      <c r="Q1990" s="11" t="s">
        <v>49</v>
      </c>
      <c r="R1990" s="7"/>
      <c r="S1990" s="7">
        <v>22857.84</v>
      </c>
      <c r="T1990" s="7"/>
      <c r="U1990" s="7"/>
      <c r="V1990" s="10">
        <v>7.5741092456127026</v>
      </c>
      <c r="W1990" s="9">
        <v>45020</v>
      </c>
      <c r="X1990" s="10">
        <v>7.5</v>
      </c>
      <c r="Y1990" s="9">
        <v>45023</v>
      </c>
      <c r="Z1990">
        <v>19</v>
      </c>
      <c r="AA1990" s="11" t="s">
        <v>49</v>
      </c>
    </row>
    <row r="1991" spans="2:27" ht="16" x14ac:dyDescent="0.2">
      <c r="B1991" t="s">
        <v>35</v>
      </c>
      <c r="C1991">
        <v>40366337</v>
      </c>
      <c r="D1991" t="s">
        <v>389</v>
      </c>
      <c r="E1991">
        <v>1022639</v>
      </c>
      <c r="F1991" t="s">
        <v>316</v>
      </c>
      <c r="G1991" s="9">
        <v>45012</v>
      </c>
      <c r="H1991" s="7"/>
      <c r="I1991" s="7">
        <v>22995.59</v>
      </c>
      <c r="J1991" s="7"/>
      <c r="K1991" s="7"/>
      <c r="L1991" s="10">
        <v>5.5741092456127026</v>
      </c>
      <c r="M1991" s="9">
        <v>45017</v>
      </c>
      <c r="N1991" s="10">
        <v>5.5</v>
      </c>
      <c r="O1991" s="9">
        <v>45022</v>
      </c>
      <c r="P1991">
        <v>20</v>
      </c>
      <c r="Q1991" s="11" t="s">
        <v>49</v>
      </c>
      <c r="R1991" s="7"/>
      <c r="S1991" s="7">
        <v>22995.59</v>
      </c>
      <c r="T1991" s="7"/>
      <c r="U1991" s="7"/>
      <c r="V1991" s="10">
        <v>7.5741092456127026</v>
      </c>
      <c r="W1991" s="9">
        <v>45019</v>
      </c>
      <c r="X1991" s="10">
        <v>7.5</v>
      </c>
      <c r="Y1991" s="9">
        <v>45022</v>
      </c>
      <c r="Z1991">
        <v>20</v>
      </c>
      <c r="AA1991" s="11" t="s">
        <v>49</v>
      </c>
    </row>
    <row r="1992" spans="2:27" ht="16" x14ac:dyDescent="0.2">
      <c r="B1992" t="s">
        <v>35</v>
      </c>
      <c r="C1992">
        <v>40366336</v>
      </c>
      <c r="D1992" t="s">
        <v>389</v>
      </c>
      <c r="E1992">
        <v>1022639</v>
      </c>
      <c r="F1992" t="s">
        <v>316</v>
      </c>
      <c r="G1992" s="9">
        <v>45007</v>
      </c>
      <c r="H1992" s="7"/>
      <c r="I1992" s="7">
        <v>22495.61</v>
      </c>
      <c r="J1992" s="7"/>
      <c r="K1992" s="7"/>
      <c r="L1992" s="10">
        <v>5.5741092456127026</v>
      </c>
      <c r="M1992" s="9">
        <v>45012</v>
      </c>
      <c r="N1992" s="10">
        <v>5.5</v>
      </c>
      <c r="O1992" s="9">
        <v>45017</v>
      </c>
      <c r="P1992">
        <v>23</v>
      </c>
      <c r="Q1992" s="11" t="s">
        <v>49</v>
      </c>
      <c r="R1992" s="7"/>
      <c r="S1992" s="7">
        <v>22495.61</v>
      </c>
      <c r="T1992" s="7"/>
      <c r="U1992" s="7"/>
      <c r="V1992" s="10">
        <v>7.5741092456127026</v>
      </c>
      <c r="W1992" s="9">
        <v>45014</v>
      </c>
      <c r="X1992" s="10">
        <v>7.5</v>
      </c>
      <c r="Y1992" s="9">
        <v>45017</v>
      </c>
      <c r="Z1992">
        <v>23</v>
      </c>
      <c r="AA1992" s="11" t="s">
        <v>49</v>
      </c>
    </row>
    <row r="1993" spans="2:27" ht="16" x14ac:dyDescent="0.2">
      <c r="B1993" t="s">
        <v>35</v>
      </c>
      <c r="C1993">
        <v>40366335</v>
      </c>
      <c r="D1993" t="s">
        <v>389</v>
      </c>
      <c r="E1993">
        <v>1022639</v>
      </c>
      <c r="F1993" t="s">
        <v>316</v>
      </c>
      <c r="G1993" s="9">
        <v>45007</v>
      </c>
      <c r="H1993" s="7"/>
      <c r="I1993" s="7">
        <v>22625.58</v>
      </c>
      <c r="J1993" s="7"/>
      <c r="K1993" s="7"/>
      <c r="L1993" s="10">
        <v>5.5741092456127026</v>
      </c>
      <c r="M1993" s="9">
        <v>45012</v>
      </c>
      <c r="N1993" s="10">
        <v>5.5</v>
      </c>
      <c r="O1993" s="9">
        <v>45017</v>
      </c>
      <c r="P1993">
        <v>23</v>
      </c>
      <c r="Q1993" s="11" t="s">
        <v>49</v>
      </c>
      <c r="R1993" s="7"/>
      <c r="S1993" s="7">
        <v>22625.58</v>
      </c>
      <c r="T1993" s="7"/>
      <c r="U1993" s="7"/>
      <c r="V1993" s="10">
        <v>7.5741092456127026</v>
      </c>
      <c r="W1993" s="9">
        <v>45014</v>
      </c>
      <c r="X1993" s="10">
        <v>7.5</v>
      </c>
      <c r="Y1993" s="9">
        <v>45017</v>
      </c>
      <c r="Z1993">
        <v>23</v>
      </c>
      <c r="AA1993" s="11" t="s">
        <v>49</v>
      </c>
    </row>
    <row r="1994" spans="2:27" ht="16" x14ac:dyDescent="0.2">
      <c r="B1994" t="s">
        <v>35</v>
      </c>
      <c r="C1994">
        <v>40366334</v>
      </c>
      <c r="D1994" t="s">
        <v>389</v>
      </c>
      <c r="E1994">
        <v>1022639</v>
      </c>
      <c r="F1994" t="s">
        <v>316</v>
      </c>
      <c r="G1994" s="9">
        <v>45007</v>
      </c>
      <c r="H1994" s="7"/>
      <c r="I1994" s="7">
        <v>22392.39</v>
      </c>
      <c r="J1994" s="7"/>
      <c r="K1994" s="7"/>
      <c r="L1994" s="10">
        <v>5.5741092456127026</v>
      </c>
      <c r="M1994" s="9">
        <v>45012</v>
      </c>
      <c r="N1994" s="10">
        <v>5.5</v>
      </c>
      <c r="O1994" s="9">
        <v>45017</v>
      </c>
      <c r="P1994">
        <v>23</v>
      </c>
      <c r="Q1994" s="11" t="s">
        <v>49</v>
      </c>
      <c r="R1994" s="7"/>
      <c r="S1994" s="7">
        <v>22392.39</v>
      </c>
      <c r="T1994" s="7"/>
      <c r="U1994" s="7"/>
      <c r="V1994" s="10">
        <v>7.5741092456127026</v>
      </c>
      <c r="W1994" s="9">
        <v>45014</v>
      </c>
      <c r="X1994" s="10">
        <v>7.5</v>
      </c>
      <c r="Y1994" s="9">
        <v>45017</v>
      </c>
      <c r="Z1994">
        <v>23</v>
      </c>
      <c r="AA1994" s="11" t="s">
        <v>49</v>
      </c>
    </row>
    <row r="1995" spans="2:27" ht="16" x14ac:dyDescent="0.2">
      <c r="B1995" t="s">
        <v>35</v>
      </c>
      <c r="C1995">
        <v>40366333</v>
      </c>
      <c r="D1995" t="s">
        <v>389</v>
      </c>
      <c r="E1995">
        <v>1022639</v>
      </c>
      <c r="F1995" t="s">
        <v>316</v>
      </c>
      <c r="G1995" s="9">
        <v>45012</v>
      </c>
      <c r="H1995" s="7"/>
      <c r="I1995" s="7">
        <v>23012.19</v>
      </c>
      <c r="J1995" s="7"/>
      <c r="K1995" s="7"/>
      <c r="L1995" s="10">
        <v>5.5741092456127026</v>
      </c>
      <c r="M1995" s="9">
        <v>45017</v>
      </c>
      <c r="N1995" s="10">
        <v>5.5</v>
      </c>
      <c r="O1995" s="9">
        <v>45022</v>
      </c>
      <c r="P1995">
        <v>20</v>
      </c>
      <c r="Q1995" s="11" t="s">
        <v>49</v>
      </c>
      <c r="R1995" s="7"/>
      <c r="S1995" s="7">
        <v>23012.19</v>
      </c>
      <c r="T1995" s="7"/>
      <c r="U1995" s="7"/>
      <c r="V1995" s="10">
        <v>7.5741092456127026</v>
      </c>
      <c r="W1995" s="9">
        <v>45019</v>
      </c>
      <c r="X1995" s="10">
        <v>7.5</v>
      </c>
      <c r="Y1995" s="9">
        <v>45022</v>
      </c>
      <c r="Z1995">
        <v>20</v>
      </c>
      <c r="AA1995" s="11" t="s">
        <v>49</v>
      </c>
    </row>
    <row r="1996" spans="2:27" ht="16" x14ac:dyDescent="0.2">
      <c r="B1996" t="s">
        <v>35</v>
      </c>
      <c r="C1996">
        <v>40366332</v>
      </c>
      <c r="D1996" t="s">
        <v>389</v>
      </c>
      <c r="E1996">
        <v>1022639</v>
      </c>
      <c r="F1996" t="s">
        <v>316</v>
      </c>
      <c r="G1996" s="9">
        <v>45012</v>
      </c>
      <c r="H1996" s="7"/>
      <c r="I1996" s="7">
        <v>22894.81</v>
      </c>
      <c r="J1996" s="7"/>
      <c r="K1996" s="7"/>
      <c r="L1996" s="10">
        <v>5.5741092456127026</v>
      </c>
      <c r="M1996" s="9">
        <v>45017</v>
      </c>
      <c r="N1996" s="10">
        <v>5.5</v>
      </c>
      <c r="O1996" s="9">
        <v>45022</v>
      </c>
      <c r="P1996">
        <v>20</v>
      </c>
      <c r="Q1996" s="11" t="s">
        <v>49</v>
      </c>
      <c r="R1996" s="7"/>
      <c r="S1996" s="7">
        <v>22894.81</v>
      </c>
      <c r="T1996" s="7"/>
      <c r="U1996" s="7"/>
      <c r="V1996" s="10">
        <v>7.5741092456127026</v>
      </c>
      <c r="W1996" s="9">
        <v>45019</v>
      </c>
      <c r="X1996" s="10">
        <v>7.5</v>
      </c>
      <c r="Y1996" s="9">
        <v>45022</v>
      </c>
      <c r="Z1996">
        <v>20</v>
      </c>
      <c r="AA1996" s="11" t="s">
        <v>49</v>
      </c>
    </row>
    <row r="1997" spans="2:27" x14ac:dyDescent="0.2">
      <c r="B1997" t="s">
        <v>394</v>
      </c>
      <c r="C1997">
        <v>40366281</v>
      </c>
      <c r="D1997" t="s">
        <v>396</v>
      </c>
      <c r="E1997">
        <v>1023490</v>
      </c>
      <c r="F1997" t="s">
        <v>507</v>
      </c>
      <c r="G1997" s="9">
        <v>45038</v>
      </c>
      <c r="H1997" s="7"/>
      <c r="I1997" s="7">
        <v>24000</v>
      </c>
      <c r="J1997" s="7"/>
      <c r="K1997" s="7"/>
      <c r="L1997" s="10"/>
      <c r="N1997" s="10"/>
      <c r="Q1997" s="11"/>
      <c r="R1997" s="7"/>
      <c r="S1997" s="7">
        <v>24000</v>
      </c>
      <c r="T1997" s="7"/>
      <c r="U1997" s="7"/>
      <c r="V1997" s="10"/>
      <c r="X1997" s="10"/>
      <c r="AA1997" s="11"/>
    </row>
    <row r="1998" spans="2:27" x14ac:dyDescent="0.2">
      <c r="B1998" t="s">
        <v>394</v>
      </c>
      <c r="C1998">
        <v>40366280</v>
      </c>
      <c r="D1998" t="s">
        <v>396</v>
      </c>
      <c r="E1998">
        <v>1023490</v>
      </c>
      <c r="F1998" t="s">
        <v>507</v>
      </c>
      <c r="G1998" s="9">
        <v>45038</v>
      </c>
      <c r="H1998" s="7"/>
      <c r="I1998" s="7">
        <v>24000</v>
      </c>
      <c r="J1998" s="7"/>
      <c r="K1998" s="7"/>
      <c r="L1998" s="10"/>
      <c r="N1998" s="10"/>
      <c r="Q1998" s="11"/>
      <c r="R1998" s="7"/>
      <c r="S1998" s="7">
        <v>24000</v>
      </c>
      <c r="T1998" s="7"/>
      <c r="U1998" s="7"/>
      <c r="V1998" s="10"/>
      <c r="X1998" s="10"/>
      <c r="AA1998" s="11"/>
    </row>
    <row r="1999" spans="2:27" x14ac:dyDescent="0.2">
      <c r="B1999" t="s">
        <v>394</v>
      </c>
      <c r="C1999">
        <v>40365702</v>
      </c>
      <c r="D1999" t="s">
        <v>485</v>
      </c>
      <c r="E1999">
        <v>1022150</v>
      </c>
      <c r="F1999" t="s">
        <v>500</v>
      </c>
      <c r="G1999" s="9">
        <v>44991</v>
      </c>
      <c r="H1999" s="7">
        <v>23999.18</v>
      </c>
      <c r="I1999" s="7"/>
      <c r="J1999" s="7"/>
      <c r="K1999" s="7"/>
      <c r="L1999" s="10"/>
      <c r="N1999" s="10"/>
      <c r="Q1999" s="11"/>
      <c r="R1999" s="7">
        <v>23999.18</v>
      </c>
      <c r="S1999" s="7"/>
      <c r="T1999" s="7"/>
      <c r="U1999" s="7"/>
      <c r="V1999" s="10"/>
      <c r="X1999" s="10"/>
      <c r="AA1999" s="11"/>
    </row>
    <row r="2000" spans="2:27" ht="16" x14ac:dyDescent="0.2">
      <c r="B2000" t="s">
        <v>35</v>
      </c>
      <c r="C2000">
        <v>40365511</v>
      </c>
      <c r="D2000" t="s">
        <v>389</v>
      </c>
      <c r="E2000">
        <v>1022096</v>
      </c>
      <c r="F2000" t="s">
        <v>440</v>
      </c>
      <c r="G2000" s="9">
        <v>45014</v>
      </c>
      <c r="H2000" s="7"/>
      <c r="I2000" s="7">
        <v>24000</v>
      </c>
      <c r="J2000" s="7"/>
      <c r="K2000" s="7"/>
      <c r="L2000" s="10">
        <v>5.5741092456127026</v>
      </c>
      <c r="M2000" s="9">
        <v>45019</v>
      </c>
      <c r="N2000" s="10">
        <v>5.5</v>
      </c>
      <c r="O2000" s="9">
        <v>45024</v>
      </c>
      <c r="P2000">
        <v>18</v>
      </c>
      <c r="Q2000" s="11" t="s">
        <v>49</v>
      </c>
      <c r="R2000" s="7"/>
      <c r="S2000" s="7">
        <v>24000</v>
      </c>
      <c r="T2000" s="7"/>
      <c r="U2000" s="7"/>
      <c r="V2000" s="10">
        <v>7.5741092456127026</v>
      </c>
      <c r="W2000" s="9">
        <v>45021</v>
      </c>
      <c r="X2000" s="10">
        <v>7.5</v>
      </c>
      <c r="Y2000" s="9">
        <v>45024</v>
      </c>
      <c r="Z2000">
        <v>18</v>
      </c>
      <c r="AA2000" s="11" t="s">
        <v>49</v>
      </c>
    </row>
    <row r="2001" spans="2:27" ht="16" x14ac:dyDescent="0.2">
      <c r="B2001" t="s">
        <v>35</v>
      </c>
      <c r="C2001">
        <v>40365510</v>
      </c>
      <c r="D2001" t="s">
        <v>389</v>
      </c>
      <c r="E2001">
        <v>1021731</v>
      </c>
      <c r="F2001" t="s">
        <v>273</v>
      </c>
      <c r="G2001" s="9">
        <v>45007</v>
      </c>
      <c r="H2001" s="7"/>
      <c r="I2001" s="7">
        <v>24200</v>
      </c>
      <c r="J2001" s="7"/>
      <c r="K2001" s="7"/>
      <c r="L2001" s="10">
        <v>5.5741092456127026</v>
      </c>
      <c r="M2001" s="9">
        <v>45012</v>
      </c>
      <c r="N2001" s="10">
        <v>5.5</v>
      </c>
      <c r="O2001" s="9">
        <v>45017</v>
      </c>
      <c r="P2001">
        <v>23</v>
      </c>
      <c r="Q2001" s="11" t="s">
        <v>49</v>
      </c>
      <c r="R2001" s="7"/>
      <c r="S2001" s="7">
        <v>24200</v>
      </c>
      <c r="T2001" s="7"/>
      <c r="U2001" s="7"/>
      <c r="V2001" s="10">
        <v>7.5741092456127026</v>
      </c>
      <c r="W2001" s="9">
        <v>45014</v>
      </c>
      <c r="X2001" s="10">
        <v>7.5</v>
      </c>
      <c r="Y2001" s="9">
        <v>45017</v>
      </c>
      <c r="Z2001">
        <v>23</v>
      </c>
      <c r="AA2001" s="11" t="s">
        <v>49</v>
      </c>
    </row>
    <row r="2002" spans="2:27" ht="16" x14ac:dyDescent="0.2">
      <c r="B2002" t="s">
        <v>35</v>
      </c>
      <c r="C2002">
        <v>40365509</v>
      </c>
      <c r="D2002" t="s">
        <v>389</v>
      </c>
      <c r="E2002">
        <v>1021731</v>
      </c>
      <c r="F2002" t="s">
        <v>273</v>
      </c>
      <c r="G2002" s="9">
        <v>45018</v>
      </c>
      <c r="H2002" s="7"/>
      <c r="I2002" s="7">
        <v>24060</v>
      </c>
      <c r="J2002" s="7"/>
      <c r="K2002" s="7"/>
      <c r="L2002" s="10">
        <v>5.5741092456127026</v>
      </c>
      <c r="M2002" s="9">
        <v>45023</v>
      </c>
      <c r="N2002" s="10">
        <v>5.5</v>
      </c>
      <c r="O2002" s="9">
        <v>45028</v>
      </c>
      <c r="P2002">
        <v>15</v>
      </c>
      <c r="Q2002" s="11" t="s">
        <v>49</v>
      </c>
      <c r="R2002" s="7"/>
      <c r="S2002" s="7">
        <v>24060</v>
      </c>
      <c r="T2002" s="7"/>
      <c r="U2002" s="7"/>
      <c r="V2002" s="10">
        <v>7.5741092456127026</v>
      </c>
      <c r="W2002" s="9">
        <v>45025</v>
      </c>
      <c r="X2002" s="10">
        <v>7.5</v>
      </c>
      <c r="Y2002" s="9">
        <v>45028</v>
      </c>
      <c r="Z2002">
        <v>15</v>
      </c>
      <c r="AA2002" s="11" t="s">
        <v>49</v>
      </c>
    </row>
    <row r="2003" spans="2:27" ht="16" x14ac:dyDescent="0.2">
      <c r="B2003" t="s">
        <v>35</v>
      </c>
      <c r="C2003">
        <v>40365508</v>
      </c>
      <c r="D2003" t="s">
        <v>389</v>
      </c>
      <c r="E2003">
        <v>1022099</v>
      </c>
      <c r="F2003" t="s">
        <v>294</v>
      </c>
      <c r="G2003" s="9">
        <v>45004</v>
      </c>
      <c r="H2003" s="7">
        <v>24084</v>
      </c>
      <c r="I2003" s="7"/>
      <c r="J2003" s="7"/>
      <c r="K2003" s="7"/>
      <c r="L2003" s="10">
        <v>5.5741092456127026</v>
      </c>
      <c r="M2003" s="9">
        <v>45009</v>
      </c>
      <c r="N2003" s="10">
        <v>5.5</v>
      </c>
      <c r="O2003" s="9">
        <v>45014</v>
      </c>
      <c r="P2003">
        <v>2</v>
      </c>
      <c r="Q2003" s="11" t="s">
        <v>598</v>
      </c>
      <c r="R2003" s="7">
        <v>24084</v>
      </c>
      <c r="S2003" s="7"/>
      <c r="T2003" s="7"/>
      <c r="U2003" s="7"/>
      <c r="V2003" s="10">
        <v>7.5741092456127026</v>
      </c>
      <c r="W2003" s="9">
        <v>45011</v>
      </c>
      <c r="X2003" s="10">
        <v>7.5</v>
      </c>
      <c r="Y2003" s="9">
        <v>45014</v>
      </c>
      <c r="Z2003">
        <v>2</v>
      </c>
      <c r="AA2003" s="11" t="s">
        <v>598</v>
      </c>
    </row>
    <row r="2004" spans="2:27" ht="16" x14ac:dyDescent="0.2">
      <c r="B2004" t="s">
        <v>35</v>
      </c>
      <c r="C2004">
        <v>40365506</v>
      </c>
      <c r="D2004" t="s">
        <v>389</v>
      </c>
      <c r="E2004">
        <v>1023373</v>
      </c>
      <c r="F2004" t="s">
        <v>459</v>
      </c>
      <c r="G2004" s="9">
        <v>45031</v>
      </c>
      <c r="H2004" s="7"/>
      <c r="I2004" s="7">
        <v>24230</v>
      </c>
      <c r="J2004" s="7"/>
      <c r="K2004" s="7"/>
      <c r="L2004" s="10">
        <v>5.5741092456127026</v>
      </c>
      <c r="M2004" s="9">
        <v>45036</v>
      </c>
      <c r="N2004" s="10">
        <v>5.5</v>
      </c>
      <c r="O2004" s="9">
        <v>45041</v>
      </c>
      <c r="P2004">
        <v>4</v>
      </c>
      <c r="Q2004" s="11" t="s">
        <v>49</v>
      </c>
      <c r="R2004" s="7"/>
      <c r="S2004" s="7">
        <v>24230</v>
      </c>
      <c r="T2004" s="7"/>
      <c r="U2004" s="7"/>
      <c r="V2004" s="10">
        <v>7.5741092456127026</v>
      </c>
      <c r="W2004" s="9">
        <v>45038</v>
      </c>
      <c r="X2004" s="10">
        <v>7.5</v>
      </c>
      <c r="Y2004" s="9">
        <v>45041</v>
      </c>
      <c r="Z2004">
        <v>4</v>
      </c>
      <c r="AA2004" s="11" t="s">
        <v>49</v>
      </c>
    </row>
    <row r="2005" spans="2:27" ht="16" x14ac:dyDescent="0.2">
      <c r="B2005" t="s">
        <v>35</v>
      </c>
      <c r="C2005">
        <v>40365505</v>
      </c>
      <c r="D2005" t="s">
        <v>389</v>
      </c>
      <c r="E2005">
        <v>1023373</v>
      </c>
      <c r="F2005" t="s">
        <v>459</v>
      </c>
      <c r="G2005" s="9">
        <v>45007</v>
      </c>
      <c r="H2005" s="7"/>
      <c r="I2005" s="7">
        <v>24160</v>
      </c>
      <c r="J2005" s="7"/>
      <c r="K2005" s="7"/>
      <c r="L2005" s="10">
        <v>5.5741092456127026</v>
      </c>
      <c r="M2005" s="9">
        <v>45012</v>
      </c>
      <c r="N2005" s="10">
        <v>5.5</v>
      </c>
      <c r="O2005" s="9">
        <v>45017</v>
      </c>
      <c r="P2005">
        <v>23</v>
      </c>
      <c r="Q2005" s="11" t="s">
        <v>49</v>
      </c>
      <c r="R2005" s="7"/>
      <c r="S2005" s="7">
        <v>24160</v>
      </c>
      <c r="T2005" s="7"/>
      <c r="U2005" s="7"/>
      <c r="V2005" s="10">
        <v>7.5741092456127026</v>
      </c>
      <c r="W2005" s="9">
        <v>45014</v>
      </c>
      <c r="X2005" s="10">
        <v>7.5</v>
      </c>
      <c r="Y2005" s="9">
        <v>45017</v>
      </c>
      <c r="Z2005">
        <v>23</v>
      </c>
      <c r="AA2005" s="11" t="s">
        <v>49</v>
      </c>
    </row>
    <row r="2006" spans="2:27" x14ac:dyDescent="0.2">
      <c r="B2006" t="s">
        <v>394</v>
      </c>
      <c r="C2006">
        <v>40365246</v>
      </c>
      <c r="D2006" t="s">
        <v>485</v>
      </c>
      <c r="E2006">
        <v>1022150</v>
      </c>
      <c r="F2006" t="s">
        <v>500</v>
      </c>
      <c r="G2006" s="9">
        <v>44995</v>
      </c>
      <c r="H2006" s="7">
        <v>24005.66</v>
      </c>
      <c r="I2006" s="7"/>
      <c r="J2006" s="7"/>
      <c r="K2006" s="7"/>
      <c r="L2006" s="10"/>
      <c r="N2006" s="10"/>
      <c r="Q2006" s="11"/>
      <c r="R2006" s="7">
        <v>24005.66</v>
      </c>
      <c r="S2006" s="7"/>
      <c r="T2006" s="7"/>
      <c r="U2006" s="7"/>
      <c r="V2006" s="10"/>
      <c r="X2006" s="10"/>
      <c r="AA2006" s="11"/>
    </row>
    <row r="2007" spans="2:27" x14ac:dyDescent="0.2">
      <c r="B2007" t="s">
        <v>394</v>
      </c>
      <c r="C2007">
        <v>40365245</v>
      </c>
      <c r="D2007" t="s">
        <v>485</v>
      </c>
      <c r="E2007">
        <v>1022150</v>
      </c>
      <c r="F2007" t="s">
        <v>500</v>
      </c>
      <c r="G2007" s="9">
        <v>44990</v>
      </c>
      <c r="H2007" s="7">
        <v>23535.43</v>
      </c>
      <c r="I2007" s="7"/>
      <c r="J2007" s="7"/>
      <c r="K2007" s="7"/>
      <c r="L2007" s="10"/>
      <c r="N2007" s="10"/>
      <c r="Q2007" s="11"/>
      <c r="R2007" s="7">
        <v>23535.43</v>
      </c>
      <c r="S2007" s="7"/>
      <c r="T2007" s="7"/>
      <c r="U2007" s="7"/>
      <c r="V2007" s="10"/>
      <c r="X2007" s="10"/>
      <c r="AA2007" s="11"/>
    </row>
    <row r="2008" spans="2:27" x14ac:dyDescent="0.2">
      <c r="B2008" t="s">
        <v>394</v>
      </c>
      <c r="C2008">
        <v>40365215</v>
      </c>
      <c r="D2008" t="s">
        <v>485</v>
      </c>
      <c r="E2008">
        <v>1011558</v>
      </c>
      <c r="F2008" t="s">
        <v>603</v>
      </c>
      <c r="G2008" s="9">
        <v>44977</v>
      </c>
      <c r="H2008" s="7"/>
      <c r="I2008" s="7"/>
      <c r="J2008" s="7"/>
      <c r="K2008" s="7"/>
      <c r="L2008" s="10"/>
      <c r="N2008" s="10"/>
      <c r="Q2008" s="11"/>
      <c r="R2008" s="7"/>
      <c r="S2008" s="7"/>
      <c r="T2008" s="7"/>
      <c r="U2008" s="7"/>
      <c r="V2008" s="10"/>
      <c r="X2008" s="10"/>
      <c r="AA2008" s="11"/>
    </row>
    <row r="2009" spans="2:27" x14ac:dyDescent="0.2">
      <c r="B2009" t="s">
        <v>394</v>
      </c>
      <c r="C2009">
        <v>40365214</v>
      </c>
      <c r="D2009" t="s">
        <v>485</v>
      </c>
      <c r="E2009">
        <v>1011558</v>
      </c>
      <c r="F2009" t="s">
        <v>603</v>
      </c>
      <c r="G2009" s="9">
        <v>44977</v>
      </c>
      <c r="H2009" s="7"/>
      <c r="I2009" s="7"/>
      <c r="J2009" s="7"/>
      <c r="K2009" s="7"/>
      <c r="L2009" s="10"/>
      <c r="N2009" s="10"/>
      <c r="Q2009" s="11"/>
      <c r="R2009" s="7"/>
      <c r="S2009" s="7"/>
      <c r="T2009" s="7"/>
      <c r="U2009" s="7"/>
      <c r="V2009" s="10"/>
      <c r="X2009" s="10"/>
      <c r="AA2009" s="11"/>
    </row>
    <row r="2010" spans="2:27" x14ac:dyDescent="0.2">
      <c r="B2010" t="s">
        <v>394</v>
      </c>
      <c r="C2010">
        <v>40365211</v>
      </c>
      <c r="D2010" t="s">
        <v>485</v>
      </c>
      <c r="E2010">
        <v>1022150</v>
      </c>
      <c r="F2010" t="s">
        <v>500</v>
      </c>
      <c r="G2010" s="9">
        <v>44991</v>
      </c>
      <c r="H2010" s="7">
        <v>23986.01</v>
      </c>
      <c r="I2010" s="7"/>
      <c r="J2010" s="7"/>
      <c r="K2010" s="7"/>
      <c r="L2010" s="10"/>
      <c r="N2010" s="10"/>
      <c r="Q2010" s="11"/>
      <c r="R2010" s="7">
        <v>23986.01</v>
      </c>
      <c r="S2010" s="7"/>
      <c r="T2010" s="7"/>
      <c r="U2010" s="7"/>
      <c r="V2010" s="10"/>
      <c r="X2010" s="10"/>
      <c r="AA2010" s="11"/>
    </row>
    <row r="2011" spans="2:27" x14ac:dyDescent="0.2">
      <c r="B2011" t="s">
        <v>394</v>
      </c>
      <c r="C2011">
        <v>40364998</v>
      </c>
      <c r="D2011" t="s">
        <v>485</v>
      </c>
      <c r="E2011">
        <v>1020412</v>
      </c>
      <c r="F2011" t="s">
        <v>486</v>
      </c>
      <c r="G2011" s="9">
        <v>44981</v>
      </c>
      <c r="H2011" s="7"/>
      <c r="I2011" s="7"/>
      <c r="J2011" s="7"/>
      <c r="K2011" s="7"/>
      <c r="L2011" s="10"/>
      <c r="N2011" s="10"/>
      <c r="Q2011" s="11"/>
      <c r="R2011" s="7"/>
      <c r="S2011" s="7"/>
      <c r="T2011" s="7"/>
      <c r="U2011" s="7"/>
      <c r="V2011" s="10"/>
      <c r="X2011" s="10"/>
      <c r="AA2011" s="11"/>
    </row>
    <row r="2012" spans="2:27" x14ac:dyDescent="0.2">
      <c r="B2012" t="s">
        <v>394</v>
      </c>
      <c r="C2012">
        <v>40364997</v>
      </c>
      <c r="D2012" t="s">
        <v>485</v>
      </c>
      <c r="E2012">
        <v>1020412</v>
      </c>
      <c r="F2012" t="s">
        <v>486</v>
      </c>
      <c r="G2012" s="9">
        <v>44981</v>
      </c>
      <c r="H2012" s="7"/>
      <c r="I2012" s="7"/>
      <c r="J2012" s="7"/>
      <c r="K2012" s="7"/>
      <c r="L2012" s="10"/>
      <c r="N2012" s="10"/>
      <c r="Q2012" s="11"/>
      <c r="R2012" s="7"/>
      <c r="S2012" s="7"/>
      <c r="T2012" s="7"/>
      <c r="U2012" s="7"/>
      <c r="V2012" s="10"/>
      <c r="X2012" s="10"/>
      <c r="AA2012" s="11"/>
    </row>
    <row r="2013" spans="2:27" ht="16" x14ac:dyDescent="0.2">
      <c r="B2013" t="s">
        <v>35</v>
      </c>
      <c r="C2013">
        <v>40364990</v>
      </c>
      <c r="D2013" t="s">
        <v>423</v>
      </c>
      <c r="E2013">
        <v>1030658</v>
      </c>
      <c r="F2013" t="s">
        <v>371</v>
      </c>
      <c r="G2013" s="9">
        <v>44991</v>
      </c>
      <c r="H2013" s="7">
        <v>24017.360000000001</v>
      </c>
      <c r="I2013" s="7"/>
      <c r="J2013" s="7"/>
      <c r="K2013" s="7"/>
      <c r="L2013" s="10">
        <v>5.4496124031007751</v>
      </c>
      <c r="M2013" s="9">
        <v>44996</v>
      </c>
      <c r="N2013" s="10">
        <v>10</v>
      </c>
      <c r="O2013" s="9">
        <v>45006</v>
      </c>
      <c r="P2013">
        <v>9</v>
      </c>
      <c r="Q2013" s="11" t="s">
        <v>49</v>
      </c>
      <c r="R2013" s="7">
        <v>24017.360000000001</v>
      </c>
      <c r="S2013" s="7"/>
      <c r="T2013" s="7"/>
      <c r="U2013" s="7"/>
      <c r="V2013" s="10">
        <v>7.4496124031007751</v>
      </c>
      <c r="W2013" s="9">
        <v>44998</v>
      </c>
      <c r="X2013" s="10">
        <v>12</v>
      </c>
      <c r="Y2013" s="9">
        <v>45006</v>
      </c>
      <c r="Z2013">
        <v>9</v>
      </c>
      <c r="AA2013" s="11" t="s">
        <v>49</v>
      </c>
    </row>
    <row r="2014" spans="2:27" ht="16" x14ac:dyDescent="0.2">
      <c r="B2014" t="s">
        <v>35</v>
      </c>
      <c r="C2014">
        <v>40364989</v>
      </c>
      <c r="D2014" t="s">
        <v>423</v>
      </c>
      <c r="E2014">
        <v>1030658</v>
      </c>
      <c r="F2014" t="s">
        <v>371</v>
      </c>
      <c r="G2014" s="9">
        <v>44984</v>
      </c>
      <c r="H2014" s="7">
        <v>24017.360000000001</v>
      </c>
      <c r="I2014" s="7"/>
      <c r="J2014" s="7"/>
      <c r="K2014" s="7"/>
      <c r="L2014" s="10">
        <v>5.4496124031007751</v>
      </c>
      <c r="M2014" s="9">
        <v>44989</v>
      </c>
      <c r="N2014" s="10">
        <v>10</v>
      </c>
      <c r="O2014" s="9">
        <v>44999</v>
      </c>
      <c r="P2014">
        <v>13</v>
      </c>
      <c r="Q2014" s="11" t="s">
        <v>49</v>
      </c>
      <c r="R2014" s="7">
        <v>24017.360000000001</v>
      </c>
      <c r="S2014" s="7"/>
      <c r="T2014" s="7"/>
      <c r="U2014" s="7"/>
      <c r="V2014" s="10">
        <v>7.4496124031007751</v>
      </c>
      <c r="W2014" s="9">
        <v>44991</v>
      </c>
      <c r="X2014" s="10">
        <v>12</v>
      </c>
      <c r="Y2014" s="9">
        <v>44999</v>
      </c>
      <c r="Z2014">
        <v>13</v>
      </c>
      <c r="AA2014" s="11" t="s">
        <v>49</v>
      </c>
    </row>
    <row r="2015" spans="2:27" x14ac:dyDescent="0.2">
      <c r="B2015" t="s">
        <v>394</v>
      </c>
      <c r="C2015">
        <v>40364951</v>
      </c>
      <c r="D2015" t="s">
        <v>485</v>
      </c>
      <c r="E2015">
        <v>1021023</v>
      </c>
      <c r="F2015" t="s">
        <v>508</v>
      </c>
      <c r="G2015" s="9">
        <v>44996</v>
      </c>
      <c r="H2015" s="7">
        <v>23994.26</v>
      </c>
      <c r="I2015" s="7"/>
      <c r="J2015" s="7"/>
      <c r="K2015" s="7"/>
      <c r="L2015" s="10"/>
      <c r="N2015" s="10"/>
      <c r="Q2015" s="11"/>
      <c r="R2015" s="7">
        <v>23994.26</v>
      </c>
      <c r="S2015" s="7"/>
      <c r="T2015" s="7"/>
      <c r="U2015" s="7"/>
      <c r="V2015" s="10"/>
      <c r="X2015" s="10"/>
      <c r="AA2015" s="11"/>
    </row>
    <row r="2016" spans="2:27" x14ac:dyDescent="0.2">
      <c r="B2016" t="s">
        <v>394</v>
      </c>
      <c r="C2016">
        <v>40364945</v>
      </c>
      <c r="D2016" t="s">
        <v>485</v>
      </c>
      <c r="E2016">
        <v>1011421</v>
      </c>
      <c r="F2016" t="s">
        <v>484</v>
      </c>
      <c r="G2016" s="9">
        <v>44989</v>
      </c>
      <c r="H2016" s="7">
        <v>23981.16</v>
      </c>
      <c r="I2016" s="7"/>
      <c r="J2016" s="7"/>
      <c r="K2016" s="7"/>
      <c r="L2016" s="10"/>
      <c r="N2016" s="10"/>
      <c r="Q2016" s="11"/>
      <c r="R2016" s="7">
        <v>23981.16</v>
      </c>
      <c r="S2016" s="7"/>
      <c r="T2016" s="7"/>
      <c r="U2016" s="7"/>
      <c r="V2016" s="10"/>
      <c r="X2016" s="10"/>
      <c r="AA2016" s="11"/>
    </row>
    <row r="2017" spans="2:27" x14ac:dyDescent="0.2">
      <c r="B2017" t="s">
        <v>394</v>
      </c>
      <c r="C2017">
        <v>40364944</v>
      </c>
      <c r="D2017" t="s">
        <v>485</v>
      </c>
      <c r="E2017">
        <v>1011421</v>
      </c>
      <c r="F2017" t="s">
        <v>484</v>
      </c>
      <c r="G2017" s="9">
        <v>44989</v>
      </c>
      <c r="H2017" s="7">
        <v>23984.49</v>
      </c>
      <c r="I2017" s="7"/>
      <c r="J2017" s="7"/>
      <c r="K2017" s="7"/>
      <c r="L2017" s="10"/>
      <c r="N2017" s="10"/>
      <c r="Q2017" s="11"/>
      <c r="R2017" s="7">
        <v>23984.49</v>
      </c>
      <c r="S2017" s="7"/>
      <c r="T2017" s="7"/>
      <c r="U2017" s="7"/>
      <c r="V2017" s="10"/>
      <c r="X2017" s="10"/>
      <c r="AA2017" s="11"/>
    </row>
    <row r="2018" spans="2:27" x14ac:dyDescent="0.2">
      <c r="B2018" t="s">
        <v>394</v>
      </c>
      <c r="C2018">
        <v>40364943</v>
      </c>
      <c r="D2018" t="s">
        <v>485</v>
      </c>
      <c r="E2018">
        <v>1011421</v>
      </c>
      <c r="F2018" t="s">
        <v>484</v>
      </c>
      <c r="G2018" s="9">
        <v>44989</v>
      </c>
      <c r="H2018" s="7">
        <v>23996.42</v>
      </c>
      <c r="I2018" s="7"/>
      <c r="J2018" s="7"/>
      <c r="K2018" s="7"/>
      <c r="L2018" s="10"/>
      <c r="N2018" s="10"/>
      <c r="Q2018" s="11"/>
      <c r="R2018" s="7">
        <v>23996.42</v>
      </c>
      <c r="S2018" s="7"/>
      <c r="T2018" s="7"/>
      <c r="U2018" s="7"/>
      <c r="V2018" s="10"/>
      <c r="X2018" s="10"/>
      <c r="AA2018" s="11"/>
    </row>
    <row r="2019" spans="2:27" x14ac:dyDescent="0.2">
      <c r="B2019" t="s">
        <v>394</v>
      </c>
      <c r="C2019">
        <v>40364942</v>
      </c>
      <c r="D2019" t="s">
        <v>485</v>
      </c>
      <c r="E2019">
        <v>1011421</v>
      </c>
      <c r="F2019" t="s">
        <v>484</v>
      </c>
      <c r="G2019" s="9">
        <v>44989</v>
      </c>
      <c r="H2019" s="7">
        <v>23985.17</v>
      </c>
      <c r="I2019" s="7"/>
      <c r="J2019" s="7"/>
      <c r="K2019" s="7"/>
      <c r="L2019" s="10"/>
      <c r="N2019" s="10"/>
      <c r="Q2019" s="11"/>
      <c r="R2019" s="7">
        <v>23985.17</v>
      </c>
      <c r="S2019" s="7"/>
      <c r="T2019" s="7"/>
      <c r="U2019" s="7"/>
      <c r="V2019" s="10"/>
      <c r="X2019" s="10"/>
      <c r="AA2019" s="11"/>
    </row>
    <row r="2020" spans="2:27" x14ac:dyDescent="0.2">
      <c r="B2020" t="s">
        <v>394</v>
      </c>
      <c r="C2020">
        <v>40364941</v>
      </c>
      <c r="D2020" t="s">
        <v>485</v>
      </c>
      <c r="E2020">
        <v>1023433</v>
      </c>
      <c r="F2020" t="s">
        <v>490</v>
      </c>
      <c r="G2020" s="9">
        <v>44981</v>
      </c>
      <c r="H2020" s="7"/>
      <c r="I2020" s="7"/>
      <c r="J2020" s="7"/>
      <c r="K2020" s="7"/>
      <c r="L2020" s="10"/>
      <c r="N2020" s="10"/>
      <c r="Q2020" s="11"/>
      <c r="R2020" s="7"/>
      <c r="S2020" s="7"/>
      <c r="T2020" s="7"/>
      <c r="U2020" s="7"/>
      <c r="V2020" s="10"/>
      <c r="X2020" s="10"/>
      <c r="AA2020" s="11"/>
    </row>
    <row r="2021" spans="2:27" x14ac:dyDescent="0.2">
      <c r="B2021" t="s">
        <v>394</v>
      </c>
      <c r="C2021">
        <v>40364940</v>
      </c>
      <c r="D2021" t="s">
        <v>485</v>
      </c>
      <c r="E2021">
        <v>1023433</v>
      </c>
      <c r="F2021" t="s">
        <v>490</v>
      </c>
      <c r="G2021" s="9">
        <v>44981</v>
      </c>
      <c r="H2021" s="7"/>
      <c r="I2021" s="7"/>
      <c r="J2021" s="7"/>
      <c r="K2021" s="7"/>
      <c r="L2021" s="10"/>
      <c r="N2021" s="10"/>
      <c r="Q2021" s="11"/>
      <c r="R2021" s="7"/>
      <c r="S2021" s="7"/>
      <c r="T2021" s="7"/>
      <c r="U2021" s="7"/>
      <c r="V2021" s="10"/>
      <c r="X2021" s="10"/>
      <c r="AA2021" s="11"/>
    </row>
    <row r="2022" spans="2:27" x14ac:dyDescent="0.2">
      <c r="B2022" t="s">
        <v>394</v>
      </c>
      <c r="C2022">
        <v>40364935</v>
      </c>
      <c r="D2022" t="s">
        <v>485</v>
      </c>
      <c r="E2022">
        <v>1020367</v>
      </c>
      <c r="F2022" t="s">
        <v>596</v>
      </c>
      <c r="G2022" s="9">
        <v>44983</v>
      </c>
      <c r="H2022" s="7"/>
      <c r="I2022" s="7"/>
      <c r="J2022" s="7"/>
      <c r="K2022" s="7"/>
      <c r="L2022" s="10"/>
      <c r="N2022" s="10"/>
      <c r="Q2022" s="11"/>
      <c r="R2022" s="7"/>
      <c r="S2022" s="7"/>
      <c r="T2022" s="7"/>
      <c r="U2022" s="7"/>
      <c r="V2022" s="10"/>
      <c r="X2022" s="10"/>
      <c r="AA2022" s="11"/>
    </row>
    <row r="2023" spans="2:27" x14ac:dyDescent="0.2">
      <c r="B2023" t="s">
        <v>394</v>
      </c>
      <c r="C2023">
        <v>40364935</v>
      </c>
      <c r="D2023" t="s">
        <v>485</v>
      </c>
      <c r="E2023">
        <v>1020367</v>
      </c>
      <c r="F2023" t="s">
        <v>596</v>
      </c>
      <c r="G2023" s="9">
        <v>44983</v>
      </c>
      <c r="H2023" s="7"/>
      <c r="I2023" s="7"/>
      <c r="J2023" s="7"/>
      <c r="K2023" s="7"/>
      <c r="L2023" s="10"/>
      <c r="N2023" s="10"/>
      <c r="Q2023" s="11"/>
      <c r="R2023" s="7"/>
      <c r="S2023" s="7"/>
      <c r="T2023" s="7"/>
      <c r="U2023" s="7"/>
      <c r="V2023" s="10"/>
      <c r="X2023" s="10"/>
      <c r="AA2023" s="11"/>
    </row>
    <row r="2024" spans="2:27" x14ac:dyDescent="0.2">
      <c r="B2024" t="s">
        <v>394</v>
      </c>
      <c r="C2024">
        <v>40364852</v>
      </c>
      <c r="D2024" t="s">
        <v>485</v>
      </c>
      <c r="E2024">
        <v>1021868</v>
      </c>
      <c r="F2024" t="s">
        <v>509</v>
      </c>
      <c r="G2024" s="9">
        <v>44999</v>
      </c>
      <c r="H2024" s="7">
        <v>23955.24</v>
      </c>
      <c r="I2024" s="7"/>
      <c r="J2024" s="7"/>
      <c r="K2024" s="7"/>
      <c r="L2024" s="10"/>
      <c r="N2024" s="10"/>
      <c r="Q2024" s="11"/>
      <c r="R2024" s="7">
        <v>23955.24</v>
      </c>
      <c r="S2024" s="7"/>
      <c r="T2024" s="7"/>
      <c r="U2024" s="7"/>
      <c r="V2024" s="10"/>
      <c r="X2024" s="10"/>
      <c r="AA2024" s="11"/>
    </row>
    <row r="2025" spans="2:27" x14ac:dyDescent="0.2">
      <c r="B2025" t="s">
        <v>394</v>
      </c>
      <c r="C2025">
        <v>40364851</v>
      </c>
      <c r="D2025" t="s">
        <v>485</v>
      </c>
      <c r="E2025">
        <v>1021868</v>
      </c>
      <c r="F2025" t="s">
        <v>509</v>
      </c>
      <c r="G2025" s="9">
        <v>44993</v>
      </c>
      <c r="H2025" s="7">
        <v>23887.74</v>
      </c>
      <c r="I2025" s="7"/>
      <c r="J2025" s="7"/>
      <c r="K2025" s="7"/>
      <c r="L2025" s="10"/>
      <c r="N2025" s="10"/>
      <c r="Q2025" s="11"/>
      <c r="R2025" s="7">
        <v>23887.74</v>
      </c>
      <c r="S2025" s="7"/>
      <c r="T2025" s="7"/>
      <c r="U2025" s="7"/>
      <c r="V2025" s="10"/>
      <c r="X2025" s="10"/>
      <c r="AA2025" s="11"/>
    </row>
    <row r="2026" spans="2:27" x14ac:dyDescent="0.2">
      <c r="B2026" t="s">
        <v>394</v>
      </c>
      <c r="C2026">
        <v>40364651</v>
      </c>
      <c r="D2026" t="s">
        <v>485</v>
      </c>
      <c r="E2026">
        <v>1011042</v>
      </c>
      <c r="F2026" t="s">
        <v>510</v>
      </c>
      <c r="G2026" s="9">
        <v>44989</v>
      </c>
      <c r="H2026" s="7">
        <v>22800</v>
      </c>
      <c r="I2026" s="7"/>
      <c r="J2026" s="7"/>
      <c r="K2026" s="7"/>
      <c r="L2026" s="10"/>
      <c r="N2026" s="10"/>
      <c r="Q2026" s="11"/>
      <c r="R2026" s="7">
        <v>22800</v>
      </c>
      <c r="S2026" s="7"/>
      <c r="T2026" s="7"/>
      <c r="U2026" s="7"/>
      <c r="V2026" s="10"/>
      <c r="X2026" s="10"/>
      <c r="AA2026" s="11"/>
    </row>
    <row r="2027" spans="2:27" x14ac:dyDescent="0.2">
      <c r="B2027" t="s">
        <v>394</v>
      </c>
      <c r="C2027">
        <v>40364650</v>
      </c>
      <c r="D2027" t="s">
        <v>485</v>
      </c>
      <c r="E2027">
        <v>1011042</v>
      </c>
      <c r="F2027" t="s">
        <v>510</v>
      </c>
      <c r="G2027" s="9">
        <v>44976</v>
      </c>
      <c r="H2027" s="7"/>
      <c r="I2027" s="7"/>
      <c r="J2027" s="7"/>
      <c r="K2027" s="7"/>
      <c r="L2027" s="10"/>
      <c r="N2027" s="10"/>
      <c r="Q2027" s="11"/>
      <c r="R2027" s="7"/>
      <c r="S2027" s="7"/>
      <c r="T2027" s="7"/>
      <c r="U2027" s="7"/>
      <c r="V2027" s="10"/>
      <c r="X2027" s="10"/>
      <c r="AA2027" s="11"/>
    </row>
    <row r="2028" spans="2:27" ht="16" x14ac:dyDescent="0.2">
      <c r="B2028" t="s">
        <v>35</v>
      </c>
      <c r="C2028">
        <v>40364555</v>
      </c>
      <c r="D2028" t="s">
        <v>391</v>
      </c>
      <c r="E2028">
        <v>1023265</v>
      </c>
      <c r="F2028" t="s">
        <v>347</v>
      </c>
      <c r="G2028" s="9">
        <v>45018</v>
      </c>
      <c r="H2028" s="7"/>
      <c r="I2028" s="7">
        <v>1970.12</v>
      </c>
      <c r="J2028" s="7"/>
      <c r="K2028" s="7"/>
      <c r="L2028" s="10">
        <v>4.830303030303031</v>
      </c>
      <c r="M2028" s="9">
        <v>45022</v>
      </c>
      <c r="N2028" s="10">
        <v>15</v>
      </c>
      <c r="O2028" s="9">
        <v>45037</v>
      </c>
      <c r="P2028">
        <v>7</v>
      </c>
      <c r="Q2028" s="11" t="s">
        <v>49</v>
      </c>
      <c r="R2028" s="7"/>
      <c r="S2028" s="7">
        <v>1970.12</v>
      </c>
      <c r="T2028" s="7"/>
      <c r="U2028" s="7"/>
      <c r="V2028" s="10">
        <v>6.830303030303031</v>
      </c>
      <c r="W2028" s="9">
        <v>45024</v>
      </c>
      <c r="X2028" s="10">
        <v>17</v>
      </c>
      <c r="Y2028" s="9">
        <v>45037</v>
      </c>
      <c r="Z2028">
        <v>7</v>
      </c>
      <c r="AA2028" s="11" t="s">
        <v>49</v>
      </c>
    </row>
    <row r="2029" spans="2:27" ht="16" x14ac:dyDescent="0.2">
      <c r="B2029" t="s">
        <v>35</v>
      </c>
      <c r="C2029">
        <v>40364554</v>
      </c>
      <c r="D2029" t="s">
        <v>391</v>
      </c>
      <c r="E2029">
        <v>1021944</v>
      </c>
      <c r="F2029" t="s">
        <v>192</v>
      </c>
      <c r="G2029" s="9">
        <v>45018</v>
      </c>
      <c r="H2029" s="7"/>
      <c r="I2029" s="7">
        <v>976</v>
      </c>
      <c r="J2029" s="7"/>
      <c r="K2029" s="7"/>
      <c r="L2029" s="10">
        <v>4.830303030303031</v>
      </c>
      <c r="M2029" s="9">
        <v>45022</v>
      </c>
      <c r="N2029" s="10">
        <v>15</v>
      </c>
      <c r="O2029" s="9">
        <v>45037</v>
      </c>
      <c r="P2029">
        <v>7</v>
      </c>
      <c r="Q2029" s="11" t="s">
        <v>49</v>
      </c>
      <c r="R2029" s="7"/>
      <c r="S2029" s="7">
        <v>976</v>
      </c>
      <c r="T2029" s="7"/>
      <c r="U2029" s="7"/>
      <c r="V2029" s="10">
        <v>6.830303030303031</v>
      </c>
      <c r="W2029" s="9">
        <v>45024</v>
      </c>
      <c r="X2029" s="10">
        <v>17</v>
      </c>
      <c r="Y2029" s="9">
        <v>45037</v>
      </c>
      <c r="Z2029">
        <v>7</v>
      </c>
      <c r="AA2029" s="11" t="s">
        <v>49</v>
      </c>
    </row>
    <row r="2030" spans="2:27" ht="16" x14ac:dyDescent="0.2">
      <c r="B2030" t="s">
        <v>35</v>
      </c>
      <c r="C2030">
        <v>40364554</v>
      </c>
      <c r="D2030" t="s">
        <v>391</v>
      </c>
      <c r="E2030">
        <v>1022413</v>
      </c>
      <c r="F2030" t="s">
        <v>434</v>
      </c>
      <c r="G2030" s="9">
        <v>45018</v>
      </c>
      <c r="H2030" s="7"/>
      <c r="I2030" s="7">
        <v>2000</v>
      </c>
      <c r="J2030" s="7"/>
      <c r="K2030" s="7"/>
      <c r="L2030" s="10">
        <v>4.830303030303031</v>
      </c>
      <c r="M2030" s="9">
        <v>45022</v>
      </c>
      <c r="N2030" s="10">
        <v>15</v>
      </c>
      <c r="O2030" s="9">
        <v>45037</v>
      </c>
      <c r="P2030">
        <v>7</v>
      </c>
      <c r="Q2030" s="11" t="s">
        <v>49</v>
      </c>
      <c r="R2030" s="7"/>
      <c r="S2030" s="7">
        <v>2000</v>
      </c>
      <c r="T2030" s="7"/>
      <c r="U2030" s="7"/>
      <c r="V2030" s="10">
        <v>6.830303030303031</v>
      </c>
      <c r="W2030" s="9">
        <v>45024</v>
      </c>
      <c r="X2030" s="10">
        <v>17</v>
      </c>
      <c r="Y2030" s="9">
        <v>45037</v>
      </c>
      <c r="Z2030">
        <v>7</v>
      </c>
      <c r="AA2030" s="11" t="s">
        <v>49</v>
      </c>
    </row>
    <row r="2031" spans="2:27" ht="16" x14ac:dyDescent="0.2">
      <c r="B2031" t="s">
        <v>35</v>
      </c>
      <c r="C2031">
        <v>40364553</v>
      </c>
      <c r="D2031" t="s">
        <v>391</v>
      </c>
      <c r="E2031">
        <v>1022621</v>
      </c>
      <c r="F2031" t="s">
        <v>199</v>
      </c>
      <c r="G2031" s="9">
        <v>45018</v>
      </c>
      <c r="H2031" s="7"/>
      <c r="I2031" s="7">
        <v>6976.86</v>
      </c>
      <c r="J2031" s="7"/>
      <c r="K2031" s="7"/>
      <c r="L2031" s="10">
        <v>4.830303030303031</v>
      </c>
      <c r="M2031" s="9">
        <v>45022</v>
      </c>
      <c r="N2031" s="10">
        <v>15</v>
      </c>
      <c r="O2031" s="9">
        <v>45037</v>
      </c>
      <c r="P2031">
        <v>7</v>
      </c>
      <c r="Q2031" s="11" t="s">
        <v>49</v>
      </c>
      <c r="R2031" s="7"/>
      <c r="S2031" s="7">
        <v>6976.86</v>
      </c>
      <c r="T2031" s="7"/>
      <c r="U2031" s="7"/>
      <c r="V2031" s="10">
        <v>6.830303030303031</v>
      </c>
      <c r="W2031" s="9">
        <v>45024</v>
      </c>
      <c r="X2031" s="10">
        <v>17</v>
      </c>
      <c r="Y2031" s="9">
        <v>45037</v>
      </c>
      <c r="Z2031">
        <v>7</v>
      </c>
      <c r="AA2031" s="11" t="s">
        <v>49</v>
      </c>
    </row>
    <row r="2032" spans="2:27" ht="16" x14ac:dyDescent="0.2">
      <c r="B2032" t="s">
        <v>35</v>
      </c>
      <c r="C2032">
        <v>40364553</v>
      </c>
      <c r="D2032" t="s">
        <v>391</v>
      </c>
      <c r="E2032">
        <v>1022142</v>
      </c>
      <c r="F2032" t="s">
        <v>390</v>
      </c>
      <c r="G2032" s="9">
        <v>45018</v>
      </c>
      <c r="H2032" s="7"/>
      <c r="I2032" s="7">
        <v>4952.37</v>
      </c>
      <c r="J2032" s="7"/>
      <c r="K2032" s="7"/>
      <c r="L2032" s="10">
        <v>4.830303030303031</v>
      </c>
      <c r="M2032" s="9">
        <v>45022</v>
      </c>
      <c r="N2032" s="10">
        <v>15</v>
      </c>
      <c r="O2032" s="9">
        <v>45037</v>
      </c>
      <c r="P2032">
        <v>7</v>
      </c>
      <c r="Q2032" s="11" t="s">
        <v>49</v>
      </c>
      <c r="R2032" s="7"/>
      <c r="S2032" s="7">
        <v>4952.37</v>
      </c>
      <c r="T2032" s="7"/>
      <c r="U2032" s="7"/>
      <c r="V2032" s="10">
        <v>6.830303030303031</v>
      </c>
      <c r="W2032" s="9">
        <v>45024</v>
      </c>
      <c r="X2032" s="10">
        <v>17</v>
      </c>
      <c r="Y2032" s="9">
        <v>45037</v>
      </c>
      <c r="Z2032">
        <v>7</v>
      </c>
      <c r="AA2032" s="11" t="s">
        <v>49</v>
      </c>
    </row>
    <row r="2033" spans="2:27" ht="16" x14ac:dyDescent="0.2">
      <c r="B2033" t="s">
        <v>35</v>
      </c>
      <c r="C2033">
        <v>40364553</v>
      </c>
      <c r="D2033" t="s">
        <v>391</v>
      </c>
      <c r="E2033">
        <v>1022141</v>
      </c>
      <c r="F2033" t="s">
        <v>126</v>
      </c>
      <c r="G2033" s="9">
        <v>45018</v>
      </c>
      <c r="H2033" s="7"/>
      <c r="I2033" s="7">
        <v>7114.63</v>
      </c>
      <c r="J2033" s="7"/>
      <c r="K2033" s="7"/>
      <c r="L2033" s="10">
        <v>4.830303030303031</v>
      </c>
      <c r="M2033" s="9">
        <v>45022</v>
      </c>
      <c r="N2033" s="10">
        <v>15</v>
      </c>
      <c r="O2033" s="9">
        <v>45037</v>
      </c>
      <c r="P2033">
        <v>7</v>
      </c>
      <c r="Q2033" s="11" t="s">
        <v>49</v>
      </c>
      <c r="R2033" s="7"/>
      <c r="S2033" s="7">
        <v>7114.63</v>
      </c>
      <c r="T2033" s="7"/>
      <c r="U2033" s="7"/>
      <c r="V2033" s="10">
        <v>6.830303030303031</v>
      </c>
      <c r="W2033" s="9">
        <v>45024</v>
      </c>
      <c r="X2033" s="10">
        <v>17</v>
      </c>
      <c r="Y2033" s="9">
        <v>45037</v>
      </c>
      <c r="Z2033">
        <v>7</v>
      </c>
      <c r="AA2033" s="11" t="s">
        <v>49</v>
      </c>
    </row>
    <row r="2034" spans="2:27" ht="16" x14ac:dyDescent="0.2">
      <c r="B2034" t="s">
        <v>35</v>
      </c>
      <c r="C2034">
        <v>40364552</v>
      </c>
      <c r="D2034" t="s">
        <v>391</v>
      </c>
      <c r="E2034">
        <v>1023265</v>
      </c>
      <c r="F2034" t="s">
        <v>347</v>
      </c>
      <c r="G2034" s="9">
        <v>45018</v>
      </c>
      <c r="H2034" s="7"/>
      <c r="I2034" s="7">
        <v>2002.28</v>
      </c>
      <c r="J2034" s="7"/>
      <c r="K2034" s="7"/>
      <c r="L2034" s="10">
        <v>4.830303030303031</v>
      </c>
      <c r="M2034" s="9">
        <v>45022</v>
      </c>
      <c r="N2034" s="10">
        <v>15</v>
      </c>
      <c r="O2034" s="9">
        <v>45037</v>
      </c>
      <c r="P2034">
        <v>7</v>
      </c>
      <c r="Q2034" s="11" t="s">
        <v>49</v>
      </c>
      <c r="R2034" s="7"/>
      <c r="S2034" s="7">
        <v>2002.28</v>
      </c>
      <c r="T2034" s="7"/>
      <c r="U2034" s="7"/>
      <c r="V2034" s="10">
        <v>6.830303030303031</v>
      </c>
      <c r="W2034" s="9">
        <v>45024</v>
      </c>
      <c r="X2034" s="10">
        <v>17</v>
      </c>
      <c r="Y2034" s="9">
        <v>45037</v>
      </c>
      <c r="Z2034">
        <v>7</v>
      </c>
      <c r="AA2034" s="11" t="s">
        <v>49</v>
      </c>
    </row>
    <row r="2035" spans="2:27" ht="16" x14ac:dyDescent="0.2">
      <c r="B2035" t="s">
        <v>35</v>
      </c>
      <c r="C2035">
        <v>40364551</v>
      </c>
      <c r="D2035" t="s">
        <v>391</v>
      </c>
      <c r="E2035">
        <v>1022413</v>
      </c>
      <c r="F2035" t="s">
        <v>434</v>
      </c>
      <c r="G2035" s="9">
        <v>45018</v>
      </c>
      <c r="H2035" s="7"/>
      <c r="I2035" s="7">
        <v>2000</v>
      </c>
      <c r="J2035" s="7"/>
      <c r="K2035" s="7"/>
      <c r="L2035" s="10">
        <v>4.830303030303031</v>
      </c>
      <c r="M2035" s="9">
        <v>45022</v>
      </c>
      <c r="N2035" s="10">
        <v>15</v>
      </c>
      <c r="O2035" s="9">
        <v>45037</v>
      </c>
      <c r="P2035">
        <v>7</v>
      </c>
      <c r="Q2035" s="11" t="s">
        <v>49</v>
      </c>
      <c r="R2035" s="7"/>
      <c r="S2035" s="7">
        <v>2000</v>
      </c>
      <c r="T2035" s="7"/>
      <c r="U2035" s="7"/>
      <c r="V2035" s="10">
        <v>6.830303030303031</v>
      </c>
      <c r="W2035" s="9">
        <v>45024</v>
      </c>
      <c r="X2035" s="10">
        <v>17</v>
      </c>
      <c r="Y2035" s="9">
        <v>45037</v>
      </c>
      <c r="Z2035">
        <v>7</v>
      </c>
      <c r="AA2035" s="11" t="s">
        <v>49</v>
      </c>
    </row>
    <row r="2036" spans="2:27" ht="16" x14ac:dyDescent="0.2">
      <c r="B2036" t="s">
        <v>35</v>
      </c>
      <c r="C2036">
        <v>40364551</v>
      </c>
      <c r="D2036" t="s">
        <v>391</v>
      </c>
      <c r="E2036">
        <v>1021944</v>
      </c>
      <c r="F2036" t="s">
        <v>192</v>
      </c>
      <c r="G2036" s="9">
        <v>45018</v>
      </c>
      <c r="H2036" s="7"/>
      <c r="I2036" s="7">
        <v>1000</v>
      </c>
      <c r="J2036" s="7"/>
      <c r="K2036" s="7"/>
      <c r="L2036" s="10">
        <v>4.830303030303031</v>
      </c>
      <c r="M2036" s="9">
        <v>45022</v>
      </c>
      <c r="N2036" s="10">
        <v>15</v>
      </c>
      <c r="O2036" s="9">
        <v>45037</v>
      </c>
      <c r="P2036">
        <v>7</v>
      </c>
      <c r="Q2036" s="11" t="s">
        <v>49</v>
      </c>
      <c r="R2036" s="7"/>
      <c r="S2036" s="7">
        <v>1000</v>
      </c>
      <c r="T2036" s="7"/>
      <c r="U2036" s="7"/>
      <c r="V2036" s="10">
        <v>6.830303030303031</v>
      </c>
      <c r="W2036" s="9">
        <v>45024</v>
      </c>
      <c r="X2036" s="10">
        <v>17</v>
      </c>
      <c r="Y2036" s="9">
        <v>45037</v>
      </c>
      <c r="Z2036">
        <v>7</v>
      </c>
      <c r="AA2036" s="11" t="s">
        <v>49</v>
      </c>
    </row>
    <row r="2037" spans="2:27" ht="16" x14ac:dyDescent="0.2">
      <c r="B2037" t="s">
        <v>35</v>
      </c>
      <c r="C2037">
        <v>40364550</v>
      </c>
      <c r="D2037" t="s">
        <v>391</v>
      </c>
      <c r="E2037">
        <v>1022621</v>
      </c>
      <c r="F2037" t="s">
        <v>199</v>
      </c>
      <c r="G2037" s="9">
        <v>45018</v>
      </c>
      <c r="H2037" s="7"/>
      <c r="I2037" s="7">
        <v>7008.32</v>
      </c>
      <c r="J2037" s="7"/>
      <c r="K2037" s="7"/>
      <c r="L2037" s="10">
        <v>4.830303030303031</v>
      </c>
      <c r="M2037" s="9">
        <v>45022</v>
      </c>
      <c r="N2037" s="10">
        <v>15</v>
      </c>
      <c r="O2037" s="9">
        <v>45037</v>
      </c>
      <c r="P2037">
        <v>7</v>
      </c>
      <c r="Q2037" s="11" t="s">
        <v>49</v>
      </c>
      <c r="R2037" s="7"/>
      <c r="S2037" s="7">
        <v>7008.32</v>
      </c>
      <c r="T2037" s="7"/>
      <c r="U2037" s="7"/>
      <c r="V2037" s="10">
        <v>6.830303030303031</v>
      </c>
      <c r="W2037" s="9">
        <v>45024</v>
      </c>
      <c r="X2037" s="10">
        <v>17</v>
      </c>
      <c r="Y2037" s="9">
        <v>45037</v>
      </c>
      <c r="Z2037">
        <v>7</v>
      </c>
      <c r="AA2037" s="11" t="s">
        <v>49</v>
      </c>
    </row>
    <row r="2038" spans="2:27" ht="16" x14ac:dyDescent="0.2">
      <c r="B2038" t="s">
        <v>35</v>
      </c>
      <c r="C2038">
        <v>40364550</v>
      </c>
      <c r="D2038" t="s">
        <v>391</v>
      </c>
      <c r="E2038">
        <v>1022142</v>
      </c>
      <c r="F2038" t="s">
        <v>390</v>
      </c>
      <c r="G2038" s="9">
        <v>45018</v>
      </c>
      <c r="H2038" s="7"/>
      <c r="I2038" s="7">
        <v>5011.1099999999997</v>
      </c>
      <c r="J2038" s="7"/>
      <c r="K2038" s="7"/>
      <c r="L2038" s="10">
        <v>4.830303030303031</v>
      </c>
      <c r="M2038" s="9">
        <v>45022</v>
      </c>
      <c r="N2038" s="10">
        <v>15</v>
      </c>
      <c r="O2038" s="9">
        <v>45037</v>
      </c>
      <c r="P2038">
        <v>7</v>
      </c>
      <c r="Q2038" s="11" t="s">
        <v>49</v>
      </c>
      <c r="R2038" s="7"/>
      <c r="S2038" s="7">
        <v>5011.1099999999997</v>
      </c>
      <c r="T2038" s="7"/>
      <c r="U2038" s="7"/>
      <c r="V2038" s="10">
        <v>6.830303030303031</v>
      </c>
      <c r="W2038" s="9">
        <v>45024</v>
      </c>
      <c r="X2038" s="10">
        <v>17</v>
      </c>
      <c r="Y2038" s="9">
        <v>45037</v>
      </c>
      <c r="Z2038">
        <v>7</v>
      </c>
      <c r="AA2038" s="11" t="s">
        <v>49</v>
      </c>
    </row>
    <row r="2039" spans="2:27" ht="16" x14ac:dyDescent="0.2">
      <c r="B2039" t="s">
        <v>35</v>
      </c>
      <c r="C2039">
        <v>40364550</v>
      </c>
      <c r="D2039" t="s">
        <v>391</v>
      </c>
      <c r="E2039">
        <v>1022141</v>
      </c>
      <c r="F2039" t="s">
        <v>126</v>
      </c>
      <c r="G2039" s="9">
        <v>45018</v>
      </c>
      <c r="H2039" s="7"/>
      <c r="I2039" s="7">
        <v>7017.29</v>
      </c>
      <c r="J2039" s="7"/>
      <c r="K2039" s="7"/>
      <c r="L2039" s="10">
        <v>4.830303030303031</v>
      </c>
      <c r="M2039" s="9">
        <v>45022</v>
      </c>
      <c r="N2039" s="10">
        <v>15</v>
      </c>
      <c r="O2039" s="9">
        <v>45037</v>
      </c>
      <c r="P2039">
        <v>7</v>
      </c>
      <c r="Q2039" s="11" t="s">
        <v>49</v>
      </c>
      <c r="R2039" s="7"/>
      <c r="S2039" s="7">
        <v>7017.29</v>
      </c>
      <c r="T2039" s="7"/>
      <c r="U2039" s="7"/>
      <c r="V2039" s="10">
        <v>6.830303030303031</v>
      </c>
      <c r="W2039" s="9">
        <v>45024</v>
      </c>
      <c r="X2039" s="10">
        <v>17</v>
      </c>
      <c r="Y2039" s="9">
        <v>45037</v>
      </c>
      <c r="Z2039">
        <v>7</v>
      </c>
      <c r="AA2039" s="11" t="s">
        <v>49</v>
      </c>
    </row>
    <row r="2040" spans="2:27" x14ac:dyDescent="0.2">
      <c r="B2040" t="s">
        <v>394</v>
      </c>
      <c r="C2040">
        <v>40364545</v>
      </c>
      <c r="D2040" t="s">
        <v>396</v>
      </c>
      <c r="E2040">
        <v>1020861</v>
      </c>
      <c r="F2040" t="s">
        <v>400</v>
      </c>
      <c r="G2040" s="9">
        <v>45008</v>
      </c>
      <c r="H2040" s="7">
        <v>8658.4599999999991</v>
      </c>
      <c r="I2040" s="7"/>
      <c r="J2040" s="7"/>
      <c r="K2040" s="7"/>
      <c r="L2040" s="10"/>
      <c r="N2040" s="10"/>
      <c r="Q2040" s="11"/>
      <c r="R2040" s="7">
        <v>8658.4599999999991</v>
      </c>
      <c r="S2040" s="7"/>
      <c r="T2040" s="7"/>
      <c r="U2040" s="7"/>
      <c r="V2040" s="10"/>
      <c r="X2040" s="10"/>
      <c r="AA2040" s="11"/>
    </row>
    <row r="2041" spans="2:27" x14ac:dyDescent="0.2">
      <c r="B2041" t="s">
        <v>394</v>
      </c>
      <c r="C2041">
        <v>40364545</v>
      </c>
      <c r="D2041" t="s">
        <v>396</v>
      </c>
      <c r="E2041">
        <v>1020861</v>
      </c>
      <c r="F2041" t="s">
        <v>400</v>
      </c>
      <c r="G2041" s="9">
        <v>45008</v>
      </c>
      <c r="H2041" s="7">
        <v>22006.05</v>
      </c>
      <c r="I2041" s="7"/>
      <c r="J2041" s="7"/>
      <c r="K2041" s="7"/>
      <c r="L2041" s="10"/>
      <c r="N2041" s="10"/>
      <c r="Q2041" s="11"/>
      <c r="R2041" s="7">
        <v>22006.05</v>
      </c>
      <c r="S2041" s="7"/>
      <c r="T2041" s="7"/>
      <c r="U2041" s="7"/>
      <c r="V2041" s="10"/>
      <c r="X2041" s="10"/>
      <c r="AA2041" s="11"/>
    </row>
    <row r="2042" spans="2:27" ht="16" x14ac:dyDescent="0.2">
      <c r="B2042" t="s">
        <v>35</v>
      </c>
      <c r="C2042">
        <v>40364399</v>
      </c>
      <c r="D2042" t="s">
        <v>389</v>
      </c>
      <c r="E2042">
        <v>1012503</v>
      </c>
      <c r="F2042" t="s">
        <v>448</v>
      </c>
      <c r="G2042" s="9">
        <v>45001</v>
      </c>
      <c r="H2042" s="7">
        <v>24000</v>
      </c>
      <c r="I2042" s="7"/>
      <c r="J2042" s="7"/>
      <c r="K2042" s="7"/>
      <c r="L2042" s="10">
        <v>5.5741092456127026</v>
      </c>
      <c r="M2042" s="9">
        <v>45006</v>
      </c>
      <c r="N2042" s="10">
        <v>5.5</v>
      </c>
      <c r="O2042" s="9">
        <v>45011</v>
      </c>
      <c r="P2042">
        <v>5</v>
      </c>
      <c r="Q2042" s="11" t="s">
        <v>49</v>
      </c>
      <c r="R2042" s="7">
        <v>24000</v>
      </c>
      <c r="S2042" s="7"/>
      <c r="T2042" s="7"/>
      <c r="U2042" s="7"/>
      <c r="V2042" s="10">
        <v>7.5741092456127026</v>
      </c>
      <c r="W2042" s="9">
        <v>45008</v>
      </c>
      <c r="X2042" s="10">
        <v>7.5</v>
      </c>
      <c r="Y2042" s="9">
        <v>45011</v>
      </c>
      <c r="Z2042">
        <v>5</v>
      </c>
      <c r="AA2042" s="11" t="s">
        <v>49</v>
      </c>
    </row>
    <row r="2043" spans="2:27" x14ac:dyDescent="0.2">
      <c r="B2043" t="s">
        <v>394</v>
      </c>
      <c r="C2043">
        <v>40364290</v>
      </c>
      <c r="D2043" t="s">
        <v>485</v>
      </c>
      <c r="E2043">
        <v>1012719</v>
      </c>
      <c r="F2043" t="s">
        <v>545</v>
      </c>
      <c r="G2043" s="9">
        <v>44977</v>
      </c>
      <c r="H2043" s="7"/>
      <c r="I2043" s="7"/>
      <c r="J2043" s="7"/>
      <c r="K2043" s="7"/>
      <c r="L2043" s="10"/>
      <c r="N2043" s="10"/>
      <c r="Q2043" s="11"/>
      <c r="R2043" s="7"/>
      <c r="S2043" s="7"/>
      <c r="T2043" s="7"/>
      <c r="U2043" s="7"/>
      <c r="V2043" s="10"/>
      <c r="X2043" s="10"/>
      <c r="AA2043" s="11"/>
    </row>
    <row r="2044" spans="2:27" x14ac:dyDescent="0.2">
      <c r="B2044" t="s">
        <v>394</v>
      </c>
      <c r="C2044">
        <v>40364290</v>
      </c>
      <c r="D2044" t="s">
        <v>485</v>
      </c>
      <c r="E2044">
        <v>1011042</v>
      </c>
      <c r="F2044" t="s">
        <v>510</v>
      </c>
      <c r="G2044" s="9">
        <v>44977</v>
      </c>
      <c r="H2044" s="7"/>
      <c r="I2044" s="7"/>
      <c r="J2044" s="7"/>
      <c r="K2044" s="7"/>
      <c r="L2044" s="10"/>
      <c r="N2044" s="10"/>
      <c r="Q2044" s="11"/>
      <c r="R2044" s="7"/>
      <c r="S2044" s="7"/>
      <c r="T2044" s="7"/>
      <c r="U2044" s="7"/>
      <c r="V2044" s="10"/>
      <c r="X2044" s="10"/>
      <c r="AA2044" s="11"/>
    </row>
    <row r="2045" spans="2:27" x14ac:dyDescent="0.2">
      <c r="B2045" t="s">
        <v>394</v>
      </c>
      <c r="C2045">
        <v>40364284</v>
      </c>
      <c r="D2045" t="s">
        <v>485</v>
      </c>
      <c r="E2045">
        <v>1020944</v>
      </c>
      <c r="F2045" t="s">
        <v>498</v>
      </c>
      <c r="G2045" s="9">
        <v>45002</v>
      </c>
      <c r="H2045" s="7">
        <v>23986.75</v>
      </c>
      <c r="I2045" s="7"/>
      <c r="J2045" s="7"/>
      <c r="K2045" s="7"/>
      <c r="L2045" s="10"/>
      <c r="N2045" s="10"/>
      <c r="Q2045" s="11"/>
      <c r="R2045" s="7">
        <v>23986.75</v>
      </c>
      <c r="S2045" s="7"/>
      <c r="T2045" s="7"/>
      <c r="U2045" s="7"/>
      <c r="V2045" s="10"/>
      <c r="X2045" s="10"/>
      <c r="AA2045" s="11"/>
    </row>
    <row r="2046" spans="2:27" x14ac:dyDescent="0.2">
      <c r="B2046" t="s">
        <v>394</v>
      </c>
      <c r="C2046">
        <v>40364283</v>
      </c>
      <c r="D2046" t="s">
        <v>485</v>
      </c>
      <c r="E2046">
        <v>1020944</v>
      </c>
      <c r="F2046" t="s">
        <v>498</v>
      </c>
      <c r="G2046" s="9">
        <v>45002</v>
      </c>
      <c r="H2046" s="7">
        <v>23989.49</v>
      </c>
      <c r="I2046" s="7"/>
      <c r="J2046" s="7"/>
      <c r="K2046" s="7"/>
      <c r="L2046" s="10"/>
      <c r="N2046" s="10"/>
      <c r="Q2046" s="11"/>
      <c r="R2046" s="7">
        <v>23989.49</v>
      </c>
      <c r="S2046" s="7"/>
      <c r="T2046" s="7"/>
      <c r="U2046" s="7"/>
      <c r="V2046" s="10"/>
      <c r="X2046" s="10"/>
      <c r="AA2046" s="11"/>
    </row>
    <row r="2047" spans="2:27" x14ac:dyDescent="0.2">
      <c r="B2047" t="s">
        <v>394</v>
      </c>
      <c r="C2047">
        <v>40364282</v>
      </c>
      <c r="D2047" t="s">
        <v>485</v>
      </c>
      <c r="E2047">
        <v>1020944</v>
      </c>
      <c r="F2047" t="s">
        <v>498</v>
      </c>
      <c r="G2047" s="9">
        <v>44995</v>
      </c>
      <c r="H2047" s="7">
        <v>24001.49</v>
      </c>
      <c r="I2047" s="7"/>
      <c r="J2047" s="7"/>
      <c r="K2047" s="7"/>
      <c r="L2047" s="10"/>
      <c r="N2047" s="10"/>
      <c r="Q2047" s="11"/>
      <c r="R2047" s="7">
        <v>24001.49</v>
      </c>
      <c r="S2047" s="7"/>
      <c r="T2047" s="7"/>
      <c r="U2047" s="7"/>
      <c r="V2047" s="10"/>
      <c r="X2047" s="10"/>
      <c r="AA2047" s="11"/>
    </row>
    <row r="2048" spans="2:27" x14ac:dyDescent="0.2">
      <c r="B2048" t="s">
        <v>394</v>
      </c>
      <c r="C2048">
        <v>40364281</v>
      </c>
      <c r="D2048" t="s">
        <v>485</v>
      </c>
      <c r="E2048">
        <v>1020944</v>
      </c>
      <c r="F2048" t="s">
        <v>498</v>
      </c>
      <c r="G2048" s="9">
        <v>45002</v>
      </c>
      <c r="H2048" s="7">
        <v>24017.39</v>
      </c>
      <c r="I2048" s="7"/>
      <c r="J2048" s="7"/>
      <c r="K2048" s="7"/>
      <c r="L2048" s="10"/>
      <c r="N2048" s="10"/>
      <c r="Q2048" s="11"/>
      <c r="R2048" s="7">
        <v>24017.39</v>
      </c>
      <c r="S2048" s="7"/>
      <c r="T2048" s="7"/>
      <c r="U2048" s="7"/>
      <c r="V2048" s="10"/>
      <c r="X2048" s="10"/>
      <c r="AA2048" s="11"/>
    </row>
    <row r="2049" spans="2:27" x14ac:dyDescent="0.2">
      <c r="B2049" t="s">
        <v>394</v>
      </c>
      <c r="C2049">
        <v>40364280</v>
      </c>
      <c r="D2049" t="s">
        <v>485</v>
      </c>
      <c r="E2049">
        <v>1020944</v>
      </c>
      <c r="F2049" t="s">
        <v>498</v>
      </c>
      <c r="G2049" s="9">
        <v>45002</v>
      </c>
      <c r="H2049" s="7">
        <v>23663.45</v>
      </c>
      <c r="I2049" s="7"/>
      <c r="J2049" s="7"/>
      <c r="K2049" s="7"/>
      <c r="L2049" s="10"/>
      <c r="N2049" s="10"/>
      <c r="Q2049" s="11"/>
      <c r="R2049" s="7">
        <v>23663.45</v>
      </c>
      <c r="S2049" s="7"/>
      <c r="T2049" s="7"/>
      <c r="U2049" s="7"/>
      <c r="V2049" s="10"/>
      <c r="X2049" s="10"/>
      <c r="AA2049" s="11"/>
    </row>
    <row r="2050" spans="2:27" ht="16" x14ac:dyDescent="0.2">
      <c r="B2050" t="s">
        <v>35</v>
      </c>
      <c r="C2050">
        <v>40364248</v>
      </c>
      <c r="D2050" t="s">
        <v>389</v>
      </c>
      <c r="E2050">
        <v>1022414</v>
      </c>
      <c r="F2050" t="s">
        <v>308</v>
      </c>
      <c r="G2050" s="9">
        <v>45012</v>
      </c>
      <c r="H2050" s="7"/>
      <c r="I2050" s="7">
        <v>24300</v>
      </c>
      <c r="J2050" s="7"/>
      <c r="K2050" s="7"/>
      <c r="L2050" s="10">
        <v>5.5741092456127026</v>
      </c>
      <c r="M2050" s="9">
        <v>45017</v>
      </c>
      <c r="N2050" s="10">
        <v>5.5</v>
      </c>
      <c r="O2050" s="9">
        <v>45022</v>
      </c>
      <c r="P2050">
        <v>20</v>
      </c>
      <c r="Q2050" s="11" t="s">
        <v>49</v>
      </c>
      <c r="R2050" s="7"/>
      <c r="S2050" s="7">
        <v>24300</v>
      </c>
      <c r="T2050" s="7"/>
      <c r="U2050" s="7"/>
      <c r="V2050" s="10">
        <v>7.5741092456127026</v>
      </c>
      <c r="W2050" s="9">
        <v>45019</v>
      </c>
      <c r="X2050" s="10">
        <v>7.5</v>
      </c>
      <c r="Y2050" s="9">
        <v>45022</v>
      </c>
      <c r="Z2050">
        <v>20</v>
      </c>
      <c r="AA2050" s="11" t="s">
        <v>49</v>
      </c>
    </row>
    <row r="2051" spans="2:27" ht="16" x14ac:dyDescent="0.2">
      <c r="B2051" t="s">
        <v>35</v>
      </c>
      <c r="C2051">
        <v>40364247</v>
      </c>
      <c r="D2051" t="s">
        <v>389</v>
      </c>
      <c r="E2051">
        <v>1022414</v>
      </c>
      <c r="F2051" t="s">
        <v>308</v>
      </c>
      <c r="G2051" s="9">
        <v>45013</v>
      </c>
      <c r="H2051" s="7"/>
      <c r="I2051" s="7">
        <v>7870</v>
      </c>
      <c r="J2051" s="7"/>
      <c r="K2051" s="7"/>
      <c r="L2051" s="10">
        <v>5.5741092456127026</v>
      </c>
      <c r="M2051" s="9">
        <v>45018</v>
      </c>
      <c r="N2051" s="10">
        <v>5.5</v>
      </c>
      <c r="O2051" s="9">
        <v>45023</v>
      </c>
      <c r="P2051">
        <v>19</v>
      </c>
      <c r="Q2051" s="11" t="s">
        <v>49</v>
      </c>
      <c r="R2051" s="7"/>
      <c r="S2051" s="7">
        <v>7870</v>
      </c>
      <c r="T2051" s="7"/>
      <c r="U2051" s="7"/>
      <c r="V2051" s="10">
        <v>7.5741092456127026</v>
      </c>
      <c r="W2051" s="9">
        <v>45020</v>
      </c>
      <c r="X2051" s="10">
        <v>7.5</v>
      </c>
      <c r="Y2051" s="9">
        <v>45023</v>
      </c>
      <c r="Z2051">
        <v>19</v>
      </c>
      <c r="AA2051" s="11" t="s">
        <v>49</v>
      </c>
    </row>
    <row r="2052" spans="2:27" ht="16" x14ac:dyDescent="0.2">
      <c r="B2052" t="s">
        <v>35</v>
      </c>
      <c r="C2052">
        <v>40364247</v>
      </c>
      <c r="D2052" t="s">
        <v>389</v>
      </c>
      <c r="E2052">
        <v>1022414</v>
      </c>
      <c r="F2052" t="s">
        <v>308</v>
      </c>
      <c r="G2052" s="9">
        <v>45013</v>
      </c>
      <c r="H2052" s="7"/>
      <c r="I2052" s="7">
        <v>24000</v>
      </c>
      <c r="J2052" s="7"/>
      <c r="K2052" s="7"/>
      <c r="L2052" s="10">
        <v>5.5741092456127026</v>
      </c>
      <c r="M2052" s="9">
        <v>45018</v>
      </c>
      <c r="N2052" s="10">
        <v>5.5</v>
      </c>
      <c r="O2052" s="9">
        <v>45023</v>
      </c>
      <c r="P2052">
        <v>19</v>
      </c>
      <c r="Q2052" s="11" t="s">
        <v>49</v>
      </c>
      <c r="R2052" s="7"/>
      <c r="S2052" s="7">
        <v>24000</v>
      </c>
      <c r="T2052" s="7"/>
      <c r="U2052" s="7"/>
      <c r="V2052" s="10">
        <v>7.5741092456127026</v>
      </c>
      <c r="W2052" s="9">
        <v>45020</v>
      </c>
      <c r="X2052" s="10">
        <v>7.5</v>
      </c>
      <c r="Y2052" s="9">
        <v>45023</v>
      </c>
      <c r="Z2052">
        <v>19</v>
      </c>
      <c r="AA2052" s="11" t="s">
        <v>49</v>
      </c>
    </row>
    <row r="2053" spans="2:27" ht="16" x14ac:dyDescent="0.2">
      <c r="B2053" t="s">
        <v>35</v>
      </c>
      <c r="C2053">
        <v>40364245</v>
      </c>
      <c r="D2053" t="s">
        <v>389</v>
      </c>
      <c r="E2053">
        <v>1022183</v>
      </c>
      <c r="F2053" t="s">
        <v>165</v>
      </c>
      <c r="G2053" s="9">
        <v>45004</v>
      </c>
      <c r="H2053" s="7">
        <v>24994.41</v>
      </c>
      <c r="I2053" s="7"/>
      <c r="J2053" s="7"/>
      <c r="K2053" s="7"/>
      <c r="L2053" s="10">
        <v>5.5741092456127026</v>
      </c>
      <c r="M2053" s="9">
        <v>45009</v>
      </c>
      <c r="N2053" s="10">
        <v>5.5</v>
      </c>
      <c r="O2053" s="9">
        <v>45014</v>
      </c>
      <c r="P2053">
        <v>2</v>
      </c>
      <c r="Q2053" s="11" t="s">
        <v>598</v>
      </c>
      <c r="R2053" s="7">
        <v>24994.41</v>
      </c>
      <c r="S2053" s="7"/>
      <c r="T2053" s="7"/>
      <c r="U2053" s="7"/>
      <c r="V2053" s="10">
        <v>7.5741092456127026</v>
      </c>
      <c r="W2053" s="9">
        <v>45011</v>
      </c>
      <c r="X2053" s="10">
        <v>7.5</v>
      </c>
      <c r="Y2053" s="9">
        <v>45014</v>
      </c>
      <c r="Z2053">
        <v>2</v>
      </c>
      <c r="AA2053" s="11" t="s">
        <v>598</v>
      </c>
    </row>
    <row r="2054" spans="2:27" ht="16" x14ac:dyDescent="0.2">
      <c r="B2054" t="s">
        <v>35</v>
      </c>
      <c r="C2054">
        <v>40364244</v>
      </c>
      <c r="D2054" t="s">
        <v>389</v>
      </c>
      <c r="E2054">
        <v>1022183</v>
      </c>
      <c r="F2054" t="s">
        <v>165</v>
      </c>
      <c r="G2054" s="9">
        <v>44996</v>
      </c>
      <c r="H2054" s="7">
        <v>24124.41</v>
      </c>
      <c r="I2054" s="7"/>
      <c r="J2054" s="7"/>
      <c r="K2054" s="7"/>
      <c r="L2054" s="10">
        <v>5.5741092456127026</v>
      </c>
      <c r="M2054" s="9">
        <v>45001</v>
      </c>
      <c r="N2054" s="10">
        <v>5.5</v>
      </c>
      <c r="O2054" s="9">
        <v>45006</v>
      </c>
      <c r="P2054">
        <v>9</v>
      </c>
      <c r="Q2054" s="11" t="s">
        <v>49</v>
      </c>
      <c r="R2054" s="7">
        <v>24124.41</v>
      </c>
      <c r="S2054" s="7"/>
      <c r="T2054" s="7"/>
      <c r="U2054" s="7"/>
      <c r="V2054" s="10">
        <v>7.5741092456127026</v>
      </c>
      <c r="W2054" s="9">
        <v>45003</v>
      </c>
      <c r="X2054" s="10">
        <v>7.5</v>
      </c>
      <c r="Y2054" s="9">
        <v>45006</v>
      </c>
      <c r="Z2054">
        <v>9</v>
      </c>
      <c r="AA2054" s="11" t="s">
        <v>49</v>
      </c>
    </row>
    <row r="2055" spans="2:27" ht="16" x14ac:dyDescent="0.2">
      <c r="B2055" t="s">
        <v>35</v>
      </c>
      <c r="C2055">
        <v>40364243</v>
      </c>
      <c r="D2055" t="s">
        <v>389</v>
      </c>
      <c r="E2055">
        <v>1022183</v>
      </c>
      <c r="F2055" t="s">
        <v>165</v>
      </c>
      <c r="G2055" s="9">
        <v>45007</v>
      </c>
      <c r="H2055" s="7"/>
      <c r="I2055" s="7">
        <v>25012.89</v>
      </c>
      <c r="J2055" s="7"/>
      <c r="K2055" s="7"/>
      <c r="L2055" s="10">
        <v>5.5741092456127026</v>
      </c>
      <c r="M2055" s="9">
        <v>45012</v>
      </c>
      <c r="N2055" s="10">
        <v>5.5</v>
      </c>
      <c r="O2055" s="9">
        <v>45017</v>
      </c>
      <c r="P2055">
        <v>23</v>
      </c>
      <c r="Q2055" s="11" t="s">
        <v>49</v>
      </c>
      <c r="R2055" s="7"/>
      <c r="S2055" s="7">
        <v>25012.89</v>
      </c>
      <c r="T2055" s="7"/>
      <c r="U2055" s="7"/>
      <c r="V2055" s="10">
        <v>7.5741092456127026</v>
      </c>
      <c r="W2055" s="9">
        <v>45014</v>
      </c>
      <c r="X2055" s="10">
        <v>7.5</v>
      </c>
      <c r="Y2055" s="9">
        <v>45017</v>
      </c>
      <c r="Z2055">
        <v>23</v>
      </c>
      <c r="AA2055" s="11" t="s">
        <v>49</v>
      </c>
    </row>
    <row r="2056" spans="2:27" ht="16" x14ac:dyDescent="0.2">
      <c r="B2056" t="s">
        <v>35</v>
      </c>
      <c r="C2056">
        <v>40364242</v>
      </c>
      <c r="D2056" t="s">
        <v>389</v>
      </c>
      <c r="E2056">
        <v>1022183</v>
      </c>
      <c r="F2056" t="s">
        <v>165</v>
      </c>
      <c r="G2056" s="9">
        <v>45007</v>
      </c>
      <c r="H2056" s="7"/>
      <c r="I2056" s="7">
        <v>25097.919999999998</v>
      </c>
      <c r="J2056" s="7"/>
      <c r="K2056" s="7"/>
      <c r="L2056" s="10">
        <v>5.5741092456127026</v>
      </c>
      <c r="M2056" s="9">
        <v>45012</v>
      </c>
      <c r="N2056" s="10">
        <v>5.5</v>
      </c>
      <c r="O2056" s="9">
        <v>45017</v>
      </c>
      <c r="P2056">
        <v>23</v>
      </c>
      <c r="Q2056" s="11" t="s">
        <v>49</v>
      </c>
      <c r="R2056" s="7"/>
      <c r="S2056" s="7">
        <v>25097.919999999998</v>
      </c>
      <c r="T2056" s="7"/>
      <c r="U2056" s="7"/>
      <c r="V2056" s="10">
        <v>7.5741092456127026</v>
      </c>
      <c r="W2056" s="9">
        <v>45014</v>
      </c>
      <c r="X2056" s="10">
        <v>7.5</v>
      </c>
      <c r="Y2056" s="9">
        <v>45017</v>
      </c>
      <c r="Z2056">
        <v>23</v>
      </c>
      <c r="AA2056" s="11" t="s">
        <v>49</v>
      </c>
    </row>
    <row r="2057" spans="2:27" ht="16" x14ac:dyDescent="0.2">
      <c r="B2057" t="s">
        <v>35</v>
      </c>
      <c r="C2057">
        <v>40364240</v>
      </c>
      <c r="D2057" t="s">
        <v>389</v>
      </c>
      <c r="E2057">
        <v>1021732</v>
      </c>
      <c r="F2057" t="s">
        <v>275</v>
      </c>
      <c r="G2057" s="9">
        <v>45005</v>
      </c>
      <c r="H2057" s="7">
        <v>13690.23</v>
      </c>
      <c r="I2057" s="7"/>
      <c r="J2057" s="7"/>
      <c r="K2057" s="7"/>
      <c r="L2057" s="10">
        <v>5.5741092456127026</v>
      </c>
      <c r="M2057" s="9">
        <v>45010</v>
      </c>
      <c r="N2057" s="10">
        <v>5.5</v>
      </c>
      <c r="O2057" s="9">
        <v>45015</v>
      </c>
      <c r="P2057">
        <v>1</v>
      </c>
      <c r="Q2057" s="11" t="s">
        <v>598</v>
      </c>
      <c r="R2057" s="7">
        <v>13690.23</v>
      </c>
      <c r="S2057" s="7"/>
      <c r="T2057" s="7"/>
      <c r="U2057" s="7"/>
      <c r="V2057" s="10">
        <v>7.5741092456127026</v>
      </c>
      <c r="W2057" s="9">
        <v>45012</v>
      </c>
      <c r="X2057" s="10">
        <v>7.5</v>
      </c>
      <c r="Y2057" s="9">
        <v>45015</v>
      </c>
      <c r="Z2057">
        <v>1</v>
      </c>
      <c r="AA2057" s="11" t="s">
        <v>598</v>
      </c>
    </row>
    <row r="2058" spans="2:27" ht="16" x14ac:dyDescent="0.2">
      <c r="B2058" t="s">
        <v>35</v>
      </c>
      <c r="C2058">
        <v>40364240</v>
      </c>
      <c r="D2058" t="s">
        <v>389</v>
      </c>
      <c r="E2058">
        <v>1021732</v>
      </c>
      <c r="F2058" t="s">
        <v>275</v>
      </c>
      <c r="G2058" s="9">
        <v>45005</v>
      </c>
      <c r="H2058" s="7">
        <v>24010.23</v>
      </c>
      <c r="I2058" s="7"/>
      <c r="J2058" s="7"/>
      <c r="K2058" s="7"/>
      <c r="L2058" s="10">
        <v>5.5741092456127026</v>
      </c>
      <c r="M2058" s="9">
        <v>45010</v>
      </c>
      <c r="N2058" s="10">
        <v>5.5</v>
      </c>
      <c r="O2058" s="9">
        <v>45015</v>
      </c>
      <c r="P2058">
        <v>1</v>
      </c>
      <c r="Q2058" s="11" t="s">
        <v>598</v>
      </c>
      <c r="R2058" s="7">
        <v>24010.23</v>
      </c>
      <c r="S2058" s="7"/>
      <c r="T2058" s="7"/>
      <c r="U2058" s="7"/>
      <c r="V2058" s="10">
        <v>7.5741092456127026</v>
      </c>
      <c r="W2058" s="9">
        <v>45012</v>
      </c>
      <c r="X2058" s="10">
        <v>7.5</v>
      </c>
      <c r="Y2058" s="9">
        <v>45015</v>
      </c>
      <c r="Z2058">
        <v>1</v>
      </c>
      <c r="AA2058" s="11" t="s">
        <v>598</v>
      </c>
    </row>
    <row r="2059" spans="2:27" x14ac:dyDescent="0.2">
      <c r="B2059" t="s">
        <v>394</v>
      </c>
      <c r="C2059">
        <v>40364236</v>
      </c>
      <c r="D2059" t="s">
        <v>485</v>
      </c>
      <c r="E2059">
        <v>1020412</v>
      </c>
      <c r="F2059" t="s">
        <v>486</v>
      </c>
      <c r="G2059" s="9">
        <v>44973</v>
      </c>
      <c r="H2059" s="7"/>
      <c r="I2059" s="7"/>
      <c r="J2059" s="7"/>
      <c r="K2059" s="7"/>
      <c r="L2059" s="10"/>
      <c r="N2059" s="10"/>
      <c r="Q2059" s="11"/>
      <c r="R2059" s="7"/>
      <c r="S2059" s="7"/>
      <c r="T2059" s="7"/>
      <c r="U2059" s="7"/>
      <c r="V2059" s="10"/>
      <c r="X2059" s="10"/>
      <c r="AA2059" s="11"/>
    </row>
    <row r="2060" spans="2:27" x14ac:dyDescent="0.2">
      <c r="B2060" t="s">
        <v>394</v>
      </c>
      <c r="C2060">
        <v>40364235</v>
      </c>
      <c r="D2060" t="s">
        <v>485</v>
      </c>
      <c r="E2060">
        <v>1020944</v>
      </c>
      <c r="F2060" t="s">
        <v>498</v>
      </c>
      <c r="G2060" s="9">
        <v>44983</v>
      </c>
      <c r="H2060" s="7"/>
      <c r="I2060" s="7"/>
      <c r="J2060" s="7"/>
      <c r="K2060" s="7"/>
      <c r="L2060" s="10"/>
      <c r="N2060" s="10"/>
      <c r="Q2060" s="11"/>
      <c r="R2060" s="7"/>
      <c r="S2060" s="7"/>
      <c r="T2060" s="7"/>
      <c r="U2060" s="7"/>
      <c r="V2060" s="10"/>
      <c r="X2060" s="10"/>
      <c r="AA2060" s="11"/>
    </row>
    <row r="2061" spans="2:27" x14ac:dyDescent="0.2">
      <c r="B2061" t="s">
        <v>394</v>
      </c>
      <c r="C2061">
        <v>40364234</v>
      </c>
      <c r="D2061" t="s">
        <v>485</v>
      </c>
      <c r="E2061">
        <v>1020944</v>
      </c>
      <c r="F2061" t="s">
        <v>498</v>
      </c>
      <c r="G2061" s="9">
        <v>44973</v>
      </c>
      <c r="H2061" s="7"/>
      <c r="I2061" s="7"/>
      <c r="J2061" s="7"/>
      <c r="K2061" s="7"/>
      <c r="L2061" s="10"/>
      <c r="N2061" s="10"/>
      <c r="Q2061" s="11"/>
      <c r="R2061" s="7"/>
      <c r="S2061" s="7"/>
      <c r="T2061" s="7"/>
      <c r="U2061" s="7"/>
      <c r="V2061" s="10"/>
      <c r="X2061" s="10"/>
      <c r="AA2061" s="11"/>
    </row>
    <row r="2062" spans="2:27" x14ac:dyDescent="0.2">
      <c r="B2062" t="s">
        <v>394</v>
      </c>
      <c r="C2062">
        <v>40364229</v>
      </c>
      <c r="D2062" t="s">
        <v>485</v>
      </c>
      <c r="E2062">
        <v>1021085</v>
      </c>
      <c r="F2062" t="s">
        <v>511</v>
      </c>
      <c r="G2062" s="9">
        <v>44988</v>
      </c>
      <c r="H2062" s="7">
        <v>24012</v>
      </c>
      <c r="I2062" s="7"/>
      <c r="J2062" s="7"/>
      <c r="K2062" s="7"/>
      <c r="L2062" s="10"/>
      <c r="N2062" s="10"/>
      <c r="Q2062" s="11"/>
      <c r="R2062" s="7">
        <v>24012</v>
      </c>
      <c r="S2062" s="7"/>
      <c r="T2062" s="7"/>
      <c r="U2062" s="7"/>
      <c r="V2062" s="10"/>
      <c r="X2062" s="10"/>
      <c r="AA2062" s="11"/>
    </row>
    <row r="2063" spans="2:27" x14ac:dyDescent="0.2">
      <c r="B2063" t="s">
        <v>394</v>
      </c>
      <c r="C2063">
        <v>40364226</v>
      </c>
      <c r="D2063" t="s">
        <v>485</v>
      </c>
      <c r="E2063">
        <v>1020848</v>
      </c>
      <c r="F2063" t="s">
        <v>503</v>
      </c>
      <c r="G2063" s="9">
        <v>44988</v>
      </c>
      <c r="H2063" s="7">
        <v>10928.01</v>
      </c>
      <c r="I2063" s="7"/>
      <c r="J2063" s="7"/>
      <c r="K2063" s="7"/>
      <c r="L2063" s="10"/>
      <c r="N2063" s="10"/>
      <c r="Q2063" s="11"/>
      <c r="R2063" s="7">
        <v>10928.01</v>
      </c>
      <c r="S2063" s="7"/>
      <c r="T2063" s="7"/>
      <c r="U2063" s="7"/>
      <c r="V2063" s="10"/>
      <c r="X2063" s="10"/>
      <c r="AA2063" s="11"/>
    </row>
    <row r="2064" spans="2:27" x14ac:dyDescent="0.2">
      <c r="B2064" t="s">
        <v>394</v>
      </c>
      <c r="C2064">
        <v>40364226</v>
      </c>
      <c r="D2064" t="s">
        <v>485</v>
      </c>
      <c r="E2064">
        <v>1020848</v>
      </c>
      <c r="F2064" t="s">
        <v>503</v>
      </c>
      <c r="G2064" s="9">
        <v>44988</v>
      </c>
      <c r="H2064" s="7">
        <v>24016.959999999999</v>
      </c>
      <c r="I2064" s="7"/>
      <c r="J2064" s="7"/>
      <c r="K2064" s="7"/>
      <c r="L2064" s="10"/>
      <c r="N2064" s="10"/>
      <c r="Q2064" s="11"/>
      <c r="R2064" s="7">
        <v>24016.959999999999</v>
      </c>
      <c r="S2064" s="7"/>
      <c r="T2064" s="7"/>
      <c r="U2064" s="7"/>
      <c r="V2064" s="10"/>
      <c r="X2064" s="10"/>
      <c r="AA2064" s="11"/>
    </row>
    <row r="2065" spans="2:27" x14ac:dyDescent="0.2">
      <c r="B2065" t="s">
        <v>394</v>
      </c>
      <c r="C2065">
        <v>40364225</v>
      </c>
      <c r="D2065" t="s">
        <v>485</v>
      </c>
      <c r="E2065">
        <v>1020848</v>
      </c>
      <c r="F2065" t="s">
        <v>503</v>
      </c>
      <c r="G2065" s="9">
        <v>44976</v>
      </c>
      <c r="H2065" s="7"/>
      <c r="I2065" s="7"/>
      <c r="J2065" s="7"/>
      <c r="K2065" s="7"/>
      <c r="L2065" s="10"/>
      <c r="N2065" s="10"/>
      <c r="Q2065" s="11"/>
      <c r="R2065" s="7"/>
      <c r="S2065" s="7"/>
      <c r="T2065" s="7"/>
      <c r="U2065" s="7"/>
      <c r="V2065" s="10"/>
      <c r="X2065" s="10"/>
      <c r="AA2065" s="11"/>
    </row>
    <row r="2066" spans="2:27" x14ac:dyDescent="0.2">
      <c r="B2066" t="s">
        <v>394</v>
      </c>
      <c r="C2066">
        <v>40364225</v>
      </c>
      <c r="D2066" t="s">
        <v>485</v>
      </c>
      <c r="E2066">
        <v>1020848</v>
      </c>
      <c r="F2066" t="s">
        <v>503</v>
      </c>
      <c r="G2066" s="9">
        <v>44976</v>
      </c>
      <c r="H2066" s="7"/>
      <c r="I2066" s="7"/>
      <c r="J2066" s="7"/>
      <c r="K2066" s="7"/>
      <c r="L2066" s="10"/>
      <c r="N2066" s="10"/>
      <c r="Q2066" s="11"/>
      <c r="R2066" s="7"/>
      <c r="S2066" s="7"/>
      <c r="T2066" s="7"/>
      <c r="U2066" s="7"/>
      <c r="V2066" s="10"/>
      <c r="X2066" s="10"/>
      <c r="AA2066" s="11"/>
    </row>
    <row r="2067" spans="2:27" ht="16" x14ac:dyDescent="0.2">
      <c r="B2067" t="s">
        <v>35</v>
      </c>
      <c r="C2067">
        <v>40364216</v>
      </c>
      <c r="D2067" t="s">
        <v>386</v>
      </c>
      <c r="E2067">
        <v>1012730</v>
      </c>
      <c r="F2067" t="s">
        <v>426</v>
      </c>
      <c r="G2067" s="9">
        <v>45002</v>
      </c>
      <c r="H2067" s="7">
        <v>10826.725</v>
      </c>
      <c r="I2067" s="7"/>
      <c r="J2067" s="7"/>
      <c r="K2067" s="7"/>
      <c r="L2067" s="10">
        <v>5.1420118343195256</v>
      </c>
      <c r="M2067" s="9">
        <v>45007</v>
      </c>
      <c r="N2067" s="10">
        <v>7.5</v>
      </c>
      <c r="O2067" s="9">
        <v>45014</v>
      </c>
      <c r="P2067">
        <v>2</v>
      </c>
      <c r="Q2067" s="11" t="s">
        <v>598</v>
      </c>
      <c r="R2067" s="7">
        <v>10826.725</v>
      </c>
      <c r="S2067" s="7"/>
      <c r="T2067" s="7"/>
      <c r="U2067" s="7"/>
      <c r="V2067" s="10">
        <v>7.1420118343195256</v>
      </c>
      <c r="W2067" s="9">
        <v>45009</v>
      </c>
      <c r="X2067" s="10">
        <v>9.5</v>
      </c>
      <c r="Y2067" s="9">
        <v>45014</v>
      </c>
      <c r="Z2067">
        <v>2</v>
      </c>
      <c r="AA2067" s="11" t="s">
        <v>598</v>
      </c>
    </row>
    <row r="2068" spans="2:27" ht="16" x14ac:dyDescent="0.2">
      <c r="B2068" t="s">
        <v>35</v>
      </c>
      <c r="C2068">
        <v>40364216</v>
      </c>
      <c r="D2068" t="s">
        <v>386</v>
      </c>
      <c r="E2068">
        <v>1012724</v>
      </c>
      <c r="F2068" t="s">
        <v>427</v>
      </c>
      <c r="G2068" s="9">
        <v>45002</v>
      </c>
      <c r="H2068" s="7">
        <v>10801.93</v>
      </c>
      <c r="I2068" s="7"/>
      <c r="J2068" s="7"/>
      <c r="K2068" s="7"/>
      <c r="L2068" s="10">
        <v>5.1420118343195256</v>
      </c>
      <c r="M2068" s="9">
        <v>45007</v>
      </c>
      <c r="N2068" s="10">
        <v>7.5</v>
      </c>
      <c r="O2068" s="9">
        <v>45014</v>
      </c>
      <c r="P2068">
        <v>2</v>
      </c>
      <c r="Q2068" s="11" t="s">
        <v>598</v>
      </c>
      <c r="R2068" s="7">
        <v>10801.93</v>
      </c>
      <c r="S2068" s="7"/>
      <c r="T2068" s="7"/>
      <c r="U2068" s="7"/>
      <c r="V2068" s="10">
        <v>7.1420118343195256</v>
      </c>
      <c r="W2068" s="9">
        <v>45009</v>
      </c>
      <c r="X2068" s="10">
        <v>9.5</v>
      </c>
      <c r="Y2068" s="9">
        <v>45014</v>
      </c>
      <c r="Z2068">
        <v>2</v>
      </c>
      <c r="AA2068" s="11" t="s">
        <v>598</v>
      </c>
    </row>
    <row r="2069" spans="2:27" ht="16" x14ac:dyDescent="0.2">
      <c r="B2069" t="s">
        <v>35</v>
      </c>
      <c r="C2069">
        <v>40364214</v>
      </c>
      <c r="D2069" t="s">
        <v>409</v>
      </c>
      <c r="E2069">
        <v>1021539</v>
      </c>
      <c r="F2069" t="s">
        <v>437</v>
      </c>
      <c r="G2069" s="9">
        <v>44992</v>
      </c>
      <c r="H2069" s="7">
        <v>24012.71142</v>
      </c>
      <c r="I2069" s="7"/>
      <c r="J2069" s="7"/>
      <c r="K2069" s="7"/>
      <c r="L2069" s="10">
        <v>7.5</v>
      </c>
      <c r="M2069" s="9">
        <v>44999</v>
      </c>
      <c r="N2069" s="10">
        <v>9.5</v>
      </c>
      <c r="O2069" s="9">
        <v>45008</v>
      </c>
      <c r="P2069">
        <v>7</v>
      </c>
      <c r="Q2069" s="11" t="s">
        <v>49</v>
      </c>
      <c r="R2069" s="7">
        <v>24012.71142</v>
      </c>
      <c r="S2069" s="7"/>
      <c r="T2069" s="7"/>
      <c r="U2069" s="7"/>
      <c r="V2069" s="10">
        <v>9.5</v>
      </c>
      <c r="W2069" s="9">
        <v>45001</v>
      </c>
      <c r="X2069" s="10">
        <v>11.5</v>
      </c>
      <c r="Y2069" s="9">
        <v>45008</v>
      </c>
      <c r="Z2069">
        <v>7</v>
      </c>
      <c r="AA2069" s="11" t="s">
        <v>49</v>
      </c>
    </row>
    <row r="2070" spans="2:27" ht="16" x14ac:dyDescent="0.2">
      <c r="B2070" t="s">
        <v>35</v>
      </c>
      <c r="C2070">
        <v>40364213</v>
      </c>
      <c r="D2070" t="s">
        <v>409</v>
      </c>
      <c r="E2070">
        <v>1021538</v>
      </c>
      <c r="F2070" t="s">
        <v>256</v>
      </c>
      <c r="G2070" s="9">
        <v>44999</v>
      </c>
      <c r="H2070" s="7">
        <v>24008.833210000001</v>
      </c>
      <c r="I2070" s="7"/>
      <c r="J2070" s="7"/>
      <c r="K2070" s="7"/>
      <c r="L2070" s="10">
        <v>7.5</v>
      </c>
      <c r="M2070" s="9">
        <v>45006</v>
      </c>
      <c r="N2070" s="10">
        <v>9.5</v>
      </c>
      <c r="O2070" s="9">
        <v>45015</v>
      </c>
      <c r="P2070">
        <v>1</v>
      </c>
      <c r="Q2070" s="11" t="s">
        <v>598</v>
      </c>
      <c r="R2070" s="7">
        <v>24008.833210000001</v>
      </c>
      <c r="S2070" s="7"/>
      <c r="T2070" s="7"/>
      <c r="U2070" s="7"/>
      <c r="V2070" s="10">
        <v>9.5</v>
      </c>
      <c r="W2070" s="9">
        <v>45008</v>
      </c>
      <c r="X2070" s="10">
        <v>11.5</v>
      </c>
      <c r="Y2070" s="9">
        <v>45015</v>
      </c>
      <c r="Z2070">
        <v>1</v>
      </c>
      <c r="AA2070" s="11" t="s">
        <v>598</v>
      </c>
    </row>
    <row r="2071" spans="2:27" ht="16" x14ac:dyDescent="0.2">
      <c r="B2071" t="s">
        <v>35</v>
      </c>
      <c r="C2071">
        <v>40364029</v>
      </c>
      <c r="D2071" t="s">
        <v>423</v>
      </c>
      <c r="E2071">
        <v>1021270</v>
      </c>
      <c r="F2071" t="s">
        <v>424</v>
      </c>
      <c r="G2071" s="9">
        <v>45007</v>
      </c>
      <c r="H2071" s="7"/>
      <c r="I2071" s="7">
        <v>6401.08</v>
      </c>
      <c r="J2071" s="7"/>
      <c r="K2071" s="7"/>
      <c r="L2071" s="10">
        <v>5.4496124031007751</v>
      </c>
      <c r="M2071" s="9">
        <v>45012</v>
      </c>
      <c r="N2071" s="10">
        <v>10</v>
      </c>
      <c r="O2071" s="9">
        <v>45022</v>
      </c>
      <c r="P2071">
        <v>20</v>
      </c>
      <c r="Q2071" s="11" t="s">
        <v>49</v>
      </c>
      <c r="R2071" s="7"/>
      <c r="S2071" s="7">
        <v>6401.08</v>
      </c>
      <c r="T2071" s="7"/>
      <c r="U2071" s="7"/>
      <c r="V2071" s="10">
        <v>7.4496124031007751</v>
      </c>
      <c r="W2071" s="9">
        <v>45014</v>
      </c>
      <c r="X2071" s="10">
        <v>12</v>
      </c>
      <c r="Y2071" s="9">
        <v>45022</v>
      </c>
      <c r="Z2071">
        <v>20</v>
      </c>
      <c r="AA2071" s="11" t="s">
        <v>49</v>
      </c>
    </row>
    <row r="2072" spans="2:27" ht="16" x14ac:dyDescent="0.2">
      <c r="B2072" t="s">
        <v>35</v>
      </c>
      <c r="C2072">
        <v>40364029</v>
      </c>
      <c r="D2072" t="s">
        <v>423</v>
      </c>
      <c r="E2072">
        <v>1021270</v>
      </c>
      <c r="F2072" t="s">
        <v>424</v>
      </c>
      <c r="G2072" s="9">
        <v>45007</v>
      </c>
      <c r="H2072" s="7"/>
      <c r="I2072" s="7">
        <v>24005.13</v>
      </c>
      <c r="J2072" s="7"/>
      <c r="K2072" s="7"/>
      <c r="L2072" s="10">
        <v>5.4496124031007751</v>
      </c>
      <c r="M2072" s="9">
        <v>45012</v>
      </c>
      <c r="N2072" s="10">
        <v>10</v>
      </c>
      <c r="O2072" s="9">
        <v>45022</v>
      </c>
      <c r="P2072">
        <v>20</v>
      </c>
      <c r="Q2072" s="11" t="s">
        <v>49</v>
      </c>
      <c r="R2072" s="7"/>
      <c r="S2072" s="7">
        <v>24005.13</v>
      </c>
      <c r="T2072" s="7"/>
      <c r="U2072" s="7"/>
      <c r="V2072" s="10">
        <v>7.4496124031007751</v>
      </c>
      <c r="W2072" s="9">
        <v>45014</v>
      </c>
      <c r="X2072" s="10">
        <v>12</v>
      </c>
      <c r="Y2072" s="9">
        <v>45022</v>
      </c>
      <c r="Z2072">
        <v>20</v>
      </c>
      <c r="AA2072" s="11" t="s">
        <v>49</v>
      </c>
    </row>
    <row r="2073" spans="2:27" x14ac:dyDescent="0.2">
      <c r="B2073" t="s">
        <v>394</v>
      </c>
      <c r="C2073">
        <v>40364015</v>
      </c>
      <c r="D2073" t="s">
        <v>485</v>
      </c>
      <c r="E2073">
        <v>1022709</v>
      </c>
      <c r="F2073" t="s">
        <v>493</v>
      </c>
      <c r="G2073" s="9">
        <v>44975</v>
      </c>
      <c r="H2073" s="7"/>
      <c r="I2073" s="7"/>
      <c r="J2073" s="7"/>
      <c r="K2073" s="7"/>
      <c r="L2073" s="10"/>
      <c r="N2073" s="10"/>
      <c r="Q2073" s="11"/>
      <c r="R2073" s="7"/>
      <c r="S2073" s="7"/>
      <c r="T2073" s="7"/>
      <c r="U2073" s="7"/>
      <c r="V2073" s="10"/>
      <c r="X2073" s="10"/>
      <c r="AA2073" s="11"/>
    </row>
    <row r="2074" spans="2:27" x14ac:dyDescent="0.2">
      <c r="B2074" t="s">
        <v>394</v>
      </c>
      <c r="C2074">
        <v>40364014</v>
      </c>
      <c r="D2074" t="s">
        <v>485</v>
      </c>
      <c r="E2074">
        <v>1022709</v>
      </c>
      <c r="F2074" t="s">
        <v>493</v>
      </c>
      <c r="G2074" s="9">
        <v>44981</v>
      </c>
      <c r="H2074" s="7"/>
      <c r="I2074" s="7"/>
      <c r="J2074" s="7"/>
      <c r="K2074" s="7"/>
      <c r="L2074" s="10"/>
      <c r="N2074" s="10"/>
      <c r="Q2074" s="11"/>
      <c r="R2074" s="7"/>
      <c r="S2074" s="7"/>
      <c r="T2074" s="7"/>
      <c r="U2074" s="7"/>
      <c r="V2074" s="10"/>
      <c r="X2074" s="10"/>
      <c r="AA2074" s="11"/>
    </row>
    <row r="2075" spans="2:27" x14ac:dyDescent="0.2">
      <c r="B2075" t="s">
        <v>394</v>
      </c>
      <c r="C2075">
        <v>40363945</v>
      </c>
      <c r="D2075" t="s">
        <v>485</v>
      </c>
      <c r="E2075">
        <v>1021868</v>
      </c>
      <c r="F2075" t="s">
        <v>509</v>
      </c>
      <c r="G2075" s="9">
        <v>44988</v>
      </c>
      <c r="H2075" s="7">
        <v>23787.53</v>
      </c>
      <c r="I2075" s="7"/>
      <c r="J2075" s="7"/>
      <c r="K2075" s="7"/>
      <c r="L2075" s="10"/>
      <c r="N2075" s="10"/>
      <c r="Q2075" s="11"/>
      <c r="R2075" s="7">
        <v>23787.53</v>
      </c>
      <c r="S2075" s="7"/>
      <c r="T2075" s="7"/>
      <c r="U2075" s="7"/>
      <c r="V2075" s="10"/>
      <c r="X2075" s="10"/>
      <c r="AA2075" s="11"/>
    </row>
    <row r="2076" spans="2:27" ht="16" x14ac:dyDescent="0.2">
      <c r="B2076" t="s">
        <v>35</v>
      </c>
      <c r="C2076">
        <v>40363925</v>
      </c>
      <c r="D2076" t="s">
        <v>391</v>
      </c>
      <c r="E2076">
        <v>1021936</v>
      </c>
      <c r="F2076" t="s">
        <v>411</v>
      </c>
      <c r="G2076" s="9">
        <v>45012</v>
      </c>
      <c r="H2076" s="7"/>
      <c r="I2076" s="7">
        <v>24000</v>
      </c>
      <c r="J2076" s="7"/>
      <c r="K2076" s="7"/>
      <c r="L2076" s="10">
        <v>4.830303030303031</v>
      </c>
      <c r="M2076" s="9">
        <v>45016</v>
      </c>
      <c r="N2076" s="10">
        <v>15</v>
      </c>
      <c r="O2076" s="9">
        <v>45031</v>
      </c>
      <c r="P2076">
        <v>12</v>
      </c>
      <c r="Q2076" s="11" t="s">
        <v>49</v>
      </c>
      <c r="R2076" s="7"/>
      <c r="S2076" s="7">
        <v>24000</v>
      </c>
      <c r="T2076" s="7"/>
      <c r="U2076" s="7"/>
      <c r="V2076" s="10">
        <v>6.830303030303031</v>
      </c>
      <c r="W2076" s="9">
        <v>45018</v>
      </c>
      <c r="X2076" s="10">
        <v>17</v>
      </c>
      <c r="Y2076" s="9">
        <v>45031</v>
      </c>
      <c r="Z2076">
        <v>12</v>
      </c>
      <c r="AA2076" s="11" t="s">
        <v>49</v>
      </c>
    </row>
    <row r="2077" spans="2:27" ht="16" x14ac:dyDescent="0.2">
      <c r="B2077" t="s">
        <v>35</v>
      </c>
      <c r="C2077">
        <v>40363924</v>
      </c>
      <c r="D2077" t="s">
        <v>391</v>
      </c>
      <c r="E2077">
        <v>1021936</v>
      </c>
      <c r="F2077" t="s">
        <v>411</v>
      </c>
      <c r="G2077" s="9">
        <v>45005</v>
      </c>
      <c r="H2077" s="7"/>
      <c r="I2077" s="7">
        <v>24000</v>
      </c>
      <c r="J2077" s="7"/>
      <c r="K2077" s="7"/>
      <c r="L2077" s="10">
        <v>4.830303030303031</v>
      </c>
      <c r="M2077" s="9">
        <v>45009</v>
      </c>
      <c r="N2077" s="10">
        <v>15</v>
      </c>
      <c r="O2077" s="9">
        <v>45024</v>
      </c>
      <c r="P2077">
        <v>18</v>
      </c>
      <c r="Q2077" s="11" t="s">
        <v>49</v>
      </c>
      <c r="R2077" s="7"/>
      <c r="S2077" s="7">
        <v>24000</v>
      </c>
      <c r="T2077" s="7"/>
      <c r="U2077" s="7"/>
      <c r="V2077" s="10">
        <v>6.830303030303031</v>
      </c>
      <c r="W2077" s="9">
        <v>45011</v>
      </c>
      <c r="X2077" s="10">
        <v>17</v>
      </c>
      <c r="Y2077" s="9">
        <v>45024</v>
      </c>
      <c r="Z2077">
        <v>18</v>
      </c>
      <c r="AA2077" s="11" t="s">
        <v>49</v>
      </c>
    </row>
    <row r="2078" spans="2:27" ht="16" x14ac:dyDescent="0.2">
      <c r="B2078" t="s">
        <v>35</v>
      </c>
      <c r="C2078">
        <v>40363922</v>
      </c>
      <c r="D2078" t="s">
        <v>391</v>
      </c>
      <c r="E2078">
        <v>1023265</v>
      </c>
      <c r="F2078" t="s">
        <v>347</v>
      </c>
      <c r="G2078" s="9">
        <v>45012</v>
      </c>
      <c r="H2078" s="7"/>
      <c r="I2078" s="7">
        <v>1997.34</v>
      </c>
      <c r="J2078" s="7"/>
      <c r="K2078" s="7"/>
      <c r="L2078" s="10">
        <v>4.830303030303031</v>
      </c>
      <c r="M2078" s="9">
        <v>45016</v>
      </c>
      <c r="N2078" s="10">
        <v>15</v>
      </c>
      <c r="O2078" s="9">
        <v>45031</v>
      </c>
      <c r="P2078">
        <v>12</v>
      </c>
      <c r="Q2078" s="11" t="s">
        <v>49</v>
      </c>
      <c r="R2078" s="7"/>
      <c r="S2078" s="7">
        <v>1997.34</v>
      </c>
      <c r="T2078" s="7"/>
      <c r="U2078" s="7"/>
      <c r="V2078" s="10">
        <v>6.830303030303031</v>
      </c>
      <c r="W2078" s="9">
        <v>45018</v>
      </c>
      <c r="X2078" s="10">
        <v>17</v>
      </c>
      <c r="Y2078" s="9">
        <v>45031</v>
      </c>
      <c r="Z2078">
        <v>12</v>
      </c>
      <c r="AA2078" s="11" t="s">
        <v>49</v>
      </c>
    </row>
    <row r="2079" spans="2:27" ht="16" x14ac:dyDescent="0.2">
      <c r="B2079" t="s">
        <v>35</v>
      </c>
      <c r="C2079">
        <v>40363921</v>
      </c>
      <c r="D2079" t="s">
        <v>391</v>
      </c>
      <c r="E2079">
        <v>1022413</v>
      </c>
      <c r="F2079" t="s">
        <v>434</v>
      </c>
      <c r="G2079" s="9">
        <v>45012</v>
      </c>
      <c r="H2079" s="7"/>
      <c r="I2079" s="7">
        <v>2000</v>
      </c>
      <c r="J2079" s="7"/>
      <c r="K2079" s="7"/>
      <c r="L2079" s="10">
        <v>4.830303030303031</v>
      </c>
      <c r="M2079" s="9">
        <v>45016</v>
      </c>
      <c r="N2079" s="10">
        <v>15</v>
      </c>
      <c r="O2079" s="9">
        <v>45031</v>
      </c>
      <c r="P2079">
        <v>12</v>
      </c>
      <c r="Q2079" s="11" t="s">
        <v>49</v>
      </c>
      <c r="R2079" s="7"/>
      <c r="S2079" s="7">
        <v>2000</v>
      </c>
      <c r="T2079" s="7"/>
      <c r="U2079" s="7"/>
      <c r="V2079" s="10">
        <v>6.830303030303031</v>
      </c>
      <c r="W2079" s="9">
        <v>45018</v>
      </c>
      <c r="X2079" s="10">
        <v>17</v>
      </c>
      <c r="Y2079" s="9">
        <v>45031</v>
      </c>
      <c r="Z2079">
        <v>12</v>
      </c>
      <c r="AA2079" s="11" t="s">
        <v>49</v>
      </c>
    </row>
    <row r="2080" spans="2:27" ht="16" x14ac:dyDescent="0.2">
      <c r="B2080" t="s">
        <v>35</v>
      </c>
      <c r="C2080">
        <v>40363921</v>
      </c>
      <c r="D2080" t="s">
        <v>391</v>
      </c>
      <c r="E2080">
        <v>1021944</v>
      </c>
      <c r="F2080" t="s">
        <v>192</v>
      </c>
      <c r="G2080" s="9">
        <v>45012</v>
      </c>
      <c r="H2080" s="7"/>
      <c r="I2080" s="7">
        <v>2000</v>
      </c>
      <c r="J2080" s="7"/>
      <c r="K2080" s="7"/>
      <c r="L2080" s="10">
        <v>4.830303030303031</v>
      </c>
      <c r="M2080" s="9">
        <v>45016</v>
      </c>
      <c r="N2080" s="10">
        <v>15</v>
      </c>
      <c r="O2080" s="9">
        <v>45031</v>
      </c>
      <c r="P2080">
        <v>12</v>
      </c>
      <c r="Q2080" s="11" t="s">
        <v>49</v>
      </c>
      <c r="R2080" s="7"/>
      <c r="S2080" s="7">
        <v>2000</v>
      </c>
      <c r="T2080" s="7"/>
      <c r="U2080" s="7"/>
      <c r="V2080" s="10">
        <v>6.830303030303031</v>
      </c>
      <c r="W2080" s="9">
        <v>45018</v>
      </c>
      <c r="X2080" s="10">
        <v>17</v>
      </c>
      <c r="Y2080" s="9">
        <v>45031</v>
      </c>
      <c r="Z2080">
        <v>12</v>
      </c>
      <c r="AA2080" s="11" t="s">
        <v>49</v>
      </c>
    </row>
    <row r="2081" spans="2:27" ht="16" x14ac:dyDescent="0.2">
      <c r="B2081" t="s">
        <v>35</v>
      </c>
      <c r="C2081">
        <v>40363920</v>
      </c>
      <c r="D2081" t="s">
        <v>391</v>
      </c>
      <c r="E2081">
        <v>1022866</v>
      </c>
      <c r="F2081" t="s">
        <v>203</v>
      </c>
      <c r="G2081" s="9">
        <v>45012</v>
      </c>
      <c r="H2081" s="7"/>
      <c r="I2081" s="7">
        <v>4014.68</v>
      </c>
      <c r="J2081" s="7"/>
      <c r="K2081" s="7"/>
      <c r="L2081" s="10">
        <v>4.830303030303031</v>
      </c>
      <c r="M2081" s="9">
        <v>45016</v>
      </c>
      <c r="N2081" s="10">
        <v>15</v>
      </c>
      <c r="O2081" s="9">
        <v>45031</v>
      </c>
      <c r="P2081">
        <v>12</v>
      </c>
      <c r="Q2081" s="11" t="s">
        <v>49</v>
      </c>
      <c r="R2081" s="7"/>
      <c r="S2081" s="7">
        <v>4014.68</v>
      </c>
      <c r="T2081" s="7"/>
      <c r="U2081" s="7"/>
      <c r="V2081" s="10">
        <v>6.830303030303031</v>
      </c>
      <c r="W2081" s="9">
        <v>45018</v>
      </c>
      <c r="X2081" s="10">
        <v>17</v>
      </c>
      <c r="Y2081" s="9">
        <v>45031</v>
      </c>
      <c r="Z2081">
        <v>12</v>
      </c>
      <c r="AA2081" s="11" t="s">
        <v>49</v>
      </c>
    </row>
    <row r="2082" spans="2:27" ht="16" x14ac:dyDescent="0.2">
      <c r="B2082" t="s">
        <v>35</v>
      </c>
      <c r="C2082">
        <v>40363920</v>
      </c>
      <c r="D2082" t="s">
        <v>391</v>
      </c>
      <c r="E2082">
        <v>1022751</v>
      </c>
      <c r="F2082" t="s">
        <v>36</v>
      </c>
      <c r="G2082" s="9">
        <v>45012</v>
      </c>
      <c r="H2082" s="7"/>
      <c r="I2082" s="7">
        <v>3010</v>
      </c>
      <c r="J2082" s="7"/>
      <c r="K2082" s="7"/>
      <c r="L2082" s="10">
        <v>4.830303030303031</v>
      </c>
      <c r="M2082" s="9">
        <v>45016</v>
      </c>
      <c r="N2082" s="10">
        <v>15</v>
      </c>
      <c r="O2082" s="9">
        <v>45031</v>
      </c>
      <c r="P2082">
        <v>12</v>
      </c>
      <c r="Q2082" s="11" t="s">
        <v>49</v>
      </c>
      <c r="R2082" s="7"/>
      <c r="S2082" s="7">
        <v>3010</v>
      </c>
      <c r="T2082" s="7"/>
      <c r="U2082" s="7"/>
      <c r="V2082" s="10">
        <v>6.830303030303031</v>
      </c>
      <c r="W2082" s="9">
        <v>45018</v>
      </c>
      <c r="X2082" s="10">
        <v>17</v>
      </c>
      <c r="Y2082" s="9">
        <v>45031</v>
      </c>
      <c r="Z2082">
        <v>12</v>
      </c>
      <c r="AA2082" s="11" t="s">
        <v>49</v>
      </c>
    </row>
    <row r="2083" spans="2:27" ht="16" x14ac:dyDescent="0.2">
      <c r="B2083" t="s">
        <v>35</v>
      </c>
      <c r="C2083">
        <v>40363920</v>
      </c>
      <c r="D2083" t="s">
        <v>391</v>
      </c>
      <c r="E2083">
        <v>1022621</v>
      </c>
      <c r="F2083" t="s">
        <v>199</v>
      </c>
      <c r="G2083" s="9">
        <v>45012</v>
      </c>
      <c r="H2083" s="7"/>
      <c r="I2083" s="7">
        <v>5009.08</v>
      </c>
      <c r="J2083" s="7"/>
      <c r="K2083" s="7"/>
      <c r="L2083" s="10">
        <v>4.830303030303031</v>
      </c>
      <c r="M2083" s="9">
        <v>45016</v>
      </c>
      <c r="N2083" s="10">
        <v>15</v>
      </c>
      <c r="O2083" s="9">
        <v>45031</v>
      </c>
      <c r="P2083">
        <v>12</v>
      </c>
      <c r="Q2083" s="11" t="s">
        <v>49</v>
      </c>
      <c r="R2083" s="7"/>
      <c r="S2083" s="7">
        <v>5009.08</v>
      </c>
      <c r="T2083" s="7"/>
      <c r="U2083" s="7"/>
      <c r="V2083" s="10">
        <v>6.830303030303031</v>
      </c>
      <c r="W2083" s="9">
        <v>45018</v>
      </c>
      <c r="X2083" s="10">
        <v>17</v>
      </c>
      <c r="Y2083" s="9">
        <v>45031</v>
      </c>
      <c r="Z2083">
        <v>12</v>
      </c>
      <c r="AA2083" s="11" t="s">
        <v>49</v>
      </c>
    </row>
    <row r="2084" spans="2:27" ht="16" x14ac:dyDescent="0.2">
      <c r="B2084" t="s">
        <v>35</v>
      </c>
      <c r="C2084">
        <v>40363920</v>
      </c>
      <c r="D2084" t="s">
        <v>391</v>
      </c>
      <c r="E2084">
        <v>1021924</v>
      </c>
      <c r="F2084" t="s">
        <v>187</v>
      </c>
      <c r="G2084" s="9">
        <v>45012</v>
      </c>
      <c r="H2084" s="7"/>
      <c r="I2084" s="7">
        <v>6010.09</v>
      </c>
      <c r="J2084" s="7"/>
      <c r="K2084" s="7"/>
      <c r="L2084" s="10">
        <v>4.830303030303031</v>
      </c>
      <c r="M2084" s="9">
        <v>45016</v>
      </c>
      <c r="N2084" s="10">
        <v>15</v>
      </c>
      <c r="O2084" s="9">
        <v>45031</v>
      </c>
      <c r="P2084">
        <v>12</v>
      </c>
      <c r="Q2084" s="11" t="s">
        <v>49</v>
      </c>
      <c r="R2084" s="7"/>
      <c r="S2084" s="7">
        <v>6010.09</v>
      </c>
      <c r="T2084" s="7"/>
      <c r="U2084" s="7"/>
      <c r="V2084" s="10">
        <v>6.830303030303031</v>
      </c>
      <c r="W2084" s="9">
        <v>45018</v>
      </c>
      <c r="X2084" s="10">
        <v>17</v>
      </c>
      <c r="Y2084" s="9">
        <v>45031</v>
      </c>
      <c r="Z2084">
        <v>12</v>
      </c>
      <c r="AA2084" s="11" t="s">
        <v>49</v>
      </c>
    </row>
    <row r="2085" spans="2:27" ht="16" x14ac:dyDescent="0.2">
      <c r="B2085" t="s">
        <v>35</v>
      </c>
      <c r="C2085">
        <v>40363903</v>
      </c>
      <c r="D2085" t="s">
        <v>391</v>
      </c>
      <c r="E2085">
        <v>1022866</v>
      </c>
      <c r="F2085" t="s">
        <v>203</v>
      </c>
      <c r="G2085" s="9">
        <v>45022</v>
      </c>
      <c r="H2085" s="7"/>
      <c r="I2085" s="7">
        <v>10920.1</v>
      </c>
      <c r="J2085" s="7"/>
      <c r="K2085" s="7"/>
      <c r="L2085" s="10">
        <v>4.830303030303031</v>
      </c>
      <c r="M2085" s="9">
        <v>45026</v>
      </c>
      <c r="N2085" s="10">
        <v>15</v>
      </c>
      <c r="O2085" s="9">
        <v>45041</v>
      </c>
      <c r="P2085">
        <v>4</v>
      </c>
      <c r="Q2085" s="11" t="s">
        <v>49</v>
      </c>
      <c r="R2085" s="7"/>
      <c r="S2085" s="7">
        <v>10920.1</v>
      </c>
      <c r="T2085" s="7"/>
      <c r="U2085" s="7"/>
      <c r="V2085" s="10">
        <v>6.830303030303031</v>
      </c>
      <c r="W2085" s="9">
        <v>45028</v>
      </c>
      <c r="X2085" s="10">
        <v>17</v>
      </c>
      <c r="Y2085" s="9">
        <v>45041</v>
      </c>
      <c r="Z2085">
        <v>4</v>
      </c>
      <c r="AA2085" s="11" t="s">
        <v>49</v>
      </c>
    </row>
    <row r="2086" spans="2:27" ht="16" x14ac:dyDescent="0.2">
      <c r="B2086" t="s">
        <v>35</v>
      </c>
      <c r="C2086">
        <v>40363903</v>
      </c>
      <c r="D2086" t="s">
        <v>391</v>
      </c>
      <c r="E2086">
        <v>1022751</v>
      </c>
      <c r="F2086" t="s">
        <v>36</v>
      </c>
      <c r="G2086" s="9">
        <v>45022</v>
      </c>
      <c r="H2086" s="7"/>
      <c r="I2086" s="7">
        <v>8008</v>
      </c>
      <c r="J2086" s="7"/>
      <c r="K2086" s="7"/>
      <c r="L2086" s="10">
        <v>4.830303030303031</v>
      </c>
      <c r="M2086" s="9">
        <v>45026</v>
      </c>
      <c r="N2086" s="10">
        <v>15</v>
      </c>
      <c r="O2086" s="9">
        <v>45041</v>
      </c>
      <c r="P2086">
        <v>4</v>
      </c>
      <c r="Q2086" s="11" t="s">
        <v>49</v>
      </c>
      <c r="R2086" s="7"/>
      <c r="S2086" s="7">
        <v>8008</v>
      </c>
      <c r="T2086" s="7"/>
      <c r="U2086" s="7"/>
      <c r="V2086" s="10">
        <v>6.830303030303031</v>
      </c>
      <c r="W2086" s="9">
        <v>45028</v>
      </c>
      <c r="X2086" s="10">
        <v>17</v>
      </c>
      <c r="Y2086" s="9">
        <v>45041</v>
      </c>
      <c r="Z2086">
        <v>4</v>
      </c>
      <c r="AA2086" s="11" t="s">
        <v>49</v>
      </c>
    </row>
    <row r="2087" spans="2:27" ht="16" x14ac:dyDescent="0.2">
      <c r="B2087" t="s">
        <v>35</v>
      </c>
      <c r="C2087">
        <v>40363903</v>
      </c>
      <c r="D2087" t="s">
        <v>391</v>
      </c>
      <c r="E2087">
        <v>1022293</v>
      </c>
      <c r="F2087" t="s">
        <v>339</v>
      </c>
      <c r="G2087" s="9">
        <v>45022</v>
      </c>
      <c r="H2087" s="7"/>
      <c r="I2087" s="7">
        <v>1000</v>
      </c>
      <c r="J2087" s="7"/>
      <c r="K2087" s="7"/>
      <c r="L2087" s="10">
        <v>4.830303030303031</v>
      </c>
      <c r="M2087" s="9">
        <v>45026</v>
      </c>
      <c r="N2087" s="10">
        <v>15</v>
      </c>
      <c r="O2087" s="9">
        <v>45041</v>
      </c>
      <c r="P2087">
        <v>4</v>
      </c>
      <c r="Q2087" s="11" t="s">
        <v>49</v>
      </c>
      <c r="R2087" s="7"/>
      <c r="S2087" s="7">
        <v>1000</v>
      </c>
      <c r="T2087" s="7"/>
      <c r="U2087" s="7"/>
      <c r="V2087" s="10">
        <v>6.830303030303031</v>
      </c>
      <c r="W2087" s="9">
        <v>45028</v>
      </c>
      <c r="X2087" s="10">
        <v>17</v>
      </c>
      <c r="Y2087" s="9">
        <v>45041</v>
      </c>
      <c r="Z2087">
        <v>4</v>
      </c>
      <c r="AA2087" s="11" t="s">
        <v>49</v>
      </c>
    </row>
    <row r="2088" spans="2:27" ht="16" x14ac:dyDescent="0.2">
      <c r="B2088" t="s">
        <v>35</v>
      </c>
      <c r="C2088">
        <v>40363903</v>
      </c>
      <c r="D2088" t="s">
        <v>391</v>
      </c>
      <c r="E2088">
        <v>1022141</v>
      </c>
      <c r="F2088" t="s">
        <v>126</v>
      </c>
      <c r="G2088" s="9">
        <v>45022</v>
      </c>
      <c r="H2088" s="7"/>
      <c r="I2088" s="7">
        <v>2523.59</v>
      </c>
      <c r="J2088" s="7"/>
      <c r="K2088" s="7"/>
      <c r="L2088" s="10">
        <v>4.830303030303031</v>
      </c>
      <c r="M2088" s="9">
        <v>45026</v>
      </c>
      <c r="N2088" s="10">
        <v>15</v>
      </c>
      <c r="O2088" s="9">
        <v>45041</v>
      </c>
      <c r="P2088">
        <v>4</v>
      </c>
      <c r="Q2088" s="11" t="s">
        <v>49</v>
      </c>
      <c r="R2088" s="7"/>
      <c r="S2088" s="7">
        <v>2523.59</v>
      </c>
      <c r="T2088" s="7"/>
      <c r="U2088" s="7"/>
      <c r="V2088" s="10">
        <v>6.830303030303031</v>
      </c>
      <c r="W2088" s="9">
        <v>45028</v>
      </c>
      <c r="X2088" s="10">
        <v>17</v>
      </c>
      <c r="Y2088" s="9">
        <v>45041</v>
      </c>
      <c r="Z2088">
        <v>4</v>
      </c>
      <c r="AA2088" s="11" t="s">
        <v>49</v>
      </c>
    </row>
    <row r="2089" spans="2:27" ht="16" x14ac:dyDescent="0.2">
      <c r="B2089" t="s">
        <v>35</v>
      </c>
      <c r="C2089">
        <v>40363903</v>
      </c>
      <c r="D2089" t="s">
        <v>391</v>
      </c>
      <c r="E2089">
        <v>1021921</v>
      </c>
      <c r="F2089" t="s">
        <v>184</v>
      </c>
      <c r="G2089" s="9">
        <v>45022</v>
      </c>
      <c r="H2089" s="7"/>
      <c r="I2089" s="7">
        <v>1498.86</v>
      </c>
      <c r="J2089" s="7"/>
      <c r="K2089" s="7"/>
      <c r="L2089" s="10">
        <v>4.830303030303031</v>
      </c>
      <c r="M2089" s="9">
        <v>45026</v>
      </c>
      <c r="N2089" s="10">
        <v>15</v>
      </c>
      <c r="O2089" s="9">
        <v>45041</v>
      </c>
      <c r="P2089">
        <v>4</v>
      </c>
      <c r="Q2089" s="11" t="s">
        <v>49</v>
      </c>
      <c r="R2089" s="7"/>
      <c r="S2089" s="7">
        <v>1498.86</v>
      </c>
      <c r="T2089" s="7"/>
      <c r="U2089" s="7"/>
      <c r="V2089" s="10">
        <v>6.830303030303031</v>
      </c>
      <c r="W2089" s="9">
        <v>45028</v>
      </c>
      <c r="X2089" s="10">
        <v>17</v>
      </c>
      <c r="Y2089" s="9">
        <v>45041</v>
      </c>
      <c r="Z2089">
        <v>4</v>
      </c>
      <c r="AA2089" s="11" t="s">
        <v>49</v>
      </c>
    </row>
    <row r="2090" spans="2:27" x14ac:dyDescent="0.2">
      <c r="B2090" t="s">
        <v>394</v>
      </c>
      <c r="C2090">
        <v>40363870</v>
      </c>
      <c r="D2090" t="s">
        <v>485</v>
      </c>
      <c r="E2090">
        <v>1021976</v>
      </c>
      <c r="F2090" t="s">
        <v>512</v>
      </c>
      <c r="G2090" s="9">
        <v>44990</v>
      </c>
      <c r="H2090" s="7">
        <v>12021.23</v>
      </c>
      <c r="I2090" s="7"/>
      <c r="J2090" s="7"/>
      <c r="K2090" s="7"/>
      <c r="L2090" s="10"/>
      <c r="N2090" s="10"/>
      <c r="Q2090" s="11"/>
      <c r="R2090" s="7">
        <v>12021.23</v>
      </c>
      <c r="S2090" s="7"/>
      <c r="T2090" s="7"/>
      <c r="U2090" s="7"/>
      <c r="V2090" s="10"/>
      <c r="X2090" s="10"/>
      <c r="AA2090" s="11"/>
    </row>
    <row r="2091" spans="2:27" x14ac:dyDescent="0.2">
      <c r="B2091" t="s">
        <v>394</v>
      </c>
      <c r="C2091">
        <v>40363870</v>
      </c>
      <c r="D2091" t="s">
        <v>485</v>
      </c>
      <c r="E2091">
        <v>1021976</v>
      </c>
      <c r="F2091" t="s">
        <v>512</v>
      </c>
      <c r="G2091" s="9">
        <v>44990</v>
      </c>
      <c r="H2091" s="7">
        <v>24006.04</v>
      </c>
      <c r="I2091" s="7"/>
      <c r="J2091" s="7"/>
      <c r="K2091" s="7"/>
      <c r="L2091" s="10"/>
      <c r="N2091" s="10"/>
      <c r="Q2091" s="11"/>
      <c r="R2091" s="7">
        <v>24006.04</v>
      </c>
      <c r="S2091" s="7"/>
      <c r="T2091" s="7"/>
      <c r="U2091" s="7"/>
      <c r="V2091" s="10"/>
      <c r="X2091" s="10"/>
      <c r="AA2091" s="11"/>
    </row>
    <row r="2092" spans="2:27" x14ac:dyDescent="0.2">
      <c r="B2092" t="s">
        <v>394</v>
      </c>
      <c r="C2092">
        <v>40363834</v>
      </c>
      <c r="D2092" t="s">
        <v>485</v>
      </c>
      <c r="E2092">
        <v>1021864</v>
      </c>
      <c r="F2092" t="s">
        <v>634</v>
      </c>
      <c r="G2092" s="9">
        <v>44983</v>
      </c>
      <c r="H2092" s="7"/>
      <c r="I2092" s="7"/>
      <c r="J2092" s="7"/>
      <c r="K2092" s="7"/>
      <c r="L2092" s="10"/>
      <c r="N2092" s="10"/>
      <c r="Q2092" s="11"/>
      <c r="R2092" s="7"/>
      <c r="S2092" s="7"/>
      <c r="T2092" s="7"/>
      <c r="U2092" s="7"/>
      <c r="V2092" s="10"/>
      <c r="X2092" s="10"/>
      <c r="AA2092" s="11"/>
    </row>
    <row r="2093" spans="2:27" x14ac:dyDescent="0.2">
      <c r="B2093" t="s">
        <v>394</v>
      </c>
      <c r="C2093">
        <v>40363834</v>
      </c>
      <c r="D2093" t="s">
        <v>485</v>
      </c>
      <c r="E2093">
        <v>1021039</v>
      </c>
      <c r="F2093" t="s">
        <v>635</v>
      </c>
      <c r="G2093" s="9">
        <v>44983</v>
      </c>
      <c r="H2093" s="7"/>
      <c r="I2093" s="7"/>
      <c r="J2093" s="7"/>
      <c r="K2093" s="7"/>
      <c r="L2093" s="10"/>
      <c r="N2093" s="10"/>
      <c r="Q2093" s="11"/>
      <c r="R2093" s="7"/>
      <c r="S2093" s="7"/>
      <c r="T2093" s="7"/>
      <c r="U2093" s="7"/>
      <c r="V2093" s="10"/>
      <c r="X2093" s="10"/>
      <c r="AA2093" s="11"/>
    </row>
    <row r="2094" spans="2:27" x14ac:dyDescent="0.2">
      <c r="B2094" t="s">
        <v>394</v>
      </c>
      <c r="C2094">
        <v>40363828</v>
      </c>
      <c r="D2094" t="s">
        <v>485</v>
      </c>
      <c r="E2094">
        <v>1030792</v>
      </c>
      <c r="F2094" t="s">
        <v>513</v>
      </c>
      <c r="G2094" s="9">
        <v>44990</v>
      </c>
      <c r="H2094" s="7">
        <v>24000</v>
      </c>
      <c r="I2094" s="7"/>
      <c r="J2094" s="7"/>
      <c r="K2094" s="7"/>
      <c r="L2094" s="10"/>
      <c r="N2094" s="10"/>
      <c r="Q2094" s="11"/>
      <c r="R2094" s="7">
        <v>24000</v>
      </c>
      <c r="S2094" s="7"/>
      <c r="T2094" s="7"/>
      <c r="U2094" s="7"/>
      <c r="V2094" s="10"/>
      <c r="X2094" s="10"/>
      <c r="AA2094" s="11"/>
    </row>
    <row r="2095" spans="2:27" x14ac:dyDescent="0.2">
      <c r="B2095" t="s">
        <v>394</v>
      </c>
      <c r="C2095">
        <v>40363642</v>
      </c>
      <c r="D2095" t="s">
        <v>485</v>
      </c>
      <c r="E2095">
        <v>1011421</v>
      </c>
      <c r="F2095" t="s">
        <v>484</v>
      </c>
      <c r="G2095" s="9">
        <v>44983</v>
      </c>
      <c r="H2095" s="7"/>
      <c r="I2095" s="7"/>
      <c r="J2095" s="7"/>
      <c r="K2095" s="7"/>
      <c r="L2095" s="10"/>
      <c r="N2095" s="10"/>
      <c r="Q2095" s="11"/>
      <c r="R2095" s="7"/>
      <c r="S2095" s="7"/>
      <c r="T2095" s="7"/>
      <c r="U2095" s="7"/>
      <c r="V2095" s="10"/>
      <c r="X2095" s="10"/>
      <c r="AA2095" s="11"/>
    </row>
    <row r="2096" spans="2:27" x14ac:dyDescent="0.2">
      <c r="B2096" t="s">
        <v>394</v>
      </c>
      <c r="C2096">
        <v>40363641</v>
      </c>
      <c r="D2096" t="s">
        <v>485</v>
      </c>
      <c r="E2096">
        <v>1011421</v>
      </c>
      <c r="F2096" t="s">
        <v>484</v>
      </c>
      <c r="G2096" s="9">
        <v>44983</v>
      </c>
      <c r="H2096" s="7"/>
      <c r="I2096" s="7"/>
      <c r="J2096" s="7"/>
      <c r="K2096" s="7"/>
      <c r="L2096" s="10"/>
      <c r="N2096" s="10"/>
      <c r="Q2096" s="11"/>
      <c r="R2096" s="7"/>
      <c r="S2096" s="7"/>
      <c r="T2096" s="7"/>
      <c r="U2096" s="7"/>
      <c r="V2096" s="10"/>
      <c r="X2096" s="10"/>
      <c r="AA2096" s="11"/>
    </row>
    <row r="2097" spans="2:27" ht="16" x14ac:dyDescent="0.2">
      <c r="B2097" t="s">
        <v>35</v>
      </c>
      <c r="C2097">
        <v>40363613</v>
      </c>
      <c r="D2097" t="s">
        <v>389</v>
      </c>
      <c r="E2097">
        <v>1022639</v>
      </c>
      <c r="F2097" t="s">
        <v>316</v>
      </c>
      <c r="G2097" s="9">
        <v>45005</v>
      </c>
      <c r="H2097" s="7">
        <v>22075.32</v>
      </c>
      <c r="I2097" s="7"/>
      <c r="J2097" s="7"/>
      <c r="K2097" s="7"/>
      <c r="L2097" s="10">
        <v>5.5741092456127026</v>
      </c>
      <c r="M2097" s="9">
        <v>45010</v>
      </c>
      <c r="N2097" s="10">
        <v>5.5</v>
      </c>
      <c r="O2097" s="9">
        <v>45015</v>
      </c>
      <c r="P2097">
        <v>1</v>
      </c>
      <c r="Q2097" s="11" t="s">
        <v>598</v>
      </c>
      <c r="R2097" s="7">
        <v>22075.32</v>
      </c>
      <c r="S2097" s="7"/>
      <c r="T2097" s="7"/>
      <c r="U2097" s="7"/>
      <c r="V2097" s="10">
        <v>7.5741092456127026</v>
      </c>
      <c r="W2097" s="9">
        <v>45012</v>
      </c>
      <c r="X2097" s="10">
        <v>7.5</v>
      </c>
      <c r="Y2097" s="9">
        <v>45015</v>
      </c>
      <c r="Z2097">
        <v>1</v>
      </c>
      <c r="AA2097" s="11" t="s">
        <v>598</v>
      </c>
    </row>
    <row r="2098" spans="2:27" ht="16" x14ac:dyDescent="0.2">
      <c r="B2098" t="s">
        <v>35</v>
      </c>
      <c r="C2098">
        <v>40363612</v>
      </c>
      <c r="D2098" t="s">
        <v>389</v>
      </c>
      <c r="E2098">
        <v>1022639</v>
      </c>
      <c r="F2098" t="s">
        <v>316</v>
      </c>
      <c r="G2098" s="9">
        <v>45005</v>
      </c>
      <c r="H2098" s="7">
        <v>22260.51</v>
      </c>
      <c r="I2098" s="7"/>
      <c r="J2098" s="7"/>
      <c r="K2098" s="7"/>
      <c r="L2098" s="10">
        <v>5.5741092456127026</v>
      </c>
      <c r="M2098" s="9">
        <v>45010</v>
      </c>
      <c r="N2098" s="10">
        <v>5.5</v>
      </c>
      <c r="O2098" s="9">
        <v>45015</v>
      </c>
      <c r="P2098">
        <v>1</v>
      </c>
      <c r="Q2098" s="11" t="s">
        <v>598</v>
      </c>
      <c r="R2098" s="7">
        <v>22260.51</v>
      </c>
      <c r="S2098" s="7"/>
      <c r="T2098" s="7"/>
      <c r="U2098" s="7"/>
      <c r="V2098" s="10">
        <v>7.5741092456127026</v>
      </c>
      <c r="W2098" s="9">
        <v>45012</v>
      </c>
      <c r="X2098" s="10">
        <v>7.5</v>
      </c>
      <c r="Y2098" s="9">
        <v>45015</v>
      </c>
      <c r="Z2098">
        <v>1</v>
      </c>
      <c r="AA2098" s="11" t="s">
        <v>598</v>
      </c>
    </row>
    <row r="2099" spans="2:27" ht="16" x14ac:dyDescent="0.2">
      <c r="B2099" t="s">
        <v>35</v>
      </c>
      <c r="C2099">
        <v>40363609</v>
      </c>
      <c r="D2099" t="s">
        <v>389</v>
      </c>
      <c r="E2099">
        <v>1022388</v>
      </c>
      <c r="F2099" t="s">
        <v>170</v>
      </c>
      <c r="G2099" s="9">
        <v>45008</v>
      </c>
      <c r="H2099" s="7"/>
      <c r="I2099" s="7">
        <v>23900</v>
      </c>
      <c r="J2099" s="7"/>
      <c r="K2099" s="7"/>
      <c r="L2099" s="10">
        <v>5.5741092456127026</v>
      </c>
      <c r="M2099" s="9">
        <v>45013</v>
      </c>
      <c r="N2099" s="10">
        <v>5.5</v>
      </c>
      <c r="O2099" s="9">
        <v>45018</v>
      </c>
      <c r="P2099">
        <v>23</v>
      </c>
      <c r="Q2099" s="11" t="s">
        <v>49</v>
      </c>
      <c r="R2099" s="7"/>
      <c r="S2099" s="7">
        <v>23900</v>
      </c>
      <c r="T2099" s="7"/>
      <c r="U2099" s="7"/>
      <c r="V2099" s="10">
        <v>7.5741092456127026</v>
      </c>
      <c r="W2099" s="9">
        <v>45015</v>
      </c>
      <c r="X2099" s="10">
        <v>7.5</v>
      </c>
      <c r="Y2099" s="9">
        <v>45018</v>
      </c>
      <c r="Z2099">
        <v>23</v>
      </c>
      <c r="AA2099" s="11" t="s">
        <v>49</v>
      </c>
    </row>
    <row r="2100" spans="2:27" ht="16" x14ac:dyDescent="0.2">
      <c r="B2100" t="s">
        <v>35</v>
      </c>
      <c r="C2100">
        <v>40363607</v>
      </c>
      <c r="D2100" t="s">
        <v>389</v>
      </c>
      <c r="E2100">
        <v>1021733</v>
      </c>
      <c r="F2100" t="s">
        <v>277</v>
      </c>
      <c r="G2100" s="9">
        <v>45020</v>
      </c>
      <c r="H2100" s="7"/>
      <c r="I2100" s="7">
        <v>23745.4</v>
      </c>
      <c r="J2100" s="7"/>
      <c r="K2100" s="7"/>
      <c r="L2100" s="10">
        <v>5.5741092456127026</v>
      </c>
      <c r="M2100" s="9">
        <v>45025</v>
      </c>
      <c r="N2100" s="10">
        <v>5.5</v>
      </c>
      <c r="O2100" s="9">
        <v>45030</v>
      </c>
      <c r="P2100">
        <v>13</v>
      </c>
      <c r="Q2100" s="11" t="s">
        <v>49</v>
      </c>
      <c r="R2100" s="7"/>
      <c r="S2100" s="7">
        <v>23745.4</v>
      </c>
      <c r="T2100" s="7"/>
      <c r="U2100" s="7"/>
      <c r="V2100" s="10">
        <v>7.5741092456127026</v>
      </c>
      <c r="W2100" s="9">
        <v>45027</v>
      </c>
      <c r="X2100" s="10">
        <v>7.5</v>
      </c>
      <c r="Y2100" s="9">
        <v>45030</v>
      </c>
      <c r="Z2100">
        <v>13</v>
      </c>
      <c r="AA2100" s="11" t="s">
        <v>49</v>
      </c>
    </row>
    <row r="2101" spans="2:27" ht="16" x14ac:dyDescent="0.2">
      <c r="B2101" t="s">
        <v>35</v>
      </c>
      <c r="C2101">
        <v>40363603</v>
      </c>
      <c r="D2101" t="s">
        <v>389</v>
      </c>
      <c r="E2101">
        <v>1022856</v>
      </c>
      <c r="F2101" t="s">
        <v>446</v>
      </c>
      <c r="G2101" s="9">
        <v>45013</v>
      </c>
      <c r="H2101" s="7"/>
      <c r="I2101" s="7">
        <v>25001.83</v>
      </c>
      <c r="J2101" s="7"/>
      <c r="K2101" s="7"/>
      <c r="L2101" s="10">
        <v>5.5741092456127026</v>
      </c>
      <c r="M2101" s="9">
        <v>45018</v>
      </c>
      <c r="N2101" s="10">
        <v>5.5</v>
      </c>
      <c r="O2101" s="9">
        <v>45023</v>
      </c>
      <c r="P2101">
        <v>19</v>
      </c>
      <c r="Q2101" s="11" t="s">
        <v>49</v>
      </c>
      <c r="R2101" s="7"/>
      <c r="S2101" s="7">
        <v>25001.83</v>
      </c>
      <c r="T2101" s="7"/>
      <c r="U2101" s="7"/>
      <c r="V2101" s="10">
        <v>7.5741092456127026</v>
      </c>
      <c r="W2101" s="9">
        <v>45020</v>
      </c>
      <c r="X2101" s="10">
        <v>7.5</v>
      </c>
      <c r="Y2101" s="9">
        <v>45023</v>
      </c>
      <c r="Z2101">
        <v>19</v>
      </c>
      <c r="AA2101" s="11" t="s">
        <v>49</v>
      </c>
    </row>
    <row r="2102" spans="2:27" ht="16" x14ac:dyDescent="0.2">
      <c r="B2102" t="s">
        <v>35</v>
      </c>
      <c r="C2102">
        <v>40363602</v>
      </c>
      <c r="D2102" t="s">
        <v>389</v>
      </c>
      <c r="E2102">
        <v>1022856</v>
      </c>
      <c r="F2102" t="s">
        <v>446</v>
      </c>
      <c r="G2102" s="9">
        <v>45005</v>
      </c>
      <c r="H2102" s="7">
        <v>19443.89</v>
      </c>
      <c r="I2102" s="7"/>
      <c r="J2102" s="7"/>
      <c r="K2102" s="7"/>
      <c r="L2102" s="10">
        <v>5.5741092456127026</v>
      </c>
      <c r="M2102" s="9">
        <v>45010</v>
      </c>
      <c r="N2102" s="10">
        <v>5.5</v>
      </c>
      <c r="O2102" s="9">
        <v>45015</v>
      </c>
      <c r="P2102">
        <v>1</v>
      </c>
      <c r="Q2102" s="11" t="s">
        <v>598</v>
      </c>
      <c r="R2102" s="7">
        <v>19443.89</v>
      </c>
      <c r="S2102" s="7"/>
      <c r="T2102" s="7"/>
      <c r="U2102" s="7"/>
      <c r="V2102" s="10">
        <v>7.5741092456127026</v>
      </c>
      <c r="W2102" s="9">
        <v>45012</v>
      </c>
      <c r="X2102" s="10">
        <v>7.5</v>
      </c>
      <c r="Y2102" s="9">
        <v>45015</v>
      </c>
      <c r="Z2102">
        <v>1</v>
      </c>
      <c r="AA2102" s="11" t="s">
        <v>598</v>
      </c>
    </row>
    <row r="2103" spans="2:27" ht="16" x14ac:dyDescent="0.2">
      <c r="B2103" t="s">
        <v>35</v>
      </c>
      <c r="C2103">
        <v>40363602</v>
      </c>
      <c r="D2103" t="s">
        <v>389</v>
      </c>
      <c r="E2103">
        <v>1022856</v>
      </c>
      <c r="F2103" t="s">
        <v>446</v>
      </c>
      <c r="G2103" s="9">
        <v>45005</v>
      </c>
      <c r="H2103" s="7">
        <v>24003.13</v>
      </c>
      <c r="I2103" s="7"/>
      <c r="J2103" s="7"/>
      <c r="K2103" s="7"/>
      <c r="L2103" s="10">
        <v>5.5741092456127026</v>
      </c>
      <c r="M2103" s="9">
        <v>45010</v>
      </c>
      <c r="N2103" s="10">
        <v>5.5</v>
      </c>
      <c r="O2103" s="9">
        <v>45015</v>
      </c>
      <c r="P2103">
        <v>1</v>
      </c>
      <c r="Q2103" s="11" t="s">
        <v>598</v>
      </c>
      <c r="R2103" s="7">
        <v>24003.13</v>
      </c>
      <c r="S2103" s="7"/>
      <c r="T2103" s="7"/>
      <c r="U2103" s="7"/>
      <c r="V2103" s="10">
        <v>7.5741092456127026</v>
      </c>
      <c r="W2103" s="9">
        <v>45012</v>
      </c>
      <c r="X2103" s="10">
        <v>7.5</v>
      </c>
      <c r="Y2103" s="9">
        <v>45015</v>
      </c>
      <c r="Z2103">
        <v>1</v>
      </c>
      <c r="AA2103" s="11" t="s">
        <v>598</v>
      </c>
    </row>
    <row r="2104" spans="2:27" x14ac:dyDescent="0.2">
      <c r="B2104" t="s">
        <v>394</v>
      </c>
      <c r="C2104">
        <v>40363600</v>
      </c>
      <c r="D2104" t="s">
        <v>396</v>
      </c>
      <c r="E2104">
        <v>1012612</v>
      </c>
      <c r="F2104" t="s">
        <v>429</v>
      </c>
      <c r="G2104" s="9">
        <v>45035</v>
      </c>
      <c r="H2104" s="7"/>
      <c r="I2104" s="7">
        <v>24673.86</v>
      </c>
      <c r="J2104" s="7"/>
      <c r="K2104" s="7"/>
      <c r="L2104" s="10"/>
      <c r="N2104" s="10"/>
      <c r="Q2104" s="11"/>
      <c r="R2104" s="7"/>
      <c r="S2104" s="7">
        <v>24673.86</v>
      </c>
      <c r="T2104" s="7"/>
      <c r="U2104" s="7"/>
      <c r="V2104" s="10"/>
      <c r="X2104" s="10"/>
      <c r="AA2104" s="11"/>
    </row>
    <row r="2105" spans="2:27" x14ac:dyDescent="0.2">
      <c r="B2105" t="s">
        <v>394</v>
      </c>
      <c r="C2105">
        <v>40363599</v>
      </c>
      <c r="D2105" t="s">
        <v>396</v>
      </c>
      <c r="E2105">
        <v>1012612</v>
      </c>
      <c r="F2105" t="s">
        <v>429</v>
      </c>
      <c r="G2105" s="9">
        <v>45035</v>
      </c>
      <c r="H2105" s="7"/>
      <c r="I2105" s="7">
        <v>24503.78</v>
      </c>
      <c r="J2105" s="7"/>
      <c r="K2105" s="7"/>
      <c r="L2105" s="10"/>
      <c r="N2105" s="10"/>
      <c r="Q2105" s="11"/>
      <c r="R2105" s="7"/>
      <c r="S2105" s="7">
        <v>24503.78</v>
      </c>
      <c r="T2105" s="7"/>
      <c r="U2105" s="7"/>
      <c r="V2105" s="10"/>
      <c r="X2105" s="10"/>
      <c r="AA2105" s="11"/>
    </row>
    <row r="2106" spans="2:27" x14ac:dyDescent="0.2">
      <c r="B2106" t="s">
        <v>394</v>
      </c>
      <c r="C2106">
        <v>40363598</v>
      </c>
      <c r="D2106" t="s">
        <v>396</v>
      </c>
      <c r="E2106">
        <v>1012612</v>
      </c>
      <c r="F2106" t="s">
        <v>429</v>
      </c>
      <c r="G2106" s="9">
        <v>45025</v>
      </c>
      <c r="H2106" s="7"/>
      <c r="I2106" s="7">
        <v>24595.84</v>
      </c>
      <c r="J2106" s="7"/>
      <c r="K2106" s="7"/>
      <c r="L2106" s="10"/>
      <c r="N2106" s="10"/>
      <c r="Q2106" s="11"/>
      <c r="R2106" s="7"/>
      <c r="S2106" s="7">
        <v>24595.84</v>
      </c>
      <c r="T2106" s="7"/>
      <c r="U2106" s="7"/>
      <c r="V2106" s="10"/>
      <c r="X2106" s="10"/>
      <c r="AA2106" s="11"/>
    </row>
    <row r="2107" spans="2:27" x14ac:dyDescent="0.2">
      <c r="B2107" t="s">
        <v>394</v>
      </c>
      <c r="C2107">
        <v>40363597</v>
      </c>
      <c r="D2107" t="s">
        <v>396</v>
      </c>
      <c r="E2107">
        <v>1012612</v>
      </c>
      <c r="F2107" t="s">
        <v>429</v>
      </c>
      <c r="G2107" s="9">
        <v>45025</v>
      </c>
      <c r="H2107" s="7"/>
      <c r="I2107" s="7">
        <v>24834.04</v>
      </c>
      <c r="J2107" s="7"/>
      <c r="K2107" s="7"/>
      <c r="L2107" s="10"/>
      <c r="N2107" s="10"/>
      <c r="Q2107" s="11"/>
      <c r="R2107" s="7"/>
      <c r="S2107" s="7">
        <v>24834.04</v>
      </c>
      <c r="T2107" s="7"/>
      <c r="U2107" s="7"/>
      <c r="V2107" s="10"/>
      <c r="X2107" s="10"/>
      <c r="AA2107" s="11"/>
    </row>
    <row r="2108" spans="2:27" ht="16" x14ac:dyDescent="0.2">
      <c r="B2108" t="s">
        <v>35</v>
      </c>
      <c r="C2108">
        <v>40363595</v>
      </c>
      <c r="D2108" t="s">
        <v>391</v>
      </c>
      <c r="E2108">
        <v>1021204</v>
      </c>
      <c r="F2108" t="s">
        <v>393</v>
      </c>
      <c r="G2108" s="9">
        <v>45012</v>
      </c>
      <c r="H2108" s="7"/>
      <c r="I2108" s="7">
        <v>23660</v>
      </c>
      <c r="J2108" s="7"/>
      <c r="K2108" s="7"/>
      <c r="L2108" s="10">
        <v>4.830303030303031</v>
      </c>
      <c r="M2108" s="9">
        <v>45016</v>
      </c>
      <c r="N2108" s="10">
        <v>15</v>
      </c>
      <c r="O2108" s="9">
        <v>45031</v>
      </c>
      <c r="P2108">
        <v>12</v>
      </c>
      <c r="Q2108" s="11" t="s">
        <v>49</v>
      </c>
      <c r="R2108" s="7"/>
      <c r="S2108" s="7">
        <v>23660</v>
      </c>
      <c r="T2108" s="7"/>
      <c r="U2108" s="7"/>
      <c r="V2108" s="10">
        <v>6.830303030303031</v>
      </c>
      <c r="W2108" s="9">
        <v>45018</v>
      </c>
      <c r="X2108" s="10">
        <v>17</v>
      </c>
      <c r="Y2108" s="9">
        <v>45031</v>
      </c>
      <c r="Z2108">
        <v>12</v>
      </c>
      <c r="AA2108" s="11" t="s">
        <v>49</v>
      </c>
    </row>
    <row r="2109" spans="2:27" x14ac:dyDescent="0.2">
      <c r="B2109" t="s">
        <v>394</v>
      </c>
      <c r="C2109">
        <v>40363591</v>
      </c>
      <c r="D2109" t="s">
        <v>485</v>
      </c>
      <c r="E2109">
        <v>1022217</v>
      </c>
      <c r="F2109" t="s">
        <v>636</v>
      </c>
      <c r="G2109" s="9">
        <v>44983</v>
      </c>
      <c r="H2109" s="7"/>
      <c r="I2109" s="7"/>
      <c r="J2109" s="7"/>
      <c r="K2109" s="7"/>
      <c r="L2109" s="10"/>
      <c r="N2109" s="10"/>
      <c r="Q2109" s="11"/>
      <c r="R2109" s="7"/>
      <c r="S2109" s="7"/>
      <c r="T2109" s="7"/>
      <c r="U2109" s="7"/>
      <c r="V2109" s="10"/>
      <c r="X2109" s="10"/>
      <c r="AA2109" s="11"/>
    </row>
    <row r="2110" spans="2:27" x14ac:dyDescent="0.2">
      <c r="B2110" t="s">
        <v>394</v>
      </c>
      <c r="C2110">
        <v>40363591</v>
      </c>
      <c r="D2110" t="s">
        <v>485</v>
      </c>
      <c r="E2110">
        <v>1023391</v>
      </c>
      <c r="F2110" t="s">
        <v>637</v>
      </c>
      <c r="G2110" s="9">
        <v>44983</v>
      </c>
      <c r="H2110" s="7"/>
      <c r="I2110" s="7"/>
      <c r="J2110" s="7"/>
      <c r="K2110" s="7"/>
      <c r="L2110" s="10"/>
      <c r="N2110" s="10"/>
      <c r="Q2110" s="11"/>
      <c r="R2110" s="7"/>
      <c r="S2110" s="7"/>
      <c r="T2110" s="7"/>
      <c r="U2110" s="7"/>
      <c r="V2110" s="10"/>
      <c r="X2110" s="10"/>
      <c r="AA2110" s="11"/>
    </row>
    <row r="2111" spans="2:27" x14ac:dyDescent="0.2">
      <c r="B2111" t="s">
        <v>394</v>
      </c>
      <c r="C2111">
        <v>40363591</v>
      </c>
      <c r="D2111" t="s">
        <v>485</v>
      </c>
      <c r="E2111">
        <v>1022883</v>
      </c>
      <c r="F2111" t="s">
        <v>638</v>
      </c>
      <c r="G2111" s="9">
        <v>44983</v>
      </c>
      <c r="H2111" s="7"/>
      <c r="I2111" s="7"/>
      <c r="J2111" s="7"/>
      <c r="K2111" s="7"/>
      <c r="L2111" s="10"/>
      <c r="N2111" s="10"/>
      <c r="Q2111" s="11"/>
      <c r="R2111" s="7"/>
      <c r="S2111" s="7"/>
      <c r="T2111" s="7"/>
      <c r="U2111" s="7"/>
      <c r="V2111" s="10"/>
      <c r="X2111" s="10"/>
      <c r="AA2111" s="11"/>
    </row>
    <row r="2112" spans="2:27" x14ac:dyDescent="0.2">
      <c r="B2112" t="s">
        <v>394</v>
      </c>
      <c r="C2112">
        <v>40363590</v>
      </c>
      <c r="D2112" t="s">
        <v>485</v>
      </c>
      <c r="E2112">
        <v>1023391</v>
      </c>
      <c r="F2112" t="s">
        <v>637</v>
      </c>
      <c r="G2112" s="9">
        <v>44977</v>
      </c>
      <c r="H2112" s="7"/>
      <c r="I2112" s="7"/>
      <c r="J2112" s="7"/>
      <c r="K2112" s="7"/>
      <c r="L2112" s="10"/>
      <c r="N2112" s="10"/>
      <c r="Q2112" s="11"/>
      <c r="R2112" s="7"/>
      <c r="S2112" s="7"/>
      <c r="T2112" s="7"/>
      <c r="U2112" s="7"/>
      <c r="V2112" s="10"/>
      <c r="X2112" s="10"/>
      <c r="AA2112" s="11"/>
    </row>
    <row r="2113" spans="2:27" x14ac:dyDescent="0.2">
      <c r="B2113" t="s">
        <v>394</v>
      </c>
      <c r="C2113">
        <v>40363590</v>
      </c>
      <c r="D2113" t="s">
        <v>485</v>
      </c>
      <c r="E2113">
        <v>1023432</v>
      </c>
      <c r="F2113" t="s">
        <v>639</v>
      </c>
      <c r="G2113" s="9">
        <v>44977</v>
      </c>
      <c r="H2113" s="7"/>
      <c r="I2113" s="7"/>
      <c r="J2113" s="7"/>
      <c r="K2113" s="7"/>
      <c r="L2113" s="10"/>
      <c r="N2113" s="10"/>
      <c r="Q2113" s="11"/>
      <c r="R2113" s="7"/>
      <c r="S2113" s="7"/>
      <c r="T2113" s="7"/>
      <c r="U2113" s="7"/>
      <c r="V2113" s="10"/>
      <c r="X2113" s="10"/>
      <c r="AA2113" s="11"/>
    </row>
    <row r="2114" spans="2:27" x14ac:dyDescent="0.2">
      <c r="B2114" t="s">
        <v>394</v>
      </c>
      <c r="C2114">
        <v>40363573</v>
      </c>
      <c r="D2114" t="s">
        <v>485</v>
      </c>
      <c r="E2114">
        <v>1011421</v>
      </c>
      <c r="F2114" t="s">
        <v>484</v>
      </c>
      <c r="G2114" s="9">
        <v>44989</v>
      </c>
      <c r="H2114" s="7">
        <v>23996.400000000001</v>
      </c>
      <c r="I2114" s="7"/>
      <c r="J2114" s="7"/>
      <c r="K2114" s="7"/>
      <c r="L2114" s="10"/>
      <c r="N2114" s="10"/>
      <c r="Q2114" s="11"/>
      <c r="R2114" s="7">
        <v>23996.400000000001</v>
      </c>
      <c r="S2114" s="7"/>
      <c r="T2114" s="7"/>
      <c r="U2114" s="7"/>
      <c r="V2114" s="10"/>
      <c r="X2114" s="10"/>
      <c r="AA2114" s="11"/>
    </row>
    <row r="2115" spans="2:27" x14ac:dyDescent="0.2">
      <c r="B2115" t="s">
        <v>394</v>
      </c>
      <c r="C2115">
        <v>40363558</v>
      </c>
      <c r="D2115" t="s">
        <v>396</v>
      </c>
      <c r="E2115">
        <v>1012612</v>
      </c>
      <c r="F2115" t="s">
        <v>429</v>
      </c>
      <c r="G2115" s="9">
        <v>45033</v>
      </c>
      <c r="H2115" s="7"/>
      <c r="I2115" s="7">
        <v>24988.720000000001</v>
      </c>
      <c r="J2115" s="7"/>
      <c r="K2115" s="7"/>
      <c r="L2115" s="10"/>
      <c r="N2115" s="10"/>
      <c r="Q2115" s="11"/>
      <c r="R2115" s="7"/>
      <c r="S2115" s="7">
        <v>24988.720000000001</v>
      </c>
      <c r="T2115" s="7"/>
      <c r="U2115" s="7"/>
      <c r="V2115" s="10"/>
      <c r="X2115" s="10"/>
      <c r="AA2115" s="11"/>
    </row>
    <row r="2116" spans="2:27" x14ac:dyDescent="0.2">
      <c r="B2116" t="s">
        <v>394</v>
      </c>
      <c r="C2116">
        <v>40363557</v>
      </c>
      <c r="D2116" t="s">
        <v>396</v>
      </c>
      <c r="E2116">
        <v>1012612</v>
      </c>
      <c r="F2116" t="s">
        <v>429</v>
      </c>
      <c r="G2116" s="9">
        <v>45025</v>
      </c>
      <c r="H2116" s="7"/>
      <c r="I2116" s="7">
        <v>25068.98</v>
      </c>
      <c r="J2116" s="7"/>
      <c r="K2116" s="7"/>
      <c r="L2116" s="10"/>
      <c r="N2116" s="10"/>
      <c r="Q2116" s="11"/>
      <c r="R2116" s="7"/>
      <c r="S2116" s="7">
        <v>25068.98</v>
      </c>
      <c r="T2116" s="7"/>
      <c r="U2116" s="7"/>
      <c r="V2116" s="10"/>
      <c r="X2116" s="10"/>
      <c r="AA2116" s="11"/>
    </row>
    <row r="2117" spans="2:27" x14ac:dyDescent="0.2">
      <c r="B2117" t="s">
        <v>394</v>
      </c>
      <c r="C2117">
        <v>40363556</v>
      </c>
      <c r="D2117" t="s">
        <v>396</v>
      </c>
      <c r="E2117">
        <v>1012612</v>
      </c>
      <c r="F2117" t="s">
        <v>429</v>
      </c>
      <c r="G2117" s="9">
        <v>45025</v>
      </c>
      <c r="H2117" s="7"/>
      <c r="I2117" s="7">
        <v>24435.34</v>
      </c>
      <c r="J2117" s="7"/>
      <c r="K2117" s="7"/>
      <c r="L2117" s="10"/>
      <c r="N2117" s="10"/>
      <c r="Q2117" s="11"/>
      <c r="R2117" s="7"/>
      <c r="S2117" s="7">
        <v>24435.34</v>
      </c>
      <c r="T2117" s="7"/>
      <c r="U2117" s="7"/>
      <c r="V2117" s="10"/>
      <c r="X2117" s="10"/>
      <c r="AA2117" s="11"/>
    </row>
    <row r="2118" spans="2:27" x14ac:dyDescent="0.2">
      <c r="B2118" t="s">
        <v>394</v>
      </c>
      <c r="C2118">
        <v>40363550</v>
      </c>
      <c r="D2118" t="s">
        <v>485</v>
      </c>
      <c r="E2118">
        <v>1021385</v>
      </c>
      <c r="F2118" t="s">
        <v>495</v>
      </c>
      <c r="G2118" s="9">
        <v>44983</v>
      </c>
      <c r="H2118" s="7"/>
      <c r="I2118" s="7"/>
      <c r="J2118" s="7"/>
      <c r="K2118" s="7"/>
      <c r="L2118" s="10"/>
      <c r="N2118" s="10"/>
      <c r="Q2118" s="11"/>
      <c r="R2118" s="7"/>
      <c r="S2118" s="7"/>
      <c r="T2118" s="7"/>
      <c r="U2118" s="7"/>
      <c r="V2118" s="10"/>
      <c r="X2118" s="10"/>
      <c r="AA2118" s="11"/>
    </row>
    <row r="2119" spans="2:27" x14ac:dyDescent="0.2">
      <c r="B2119" t="s">
        <v>394</v>
      </c>
      <c r="C2119">
        <v>40363549</v>
      </c>
      <c r="D2119" t="s">
        <v>485</v>
      </c>
      <c r="E2119">
        <v>1021385</v>
      </c>
      <c r="F2119" t="s">
        <v>495</v>
      </c>
      <c r="G2119" s="9">
        <v>44983</v>
      </c>
      <c r="H2119" s="7"/>
      <c r="I2119" s="7"/>
      <c r="J2119" s="7"/>
      <c r="K2119" s="7"/>
      <c r="L2119" s="10"/>
      <c r="N2119" s="10"/>
      <c r="Q2119" s="11"/>
      <c r="R2119" s="7"/>
      <c r="S2119" s="7"/>
      <c r="T2119" s="7"/>
      <c r="U2119" s="7"/>
      <c r="V2119" s="10"/>
      <c r="X2119" s="10"/>
      <c r="AA2119" s="11"/>
    </row>
    <row r="2120" spans="2:27" x14ac:dyDescent="0.2">
      <c r="B2120" t="s">
        <v>394</v>
      </c>
      <c r="C2120">
        <v>40363416</v>
      </c>
      <c r="D2120" t="s">
        <v>485</v>
      </c>
      <c r="E2120">
        <v>1012556</v>
      </c>
      <c r="F2120" t="s">
        <v>489</v>
      </c>
      <c r="G2120" s="9">
        <v>44984</v>
      </c>
      <c r="H2120" s="7"/>
      <c r="I2120" s="7"/>
      <c r="J2120" s="7"/>
      <c r="K2120" s="7"/>
      <c r="L2120" s="10"/>
      <c r="N2120" s="10"/>
      <c r="Q2120" s="11"/>
      <c r="R2120" s="7"/>
      <c r="S2120" s="7"/>
      <c r="T2120" s="7"/>
      <c r="U2120" s="7"/>
      <c r="V2120" s="10"/>
      <c r="X2120" s="10"/>
      <c r="AA2120" s="11"/>
    </row>
    <row r="2121" spans="2:27" x14ac:dyDescent="0.2">
      <c r="B2121" t="s">
        <v>394</v>
      </c>
      <c r="C2121">
        <v>40363379</v>
      </c>
      <c r="D2121" t="s">
        <v>485</v>
      </c>
      <c r="E2121">
        <v>1021868</v>
      </c>
      <c r="F2121" t="s">
        <v>509</v>
      </c>
      <c r="G2121" s="9">
        <v>44981</v>
      </c>
      <c r="H2121" s="7"/>
      <c r="I2121" s="7"/>
      <c r="J2121" s="7"/>
      <c r="K2121" s="7"/>
      <c r="L2121" s="10"/>
      <c r="N2121" s="10"/>
      <c r="Q2121" s="11"/>
      <c r="R2121" s="7"/>
      <c r="S2121" s="7"/>
      <c r="T2121" s="7"/>
      <c r="U2121" s="7"/>
      <c r="V2121" s="10"/>
      <c r="X2121" s="10"/>
      <c r="AA2121" s="11"/>
    </row>
    <row r="2122" spans="2:27" ht="16" x14ac:dyDescent="0.2">
      <c r="B2122" t="s">
        <v>35</v>
      </c>
      <c r="C2122">
        <v>40363327</v>
      </c>
      <c r="D2122" t="s">
        <v>423</v>
      </c>
      <c r="E2122">
        <v>1030802</v>
      </c>
      <c r="F2122" t="s">
        <v>492</v>
      </c>
      <c r="G2122" s="9">
        <v>44988</v>
      </c>
      <c r="H2122" s="7">
        <v>24003.669000000002</v>
      </c>
      <c r="I2122" s="7"/>
      <c r="J2122" s="7"/>
      <c r="K2122" s="7"/>
      <c r="L2122" s="10">
        <v>5.4496124031007751</v>
      </c>
      <c r="M2122" s="9">
        <v>44993</v>
      </c>
      <c r="N2122" s="10">
        <v>10</v>
      </c>
      <c r="O2122" s="9">
        <v>45003</v>
      </c>
      <c r="P2122">
        <v>9</v>
      </c>
      <c r="Q2122" s="11" t="s">
        <v>49</v>
      </c>
      <c r="R2122" s="7">
        <v>24003.669000000002</v>
      </c>
      <c r="S2122" s="7"/>
      <c r="T2122" s="7"/>
      <c r="U2122" s="7"/>
      <c r="V2122" s="10">
        <v>7.4496124031007751</v>
      </c>
      <c r="W2122" s="9">
        <v>44995</v>
      </c>
      <c r="X2122" s="10">
        <v>12</v>
      </c>
      <c r="Y2122" s="9">
        <v>45003</v>
      </c>
      <c r="Z2122">
        <v>9</v>
      </c>
      <c r="AA2122" s="11" t="s">
        <v>49</v>
      </c>
    </row>
    <row r="2123" spans="2:27" x14ac:dyDescent="0.2">
      <c r="B2123" t="s">
        <v>394</v>
      </c>
      <c r="C2123">
        <v>40363266</v>
      </c>
      <c r="D2123" t="s">
        <v>485</v>
      </c>
      <c r="E2123">
        <v>1020352</v>
      </c>
      <c r="F2123" t="s">
        <v>600</v>
      </c>
      <c r="G2123" s="9">
        <v>44983</v>
      </c>
      <c r="H2123" s="7"/>
      <c r="I2123" s="7"/>
      <c r="J2123" s="7"/>
      <c r="K2123" s="7"/>
      <c r="L2123" s="10"/>
      <c r="N2123" s="10"/>
      <c r="Q2123" s="11"/>
      <c r="R2123" s="7"/>
      <c r="S2123" s="7"/>
      <c r="T2123" s="7"/>
      <c r="U2123" s="7"/>
      <c r="V2123" s="10"/>
      <c r="X2123" s="10"/>
      <c r="AA2123" s="11"/>
    </row>
    <row r="2124" spans="2:27" x14ac:dyDescent="0.2">
      <c r="B2124" t="s">
        <v>394</v>
      </c>
      <c r="C2124">
        <v>40363265</v>
      </c>
      <c r="D2124" t="s">
        <v>485</v>
      </c>
      <c r="E2124">
        <v>1021385</v>
      </c>
      <c r="F2124" t="s">
        <v>495</v>
      </c>
      <c r="G2124" s="9">
        <v>44991</v>
      </c>
      <c r="H2124" s="7">
        <v>23992.52</v>
      </c>
      <c r="I2124" s="7"/>
      <c r="J2124" s="7"/>
      <c r="K2124" s="7"/>
      <c r="L2124" s="10"/>
      <c r="N2124" s="10"/>
      <c r="Q2124" s="11"/>
      <c r="R2124" s="7">
        <v>23992.52</v>
      </c>
      <c r="S2124" s="7"/>
      <c r="T2124" s="7"/>
      <c r="U2124" s="7"/>
      <c r="V2124" s="10"/>
      <c r="X2124" s="10"/>
      <c r="AA2124" s="11"/>
    </row>
    <row r="2125" spans="2:27" x14ac:dyDescent="0.2">
      <c r="B2125" t="s">
        <v>394</v>
      </c>
      <c r="C2125">
        <v>40363250</v>
      </c>
      <c r="D2125" t="s">
        <v>485</v>
      </c>
      <c r="E2125">
        <v>1020944</v>
      </c>
      <c r="F2125" t="s">
        <v>498</v>
      </c>
      <c r="G2125" s="9">
        <v>44989</v>
      </c>
      <c r="H2125" s="7">
        <v>23978.82</v>
      </c>
      <c r="I2125" s="7"/>
      <c r="J2125" s="7"/>
      <c r="K2125" s="7"/>
      <c r="L2125" s="10"/>
      <c r="N2125" s="10"/>
      <c r="Q2125" s="11"/>
      <c r="R2125" s="7">
        <v>23978.82</v>
      </c>
      <c r="S2125" s="7"/>
      <c r="T2125" s="7"/>
      <c r="U2125" s="7"/>
      <c r="V2125" s="10"/>
      <c r="X2125" s="10"/>
      <c r="AA2125" s="11"/>
    </row>
    <row r="2126" spans="2:27" ht="16" x14ac:dyDescent="0.2">
      <c r="B2126" t="s">
        <v>35</v>
      </c>
      <c r="C2126">
        <v>40363240</v>
      </c>
      <c r="D2126" t="s">
        <v>389</v>
      </c>
      <c r="E2126">
        <v>1022646</v>
      </c>
      <c r="F2126" t="s">
        <v>176</v>
      </c>
      <c r="G2126" s="9">
        <v>45012</v>
      </c>
      <c r="H2126" s="7"/>
      <c r="I2126" s="7">
        <v>11377.52</v>
      </c>
      <c r="J2126" s="7"/>
      <c r="K2126" s="7"/>
      <c r="L2126" s="10">
        <v>5.5741092456127026</v>
      </c>
      <c r="M2126" s="9">
        <v>45017</v>
      </c>
      <c r="N2126" s="10">
        <v>5.5</v>
      </c>
      <c r="O2126" s="9">
        <v>45022</v>
      </c>
      <c r="P2126">
        <v>20</v>
      </c>
      <c r="Q2126" s="11" t="s">
        <v>49</v>
      </c>
      <c r="R2126" s="7"/>
      <c r="S2126" s="7">
        <v>11377.52</v>
      </c>
      <c r="T2126" s="7"/>
      <c r="U2126" s="7"/>
      <c r="V2126" s="10">
        <v>7.5741092456127026</v>
      </c>
      <c r="W2126" s="9">
        <v>45019</v>
      </c>
      <c r="X2126" s="10">
        <v>7.5</v>
      </c>
      <c r="Y2126" s="9">
        <v>45022</v>
      </c>
      <c r="Z2126">
        <v>20</v>
      </c>
      <c r="AA2126" s="11" t="s">
        <v>49</v>
      </c>
    </row>
    <row r="2127" spans="2:27" ht="16" x14ac:dyDescent="0.2">
      <c r="B2127" t="s">
        <v>35</v>
      </c>
      <c r="C2127">
        <v>40363240</v>
      </c>
      <c r="D2127" t="s">
        <v>389</v>
      </c>
      <c r="E2127">
        <v>1022646</v>
      </c>
      <c r="F2127" t="s">
        <v>176</v>
      </c>
      <c r="G2127" s="9">
        <v>45012</v>
      </c>
      <c r="H2127" s="7"/>
      <c r="I2127" s="7">
        <v>23855.27</v>
      </c>
      <c r="J2127" s="7"/>
      <c r="K2127" s="7"/>
      <c r="L2127" s="10">
        <v>5.5741092456127026</v>
      </c>
      <c r="M2127" s="9">
        <v>45017</v>
      </c>
      <c r="N2127" s="10">
        <v>5.5</v>
      </c>
      <c r="O2127" s="9">
        <v>45022</v>
      </c>
      <c r="P2127">
        <v>20</v>
      </c>
      <c r="Q2127" s="11" t="s">
        <v>49</v>
      </c>
      <c r="R2127" s="7"/>
      <c r="S2127" s="7">
        <v>23855.27</v>
      </c>
      <c r="T2127" s="7"/>
      <c r="U2127" s="7"/>
      <c r="V2127" s="10">
        <v>7.5741092456127026</v>
      </c>
      <c r="W2127" s="9">
        <v>45019</v>
      </c>
      <c r="X2127" s="10">
        <v>7.5</v>
      </c>
      <c r="Y2127" s="9">
        <v>45022</v>
      </c>
      <c r="Z2127">
        <v>20</v>
      </c>
      <c r="AA2127" s="11" t="s">
        <v>49</v>
      </c>
    </row>
    <row r="2128" spans="2:27" x14ac:dyDescent="0.2">
      <c r="B2128" t="s">
        <v>394</v>
      </c>
      <c r="C2128">
        <v>40363236</v>
      </c>
      <c r="D2128" t="s">
        <v>396</v>
      </c>
      <c r="E2128">
        <v>1023283</v>
      </c>
      <c r="F2128" t="s">
        <v>468</v>
      </c>
      <c r="G2128" s="9">
        <v>45028</v>
      </c>
      <c r="H2128" s="7"/>
      <c r="I2128" s="7">
        <v>24247.84</v>
      </c>
      <c r="J2128" s="7"/>
      <c r="K2128" s="7"/>
      <c r="L2128" s="10"/>
      <c r="N2128" s="10"/>
      <c r="Q2128" s="11"/>
      <c r="R2128" s="7"/>
      <c r="S2128" s="7">
        <v>24247.84</v>
      </c>
      <c r="T2128" s="7"/>
      <c r="U2128" s="7"/>
      <c r="V2128" s="10"/>
      <c r="X2128" s="10"/>
      <c r="AA2128" s="11"/>
    </row>
    <row r="2129" spans="2:27" ht="16" x14ac:dyDescent="0.2">
      <c r="B2129" t="s">
        <v>35</v>
      </c>
      <c r="C2129">
        <v>40363233</v>
      </c>
      <c r="D2129" t="s">
        <v>423</v>
      </c>
      <c r="E2129">
        <v>1021874</v>
      </c>
      <c r="F2129" t="s">
        <v>514</v>
      </c>
      <c r="G2129" s="9">
        <v>44997</v>
      </c>
      <c r="H2129" s="7">
        <v>23796.34</v>
      </c>
      <c r="I2129" s="7"/>
      <c r="J2129" s="7"/>
      <c r="K2129" s="7"/>
      <c r="L2129" s="10">
        <v>5.4496124031007751</v>
      </c>
      <c r="M2129" s="9">
        <v>45002</v>
      </c>
      <c r="N2129" s="10">
        <v>10</v>
      </c>
      <c r="O2129" s="9">
        <v>45012</v>
      </c>
      <c r="P2129">
        <v>4</v>
      </c>
      <c r="Q2129" s="11" t="s">
        <v>49</v>
      </c>
      <c r="R2129" s="7">
        <v>23796.34</v>
      </c>
      <c r="S2129" s="7"/>
      <c r="T2129" s="7"/>
      <c r="U2129" s="7"/>
      <c r="V2129" s="10">
        <v>7.4496124031007751</v>
      </c>
      <c r="W2129" s="9">
        <v>45004</v>
      </c>
      <c r="X2129" s="10">
        <v>12</v>
      </c>
      <c r="Y2129" s="9">
        <v>45012</v>
      </c>
      <c r="Z2129">
        <v>4</v>
      </c>
      <c r="AA2129" s="11" t="s">
        <v>49</v>
      </c>
    </row>
    <row r="2130" spans="2:27" ht="16" x14ac:dyDescent="0.2">
      <c r="B2130" t="s">
        <v>35</v>
      </c>
      <c r="C2130">
        <v>40363230</v>
      </c>
      <c r="D2130" t="s">
        <v>423</v>
      </c>
      <c r="E2130">
        <v>1021874</v>
      </c>
      <c r="F2130" t="s">
        <v>514</v>
      </c>
      <c r="G2130" s="9">
        <v>44997</v>
      </c>
      <c r="H2130" s="7">
        <v>24062.52</v>
      </c>
      <c r="I2130" s="7"/>
      <c r="J2130" s="7"/>
      <c r="K2130" s="7"/>
      <c r="L2130" s="10">
        <v>5.4496124031007751</v>
      </c>
      <c r="M2130" s="9">
        <v>45002</v>
      </c>
      <c r="N2130" s="10">
        <v>10</v>
      </c>
      <c r="O2130" s="9">
        <v>45012</v>
      </c>
      <c r="P2130">
        <v>4</v>
      </c>
      <c r="Q2130" s="11" t="s">
        <v>49</v>
      </c>
      <c r="R2130" s="7">
        <v>24062.52</v>
      </c>
      <c r="S2130" s="7"/>
      <c r="T2130" s="7"/>
      <c r="U2130" s="7"/>
      <c r="V2130" s="10">
        <v>7.4496124031007751</v>
      </c>
      <c r="W2130" s="9">
        <v>45004</v>
      </c>
      <c r="X2130" s="10">
        <v>12</v>
      </c>
      <c r="Y2130" s="9">
        <v>45012</v>
      </c>
      <c r="Z2130">
        <v>4</v>
      </c>
      <c r="AA2130" s="11" t="s">
        <v>49</v>
      </c>
    </row>
    <row r="2131" spans="2:27" ht="16" x14ac:dyDescent="0.2">
      <c r="B2131" t="s">
        <v>35</v>
      </c>
      <c r="C2131">
        <v>40363229</v>
      </c>
      <c r="D2131" t="s">
        <v>423</v>
      </c>
      <c r="E2131">
        <v>1021874</v>
      </c>
      <c r="F2131" t="s">
        <v>514</v>
      </c>
      <c r="G2131" s="9">
        <v>44995</v>
      </c>
      <c r="H2131" s="7">
        <v>24004.32</v>
      </c>
      <c r="I2131" s="7"/>
      <c r="J2131" s="7"/>
      <c r="K2131" s="7"/>
      <c r="L2131" s="10">
        <v>5.4496124031007751</v>
      </c>
      <c r="M2131" s="9">
        <v>45000</v>
      </c>
      <c r="N2131" s="10">
        <v>10</v>
      </c>
      <c r="O2131" s="9">
        <v>45010</v>
      </c>
      <c r="P2131">
        <v>5</v>
      </c>
      <c r="Q2131" s="11" t="s">
        <v>49</v>
      </c>
      <c r="R2131" s="7">
        <v>24004.32</v>
      </c>
      <c r="S2131" s="7"/>
      <c r="T2131" s="7"/>
      <c r="U2131" s="7"/>
      <c r="V2131" s="10">
        <v>7.4496124031007751</v>
      </c>
      <c r="W2131" s="9">
        <v>45002</v>
      </c>
      <c r="X2131" s="10">
        <v>12</v>
      </c>
      <c r="Y2131" s="9">
        <v>45010</v>
      </c>
      <c r="Z2131">
        <v>5</v>
      </c>
      <c r="AA2131" s="11" t="s">
        <v>49</v>
      </c>
    </row>
    <row r="2132" spans="2:27" x14ac:dyDescent="0.2">
      <c r="B2132" t="s">
        <v>394</v>
      </c>
      <c r="C2132">
        <v>40363225</v>
      </c>
      <c r="D2132" t="s">
        <v>396</v>
      </c>
      <c r="E2132">
        <v>1021156</v>
      </c>
      <c r="F2132" t="s">
        <v>515</v>
      </c>
      <c r="G2132" s="9">
        <v>45017</v>
      </c>
      <c r="H2132" s="7"/>
      <c r="I2132" s="7">
        <v>24000</v>
      </c>
      <c r="J2132" s="7"/>
      <c r="K2132" s="7"/>
      <c r="L2132" s="10"/>
      <c r="N2132" s="10"/>
      <c r="Q2132" s="11"/>
      <c r="R2132" s="7"/>
      <c r="S2132" s="7">
        <v>24000</v>
      </c>
      <c r="T2132" s="7"/>
      <c r="U2132" s="7"/>
      <c r="V2132" s="10"/>
      <c r="X2132" s="10"/>
      <c r="AA2132" s="11"/>
    </row>
    <row r="2133" spans="2:27" ht="16" x14ac:dyDescent="0.2">
      <c r="B2133" t="s">
        <v>35</v>
      </c>
      <c r="C2133">
        <v>40363215</v>
      </c>
      <c r="D2133" t="s">
        <v>409</v>
      </c>
      <c r="E2133">
        <v>1030838</v>
      </c>
      <c r="F2133" t="s">
        <v>516</v>
      </c>
      <c r="G2133" s="9">
        <v>44999</v>
      </c>
      <c r="H2133" s="7">
        <v>21599.924029999998</v>
      </c>
      <c r="I2133" s="7"/>
      <c r="J2133" s="7"/>
      <c r="K2133" s="7"/>
      <c r="L2133" s="10">
        <v>7.5</v>
      </c>
      <c r="M2133" s="9">
        <v>45006</v>
      </c>
      <c r="N2133" s="10">
        <v>9.5</v>
      </c>
      <c r="O2133" s="9">
        <v>45015</v>
      </c>
      <c r="P2133">
        <v>1</v>
      </c>
      <c r="Q2133" s="11" t="s">
        <v>598</v>
      </c>
      <c r="R2133" s="7">
        <v>21599.924029999998</v>
      </c>
      <c r="S2133" s="7"/>
      <c r="T2133" s="7"/>
      <c r="U2133" s="7"/>
      <c r="V2133" s="10">
        <v>9.5</v>
      </c>
      <c r="W2133" s="9">
        <v>45008</v>
      </c>
      <c r="X2133" s="10">
        <v>11.5</v>
      </c>
      <c r="Y2133" s="9">
        <v>45015</v>
      </c>
      <c r="Z2133">
        <v>1</v>
      </c>
      <c r="AA2133" s="11" t="s">
        <v>598</v>
      </c>
    </row>
    <row r="2134" spans="2:27" ht="16" x14ac:dyDescent="0.2">
      <c r="B2134" t="s">
        <v>35</v>
      </c>
      <c r="C2134">
        <v>40363214</v>
      </c>
      <c r="D2134" t="s">
        <v>409</v>
      </c>
      <c r="E2134">
        <v>1030838</v>
      </c>
      <c r="F2134" t="s">
        <v>516</v>
      </c>
      <c r="G2134" s="9">
        <v>44996</v>
      </c>
      <c r="H2134" s="7">
        <v>23999.915590000001</v>
      </c>
      <c r="I2134" s="7"/>
      <c r="J2134" s="7"/>
      <c r="K2134" s="7"/>
      <c r="L2134" s="10">
        <v>7.5</v>
      </c>
      <c r="M2134" s="9">
        <v>45003</v>
      </c>
      <c r="N2134" s="10">
        <v>9.5</v>
      </c>
      <c r="O2134" s="9">
        <v>45012</v>
      </c>
      <c r="P2134">
        <v>4</v>
      </c>
      <c r="Q2134" s="11" t="s">
        <v>49</v>
      </c>
      <c r="R2134" s="7">
        <v>23999.915590000001</v>
      </c>
      <c r="S2134" s="7"/>
      <c r="T2134" s="7"/>
      <c r="U2134" s="7"/>
      <c r="V2134" s="10">
        <v>9.5</v>
      </c>
      <c r="W2134" s="9">
        <v>45005</v>
      </c>
      <c r="X2134" s="10">
        <v>11.5</v>
      </c>
      <c r="Y2134" s="9">
        <v>45012</v>
      </c>
      <c r="Z2134">
        <v>4</v>
      </c>
      <c r="AA2134" s="11" t="s">
        <v>49</v>
      </c>
    </row>
    <row r="2135" spans="2:27" x14ac:dyDescent="0.2">
      <c r="B2135" t="s">
        <v>394</v>
      </c>
      <c r="C2135">
        <v>40363189</v>
      </c>
      <c r="D2135" t="s">
        <v>485</v>
      </c>
      <c r="E2135">
        <v>1030817</v>
      </c>
      <c r="F2135" t="s">
        <v>504</v>
      </c>
      <c r="G2135" s="9">
        <v>44983</v>
      </c>
      <c r="H2135" s="7"/>
      <c r="I2135" s="7"/>
      <c r="J2135" s="7"/>
      <c r="K2135" s="7"/>
      <c r="L2135" s="10"/>
      <c r="N2135" s="10"/>
      <c r="Q2135" s="11"/>
      <c r="R2135" s="7"/>
      <c r="S2135" s="7"/>
      <c r="T2135" s="7"/>
      <c r="U2135" s="7"/>
      <c r="V2135" s="10"/>
      <c r="X2135" s="10"/>
      <c r="AA2135" s="11"/>
    </row>
    <row r="2136" spans="2:27" x14ac:dyDescent="0.2">
      <c r="B2136" t="s">
        <v>394</v>
      </c>
      <c r="C2136">
        <v>40363188</v>
      </c>
      <c r="D2136" t="s">
        <v>485</v>
      </c>
      <c r="E2136">
        <v>1030817</v>
      </c>
      <c r="F2136" t="s">
        <v>504</v>
      </c>
      <c r="G2136" s="9">
        <v>44983</v>
      </c>
      <c r="H2136" s="7"/>
      <c r="I2136" s="7"/>
      <c r="J2136" s="7"/>
      <c r="K2136" s="7"/>
      <c r="L2136" s="10"/>
      <c r="N2136" s="10"/>
      <c r="Q2136" s="11"/>
      <c r="R2136" s="7"/>
      <c r="S2136" s="7"/>
      <c r="T2136" s="7"/>
      <c r="U2136" s="7"/>
      <c r="V2136" s="10"/>
      <c r="X2136" s="10"/>
      <c r="AA2136" s="11"/>
    </row>
    <row r="2137" spans="2:27" ht="16" x14ac:dyDescent="0.2">
      <c r="B2137" t="s">
        <v>35</v>
      </c>
      <c r="C2137">
        <v>40363179</v>
      </c>
      <c r="D2137" t="s">
        <v>389</v>
      </c>
      <c r="E2137">
        <v>1022939</v>
      </c>
      <c r="F2137" t="s">
        <v>505</v>
      </c>
      <c r="G2137" s="9">
        <v>45018</v>
      </c>
      <c r="H2137" s="7"/>
      <c r="I2137" s="7">
        <v>9040</v>
      </c>
      <c r="J2137" s="7"/>
      <c r="K2137" s="7"/>
      <c r="L2137" s="10">
        <v>5.5741092456127026</v>
      </c>
      <c r="M2137" s="9">
        <v>45023</v>
      </c>
      <c r="N2137" s="10">
        <v>5.5</v>
      </c>
      <c r="O2137" s="9">
        <v>45028</v>
      </c>
      <c r="P2137">
        <v>15</v>
      </c>
      <c r="Q2137" s="11" t="s">
        <v>49</v>
      </c>
      <c r="R2137" s="7"/>
      <c r="S2137" s="7">
        <v>9040</v>
      </c>
      <c r="T2137" s="7"/>
      <c r="U2137" s="7"/>
      <c r="V2137" s="10">
        <v>7.5741092456127026</v>
      </c>
      <c r="W2137" s="9">
        <v>45025</v>
      </c>
      <c r="X2137" s="10">
        <v>7.5</v>
      </c>
      <c r="Y2137" s="9">
        <v>45028</v>
      </c>
      <c r="Z2137">
        <v>15</v>
      </c>
      <c r="AA2137" s="11" t="s">
        <v>49</v>
      </c>
    </row>
    <row r="2138" spans="2:27" ht="16" x14ac:dyDescent="0.2">
      <c r="B2138" t="s">
        <v>35</v>
      </c>
      <c r="C2138">
        <v>40363179</v>
      </c>
      <c r="D2138" t="s">
        <v>389</v>
      </c>
      <c r="E2138">
        <v>1022939</v>
      </c>
      <c r="F2138" t="s">
        <v>505</v>
      </c>
      <c r="G2138" s="9">
        <v>45018</v>
      </c>
      <c r="H2138" s="7"/>
      <c r="I2138" s="7">
        <v>25000</v>
      </c>
      <c r="J2138" s="7"/>
      <c r="K2138" s="7"/>
      <c r="L2138" s="10">
        <v>5.5741092456127026</v>
      </c>
      <c r="M2138" s="9">
        <v>45023</v>
      </c>
      <c r="N2138" s="10">
        <v>5.5</v>
      </c>
      <c r="O2138" s="9">
        <v>45028</v>
      </c>
      <c r="P2138">
        <v>15</v>
      </c>
      <c r="Q2138" s="11" t="s">
        <v>49</v>
      </c>
      <c r="R2138" s="7"/>
      <c r="S2138" s="7">
        <v>25000</v>
      </c>
      <c r="T2138" s="7"/>
      <c r="U2138" s="7"/>
      <c r="V2138" s="10">
        <v>7.5741092456127026</v>
      </c>
      <c r="W2138" s="9">
        <v>45025</v>
      </c>
      <c r="X2138" s="10">
        <v>7.5</v>
      </c>
      <c r="Y2138" s="9">
        <v>45028</v>
      </c>
      <c r="Z2138">
        <v>15</v>
      </c>
      <c r="AA2138" s="11" t="s">
        <v>49</v>
      </c>
    </row>
    <row r="2139" spans="2:27" ht="16" x14ac:dyDescent="0.2">
      <c r="B2139" t="s">
        <v>35</v>
      </c>
      <c r="C2139">
        <v>40363178</v>
      </c>
      <c r="D2139" t="s">
        <v>389</v>
      </c>
      <c r="E2139">
        <v>1022945</v>
      </c>
      <c r="F2139" t="s">
        <v>442</v>
      </c>
      <c r="G2139" s="9">
        <v>45005</v>
      </c>
      <c r="H2139" s="7">
        <v>23980</v>
      </c>
      <c r="I2139" s="7"/>
      <c r="J2139" s="7"/>
      <c r="K2139" s="7"/>
      <c r="L2139" s="10">
        <v>5.5741092456127026</v>
      </c>
      <c r="M2139" s="9">
        <v>45010</v>
      </c>
      <c r="N2139" s="10">
        <v>5.5</v>
      </c>
      <c r="O2139" s="9">
        <v>45015</v>
      </c>
      <c r="P2139">
        <v>1</v>
      </c>
      <c r="Q2139" s="11" t="s">
        <v>598</v>
      </c>
      <c r="R2139" s="7">
        <v>23980</v>
      </c>
      <c r="S2139" s="7"/>
      <c r="T2139" s="7"/>
      <c r="U2139" s="7"/>
      <c r="V2139" s="10">
        <v>7.5741092456127026</v>
      </c>
      <c r="W2139" s="9">
        <v>45012</v>
      </c>
      <c r="X2139" s="10">
        <v>7.5</v>
      </c>
      <c r="Y2139" s="9">
        <v>45015</v>
      </c>
      <c r="Z2139">
        <v>1</v>
      </c>
      <c r="AA2139" s="11" t="s">
        <v>598</v>
      </c>
    </row>
    <row r="2140" spans="2:27" ht="16" x14ac:dyDescent="0.2">
      <c r="B2140" t="s">
        <v>35</v>
      </c>
      <c r="C2140">
        <v>40363177</v>
      </c>
      <c r="D2140" t="s">
        <v>389</v>
      </c>
      <c r="E2140">
        <v>1022945</v>
      </c>
      <c r="F2140" t="s">
        <v>442</v>
      </c>
      <c r="G2140" s="9">
        <v>45007</v>
      </c>
      <c r="H2140" s="7"/>
      <c r="I2140" s="7">
        <v>24000</v>
      </c>
      <c r="J2140" s="7"/>
      <c r="K2140" s="7"/>
      <c r="L2140" s="10">
        <v>5.5741092456127026</v>
      </c>
      <c r="M2140" s="9">
        <v>45012</v>
      </c>
      <c r="N2140" s="10">
        <v>5.5</v>
      </c>
      <c r="O2140" s="9">
        <v>45017</v>
      </c>
      <c r="P2140">
        <v>23</v>
      </c>
      <c r="Q2140" s="11" t="s">
        <v>49</v>
      </c>
      <c r="R2140" s="7"/>
      <c r="S2140" s="7">
        <v>24000</v>
      </c>
      <c r="T2140" s="7"/>
      <c r="U2140" s="7"/>
      <c r="V2140" s="10">
        <v>7.5741092456127026</v>
      </c>
      <c r="W2140" s="9">
        <v>45014</v>
      </c>
      <c r="X2140" s="10">
        <v>7.5</v>
      </c>
      <c r="Y2140" s="9">
        <v>45017</v>
      </c>
      <c r="Z2140">
        <v>23</v>
      </c>
      <c r="AA2140" s="11" t="s">
        <v>49</v>
      </c>
    </row>
    <row r="2141" spans="2:27" x14ac:dyDescent="0.2">
      <c r="B2141" t="s">
        <v>394</v>
      </c>
      <c r="C2141">
        <v>40363174</v>
      </c>
      <c r="D2141" t="s">
        <v>396</v>
      </c>
      <c r="E2141">
        <v>1023090</v>
      </c>
      <c r="F2141" t="s">
        <v>517</v>
      </c>
      <c r="G2141" s="9">
        <v>45010</v>
      </c>
      <c r="H2141" s="7">
        <v>22016.57</v>
      </c>
      <c r="I2141" s="7"/>
      <c r="J2141" s="7"/>
      <c r="K2141" s="7"/>
      <c r="L2141" s="10"/>
      <c r="N2141" s="10"/>
      <c r="Q2141" s="11"/>
      <c r="R2141" s="7">
        <v>22016.57</v>
      </c>
      <c r="S2141" s="7"/>
      <c r="T2141" s="7"/>
      <c r="U2141" s="7"/>
      <c r="V2141" s="10"/>
      <c r="X2141" s="10"/>
      <c r="AA2141" s="11"/>
    </row>
    <row r="2142" spans="2:27" x14ac:dyDescent="0.2">
      <c r="B2142" t="s">
        <v>394</v>
      </c>
      <c r="C2142">
        <v>40363173</v>
      </c>
      <c r="D2142" t="s">
        <v>396</v>
      </c>
      <c r="E2142">
        <v>1030535</v>
      </c>
      <c r="F2142" t="s">
        <v>395</v>
      </c>
      <c r="G2142" s="9">
        <v>45015</v>
      </c>
      <c r="H2142" s="7">
        <v>21999.014999999999</v>
      </c>
      <c r="I2142" s="7"/>
      <c r="J2142" s="7"/>
      <c r="K2142" s="7"/>
      <c r="L2142" s="10"/>
      <c r="N2142" s="10"/>
      <c r="Q2142" s="11"/>
      <c r="R2142" s="7">
        <v>21999.014999999999</v>
      </c>
      <c r="S2142" s="7"/>
      <c r="T2142" s="7"/>
      <c r="U2142" s="7"/>
      <c r="V2142" s="10"/>
      <c r="X2142" s="10"/>
      <c r="AA2142" s="11"/>
    </row>
    <row r="2143" spans="2:27" x14ac:dyDescent="0.2">
      <c r="B2143" t="s">
        <v>394</v>
      </c>
      <c r="C2143">
        <v>40363140</v>
      </c>
      <c r="D2143" t="s">
        <v>396</v>
      </c>
      <c r="E2143">
        <v>1022283</v>
      </c>
      <c r="F2143" t="s">
        <v>518</v>
      </c>
      <c r="G2143" s="9">
        <v>45010</v>
      </c>
      <c r="H2143" s="7">
        <v>17000.759999999998</v>
      </c>
      <c r="I2143" s="7"/>
      <c r="J2143" s="7"/>
      <c r="K2143" s="7"/>
      <c r="L2143" s="10"/>
      <c r="N2143" s="10"/>
      <c r="Q2143" s="11"/>
      <c r="R2143" s="7">
        <v>17000.759999999998</v>
      </c>
      <c r="S2143" s="7"/>
      <c r="T2143" s="7"/>
      <c r="U2143" s="7"/>
      <c r="V2143" s="10"/>
      <c r="X2143" s="10"/>
      <c r="AA2143" s="11"/>
    </row>
    <row r="2144" spans="2:27" x14ac:dyDescent="0.2">
      <c r="B2144" t="s">
        <v>394</v>
      </c>
      <c r="C2144">
        <v>40363140</v>
      </c>
      <c r="D2144" t="s">
        <v>396</v>
      </c>
      <c r="E2144">
        <v>1022885</v>
      </c>
      <c r="F2144" t="s">
        <v>401</v>
      </c>
      <c r="G2144" s="9">
        <v>45010</v>
      </c>
      <c r="H2144" s="7">
        <v>5002.3100000000004</v>
      </c>
      <c r="I2144" s="7"/>
      <c r="J2144" s="7"/>
      <c r="K2144" s="7"/>
      <c r="L2144" s="10"/>
      <c r="N2144" s="10"/>
      <c r="Q2144" s="11"/>
      <c r="R2144" s="7">
        <v>5002.3100000000004</v>
      </c>
      <c r="S2144" s="7"/>
      <c r="T2144" s="7"/>
      <c r="U2144" s="7"/>
      <c r="V2144" s="10"/>
      <c r="X2144" s="10"/>
      <c r="AA2144" s="11"/>
    </row>
    <row r="2145" spans="2:27" x14ac:dyDescent="0.2">
      <c r="B2145" t="s">
        <v>394</v>
      </c>
      <c r="C2145">
        <v>40363139</v>
      </c>
      <c r="D2145" t="s">
        <v>396</v>
      </c>
      <c r="E2145">
        <v>1021665</v>
      </c>
      <c r="F2145" t="s">
        <v>453</v>
      </c>
      <c r="G2145" s="9">
        <v>45015</v>
      </c>
      <c r="H2145" s="7">
        <v>22333.97</v>
      </c>
      <c r="I2145" s="7"/>
      <c r="J2145" s="7"/>
      <c r="K2145" s="7"/>
      <c r="L2145" s="10"/>
      <c r="N2145" s="10"/>
      <c r="Q2145" s="11"/>
      <c r="R2145" s="7">
        <v>22333.97</v>
      </c>
      <c r="S2145" s="7"/>
      <c r="T2145" s="7"/>
      <c r="U2145" s="7"/>
      <c r="V2145" s="10"/>
      <c r="X2145" s="10"/>
      <c r="AA2145" s="11"/>
    </row>
    <row r="2146" spans="2:27" x14ac:dyDescent="0.2">
      <c r="B2146" t="s">
        <v>394</v>
      </c>
      <c r="C2146">
        <v>40363138</v>
      </c>
      <c r="D2146" t="s">
        <v>396</v>
      </c>
      <c r="E2146">
        <v>1022887</v>
      </c>
      <c r="F2146" t="s">
        <v>404</v>
      </c>
      <c r="G2146" s="9">
        <v>45016</v>
      </c>
      <c r="H2146" s="7">
        <v>22018.12</v>
      </c>
      <c r="I2146" s="7"/>
      <c r="J2146" s="7"/>
      <c r="K2146" s="7"/>
      <c r="L2146" s="10"/>
      <c r="N2146" s="10"/>
      <c r="Q2146" s="11"/>
      <c r="R2146" s="7">
        <v>22018.12</v>
      </c>
      <c r="S2146" s="7"/>
      <c r="T2146" s="7"/>
      <c r="U2146" s="7"/>
      <c r="V2146" s="10"/>
      <c r="X2146" s="10"/>
      <c r="AA2146" s="11"/>
    </row>
    <row r="2147" spans="2:27" x14ac:dyDescent="0.2">
      <c r="B2147" t="s">
        <v>394</v>
      </c>
      <c r="C2147">
        <v>40363137</v>
      </c>
      <c r="D2147" t="s">
        <v>396</v>
      </c>
      <c r="E2147">
        <v>1022887</v>
      </c>
      <c r="F2147" t="s">
        <v>404</v>
      </c>
      <c r="G2147" s="9">
        <v>45008</v>
      </c>
      <c r="H2147" s="7">
        <v>22007.23</v>
      </c>
      <c r="I2147" s="7"/>
      <c r="J2147" s="7"/>
      <c r="K2147" s="7"/>
      <c r="L2147" s="10"/>
      <c r="N2147" s="10"/>
      <c r="Q2147" s="11"/>
      <c r="R2147" s="7">
        <v>22007.23</v>
      </c>
      <c r="S2147" s="7"/>
      <c r="T2147" s="7"/>
      <c r="U2147" s="7"/>
      <c r="V2147" s="10"/>
      <c r="X2147" s="10"/>
      <c r="AA2147" s="11"/>
    </row>
    <row r="2148" spans="2:27" x14ac:dyDescent="0.2">
      <c r="B2148" t="s">
        <v>394</v>
      </c>
      <c r="C2148">
        <v>40363136</v>
      </c>
      <c r="D2148" t="s">
        <v>396</v>
      </c>
      <c r="E2148">
        <v>1022887</v>
      </c>
      <c r="F2148" t="s">
        <v>404</v>
      </c>
      <c r="G2148" s="9">
        <v>45008</v>
      </c>
      <c r="H2148" s="7">
        <v>22012.83</v>
      </c>
      <c r="I2148" s="7"/>
      <c r="J2148" s="7"/>
      <c r="K2148" s="7"/>
      <c r="L2148" s="10"/>
      <c r="N2148" s="10"/>
      <c r="Q2148" s="11"/>
      <c r="R2148" s="7">
        <v>22012.83</v>
      </c>
      <c r="S2148" s="7"/>
      <c r="T2148" s="7"/>
      <c r="U2148" s="7"/>
      <c r="V2148" s="10"/>
      <c r="X2148" s="10"/>
      <c r="AA2148" s="11"/>
    </row>
    <row r="2149" spans="2:27" x14ac:dyDescent="0.2">
      <c r="B2149" t="s">
        <v>394</v>
      </c>
      <c r="C2149">
        <v>40363135</v>
      </c>
      <c r="D2149" t="s">
        <v>396</v>
      </c>
      <c r="E2149">
        <v>1022887</v>
      </c>
      <c r="F2149" t="s">
        <v>404</v>
      </c>
      <c r="G2149" s="9">
        <v>45008</v>
      </c>
      <c r="H2149" s="7">
        <v>22013.77</v>
      </c>
      <c r="I2149" s="7"/>
      <c r="J2149" s="7"/>
      <c r="K2149" s="7"/>
      <c r="L2149" s="10"/>
      <c r="N2149" s="10"/>
      <c r="Q2149" s="11"/>
      <c r="R2149" s="7">
        <v>22013.77</v>
      </c>
      <c r="S2149" s="7"/>
      <c r="T2149" s="7"/>
      <c r="U2149" s="7"/>
      <c r="V2149" s="10"/>
      <c r="X2149" s="10"/>
      <c r="AA2149" s="11"/>
    </row>
    <row r="2150" spans="2:27" x14ac:dyDescent="0.2">
      <c r="B2150" t="s">
        <v>394</v>
      </c>
      <c r="C2150">
        <v>40363134</v>
      </c>
      <c r="D2150" t="s">
        <v>396</v>
      </c>
      <c r="E2150">
        <v>1022182</v>
      </c>
      <c r="F2150" t="s">
        <v>519</v>
      </c>
      <c r="G2150" s="9">
        <v>45015</v>
      </c>
      <c r="H2150" s="7">
        <v>19720</v>
      </c>
      <c r="I2150" s="7"/>
      <c r="J2150" s="7"/>
      <c r="K2150" s="7"/>
      <c r="L2150" s="10"/>
      <c r="N2150" s="10"/>
      <c r="Q2150" s="11"/>
      <c r="R2150" s="7">
        <v>19720</v>
      </c>
      <c r="S2150" s="7"/>
      <c r="T2150" s="7"/>
      <c r="U2150" s="7"/>
      <c r="V2150" s="10"/>
      <c r="X2150" s="10"/>
      <c r="AA2150" s="11"/>
    </row>
    <row r="2151" spans="2:27" x14ac:dyDescent="0.2">
      <c r="B2151" t="s">
        <v>394</v>
      </c>
      <c r="C2151">
        <v>40363134</v>
      </c>
      <c r="D2151" t="s">
        <v>396</v>
      </c>
      <c r="E2151">
        <v>1022182</v>
      </c>
      <c r="F2151" t="s">
        <v>519</v>
      </c>
      <c r="G2151" s="9">
        <v>45015</v>
      </c>
      <c r="H2151" s="7">
        <v>22000</v>
      </c>
      <c r="I2151" s="7"/>
      <c r="J2151" s="7"/>
      <c r="K2151" s="7"/>
      <c r="L2151" s="10"/>
      <c r="N2151" s="10"/>
      <c r="Q2151" s="11"/>
      <c r="R2151" s="7">
        <v>22000</v>
      </c>
      <c r="S2151" s="7"/>
      <c r="T2151" s="7"/>
      <c r="U2151" s="7"/>
      <c r="V2151" s="10"/>
      <c r="X2151" s="10"/>
      <c r="AA2151" s="11"/>
    </row>
    <row r="2152" spans="2:27" x14ac:dyDescent="0.2">
      <c r="B2152" t="s">
        <v>394</v>
      </c>
      <c r="C2152">
        <v>40363132</v>
      </c>
      <c r="D2152" t="s">
        <v>396</v>
      </c>
      <c r="E2152">
        <v>1022607</v>
      </c>
      <c r="F2152" t="s">
        <v>405</v>
      </c>
      <c r="G2152" s="9">
        <v>45015</v>
      </c>
      <c r="H2152" s="7">
        <v>21932.85</v>
      </c>
      <c r="I2152" s="7"/>
      <c r="J2152" s="7"/>
      <c r="K2152" s="7"/>
      <c r="L2152" s="10"/>
      <c r="N2152" s="10"/>
      <c r="Q2152" s="11"/>
      <c r="R2152" s="7">
        <v>21932.85</v>
      </c>
      <c r="S2152" s="7"/>
      <c r="T2152" s="7"/>
      <c r="U2152" s="7"/>
      <c r="V2152" s="10"/>
      <c r="X2152" s="10"/>
      <c r="AA2152" s="11"/>
    </row>
    <row r="2153" spans="2:27" x14ac:dyDescent="0.2">
      <c r="B2153" t="s">
        <v>394</v>
      </c>
      <c r="C2153">
        <v>40363130</v>
      </c>
      <c r="D2153" t="s">
        <v>396</v>
      </c>
      <c r="E2153">
        <v>1021150</v>
      </c>
      <c r="F2153" t="s">
        <v>402</v>
      </c>
      <c r="G2153" s="9">
        <v>45008</v>
      </c>
      <c r="H2153" s="7">
        <v>22000</v>
      </c>
      <c r="I2153" s="7"/>
      <c r="J2153" s="7"/>
      <c r="K2153" s="7"/>
      <c r="L2153" s="10"/>
      <c r="N2153" s="10"/>
      <c r="Q2153" s="11"/>
      <c r="R2153" s="7">
        <v>22000</v>
      </c>
      <c r="S2153" s="7"/>
      <c r="T2153" s="7"/>
      <c r="U2153" s="7"/>
      <c r="V2153" s="10"/>
      <c r="X2153" s="10"/>
      <c r="AA2153" s="11"/>
    </row>
    <row r="2154" spans="2:27" x14ac:dyDescent="0.2">
      <c r="B2154" t="s">
        <v>394</v>
      </c>
      <c r="C2154">
        <v>40363129</v>
      </c>
      <c r="D2154" t="s">
        <v>396</v>
      </c>
      <c r="E2154">
        <v>1021150</v>
      </c>
      <c r="F2154" t="s">
        <v>402</v>
      </c>
      <c r="G2154" s="9">
        <v>45008</v>
      </c>
      <c r="H2154" s="7">
        <v>3968</v>
      </c>
      <c r="I2154" s="7"/>
      <c r="J2154" s="7"/>
      <c r="K2154" s="7"/>
      <c r="L2154" s="10"/>
      <c r="N2154" s="10"/>
      <c r="Q2154" s="11"/>
      <c r="R2154" s="7">
        <v>3968</v>
      </c>
      <c r="S2154" s="7"/>
      <c r="T2154" s="7"/>
      <c r="U2154" s="7"/>
      <c r="V2154" s="10"/>
      <c r="X2154" s="10"/>
      <c r="AA2154" s="11"/>
    </row>
    <row r="2155" spans="2:27" x14ac:dyDescent="0.2">
      <c r="B2155" t="s">
        <v>394</v>
      </c>
      <c r="C2155">
        <v>40363129</v>
      </c>
      <c r="D2155" t="s">
        <v>396</v>
      </c>
      <c r="E2155">
        <v>1021150</v>
      </c>
      <c r="F2155" t="s">
        <v>402</v>
      </c>
      <c r="G2155" s="9">
        <v>45008</v>
      </c>
      <c r="H2155" s="7">
        <v>22000</v>
      </c>
      <c r="I2155" s="7"/>
      <c r="J2155" s="7"/>
      <c r="K2155" s="7"/>
      <c r="L2155" s="10"/>
      <c r="N2155" s="10"/>
      <c r="Q2155" s="11"/>
      <c r="R2155" s="7">
        <v>22000</v>
      </c>
      <c r="S2155" s="7"/>
      <c r="T2155" s="7"/>
      <c r="U2155" s="7"/>
      <c r="V2155" s="10"/>
      <c r="X2155" s="10"/>
      <c r="AA2155" s="11"/>
    </row>
    <row r="2156" spans="2:27" x14ac:dyDescent="0.2">
      <c r="B2156" t="s">
        <v>394</v>
      </c>
      <c r="C2156">
        <v>40363123</v>
      </c>
      <c r="D2156" t="s">
        <v>396</v>
      </c>
      <c r="E2156">
        <v>1021665</v>
      </c>
      <c r="F2156" t="s">
        <v>453</v>
      </c>
      <c r="G2156" s="9">
        <v>45015</v>
      </c>
      <c r="H2156" s="7">
        <v>22416.59</v>
      </c>
      <c r="I2156" s="7"/>
      <c r="J2156" s="7"/>
      <c r="K2156" s="7"/>
      <c r="L2156" s="10"/>
      <c r="N2156" s="10"/>
      <c r="Q2156" s="11"/>
      <c r="R2156" s="7">
        <v>22416.59</v>
      </c>
      <c r="S2156" s="7"/>
      <c r="T2156" s="7"/>
      <c r="U2156" s="7"/>
      <c r="V2156" s="10"/>
      <c r="X2156" s="10"/>
      <c r="AA2156" s="11"/>
    </row>
    <row r="2157" spans="2:27" x14ac:dyDescent="0.2">
      <c r="B2157" t="s">
        <v>394</v>
      </c>
      <c r="C2157">
        <v>40363087</v>
      </c>
      <c r="D2157" t="s">
        <v>485</v>
      </c>
      <c r="E2157">
        <v>1012362</v>
      </c>
      <c r="F2157" t="s">
        <v>520</v>
      </c>
      <c r="G2157" s="9">
        <v>44989</v>
      </c>
      <c r="H2157" s="7">
        <v>2088</v>
      </c>
      <c r="I2157" s="7"/>
      <c r="J2157" s="7"/>
      <c r="K2157" s="7"/>
      <c r="L2157" s="10"/>
      <c r="N2157" s="10"/>
      <c r="Q2157" s="11"/>
      <c r="R2157" s="7">
        <v>2088</v>
      </c>
      <c r="S2157" s="7"/>
      <c r="T2157" s="7"/>
      <c r="U2157" s="7"/>
      <c r="V2157" s="10"/>
      <c r="X2157" s="10"/>
      <c r="AA2157" s="11"/>
    </row>
    <row r="2158" spans="2:27" x14ac:dyDescent="0.2">
      <c r="B2158" t="s">
        <v>394</v>
      </c>
      <c r="C2158">
        <v>40363087</v>
      </c>
      <c r="D2158" t="s">
        <v>485</v>
      </c>
      <c r="E2158">
        <v>1011560</v>
      </c>
      <c r="F2158" t="s">
        <v>521</v>
      </c>
      <c r="G2158" s="9">
        <v>44989</v>
      </c>
      <c r="H2158" s="7">
        <v>21906</v>
      </c>
      <c r="I2158" s="7"/>
      <c r="J2158" s="7"/>
      <c r="K2158" s="7"/>
      <c r="L2158" s="10"/>
      <c r="N2158" s="10"/>
      <c r="Q2158" s="11"/>
      <c r="R2158" s="7">
        <v>21906</v>
      </c>
      <c r="S2158" s="7"/>
      <c r="T2158" s="7"/>
      <c r="U2158" s="7"/>
      <c r="V2158" s="10"/>
      <c r="X2158" s="10"/>
      <c r="AA2158" s="11"/>
    </row>
    <row r="2159" spans="2:27" ht="16" x14ac:dyDescent="0.2">
      <c r="B2159" t="s">
        <v>35</v>
      </c>
      <c r="C2159">
        <v>40363053</v>
      </c>
      <c r="D2159" t="s">
        <v>389</v>
      </c>
      <c r="E2159">
        <v>1012595</v>
      </c>
      <c r="F2159" t="s">
        <v>248</v>
      </c>
      <c r="G2159" s="9">
        <v>45005</v>
      </c>
      <c r="H2159" s="7">
        <v>8800</v>
      </c>
      <c r="I2159" s="7"/>
      <c r="J2159" s="7"/>
      <c r="K2159" s="7"/>
      <c r="L2159" s="10">
        <v>5.5741092456127026</v>
      </c>
      <c r="M2159" s="9">
        <v>45010</v>
      </c>
      <c r="N2159" s="10">
        <v>5.5</v>
      </c>
      <c r="O2159" s="9">
        <v>45015</v>
      </c>
      <c r="P2159">
        <v>1</v>
      </c>
      <c r="Q2159" s="11" t="s">
        <v>598</v>
      </c>
      <c r="R2159" s="7">
        <v>8800</v>
      </c>
      <c r="S2159" s="7"/>
      <c r="T2159" s="7"/>
      <c r="U2159" s="7"/>
      <c r="V2159" s="10">
        <v>7.5741092456127026</v>
      </c>
      <c r="W2159" s="9">
        <v>45012</v>
      </c>
      <c r="X2159" s="10">
        <v>7.5</v>
      </c>
      <c r="Y2159" s="9">
        <v>45015</v>
      </c>
      <c r="Z2159">
        <v>1</v>
      </c>
      <c r="AA2159" s="11" t="s">
        <v>598</v>
      </c>
    </row>
    <row r="2160" spans="2:27" ht="16" x14ac:dyDescent="0.2">
      <c r="B2160" t="s">
        <v>35</v>
      </c>
      <c r="C2160">
        <v>40363053</v>
      </c>
      <c r="D2160" t="s">
        <v>389</v>
      </c>
      <c r="E2160">
        <v>1012218</v>
      </c>
      <c r="F2160" t="s">
        <v>235</v>
      </c>
      <c r="G2160" s="9">
        <v>45005</v>
      </c>
      <c r="H2160" s="7">
        <v>10500</v>
      </c>
      <c r="I2160" s="7"/>
      <c r="J2160" s="7"/>
      <c r="K2160" s="7"/>
      <c r="L2160" s="10">
        <v>5.5741092456127026</v>
      </c>
      <c r="M2160" s="9">
        <v>45010</v>
      </c>
      <c r="N2160" s="10">
        <v>5.5</v>
      </c>
      <c r="O2160" s="9">
        <v>45015</v>
      </c>
      <c r="P2160">
        <v>1</v>
      </c>
      <c r="Q2160" s="11" t="s">
        <v>598</v>
      </c>
      <c r="R2160" s="7">
        <v>10500</v>
      </c>
      <c r="S2160" s="7"/>
      <c r="T2160" s="7"/>
      <c r="U2160" s="7"/>
      <c r="V2160" s="10">
        <v>7.5741092456127026</v>
      </c>
      <c r="W2160" s="9">
        <v>45012</v>
      </c>
      <c r="X2160" s="10">
        <v>7.5</v>
      </c>
      <c r="Y2160" s="9">
        <v>45015</v>
      </c>
      <c r="Z2160">
        <v>1</v>
      </c>
      <c r="AA2160" s="11" t="s">
        <v>598</v>
      </c>
    </row>
    <row r="2161" spans="2:27" x14ac:dyDescent="0.2">
      <c r="B2161" t="s">
        <v>394</v>
      </c>
      <c r="C2161">
        <v>40362984</v>
      </c>
      <c r="D2161" t="s">
        <v>485</v>
      </c>
      <c r="E2161">
        <v>1020848</v>
      </c>
      <c r="F2161" t="s">
        <v>503</v>
      </c>
      <c r="G2161" s="9">
        <v>44976</v>
      </c>
      <c r="H2161" s="7"/>
      <c r="I2161" s="7"/>
      <c r="J2161" s="7"/>
      <c r="K2161" s="7"/>
      <c r="L2161" s="10"/>
      <c r="N2161" s="10"/>
      <c r="Q2161" s="11"/>
      <c r="R2161" s="7"/>
      <c r="S2161" s="7"/>
      <c r="T2161" s="7"/>
      <c r="U2161" s="7"/>
      <c r="V2161" s="10"/>
      <c r="X2161" s="10"/>
      <c r="AA2161" s="11"/>
    </row>
    <row r="2162" spans="2:27" ht="16" x14ac:dyDescent="0.2">
      <c r="B2162" t="s">
        <v>35</v>
      </c>
      <c r="C2162">
        <v>40362967</v>
      </c>
      <c r="D2162" t="s">
        <v>409</v>
      </c>
      <c r="E2162">
        <v>1012518</v>
      </c>
      <c r="F2162" t="s">
        <v>65</v>
      </c>
      <c r="G2162" s="9">
        <v>44997</v>
      </c>
      <c r="H2162" s="7">
        <v>18125.536319999999</v>
      </c>
      <c r="I2162" s="7"/>
      <c r="J2162" s="7"/>
      <c r="K2162" s="7"/>
      <c r="L2162" s="10">
        <v>7.5</v>
      </c>
      <c r="M2162" s="9">
        <v>45004</v>
      </c>
      <c r="N2162" s="10">
        <v>9.5</v>
      </c>
      <c r="O2162" s="9">
        <v>45013</v>
      </c>
      <c r="P2162">
        <v>3</v>
      </c>
      <c r="Q2162" s="11" t="s">
        <v>49</v>
      </c>
      <c r="R2162" s="7">
        <v>18125.536319999999</v>
      </c>
      <c r="S2162" s="7"/>
      <c r="T2162" s="7"/>
      <c r="U2162" s="7"/>
      <c r="V2162" s="10">
        <v>9.5</v>
      </c>
      <c r="W2162" s="9">
        <v>45006</v>
      </c>
      <c r="X2162" s="10">
        <v>11.5</v>
      </c>
      <c r="Y2162" s="9">
        <v>45013</v>
      </c>
      <c r="Z2162">
        <v>3</v>
      </c>
      <c r="AA2162" s="11" t="s">
        <v>49</v>
      </c>
    </row>
    <row r="2163" spans="2:27" x14ac:dyDescent="0.2">
      <c r="B2163" t="s">
        <v>394</v>
      </c>
      <c r="C2163">
        <v>40362964</v>
      </c>
      <c r="D2163" t="s">
        <v>485</v>
      </c>
      <c r="E2163">
        <v>1020412</v>
      </c>
      <c r="F2163" t="s">
        <v>486</v>
      </c>
      <c r="G2163" s="9">
        <v>44984</v>
      </c>
      <c r="H2163" s="7"/>
      <c r="I2163" s="7"/>
      <c r="J2163" s="7"/>
      <c r="K2163" s="7"/>
      <c r="L2163" s="10"/>
      <c r="N2163" s="10"/>
      <c r="Q2163" s="11"/>
      <c r="R2163" s="7"/>
      <c r="S2163" s="7"/>
      <c r="T2163" s="7"/>
      <c r="U2163" s="7"/>
      <c r="V2163" s="10"/>
      <c r="X2163" s="10"/>
      <c r="AA2163" s="11"/>
    </row>
    <row r="2164" spans="2:27" ht="16" x14ac:dyDescent="0.2">
      <c r="B2164" t="s">
        <v>35</v>
      </c>
      <c r="C2164">
        <v>40362957</v>
      </c>
      <c r="D2164" t="s">
        <v>409</v>
      </c>
      <c r="E2164">
        <v>1030379</v>
      </c>
      <c r="F2164" t="s">
        <v>97</v>
      </c>
      <c r="G2164" s="9">
        <v>44999</v>
      </c>
      <c r="H2164" s="7">
        <v>24004.088640000002</v>
      </c>
      <c r="I2164" s="7"/>
      <c r="J2164" s="7"/>
      <c r="K2164" s="7"/>
      <c r="L2164" s="10">
        <v>7.5</v>
      </c>
      <c r="M2164" s="9">
        <v>45006</v>
      </c>
      <c r="N2164" s="10">
        <v>9.5</v>
      </c>
      <c r="O2164" s="9">
        <v>45015</v>
      </c>
      <c r="P2164">
        <v>1</v>
      </c>
      <c r="Q2164" s="11" t="s">
        <v>598</v>
      </c>
      <c r="R2164" s="7">
        <v>24004.088640000002</v>
      </c>
      <c r="S2164" s="7"/>
      <c r="T2164" s="7"/>
      <c r="U2164" s="7"/>
      <c r="V2164" s="10">
        <v>9.5</v>
      </c>
      <c r="W2164" s="9">
        <v>45008</v>
      </c>
      <c r="X2164" s="10">
        <v>11.5</v>
      </c>
      <c r="Y2164" s="9">
        <v>45015</v>
      </c>
      <c r="Z2164">
        <v>1</v>
      </c>
      <c r="AA2164" s="11" t="s">
        <v>598</v>
      </c>
    </row>
    <row r="2165" spans="2:27" ht="16" x14ac:dyDescent="0.2">
      <c r="B2165" t="s">
        <v>35</v>
      </c>
      <c r="C2165">
        <v>40362956</v>
      </c>
      <c r="D2165" t="s">
        <v>409</v>
      </c>
      <c r="E2165">
        <v>1030379</v>
      </c>
      <c r="F2165" t="s">
        <v>97</v>
      </c>
      <c r="G2165" s="9">
        <v>44999</v>
      </c>
      <c r="H2165" s="7">
        <v>24004.088640000002</v>
      </c>
      <c r="I2165" s="7"/>
      <c r="J2165" s="7"/>
      <c r="K2165" s="7"/>
      <c r="L2165" s="10">
        <v>7.5</v>
      </c>
      <c r="M2165" s="9">
        <v>45006</v>
      </c>
      <c r="N2165" s="10">
        <v>9.5</v>
      </c>
      <c r="O2165" s="9">
        <v>45015</v>
      </c>
      <c r="P2165">
        <v>1</v>
      </c>
      <c r="Q2165" s="11" t="s">
        <v>598</v>
      </c>
      <c r="R2165" s="7">
        <v>24004.088640000002</v>
      </c>
      <c r="S2165" s="7"/>
      <c r="T2165" s="7"/>
      <c r="U2165" s="7"/>
      <c r="V2165" s="10">
        <v>9.5</v>
      </c>
      <c r="W2165" s="9">
        <v>45008</v>
      </c>
      <c r="X2165" s="10">
        <v>11.5</v>
      </c>
      <c r="Y2165" s="9">
        <v>45015</v>
      </c>
      <c r="Z2165">
        <v>1</v>
      </c>
      <c r="AA2165" s="11" t="s">
        <v>598</v>
      </c>
    </row>
    <row r="2166" spans="2:27" ht="16" x14ac:dyDescent="0.2">
      <c r="B2166" t="s">
        <v>35</v>
      </c>
      <c r="C2166">
        <v>40362955</v>
      </c>
      <c r="D2166" t="s">
        <v>409</v>
      </c>
      <c r="E2166">
        <v>1030379</v>
      </c>
      <c r="F2166" t="s">
        <v>97</v>
      </c>
      <c r="G2166" s="9">
        <v>44999</v>
      </c>
      <c r="H2166" s="7">
        <v>24004.088640000002</v>
      </c>
      <c r="I2166" s="7"/>
      <c r="J2166" s="7"/>
      <c r="K2166" s="7"/>
      <c r="L2166" s="10">
        <v>7.5</v>
      </c>
      <c r="M2166" s="9">
        <v>45006</v>
      </c>
      <c r="N2166" s="10">
        <v>9.5</v>
      </c>
      <c r="O2166" s="9">
        <v>45015</v>
      </c>
      <c r="P2166">
        <v>1</v>
      </c>
      <c r="Q2166" s="11" t="s">
        <v>598</v>
      </c>
      <c r="R2166" s="7">
        <v>24004.088640000002</v>
      </c>
      <c r="S2166" s="7"/>
      <c r="T2166" s="7"/>
      <c r="U2166" s="7"/>
      <c r="V2166" s="10">
        <v>9.5</v>
      </c>
      <c r="W2166" s="9">
        <v>45008</v>
      </c>
      <c r="X2166" s="10">
        <v>11.5</v>
      </c>
      <c r="Y2166" s="9">
        <v>45015</v>
      </c>
      <c r="Z2166">
        <v>1</v>
      </c>
      <c r="AA2166" s="11" t="s">
        <v>598</v>
      </c>
    </row>
    <row r="2167" spans="2:27" ht="16" x14ac:dyDescent="0.2">
      <c r="B2167" t="s">
        <v>35</v>
      </c>
      <c r="C2167">
        <v>40362954</v>
      </c>
      <c r="D2167" t="s">
        <v>409</v>
      </c>
      <c r="E2167">
        <v>1030379</v>
      </c>
      <c r="F2167" t="s">
        <v>97</v>
      </c>
      <c r="G2167" s="9">
        <v>44999</v>
      </c>
      <c r="H2167" s="7">
        <v>24004.088640000002</v>
      </c>
      <c r="I2167" s="7"/>
      <c r="J2167" s="7"/>
      <c r="K2167" s="7"/>
      <c r="L2167" s="10">
        <v>7.5</v>
      </c>
      <c r="M2167" s="9">
        <v>45006</v>
      </c>
      <c r="N2167" s="10">
        <v>9.5</v>
      </c>
      <c r="O2167" s="9">
        <v>45015</v>
      </c>
      <c r="P2167">
        <v>1</v>
      </c>
      <c r="Q2167" s="11" t="s">
        <v>598</v>
      </c>
      <c r="R2167" s="7">
        <v>24004.088640000002</v>
      </c>
      <c r="S2167" s="7"/>
      <c r="T2167" s="7"/>
      <c r="U2167" s="7"/>
      <c r="V2167" s="10">
        <v>9.5</v>
      </c>
      <c r="W2167" s="9">
        <v>45008</v>
      </c>
      <c r="X2167" s="10">
        <v>11.5</v>
      </c>
      <c r="Y2167" s="9">
        <v>45015</v>
      </c>
      <c r="Z2167">
        <v>1</v>
      </c>
      <c r="AA2167" s="11" t="s">
        <v>598</v>
      </c>
    </row>
    <row r="2168" spans="2:27" ht="16" x14ac:dyDescent="0.2">
      <c r="B2168" t="s">
        <v>35</v>
      </c>
      <c r="C2168">
        <v>40362953</v>
      </c>
      <c r="D2168" t="s">
        <v>409</v>
      </c>
      <c r="E2168">
        <v>1030379</v>
      </c>
      <c r="F2168" t="s">
        <v>97</v>
      </c>
      <c r="G2168" s="9">
        <v>44999</v>
      </c>
      <c r="H2168" s="7">
        <v>24004.088640000002</v>
      </c>
      <c r="I2168" s="7"/>
      <c r="J2168" s="7"/>
      <c r="K2168" s="7"/>
      <c r="L2168" s="10">
        <v>7.5</v>
      </c>
      <c r="M2168" s="9">
        <v>45006</v>
      </c>
      <c r="N2168" s="10">
        <v>9.5</v>
      </c>
      <c r="O2168" s="9">
        <v>45015</v>
      </c>
      <c r="P2168">
        <v>1</v>
      </c>
      <c r="Q2168" s="11" t="s">
        <v>598</v>
      </c>
      <c r="R2168" s="7">
        <v>24004.088640000002</v>
      </c>
      <c r="S2168" s="7"/>
      <c r="T2168" s="7"/>
      <c r="U2168" s="7"/>
      <c r="V2168" s="10">
        <v>9.5</v>
      </c>
      <c r="W2168" s="9">
        <v>45008</v>
      </c>
      <c r="X2168" s="10">
        <v>11.5</v>
      </c>
      <c r="Y2168" s="9">
        <v>45015</v>
      </c>
      <c r="Z2168">
        <v>1</v>
      </c>
      <c r="AA2168" s="11" t="s">
        <v>598</v>
      </c>
    </row>
    <row r="2169" spans="2:27" ht="16" x14ac:dyDescent="0.2">
      <c r="B2169" t="s">
        <v>35</v>
      </c>
      <c r="C2169">
        <v>40362952</v>
      </c>
      <c r="D2169" t="s">
        <v>409</v>
      </c>
      <c r="E2169">
        <v>1030379</v>
      </c>
      <c r="F2169" t="s">
        <v>97</v>
      </c>
      <c r="G2169" s="9">
        <v>44999</v>
      </c>
      <c r="H2169" s="7">
        <v>24004.088640000002</v>
      </c>
      <c r="I2169" s="7"/>
      <c r="J2169" s="7"/>
      <c r="K2169" s="7"/>
      <c r="L2169" s="10">
        <v>7.5</v>
      </c>
      <c r="M2169" s="9">
        <v>45006</v>
      </c>
      <c r="N2169" s="10">
        <v>9.5</v>
      </c>
      <c r="O2169" s="9">
        <v>45015</v>
      </c>
      <c r="P2169">
        <v>1</v>
      </c>
      <c r="Q2169" s="11" t="s">
        <v>598</v>
      </c>
      <c r="R2169" s="7">
        <v>24004.088640000002</v>
      </c>
      <c r="S2169" s="7"/>
      <c r="T2169" s="7"/>
      <c r="U2169" s="7"/>
      <c r="V2169" s="10">
        <v>9.5</v>
      </c>
      <c r="W2169" s="9">
        <v>45008</v>
      </c>
      <c r="X2169" s="10">
        <v>11.5</v>
      </c>
      <c r="Y2169" s="9">
        <v>45015</v>
      </c>
      <c r="Z2169">
        <v>1</v>
      </c>
      <c r="AA2169" s="11" t="s">
        <v>598</v>
      </c>
    </row>
    <row r="2170" spans="2:27" ht="16" x14ac:dyDescent="0.2">
      <c r="B2170" t="s">
        <v>35</v>
      </c>
      <c r="C2170">
        <v>40362951</v>
      </c>
      <c r="D2170" t="s">
        <v>409</v>
      </c>
      <c r="E2170">
        <v>1030379</v>
      </c>
      <c r="F2170" t="s">
        <v>97</v>
      </c>
      <c r="G2170" s="9">
        <v>44999</v>
      </c>
      <c r="H2170" s="7">
        <v>24040.376</v>
      </c>
      <c r="I2170" s="7"/>
      <c r="J2170" s="7"/>
      <c r="K2170" s="7"/>
      <c r="L2170" s="10">
        <v>7.5</v>
      </c>
      <c r="M2170" s="9">
        <v>45006</v>
      </c>
      <c r="N2170" s="10">
        <v>9.5</v>
      </c>
      <c r="O2170" s="9">
        <v>45015</v>
      </c>
      <c r="P2170">
        <v>1</v>
      </c>
      <c r="Q2170" s="11" t="s">
        <v>598</v>
      </c>
      <c r="R2170" s="7">
        <v>24040.376</v>
      </c>
      <c r="S2170" s="7"/>
      <c r="T2170" s="7"/>
      <c r="U2170" s="7"/>
      <c r="V2170" s="10">
        <v>9.5</v>
      </c>
      <c r="W2170" s="9">
        <v>45008</v>
      </c>
      <c r="X2170" s="10">
        <v>11.5</v>
      </c>
      <c r="Y2170" s="9">
        <v>45015</v>
      </c>
      <c r="Z2170">
        <v>1</v>
      </c>
      <c r="AA2170" s="11" t="s">
        <v>598</v>
      </c>
    </row>
    <row r="2171" spans="2:27" ht="16" x14ac:dyDescent="0.2">
      <c r="B2171" t="s">
        <v>35</v>
      </c>
      <c r="C2171">
        <v>40362948</v>
      </c>
      <c r="D2171" t="s">
        <v>409</v>
      </c>
      <c r="E2171">
        <v>1012165</v>
      </c>
      <c r="F2171" t="s">
        <v>61</v>
      </c>
      <c r="G2171" s="9">
        <v>45013</v>
      </c>
      <c r="H2171" s="7"/>
      <c r="I2171" s="7">
        <v>19958.047999999999</v>
      </c>
      <c r="J2171" s="7"/>
      <c r="K2171" s="7"/>
      <c r="L2171" s="10">
        <v>7.5</v>
      </c>
      <c r="M2171" s="9">
        <v>45020</v>
      </c>
      <c r="N2171" s="10">
        <v>9.5</v>
      </c>
      <c r="O2171" s="9">
        <v>45029</v>
      </c>
      <c r="P2171">
        <v>14</v>
      </c>
      <c r="Q2171" s="11" t="s">
        <v>49</v>
      </c>
      <c r="R2171" s="7"/>
      <c r="S2171" s="7">
        <v>19958.047999999999</v>
      </c>
      <c r="T2171" s="7"/>
      <c r="U2171" s="7"/>
      <c r="V2171" s="10">
        <v>9.5</v>
      </c>
      <c r="W2171" s="9">
        <v>45022</v>
      </c>
      <c r="X2171" s="10">
        <v>11.5</v>
      </c>
      <c r="Y2171" s="9">
        <v>45029</v>
      </c>
      <c r="Z2171">
        <v>14</v>
      </c>
      <c r="AA2171" s="11" t="s">
        <v>49</v>
      </c>
    </row>
    <row r="2172" spans="2:27" ht="16" x14ac:dyDescent="0.2">
      <c r="B2172" t="s">
        <v>35</v>
      </c>
      <c r="C2172">
        <v>40362947</v>
      </c>
      <c r="D2172" t="s">
        <v>409</v>
      </c>
      <c r="E2172">
        <v>1012165</v>
      </c>
      <c r="F2172" t="s">
        <v>61</v>
      </c>
      <c r="G2172" s="9">
        <v>45006</v>
      </c>
      <c r="H2172" s="7"/>
      <c r="I2172" s="7">
        <v>19958.047999999999</v>
      </c>
      <c r="J2172" s="7"/>
      <c r="K2172" s="7"/>
      <c r="L2172" s="10">
        <v>7.5</v>
      </c>
      <c r="M2172" s="9">
        <v>45013</v>
      </c>
      <c r="N2172" s="10">
        <v>9.5</v>
      </c>
      <c r="O2172" s="9">
        <v>45022</v>
      </c>
      <c r="P2172">
        <v>20</v>
      </c>
      <c r="Q2172" s="11" t="s">
        <v>49</v>
      </c>
      <c r="R2172" s="7"/>
      <c r="S2172" s="7">
        <v>19958.047999999999</v>
      </c>
      <c r="T2172" s="7"/>
      <c r="U2172" s="7"/>
      <c r="V2172" s="10">
        <v>9.5</v>
      </c>
      <c r="W2172" s="9">
        <v>45015</v>
      </c>
      <c r="X2172" s="10">
        <v>11.5</v>
      </c>
      <c r="Y2172" s="9">
        <v>45022</v>
      </c>
      <c r="Z2172">
        <v>20</v>
      </c>
      <c r="AA2172" s="11" t="s">
        <v>49</v>
      </c>
    </row>
    <row r="2173" spans="2:27" ht="16" x14ac:dyDescent="0.2">
      <c r="B2173" t="s">
        <v>35</v>
      </c>
      <c r="C2173">
        <v>40362946</v>
      </c>
      <c r="D2173" t="s">
        <v>409</v>
      </c>
      <c r="E2173">
        <v>1012165</v>
      </c>
      <c r="F2173" t="s">
        <v>61</v>
      </c>
      <c r="G2173" s="9">
        <v>45015</v>
      </c>
      <c r="H2173" s="7"/>
      <c r="I2173" s="7">
        <v>19958.047999999999</v>
      </c>
      <c r="J2173" s="7"/>
      <c r="K2173" s="7"/>
      <c r="L2173" s="10">
        <v>7.5</v>
      </c>
      <c r="M2173" s="9">
        <v>45022</v>
      </c>
      <c r="N2173" s="10">
        <v>9.5</v>
      </c>
      <c r="O2173" s="9">
        <v>45031</v>
      </c>
      <c r="P2173">
        <v>12</v>
      </c>
      <c r="Q2173" s="11" t="s">
        <v>49</v>
      </c>
      <c r="R2173" s="7"/>
      <c r="S2173" s="7">
        <v>19958.047999999999</v>
      </c>
      <c r="T2173" s="7"/>
      <c r="U2173" s="7"/>
      <c r="V2173" s="10">
        <v>9.5</v>
      </c>
      <c r="W2173" s="9">
        <v>45024</v>
      </c>
      <c r="X2173" s="10">
        <v>11.5</v>
      </c>
      <c r="Y2173" s="9">
        <v>45031</v>
      </c>
      <c r="Z2173">
        <v>12</v>
      </c>
      <c r="AA2173" s="11" t="s">
        <v>49</v>
      </c>
    </row>
    <row r="2174" spans="2:27" ht="16" x14ac:dyDescent="0.2">
      <c r="B2174" t="s">
        <v>35</v>
      </c>
      <c r="C2174">
        <v>40362945</v>
      </c>
      <c r="D2174" t="s">
        <v>409</v>
      </c>
      <c r="E2174">
        <v>1012165</v>
      </c>
      <c r="F2174" t="s">
        <v>61</v>
      </c>
      <c r="G2174" s="9">
        <v>44992</v>
      </c>
      <c r="H2174" s="7">
        <v>19958.047999999999</v>
      </c>
      <c r="I2174" s="7"/>
      <c r="J2174" s="7"/>
      <c r="K2174" s="7"/>
      <c r="L2174" s="10">
        <v>7.5</v>
      </c>
      <c r="M2174" s="9">
        <v>44999</v>
      </c>
      <c r="N2174" s="10">
        <v>9.5</v>
      </c>
      <c r="O2174" s="9">
        <v>45008</v>
      </c>
      <c r="P2174">
        <v>7</v>
      </c>
      <c r="Q2174" s="11" t="s">
        <v>49</v>
      </c>
      <c r="R2174" s="7">
        <v>19958.047999999999</v>
      </c>
      <c r="S2174" s="7"/>
      <c r="T2174" s="7"/>
      <c r="U2174" s="7"/>
      <c r="V2174" s="10">
        <v>9.5</v>
      </c>
      <c r="W2174" s="9">
        <v>45001</v>
      </c>
      <c r="X2174" s="10">
        <v>11.5</v>
      </c>
      <c r="Y2174" s="9">
        <v>45008</v>
      </c>
      <c r="Z2174">
        <v>7</v>
      </c>
      <c r="AA2174" s="11" t="s">
        <v>49</v>
      </c>
    </row>
    <row r="2175" spans="2:27" ht="16" x14ac:dyDescent="0.2">
      <c r="B2175" t="s">
        <v>35</v>
      </c>
      <c r="C2175">
        <v>40362943</v>
      </c>
      <c r="D2175" t="s">
        <v>409</v>
      </c>
      <c r="E2175">
        <v>1012165</v>
      </c>
      <c r="F2175" t="s">
        <v>61</v>
      </c>
      <c r="G2175" s="9">
        <v>44992</v>
      </c>
      <c r="H2175" s="7">
        <v>19958.047999999999</v>
      </c>
      <c r="I2175" s="7"/>
      <c r="J2175" s="7"/>
      <c r="K2175" s="7"/>
      <c r="L2175" s="10">
        <v>7.5</v>
      </c>
      <c r="M2175" s="9">
        <v>44999</v>
      </c>
      <c r="N2175" s="10">
        <v>9.5</v>
      </c>
      <c r="O2175" s="9">
        <v>45008</v>
      </c>
      <c r="P2175">
        <v>7</v>
      </c>
      <c r="Q2175" s="11" t="s">
        <v>49</v>
      </c>
      <c r="R2175" s="7">
        <v>19958.047999999999</v>
      </c>
      <c r="S2175" s="7"/>
      <c r="T2175" s="7"/>
      <c r="U2175" s="7"/>
      <c r="V2175" s="10">
        <v>9.5</v>
      </c>
      <c r="W2175" s="9">
        <v>45001</v>
      </c>
      <c r="X2175" s="10">
        <v>11.5</v>
      </c>
      <c r="Y2175" s="9">
        <v>45008</v>
      </c>
      <c r="Z2175">
        <v>7</v>
      </c>
      <c r="AA2175" s="11" t="s">
        <v>49</v>
      </c>
    </row>
    <row r="2176" spans="2:27" ht="16" x14ac:dyDescent="0.2">
      <c r="B2176" t="s">
        <v>35</v>
      </c>
      <c r="C2176">
        <v>40362942</v>
      </c>
      <c r="D2176" t="s">
        <v>409</v>
      </c>
      <c r="E2176">
        <v>1012108</v>
      </c>
      <c r="F2176" t="s">
        <v>57</v>
      </c>
      <c r="G2176" s="9">
        <v>44989</v>
      </c>
      <c r="H2176" s="7">
        <v>9979.0239999999994</v>
      </c>
      <c r="I2176" s="7"/>
      <c r="J2176" s="7"/>
      <c r="K2176" s="7"/>
      <c r="L2176" s="10">
        <v>7.5</v>
      </c>
      <c r="M2176" s="9">
        <v>44996</v>
      </c>
      <c r="N2176" s="10">
        <v>9.5</v>
      </c>
      <c r="O2176" s="9">
        <v>45005</v>
      </c>
      <c r="P2176">
        <v>10</v>
      </c>
      <c r="Q2176" s="11" t="s">
        <v>49</v>
      </c>
      <c r="R2176" s="7">
        <v>9979.0239999999994</v>
      </c>
      <c r="S2176" s="7"/>
      <c r="T2176" s="7"/>
      <c r="U2176" s="7"/>
      <c r="V2176" s="10">
        <v>9.5</v>
      </c>
      <c r="W2176" s="9">
        <v>44998</v>
      </c>
      <c r="X2176" s="10">
        <v>11.5</v>
      </c>
      <c r="Y2176" s="9">
        <v>45005</v>
      </c>
      <c r="Z2176">
        <v>10</v>
      </c>
      <c r="AA2176" s="11" t="s">
        <v>49</v>
      </c>
    </row>
    <row r="2177" spans="2:27" ht="16" x14ac:dyDescent="0.2">
      <c r="B2177" t="s">
        <v>35</v>
      </c>
      <c r="C2177">
        <v>40362942</v>
      </c>
      <c r="D2177" t="s">
        <v>409</v>
      </c>
      <c r="E2177">
        <v>1012161</v>
      </c>
      <c r="F2177" t="s">
        <v>101</v>
      </c>
      <c r="G2177" s="9">
        <v>44989</v>
      </c>
      <c r="H2177" s="7">
        <v>9979.0239999999994</v>
      </c>
      <c r="I2177" s="7"/>
      <c r="J2177" s="7"/>
      <c r="K2177" s="7"/>
      <c r="L2177" s="10">
        <v>7.5</v>
      </c>
      <c r="M2177" s="9">
        <v>44996</v>
      </c>
      <c r="N2177" s="10">
        <v>9.5</v>
      </c>
      <c r="O2177" s="9">
        <v>45005</v>
      </c>
      <c r="P2177">
        <v>10</v>
      </c>
      <c r="Q2177" s="11" t="s">
        <v>49</v>
      </c>
      <c r="R2177" s="7">
        <v>9979.0239999999994</v>
      </c>
      <c r="S2177" s="7"/>
      <c r="T2177" s="7"/>
      <c r="U2177" s="7"/>
      <c r="V2177" s="10">
        <v>9.5</v>
      </c>
      <c r="W2177" s="9">
        <v>44998</v>
      </c>
      <c r="X2177" s="10">
        <v>11.5</v>
      </c>
      <c r="Y2177" s="9">
        <v>45005</v>
      </c>
      <c r="Z2177">
        <v>10</v>
      </c>
      <c r="AA2177" s="11" t="s">
        <v>49</v>
      </c>
    </row>
    <row r="2178" spans="2:27" ht="16" x14ac:dyDescent="0.2">
      <c r="B2178" t="s">
        <v>35</v>
      </c>
      <c r="C2178">
        <v>40362941</v>
      </c>
      <c r="D2178" t="s">
        <v>409</v>
      </c>
      <c r="E2178">
        <v>1012521</v>
      </c>
      <c r="F2178" t="s">
        <v>114</v>
      </c>
      <c r="G2178" s="9">
        <v>45005</v>
      </c>
      <c r="H2178" s="7"/>
      <c r="I2178" s="7">
        <v>18143.68</v>
      </c>
      <c r="J2178" s="7"/>
      <c r="K2178" s="7"/>
      <c r="L2178" s="10">
        <v>7.5</v>
      </c>
      <c r="M2178" s="9">
        <v>45012</v>
      </c>
      <c r="N2178" s="10">
        <v>9.5</v>
      </c>
      <c r="O2178" s="9">
        <v>45021</v>
      </c>
      <c r="P2178">
        <v>21</v>
      </c>
      <c r="Q2178" s="11" t="s">
        <v>49</v>
      </c>
      <c r="R2178" s="7"/>
      <c r="S2178" s="7">
        <v>18143.68</v>
      </c>
      <c r="T2178" s="7"/>
      <c r="U2178" s="7"/>
      <c r="V2178" s="10">
        <v>9.5</v>
      </c>
      <c r="W2178" s="9">
        <v>45014</v>
      </c>
      <c r="X2178" s="10">
        <v>11.5</v>
      </c>
      <c r="Y2178" s="9">
        <v>45021</v>
      </c>
      <c r="Z2178">
        <v>21</v>
      </c>
      <c r="AA2178" s="11" t="s">
        <v>49</v>
      </c>
    </row>
    <row r="2179" spans="2:27" x14ac:dyDescent="0.2">
      <c r="B2179" t="s">
        <v>394</v>
      </c>
      <c r="C2179">
        <v>40362940</v>
      </c>
      <c r="D2179" t="s">
        <v>485</v>
      </c>
      <c r="E2179">
        <v>1021868</v>
      </c>
      <c r="F2179" t="s">
        <v>509</v>
      </c>
      <c r="G2179" s="9">
        <v>44995</v>
      </c>
      <c r="H2179" s="7">
        <v>24000.959999999999</v>
      </c>
      <c r="I2179" s="7"/>
      <c r="J2179" s="7"/>
      <c r="K2179" s="7"/>
      <c r="L2179" s="10"/>
      <c r="N2179" s="10"/>
      <c r="Q2179" s="11"/>
      <c r="R2179" s="7">
        <v>24000.959999999999</v>
      </c>
      <c r="S2179" s="7"/>
      <c r="T2179" s="7"/>
      <c r="U2179" s="7"/>
      <c r="V2179" s="10"/>
      <c r="X2179" s="10"/>
      <c r="AA2179" s="11"/>
    </row>
    <row r="2180" spans="2:27" ht="16" x14ac:dyDescent="0.2">
      <c r="B2180" t="s">
        <v>35</v>
      </c>
      <c r="C2180">
        <v>40362935</v>
      </c>
      <c r="D2180" t="s">
        <v>389</v>
      </c>
      <c r="E2180">
        <v>1012823</v>
      </c>
      <c r="F2180" t="s">
        <v>522</v>
      </c>
      <c r="G2180" s="9">
        <v>45017</v>
      </c>
      <c r="H2180" s="7"/>
      <c r="I2180" s="7">
        <v>23038.416000000001</v>
      </c>
      <c r="J2180" s="7"/>
      <c r="K2180" s="7"/>
      <c r="L2180" s="10">
        <v>5.5741092456127026</v>
      </c>
      <c r="M2180" s="9">
        <v>45022</v>
      </c>
      <c r="N2180" s="10">
        <v>5.5</v>
      </c>
      <c r="O2180" s="9">
        <v>45027</v>
      </c>
      <c r="P2180">
        <v>16</v>
      </c>
      <c r="Q2180" s="11" t="s">
        <v>49</v>
      </c>
      <c r="R2180" s="7"/>
      <c r="S2180" s="7">
        <v>23038.416000000001</v>
      </c>
      <c r="T2180" s="7"/>
      <c r="U2180" s="7"/>
      <c r="V2180" s="10">
        <v>7.5741092456127026</v>
      </c>
      <c r="W2180" s="9">
        <v>45024</v>
      </c>
      <c r="X2180" s="10">
        <v>7.5</v>
      </c>
      <c r="Y2180" s="9">
        <v>45027</v>
      </c>
      <c r="Z2180">
        <v>16</v>
      </c>
      <c r="AA2180" s="11" t="s">
        <v>49</v>
      </c>
    </row>
    <row r="2181" spans="2:27" ht="16" x14ac:dyDescent="0.2">
      <c r="B2181" t="s">
        <v>35</v>
      </c>
      <c r="C2181">
        <v>40362934</v>
      </c>
      <c r="D2181" t="s">
        <v>423</v>
      </c>
      <c r="E2181">
        <v>1021270</v>
      </c>
      <c r="F2181" t="s">
        <v>424</v>
      </c>
      <c r="G2181" s="9">
        <v>45001</v>
      </c>
      <c r="H2181" s="7">
        <v>24005.61</v>
      </c>
      <c r="I2181" s="7"/>
      <c r="J2181" s="7"/>
      <c r="K2181" s="7"/>
      <c r="L2181" s="10">
        <v>5.4496124031007751</v>
      </c>
      <c r="M2181" s="9">
        <v>45006</v>
      </c>
      <c r="N2181" s="10">
        <v>10</v>
      </c>
      <c r="O2181" s="9">
        <v>45016</v>
      </c>
      <c r="P2181">
        <v>0</v>
      </c>
      <c r="Q2181" s="11" t="s">
        <v>598</v>
      </c>
      <c r="R2181" s="7">
        <v>24005.61</v>
      </c>
      <c r="S2181" s="7"/>
      <c r="T2181" s="7"/>
      <c r="U2181" s="7"/>
      <c r="V2181" s="10">
        <v>7.4496124031007751</v>
      </c>
      <c r="W2181" s="9">
        <v>45008</v>
      </c>
      <c r="X2181" s="10">
        <v>12</v>
      </c>
      <c r="Y2181" s="9">
        <v>45016</v>
      </c>
      <c r="Z2181">
        <v>0</v>
      </c>
      <c r="AA2181" s="11" t="s">
        <v>598</v>
      </c>
    </row>
    <row r="2182" spans="2:27" ht="16" x14ac:dyDescent="0.2">
      <c r="B2182" t="s">
        <v>35</v>
      </c>
      <c r="C2182">
        <v>40362921</v>
      </c>
      <c r="D2182" t="s">
        <v>423</v>
      </c>
      <c r="E2182">
        <v>1012796</v>
      </c>
      <c r="F2182" t="s">
        <v>523</v>
      </c>
      <c r="G2182" s="9">
        <v>44997</v>
      </c>
      <c r="H2182" s="7">
        <v>19998.87</v>
      </c>
      <c r="I2182" s="7"/>
      <c r="J2182" s="7"/>
      <c r="K2182" s="7"/>
      <c r="L2182" s="10">
        <v>5.4496124031007751</v>
      </c>
      <c r="M2182" s="9">
        <v>45002</v>
      </c>
      <c r="N2182" s="10">
        <v>10</v>
      </c>
      <c r="O2182" s="9">
        <v>45012</v>
      </c>
      <c r="P2182">
        <v>4</v>
      </c>
      <c r="Q2182" s="11" t="s">
        <v>49</v>
      </c>
      <c r="R2182" s="7">
        <v>19998.87</v>
      </c>
      <c r="S2182" s="7"/>
      <c r="T2182" s="7"/>
      <c r="U2182" s="7"/>
      <c r="V2182" s="10">
        <v>7.4496124031007751</v>
      </c>
      <c r="W2182" s="9">
        <v>45004</v>
      </c>
      <c r="X2182" s="10">
        <v>12</v>
      </c>
      <c r="Y2182" s="9">
        <v>45012</v>
      </c>
      <c r="Z2182">
        <v>4</v>
      </c>
      <c r="AA2182" s="11" t="s">
        <v>49</v>
      </c>
    </row>
    <row r="2183" spans="2:27" ht="16" x14ac:dyDescent="0.2">
      <c r="B2183" t="s">
        <v>35</v>
      </c>
      <c r="C2183">
        <v>40362920</v>
      </c>
      <c r="D2183" t="s">
        <v>423</v>
      </c>
      <c r="E2183">
        <v>1012796</v>
      </c>
      <c r="F2183" t="s">
        <v>523</v>
      </c>
      <c r="G2183" s="9">
        <v>44991</v>
      </c>
      <c r="H2183" s="7">
        <v>19992.04</v>
      </c>
      <c r="I2183" s="7"/>
      <c r="J2183" s="7"/>
      <c r="K2183" s="7"/>
      <c r="L2183" s="10">
        <v>5.4496124031007751</v>
      </c>
      <c r="M2183" s="9">
        <v>44996</v>
      </c>
      <c r="N2183" s="10">
        <v>10</v>
      </c>
      <c r="O2183" s="9">
        <v>45006</v>
      </c>
      <c r="P2183">
        <v>9</v>
      </c>
      <c r="Q2183" s="11" t="s">
        <v>49</v>
      </c>
      <c r="R2183" s="7">
        <v>19992.04</v>
      </c>
      <c r="S2183" s="7"/>
      <c r="T2183" s="7"/>
      <c r="U2183" s="7"/>
      <c r="V2183" s="10">
        <v>7.4496124031007751</v>
      </c>
      <c r="W2183" s="9">
        <v>44998</v>
      </c>
      <c r="X2183" s="10">
        <v>12</v>
      </c>
      <c r="Y2183" s="9">
        <v>45006</v>
      </c>
      <c r="Z2183">
        <v>9</v>
      </c>
      <c r="AA2183" s="11" t="s">
        <v>49</v>
      </c>
    </row>
    <row r="2184" spans="2:27" x14ac:dyDescent="0.2">
      <c r="B2184" t="s">
        <v>394</v>
      </c>
      <c r="C2184">
        <v>40362911</v>
      </c>
      <c r="D2184" t="s">
        <v>485</v>
      </c>
      <c r="E2184">
        <v>1020944</v>
      </c>
      <c r="F2184" t="s">
        <v>498</v>
      </c>
      <c r="G2184" s="9">
        <v>44977</v>
      </c>
      <c r="H2184" s="7"/>
      <c r="I2184" s="7"/>
      <c r="J2184" s="7"/>
      <c r="K2184" s="7"/>
      <c r="L2184" s="10"/>
      <c r="N2184" s="10"/>
      <c r="Q2184" s="11"/>
      <c r="R2184" s="7"/>
      <c r="S2184" s="7"/>
      <c r="T2184" s="7"/>
      <c r="U2184" s="7"/>
      <c r="V2184" s="10"/>
      <c r="X2184" s="10"/>
      <c r="AA2184" s="11"/>
    </row>
    <row r="2185" spans="2:27" x14ac:dyDescent="0.2">
      <c r="B2185" t="s">
        <v>394</v>
      </c>
      <c r="C2185">
        <v>40362909</v>
      </c>
      <c r="D2185" t="s">
        <v>485</v>
      </c>
      <c r="E2185">
        <v>1022709</v>
      </c>
      <c r="F2185" t="s">
        <v>493</v>
      </c>
      <c r="G2185" s="9">
        <v>44998</v>
      </c>
      <c r="H2185" s="7">
        <v>23984.12</v>
      </c>
      <c r="I2185" s="7"/>
      <c r="J2185" s="7"/>
      <c r="K2185" s="7"/>
      <c r="L2185" s="10"/>
      <c r="N2185" s="10"/>
      <c r="Q2185" s="11"/>
      <c r="R2185" s="7">
        <v>23984.12</v>
      </c>
      <c r="S2185" s="7"/>
      <c r="T2185" s="7"/>
      <c r="U2185" s="7"/>
      <c r="V2185" s="10"/>
      <c r="X2185" s="10"/>
      <c r="AA2185" s="11"/>
    </row>
    <row r="2186" spans="2:27" x14ac:dyDescent="0.2">
      <c r="B2186" t="s">
        <v>394</v>
      </c>
      <c r="C2186">
        <v>40362908</v>
      </c>
      <c r="D2186" t="s">
        <v>485</v>
      </c>
      <c r="E2186">
        <v>1022709</v>
      </c>
      <c r="F2186" t="s">
        <v>493</v>
      </c>
      <c r="G2186" s="9">
        <v>44992</v>
      </c>
      <c r="H2186" s="7">
        <v>23980.53</v>
      </c>
      <c r="I2186" s="7"/>
      <c r="J2186" s="7"/>
      <c r="K2186" s="7"/>
      <c r="L2186" s="10"/>
      <c r="N2186" s="10"/>
      <c r="Q2186" s="11"/>
      <c r="R2186" s="7">
        <v>23980.53</v>
      </c>
      <c r="S2186" s="7"/>
      <c r="T2186" s="7"/>
      <c r="U2186" s="7"/>
      <c r="V2186" s="10"/>
      <c r="X2186" s="10"/>
      <c r="AA2186" s="11"/>
    </row>
    <row r="2187" spans="2:27" x14ac:dyDescent="0.2">
      <c r="B2187" t="s">
        <v>394</v>
      </c>
      <c r="C2187">
        <v>40362907</v>
      </c>
      <c r="D2187" t="s">
        <v>485</v>
      </c>
      <c r="E2187">
        <v>1022709</v>
      </c>
      <c r="F2187" t="s">
        <v>493</v>
      </c>
      <c r="G2187" s="9">
        <v>44992</v>
      </c>
      <c r="H2187" s="7">
        <v>23994.18</v>
      </c>
      <c r="I2187" s="7"/>
      <c r="J2187" s="7"/>
      <c r="K2187" s="7"/>
      <c r="L2187" s="10"/>
      <c r="N2187" s="10"/>
      <c r="Q2187" s="11"/>
      <c r="R2187" s="7">
        <v>23994.18</v>
      </c>
      <c r="S2187" s="7"/>
      <c r="T2187" s="7"/>
      <c r="U2187" s="7"/>
      <c r="V2187" s="10"/>
      <c r="X2187" s="10"/>
      <c r="AA2187" s="11"/>
    </row>
    <row r="2188" spans="2:27" x14ac:dyDescent="0.2">
      <c r="B2188" t="s">
        <v>394</v>
      </c>
      <c r="C2188">
        <v>40362906</v>
      </c>
      <c r="D2188" t="s">
        <v>485</v>
      </c>
      <c r="E2188">
        <v>1022709</v>
      </c>
      <c r="F2188" t="s">
        <v>493</v>
      </c>
      <c r="G2188" s="9">
        <v>44992</v>
      </c>
      <c r="H2188" s="7">
        <v>23819.99</v>
      </c>
      <c r="I2188" s="7"/>
      <c r="J2188" s="7"/>
      <c r="K2188" s="7"/>
      <c r="L2188" s="10"/>
      <c r="N2188" s="10"/>
      <c r="Q2188" s="11"/>
      <c r="R2188" s="7">
        <v>23819.99</v>
      </c>
      <c r="S2188" s="7"/>
      <c r="T2188" s="7"/>
      <c r="U2188" s="7"/>
      <c r="V2188" s="10"/>
      <c r="X2188" s="10"/>
      <c r="AA2188" s="11"/>
    </row>
    <row r="2189" spans="2:27" x14ac:dyDescent="0.2">
      <c r="B2189" t="s">
        <v>394</v>
      </c>
      <c r="C2189">
        <v>40362905</v>
      </c>
      <c r="D2189" t="s">
        <v>485</v>
      </c>
      <c r="E2189">
        <v>1022709</v>
      </c>
      <c r="F2189" t="s">
        <v>493</v>
      </c>
      <c r="G2189" s="9">
        <v>44992</v>
      </c>
      <c r="H2189" s="7">
        <v>23991.54</v>
      </c>
      <c r="I2189" s="7"/>
      <c r="J2189" s="7"/>
      <c r="K2189" s="7"/>
      <c r="L2189" s="10"/>
      <c r="N2189" s="10"/>
      <c r="Q2189" s="11"/>
      <c r="R2189" s="7">
        <v>23991.54</v>
      </c>
      <c r="S2189" s="7"/>
      <c r="T2189" s="7"/>
      <c r="U2189" s="7"/>
      <c r="V2189" s="10"/>
      <c r="X2189" s="10"/>
      <c r="AA2189" s="11"/>
    </row>
    <row r="2190" spans="2:27" x14ac:dyDescent="0.2">
      <c r="B2190" t="s">
        <v>394</v>
      </c>
      <c r="C2190">
        <v>40362899</v>
      </c>
      <c r="D2190" t="s">
        <v>485</v>
      </c>
      <c r="E2190">
        <v>1020017</v>
      </c>
      <c r="F2190" t="s">
        <v>524</v>
      </c>
      <c r="G2190" s="9">
        <v>44994</v>
      </c>
      <c r="H2190" s="7">
        <v>23901.31</v>
      </c>
      <c r="I2190" s="7"/>
      <c r="J2190" s="7"/>
      <c r="K2190" s="7"/>
      <c r="L2190" s="10"/>
      <c r="N2190" s="10"/>
      <c r="Q2190" s="11"/>
      <c r="R2190" s="7">
        <v>23901.31</v>
      </c>
      <c r="S2190" s="7"/>
      <c r="T2190" s="7"/>
      <c r="U2190" s="7"/>
      <c r="V2190" s="10"/>
      <c r="X2190" s="10"/>
      <c r="AA2190" s="11"/>
    </row>
    <row r="2191" spans="2:27" x14ac:dyDescent="0.2">
      <c r="B2191" t="s">
        <v>394</v>
      </c>
      <c r="C2191">
        <v>40362834</v>
      </c>
      <c r="D2191" t="s">
        <v>485</v>
      </c>
      <c r="E2191">
        <v>1023433</v>
      </c>
      <c r="F2191" t="s">
        <v>490</v>
      </c>
      <c r="G2191" s="9">
        <v>44989</v>
      </c>
      <c r="H2191" s="7">
        <v>24000.98</v>
      </c>
      <c r="I2191" s="7"/>
      <c r="J2191" s="7"/>
      <c r="K2191" s="7"/>
      <c r="L2191" s="10"/>
      <c r="N2191" s="10"/>
      <c r="Q2191" s="11"/>
      <c r="R2191" s="7">
        <v>24000.98</v>
      </c>
      <c r="S2191" s="7"/>
      <c r="T2191" s="7"/>
      <c r="U2191" s="7"/>
      <c r="V2191" s="10"/>
      <c r="X2191" s="10"/>
      <c r="AA2191" s="11"/>
    </row>
    <row r="2192" spans="2:27" ht="16" x14ac:dyDescent="0.2">
      <c r="B2192" t="s">
        <v>35</v>
      </c>
      <c r="C2192">
        <v>40362628</v>
      </c>
      <c r="D2192" t="s">
        <v>409</v>
      </c>
      <c r="E2192">
        <v>1030379</v>
      </c>
      <c r="F2192" t="s">
        <v>97</v>
      </c>
      <c r="G2192" s="9">
        <v>45000</v>
      </c>
      <c r="H2192" s="7">
        <v>24004.088640000002</v>
      </c>
      <c r="I2192" s="7"/>
      <c r="J2192" s="7"/>
      <c r="K2192" s="7"/>
      <c r="L2192" s="10">
        <v>7.5</v>
      </c>
      <c r="M2192" s="9">
        <v>45007</v>
      </c>
      <c r="N2192" s="10">
        <v>9.5</v>
      </c>
      <c r="O2192" s="9">
        <v>45016</v>
      </c>
      <c r="P2192">
        <v>0</v>
      </c>
      <c r="Q2192" s="11" t="s">
        <v>598</v>
      </c>
      <c r="R2192" s="7">
        <v>24004.088640000002</v>
      </c>
      <c r="S2192" s="7"/>
      <c r="T2192" s="7"/>
      <c r="U2192" s="7"/>
      <c r="V2192" s="10">
        <v>9.5</v>
      </c>
      <c r="W2192" s="9">
        <v>45009</v>
      </c>
      <c r="X2192" s="10">
        <v>11.5</v>
      </c>
      <c r="Y2192" s="9">
        <v>45016</v>
      </c>
      <c r="Z2192">
        <v>0</v>
      </c>
      <c r="AA2192" s="11" t="s">
        <v>598</v>
      </c>
    </row>
    <row r="2193" spans="2:27" ht="16" x14ac:dyDescent="0.2">
      <c r="B2193" t="s">
        <v>35</v>
      </c>
      <c r="C2193">
        <v>40362627</v>
      </c>
      <c r="D2193" t="s">
        <v>409</v>
      </c>
      <c r="E2193">
        <v>1030379</v>
      </c>
      <c r="F2193" t="s">
        <v>97</v>
      </c>
      <c r="G2193" s="9">
        <v>45021</v>
      </c>
      <c r="H2193" s="7"/>
      <c r="I2193" s="7">
        <v>24004.088640000002</v>
      </c>
      <c r="J2193" s="7"/>
      <c r="K2193" s="7"/>
      <c r="L2193" s="10">
        <v>7.5</v>
      </c>
      <c r="M2193" s="9">
        <v>45028</v>
      </c>
      <c r="N2193" s="10">
        <v>9.5</v>
      </c>
      <c r="O2193" s="9">
        <v>45037</v>
      </c>
      <c r="P2193">
        <v>7</v>
      </c>
      <c r="Q2193" s="11" t="s">
        <v>49</v>
      </c>
      <c r="R2193" s="7"/>
      <c r="S2193" s="7">
        <v>24004.088640000002</v>
      </c>
      <c r="T2193" s="7"/>
      <c r="U2193" s="7"/>
      <c r="V2193" s="10">
        <v>9.5</v>
      </c>
      <c r="W2193" s="9">
        <v>45030</v>
      </c>
      <c r="X2193" s="10">
        <v>11.5</v>
      </c>
      <c r="Y2193" s="9">
        <v>45037</v>
      </c>
      <c r="Z2193">
        <v>7</v>
      </c>
      <c r="AA2193" s="11" t="s">
        <v>49</v>
      </c>
    </row>
    <row r="2194" spans="2:27" ht="16" x14ac:dyDescent="0.2">
      <c r="B2194" t="s">
        <v>35</v>
      </c>
      <c r="C2194">
        <v>40362626</v>
      </c>
      <c r="D2194" t="s">
        <v>409</v>
      </c>
      <c r="E2194">
        <v>1030379</v>
      </c>
      <c r="F2194" t="s">
        <v>97</v>
      </c>
      <c r="G2194" s="9">
        <v>45021</v>
      </c>
      <c r="H2194" s="7"/>
      <c r="I2194" s="7">
        <v>24004.088640000002</v>
      </c>
      <c r="J2194" s="7"/>
      <c r="K2194" s="7"/>
      <c r="L2194" s="10">
        <v>7.5</v>
      </c>
      <c r="M2194" s="9">
        <v>45028</v>
      </c>
      <c r="N2194" s="10">
        <v>9.5</v>
      </c>
      <c r="O2194" s="9">
        <v>45037</v>
      </c>
      <c r="P2194">
        <v>7</v>
      </c>
      <c r="Q2194" s="11" t="s">
        <v>49</v>
      </c>
      <c r="R2194" s="7"/>
      <c r="S2194" s="7">
        <v>24004.088640000002</v>
      </c>
      <c r="T2194" s="7"/>
      <c r="U2194" s="7"/>
      <c r="V2194" s="10">
        <v>9.5</v>
      </c>
      <c r="W2194" s="9">
        <v>45030</v>
      </c>
      <c r="X2194" s="10">
        <v>11.5</v>
      </c>
      <c r="Y2194" s="9">
        <v>45037</v>
      </c>
      <c r="Z2194">
        <v>7</v>
      </c>
      <c r="AA2194" s="11" t="s">
        <v>49</v>
      </c>
    </row>
    <row r="2195" spans="2:27" ht="16" x14ac:dyDescent="0.2">
      <c r="B2195" t="s">
        <v>35</v>
      </c>
      <c r="C2195">
        <v>40362624</v>
      </c>
      <c r="D2195" t="s">
        <v>409</v>
      </c>
      <c r="E2195">
        <v>1030379</v>
      </c>
      <c r="F2195" t="s">
        <v>97</v>
      </c>
      <c r="G2195" s="9">
        <v>44992</v>
      </c>
      <c r="H2195" s="7">
        <v>24004.088640000002</v>
      </c>
      <c r="I2195" s="7"/>
      <c r="J2195" s="7"/>
      <c r="K2195" s="7"/>
      <c r="L2195" s="10">
        <v>7.5</v>
      </c>
      <c r="M2195" s="9">
        <v>44999</v>
      </c>
      <c r="N2195" s="10">
        <v>9.5</v>
      </c>
      <c r="O2195" s="9">
        <v>45008</v>
      </c>
      <c r="P2195">
        <v>7</v>
      </c>
      <c r="Q2195" s="11" t="s">
        <v>49</v>
      </c>
      <c r="R2195" s="7">
        <v>24004.088640000002</v>
      </c>
      <c r="S2195" s="7"/>
      <c r="T2195" s="7"/>
      <c r="U2195" s="7"/>
      <c r="V2195" s="10">
        <v>9.5</v>
      </c>
      <c r="W2195" s="9">
        <v>45001</v>
      </c>
      <c r="X2195" s="10">
        <v>11.5</v>
      </c>
      <c r="Y2195" s="9">
        <v>45008</v>
      </c>
      <c r="Z2195">
        <v>7</v>
      </c>
      <c r="AA2195" s="11" t="s">
        <v>49</v>
      </c>
    </row>
    <row r="2196" spans="2:27" ht="16" x14ac:dyDescent="0.2">
      <c r="B2196" t="s">
        <v>35</v>
      </c>
      <c r="C2196">
        <v>40362594</v>
      </c>
      <c r="D2196" t="s">
        <v>409</v>
      </c>
      <c r="E2196">
        <v>1021538</v>
      </c>
      <c r="F2196" t="s">
        <v>256</v>
      </c>
      <c r="G2196" s="9">
        <v>44999</v>
      </c>
      <c r="H2196" s="7">
        <v>21463.297589999998</v>
      </c>
      <c r="I2196" s="7"/>
      <c r="J2196" s="7"/>
      <c r="K2196" s="7"/>
      <c r="L2196" s="10">
        <v>7.5</v>
      </c>
      <c r="M2196" s="9">
        <v>45006</v>
      </c>
      <c r="N2196" s="10">
        <v>9.5</v>
      </c>
      <c r="O2196" s="9">
        <v>45015</v>
      </c>
      <c r="P2196">
        <v>1</v>
      </c>
      <c r="Q2196" s="11" t="s">
        <v>598</v>
      </c>
      <c r="R2196" s="7">
        <v>21463.297589999998</v>
      </c>
      <c r="S2196" s="7"/>
      <c r="T2196" s="7"/>
      <c r="U2196" s="7"/>
      <c r="V2196" s="10">
        <v>9.5</v>
      </c>
      <c r="W2196" s="9">
        <v>45008</v>
      </c>
      <c r="X2196" s="10">
        <v>11.5</v>
      </c>
      <c r="Y2196" s="9">
        <v>45015</v>
      </c>
      <c r="Z2196">
        <v>1</v>
      </c>
      <c r="AA2196" s="11" t="s">
        <v>598</v>
      </c>
    </row>
    <row r="2197" spans="2:27" ht="16" x14ac:dyDescent="0.2">
      <c r="B2197" t="s">
        <v>35</v>
      </c>
      <c r="C2197">
        <v>40362588</v>
      </c>
      <c r="D2197" t="s">
        <v>409</v>
      </c>
      <c r="E2197">
        <v>1012521</v>
      </c>
      <c r="F2197" t="s">
        <v>114</v>
      </c>
      <c r="G2197" s="9">
        <v>45013</v>
      </c>
      <c r="H2197" s="7"/>
      <c r="I2197" s="7">
        <v>18143.68</v>
      </c>
      <c r="J2197" s="7"/>
      <c r="K2197" s="7"/>
      <c r="L2197" s="10">
        <v>7.5</v>
      </c>
      <c r="M2197" s="9">
        <v>45020</v>
      </c>
      <c r="N2197" s="10">
        <v>9.5</v>
      </c>
      <c r="O2197" s="9">
        <v>45029</v>
      </c>
      <c r="P2197">
        <v>14</v>
      </c>
      <c r="Q2197" s="11" t="s">
        <v>49</v>
      </c>
      <c r="R2197" s="7"/>
      <c r="S2197" s="7">
        <v>18143.68</v>
      </c>
      <c r="T2197" s="7"/>
      <c r="U2197" s="7"/>
      <c r="V2197" s="10">
        <v>9.5</v>
      </c>
      <c r="W2197" s="9">
        <v>45022</v>
      </c>
      <c r="X2197" s="10">
        <v>11.5</v>
      </c>
      <c r="Y2197" s="9">
        <v>45029</v>
      </c>
      <c r="Z2197">
        <v>14</v>
      </c>
      <c r="AA2197" s="11" t="s">
        <v>49</v>
      </c>
    </row>
    <row r="2198" spans="2:27" ht="16" x14ac:dyDescent="0.2">
      <c r="B2198" t="s">
        <v>35</v>
      </c>
      <c r="C2198">
        <v>40362587</v>
      </c>
      <c r="D2198" t="s">
        <v>409</v>
      </c>
      <c r="E2198">
        <v>1012521</v>
      </c>
      <c r="F2198" t="s">
        <v>114</v>
      </c>
      <c r="G2198" s="9">
        <v>45007</v>
      </c>
      <c r="H2198" s="7"/>
      <c r="I2198" s="7">
        <v>19958.047999999999</v>
      </c>
      <c r="J2198" s="7"/>
      <c r="K2198" s="7"/>
      <c r="L2198" s="10">
        <v>7.5</v>
      </c>
      <c r="M2198" s="9">
        <v>45014</v>
      </c>
      <c r="N2198" s="10">
        <v>9.5</v>
      </c>
      <c r="O2198" s="9">
        <v>45023</v>
      </c>
      <c r="P2198">
        <v>19</v>
      </c>
      <c r="Q2198" s="11" t="s">
        <v>49</v>
      </c>
      <c r="R2198" s="7"/>
      <c r="S2198" s="7">
        <v>19958.047999999999</v>
      </c>
      <c r="T2198" s="7"/>
      <c r="U2198" s="7"/>
      <c r="V2198" s="10">
        <v>9.5</v>
      </c>
      <c r="W2198" s="9">
        <v>45016</v>
      </c>
      <c r="X2198" s="10">
        <v>11.5</v>
      </c>
      <c r="Y2198" s="9">
        <v>45023</v>
      </c>
      <c r="Z2198">
        <v>19</v>
      </c>
      <c r="AA2198" s="11" t="s">
        <v>49</v>
      </c>
    </row>
    <row r="2199" spans="2:27" ht="16" x14ac:dyDescent="0.2">
      <c r="B2199" t="s">
        <v>35</v>
      </c>
      <c r="C2199">
        <v>40362586</v>
      </c>
      <c r="D2199" t="s">
        <v>409</v>
      </c>
      <c r="E2199">
        <v>1012521</v>
      </c>
      <c r="F2199" t="s">
        <v>114</v>
      </c>
      <c r="G2199" s="9">
        <v>45006</v>
      </c>
      <c r="H2199" s="7"/>
      <c r="I2199" s="7">
        <v>18143.68</v>
      </c>
      <c r="J2199" s="7"/>
      <c r="K2199" s="7"/>
      <c r="L2199" s="10">
        <v>7.5</v>
      </c>
      <c r="M2199" s="9">
        <v>45013</v>
      </c>
      <c r="N2199" s="10">
        <v>9.5</v>
      </c>
      <c r="O2199" s="9">
        <v>45022</v>
      </c>
      <c r="P2199">
        <v>20</v>
      </c>
      <c r="Q2199" s="11" t="s">
        <v>49</v>
      </c>
      <c r="R2199" s="7"/>
      <c r="S2199" s="7">
        <v>18143.68</v>
      </c>
      <c r="T2199" s="7"/>
      <c r="U2199" s="7"/>
      <c r="V2199" s="10">
        <v>9.5</v>
      </c>
      <c r="W2199" s="9">
        <v>45015</v>
      </c>
      <c r="X2199" s="10">
        <v>11.5</v>
      </c>
      <c r="Y2199" s="9">
        <v>45022</v>
      </c>
      <c r="Z2199">
        <v>20</v>
      </c>
      <c r="AA2199" s="11" t="s">
        <v>49</v>
      </c>
    </row>
    <row r="2200" spans="2:27" ht="16" x14ac:dyDescent="0.2">
      <c r="B2200" t="s">
        <v>35</v>
      </c>
      <c r="C2200">
        <v>40362584</v>
      </c>
      <c r="D2200" t="s">
        <v>409</v>
      </c>
      <c r="E2200">
        <v>1012109</v>
      </c>
      <c r="F2200" t="s">
        <v>68</v>
      </c>
      <c r="G2200" s="9">
        <v>45013</v>
      </c>
      <c r="H2200" s="7"/>
      <c r="I2200" s="7">
        <v>19958.047999999999</v>
      </c>
      <c r="J2200" s="7"/>
      <c r="K2200" s="7"/>
      <c r="L2200" s="10">
        <v>7.5</v>
      </c>
      <c r="M2200" s="9">
        <v>45020</v>
      </c>
      <c r="N2200" s="10">
        <v>9.5</v>
      </c>
      <c r="O2200" s="9">
        <v>45029</v>
      </c>
      <c r="P2200">
        <v>14</v>
      </c>
      <c r="Q2200" s="11" t="s">
        <v>49</v>
      </c>
      <c r="R2200" s="7"/>
      <c r="S2200" s="7">
        <v>19958.047999999999</v>
      </c>
      <c r="T2200" s="7"/>
      <c r="U2200" s="7"/>
      <c r="V2200" s="10">
        <v>9.5</v>
      </c>
      <c r="W2200" s="9">
        <v>45022</v>
      </c>
      <c r="X2200" s="10">
        <v>11.5</v>
      </c>
      <c r="Y2200" s="9">
        <v>45029</v>
      </c>
      <c r="Z2200">
        <v>14</v>
      </c>
      <c r="AA2200" s="11" t="s">
        <v>49</v>
      </c>
    </row>
    <row r="2201" spans="2:27" ht="16" x14ac:dyDescent="0.2">
      <c r="B2201" t="s">
        <v>35</v>
      </c>
      <c r="C2201">
        <v>40362583</v>
      </c>
      <c r="D2201" t="s">
        <v>409</v>
      </c>
      <c r="E2201">
        <v>1012109</v>
      </c>
      <c r="F2201" t="s">
        <v>68</v>
      </c>
      <c r="G2201" s="9">
        <v>45013</v>
      </c>
      <c r="H2201" s="7"/>
      <c r="I2201" s="7">
        <v>19958.047999999999</v>
      </c>
      <c r="J2201" s="7"/>
      <c r="K2201" s="7"/>
      <c r="L2201" s="10">
        <v>7.5</v>
      </c>
      <c r="M2201" s="9">
        <v>45020</v>
      </c>
      <c r="N2201" s="10">
        <v>9.5</v>
      </c>
      <c r="O2201" s="9">
        <v>45029</v>
      </c>
      <c r="P2201">
        <v>14</v>
      </c>
      <c r="Q2201" s="11" t="s">
        <v>49</v>
      </c>
      <c r="R2201" s="7"/>
      <c r="S2201" s="7">
        <v>19958.047999999999</v>
      </c>
      <c r="T2201" s="7"/>
      <c r="U2201" s="7"/>
      <c r="V2201" s="10">
        <v>9.5</v>
      </c>
      <c r="W2201" s="9">
        <v>45022</v>
      </c>
      <c r="X2201" s="10">
        <v>11.5</v>
      </c>
      <c r="Y2201" s="9">
        <v>45029</v>
      </c>
      <c r="Z2201">
        <v>14</v>
      </c>
      <c r="AA2201" s="11" t="s">
        <v>49</v>
      </c>
    </row>
    <row r="2202" spans="2:27" ht="16" x14ac:dyDescent="0.2">
      <c r="B2202" t="s">
        <v>35</v>
      </c>
      <c r="C2202">
        <v>40362582</v>
      </c>
      <c r="D2202" t="s">
        <v>409</v>
      </c>
      <c r="E2202">
        <v>1012109</v>
      </c>
      <c r="F2202" t="s">
        <v>68</v>
      </c>
      <c r="G2202" s="9">
        <v>45006</v>
      </c>
      <c r="H2202" s="7"/>
      <c r="I2202" s="7">
        <v>19958.047999999999</v>
      </c>
      <c r="J2202" s="7"/>
      <c r="K2202" s="7"/>
      <c r="L2202" s="10">
        <v>7.5</v>
      </c>
      <c r="M2202" s="9">
        <v>45013</v>
      </c>
      <c r="N2202" s="10">
        <v>9.5</v>
      </c>
      <c r="O2202" s="9">
        <v>45022</v>
      </c>
      <c r="P2202">
        <v>20</v>
      </c>
      <c r="Q2202" s="11" t="s">
        <v>49</v>
      </c>
      <c r="R2202" s="7"/>
      <c r="S2202" s="7">
        <v>19958.047999999999</v>
      </c>
      <c r="T2202" s="7"/>
      <c r="U2202" s="7"/>
      <c r="V2202" s="10">
        <v>9.5</v>
      </c>
      <c r="W2202" s="9">
        <v>45015</v>
      </c>
      <c r="X2202" s="10">
        <v>11.5</v>
      </c>
      <c r="Y2202" s="9">
        <v>45022</v>
      </c>
      <c r="Z2202">
        <v>20</v>
      </c>
      <c r="AA2202" s="11" t="s">
        <v>49</v>
      </c>
    </row>
    <row r="2203" spans="2:27" ht="16" x14ac:dyDescent="0.2">
      <c r="B2203" t="s">
        <v>35</v>
      </c>
      <c r="C2203">
        <v>40362581</v>
      </c>
      <c r="D2203" t="s">
        <v>409</v>
      </c>
      <c r="E2203">
        <v>1012109</v>
      </c>
      <c r="F2203" t="s">
        <v>68</v>
      </c>
      <c r="G2203" s="9">
        <v>45004</v>
      </c>
      <c r="H2203" s="7"/>
      <c r="I2203" s="7">
        <v>19958.047999999999</v>
      </c>
      <c r="J2203" s="7"/>
      <c r="K2203" s="7"/>
      <c r="L2203" s="10">
        <v>7.5</v>
      </c>
      <c r="M2203" s="9">
        <v>45011</v>
      </c>
      <c r="N2203" s="10">
        <v>9.5</v>
      </c>
      <c r="O2203" s="9">
        <v>45020</v>
      </c>
      <c r="P2203">
        <v>22</v>
      </c>
      <c r="Q2203" s="11" t="s">
        <v>49</v>
      </c>
      <c r="R2203" s="7"/>
      <c r="S2203" s="7">
        <v>19958.047999999999</v>
      </c>
      <c r="T2203" s="7"/>
      <c r="U2203" s="7"/>
      <c r="V2203" s="10">
        <v>9.5</v>
      </c>
      <c r="W2203" s="9">
        <v>45013</v>
      </c>
      <c r="X2203" s="10">
        <v>11.5</v>
      </c>
      <c r="Y2203" s="9">
        <v>45020</v>
      </c>
      <c r="Z2203">
        <v>22</v>
      </c>
      <c r="AA2203" s="11" t="s">
        <v>49</v>
      </c>
    </row>
    <row r="2204" spans="2:27" ht="16" x14ac:dyDescent="0.2">
      <c r="B2204" t="s">
        <v>35</v>
      </c>
      <c r="C2204">
        <v>40362580</v>
      </c>
      <c r="D2204" t="s">
        <v>409</v>
      </c>
      <c r="E2204">
        <v>1012161</v>
      </c>
      <c r="F2204" t="s">
        <v>101</v>
      </c>
      <c r="G2204" s="9">
        <v>45007</v>
      </c>
      <c r="H2204" s="7"/>
      <c r="I2204" s="7">
        <v>9979.0239999999994</v>
      </c>
      <c r="J2204" s="7"/>
      <c r="K2204" s="7"/>
      <c r="L2204" s="10">
        <v>7.5</v>
      </c>
      <c r="M2204" s="9">
        <v>45014</v>
      </c>
      <c r="N2204" s="10">
        <v>9.5</v>
      </c>
      <c r="O2204" s="9">
        <v>45023</v>
      </c>
      <c r="P2204">
        <v>19</v>
      </c>
      <c r="Q2204" s="11" t="s">
        <v>49</v>
      </c>
      <c r="R2204" s="7"/>
      <c r="S2204" s="7">
        <v>9979.0239999999994</v>
      </c>
      <c r="T2204" s="7"/>
      <c r="U2204" s="7"/>
      <c r="V2204" s="10">
        <v>9.5</v>
      </c>
      <c r="W2204" s="9">
        <v>45016</v>
      </c>
      <c r="X2204" s="10">
        <v>11.5</v>
      </c>
      <c r="Y2204" s="9">
        <v>45023</v>
      </c>
      <c r="Z2204">
        <v>19</v>
      </c>
      <c r="AA2204" s="11" t="s">
        <v>49</v>
      </c>
    </row>
    <row r="2205" spans="2:27" ht="16" x14ac:dyDescent="0.2">
      <c r="B2205" t="s">
        <v>35</v>
      </c>
      <c r="C2205">
        <v>40362580</v>
      </c>
      <c r="D2205" t="s">
        <v>409</v>
      </c>
      <c r="E2205">
        <v>1012109</v>
      </c>
      <c r="F2205" t="s">
        <v>68</v>
      </c>
      <c r="G2205" s="9">
        <v>45007</v>
      </c>
      <c r="H2205" s="7"/>
      <c r="I2205" s="7">
        <v>9979.0239999999994</v>
      </c>
      <c r="J2205" s="7"/>
      <c r="K2205" s="7"/>
      <c r="L2205" s="10">
        <v>7.5</v>
      </c>
      <c r="M2205" s="9">
        <v>45014</v>
      </c>
      <c r="N2205" s="10">
        <v>9.5</v>
      </c>
      <c r="O2205" s="9">
        <v>45023</v>
      </c>
      <c r="P2205">
        <v>19</v>
      </c>
      <c r="Q2205" s="11" t="s">
        <v>49</v>
      </c>
      <c r="R2205" s="7"/>
      <c r="S2205" s="7">
        <v>9979.0239999999994</v>
      </c>
      <c r="T2205" s="7"/>
      <c r="U2205" s="7"/>
      <c r="V2205" s="10">
        <v>9.5</v>
      </c>
      <c r="W2205" s="9">
        <v>45016</v>
      </c>
      <c r="X2205" s="10">
        <v>11.5</v>
      </c>
      <c r="Y2205" s="9">
        <v>45023</v>
      </c>
      <c r="Z2205">
        <v>19</v>
      </c>
      <c r="AA2205" s="11" t="s">
        <v>49</v>
      </c>
    </row>
    <row r="2206" spans="2:27" ht="16" x14ac:dyDescent="0.2">
      <c r="B2206" t="s">
        <v>35</v>
      </c>
      <c r="C2206">
        <v>40362579</v>
      </c>
      <c r="D2206" t="s">
        <v>409</v>
      </c>
      <c r="E2206">
        <v>1012109</v>
      </c>
      <c r="F2206" t="s">
        <v>68</v>
      </c>
      <c r="G2206" s="9">
        <v>45013</v>
      </c>
      <c r="H2206" s="7"/>
      <c r="I2206" s="7">
        <v>19958.047999999999</v>
      </c>
      <c r="J2206" s="7"/>
      <c r="K2206" s="7"/>
      <c r="L2206" s="10">
        <v>7.5</v>
      </c>
      <c r="M2206" s="9">
        <v>45020</v>
      </c>
      <c r="N2206" s="10">
        <v>9.5</v>
      </c>
      <c r="O2206" s="9">
        <v>45029</v>
      </c>
      <c r="P2206">
        <v>14</v>
      </c>
      <c r="Q2206" s="11" t="s">
        <v>49</v>
      </c>
      <c r="R2206" s="7"/>
      <c r="S2206" s="7">
        <v>19958.047999999999</v>
      </c>
      <c r="T2206" s="7"/>
      <c r="U2206" s="7"/>
      <c r="V2206" s="10">
        <v>9.5</v>
      </c>
      <c r="W2206" s="9">
        <v>45022</v>
      </c>
      <c r="X2206" s="10">
        <v>11.5</v>
      </c>
      <c r="Y2206" s="9">
        <v>45029</v>
      </c>
      <c r="Z2206">
        <v>14</v>
      </c>
      <c r="AA2206" s="11" t="s">
        <v>49</v>
      </c>
    </row>
    <row r="2207" spans="2:27" ht="16" x14ac:dyDescent="0.2">
      <c r="B2207" t="s">
        <v>35</v>
      </c>
      <c r="C2207">
        <v>40362578</v>
      </c>
      <c r="D2207" t="s">
        <v>409</v>
      </c>
      <c r="E2207">
        <v>1012109</v>
      </c>
      <c r="F2207" t="s">
        <v>68</v>
      </c>
      <c r="G2207" s="9">
        <v>45004</v>
      </c>
      <c r="H2207" s="7"/>
      <c r="I2207" s="7">
        <v>19958.047999999999</v>
      </c>
      <c r="J2207" s="7"/>
      <c r="K2207" s="7"/>
      <c r="L2207" s="10">
        <v>7.5</v>
      </c>
      <c r="M2207" s="9">
        <v>45011</v>
      </c>
      <c r="N2207" s="10">
        <v>9.5</v>
      </c>
      <c r="O2207" s="9">
        <v>45020</v>
      </c>
      <c r="P2207">
        <v>22</v>
      </c>
      <c r="Q2207" s="11" t="s">
        <v>49</v>
      </c>
      <c r="R2207" s="7"/>
      <c r="S2207" s="7">
        <v>19958.047999999999</v>
      </c>
      <c r="T2207" s="7"/>
      <c r="U2207" s="7"/>
      <c r="V2207" s="10">
        <v>9.5</v>
      </c>
      <c r="W2207" s="9">
        <v>45013</v>
      </c>
      <c r="X2207" s="10">
        <v>11.5</v>
      </c>
      <c r="Y2207" s="9">
        <v>45020</v>
      </c>
      <c r="Z2207">
        <v>22</v>
      </c>
      <c r="AA2207" s="11" t="s">
        <v>49</v>
      </c>
    </row>
    <row r="2208" spans="2:27" ht="16" x14ac:dyDescent="0.2">
      <c r="B2208" t="s">
        <v>35</v>
      </c>
      <c r="C2208">
        <v>40362577</v>
      </c>
      <c r="D2208" t="s">
        <v>409</v>
      </c>
      <c r="E2208">
        <v>1012109</v>
      </c>
      <c r="F2208" t="s">
        <v>68</v>
      </c>
      <c r="G2208" s="9">
        <v>45005</v>
      </c>
      <c r="H2208" s="7"/>
      <c r="I2208" s="7">
        <v>19958.047999999999</v>
      </c>
      <c r="J2208" s="7"/>
      <c r="K2208" s="7"/>
      <c r="L2208" s="10">
        <v>7.5</v>
      </c>
      <c r="M2208" s="9">
        <v>45012</v>
      </c>
      <c r="N2208" s="10">
        <v>9.5</v>
      </c>
      <c r="O2208" s="9">
        <v>45021</v>
      </c>
      <c r="P2208">
        <v>21</v>
      </c>
      <c r="Q2208" s="11" t="s">
        <v>49</v>
      </c>
      <c r="R2208" s="7"/>
      <c r="S2208" s="7">
        <v>19958.047999999999</v>
      </c>
      <c r="T2208" s="7"/>
      <c r="U2208" s="7"/>
      <c r="V2208" s="10">
        <v>9.5</v>
      </c>
      <c r="W2208" s="9">
        <v>45014</v>
      </c>
      <c r="X2208" s="10">
        <v>11.5</v>
      </c>
      <c r="Y2208" s="9">
        <v>45021</v>
      </c>
      <c r="Z2208">
        <v>21</v>
      </c>
      <c r="AA2208" s="11" t="s">
        <v>49</v>
      </c>
    </row>
    <row r="2209" spans="2:27" ht="16" x14ac:dyDescent="0.2">
      <c r="B2209" t="s">
        <v>35</v>
      </c>
      <c r="C2209">
        <v>40362575</v>
      </c>
      <c r="D2209" t="s">
        <v>409</v>
      </c>
      <c r="E2209">
        <v>1012109</v>
      </c>
      <c r="F2209" t="s">
        <v>68</v>
      </c>
      <c r="G2209" s="9">
        <v>44999</v>
      </c>
      <c r="H2209" s="7">
        <v>19958.047999999999</v>
      </c>
      <c r="I2209" s="7"/>
      <c r="J2209" s="7"/>
      <c r="K2209" s="7"/>
      <c r="L2209" s="10">
        <v>7.5</v>
      </c>
      <c r="M2209" s="9">
        <v>45006</v>
      </c>
      <c r="N2209" s="10">
        <v>9.5</v>
      </c>
      <c r="O2209" s="9">
        <v>45015</v>
      </c>
      <c r="P2209">
        <v>1</v>
      </c>
      <c r="Q2209" s="11" t="s">
        <v>598</v>
      </c>
      <c r="R2209" s="7">
        <v>19958.047999999999</v>
      </c>
      <c r="S2209" s="7"/>
      <c r="T2209" s="7"/>
      <c r="U2209" s="7"/>
      <c r="V2209" s="10">
        <v>9.5</v>
      </c>
      <c r="W2209" s="9">
        <v>45008</v>
      </c>
      <c r="X2209" s="10">
        <v>11.5</v>
      </c>
      <c r="Y2209" s="9">
        <v>45015</v>
      </c>
      <c r="Z2209">
        <v>1</v>
      </c>
      <c r="AA2209" s="11" t="s">
        <v>598</v>
      </c>
    </row>
    <row r="2210" spans="2:27" ht="16" x14ac:dyDescent="0.2">
      <c r="B2210" t="s">
        <v>35</v>
      </c>
      <c r="C2210">
        <v>40362573</v>
      </c>
      <c r="D2210" t="s">
        <v>409</v>
      </c>
      <c r="E2210">
        <v>1012109</v>
      </c>
      <c r="F2210" t="s">
        <v>68</v>
      </c>
      <c r="G2210" s="9">
        <v>44999</v>
      </c>
      <c r="H2210" s="7">
        <v>19958.047999999999</v>
      </c>
      <c r="I2210" s="7"/>
      <c r="J2210" s="7"/>
      <c r="K2210" s="7"/>
      <c r="L2210" s="10">
        <v>7.5</v>
      </c>
      <c r="M2210" s="9">
        <v>45006</v>
      </c>
      <c r="N2210" s="10">
        <v>9.5</v>
      </c>
      <c r="O2210" s="9">
        <v>45015</v>
      </c>
      <c r="P2210">
        <v>1</v>
      </c>
      <c r="Q2210" s="11" t="s">
        <v>598</v>
      </c>
      <c r="R2210" s="7">
        <v>19958.047999999999</v>
      </c>
      <c r="S2210" s="7"/>
      <c r="T2210" s="7"/>
      <c r="U2210" s="7"/>
      <c r="V2210" s="10">
        <v>9.5</v>
      </c>
      <c r="W2210" s="9">
        <v>45008</v>
      </c>
      <c r="X2210" s="10">
        <v>11.5</v>
      </c>
      <c r="Y2210" s="9">
        <v>45015</v>
      </c>
      <c r="Z2210">
        <v>1</v>
      </c>
      <c r="AA2210" s="11" t="s">
        <v>598</v>
      </c>
    </row>
    <row r="2211" spans="2:27" ht="16" x14ac:dyDescent="0.2">
      <c r="B2211" t="s">
        <v>35</v>
      </c>
      <c r="C2211">
        <v>40362567</v>
      </c>
      <c r="D2211" t="s">
        <v>409</v>
      </c>
      <c r="E2211">
        <v>1012109</v>
      </c>
      <c r="F2211" t="s">
        <v>68</v>
      </c>
      <c r="G2211" s="9">
        <v>45008</v>
      </c>
      <c r="H2211" s="7"/>
      <c r="I2211" s="7">
        <v>9979.0239999999994</v>
      </c>
      <c r="J2211" s="7"/>
      <c r="K2211" s="7"/>
      <c r="L2211" s="10">
        <v>7.5</v>
      </c>
      <c r="M2211" s="9">
        <v>45015</v>
      </c>
      <c r="N2211" s="10">
        <v>9.5</v>
      </c>
      <c r="O2211" s="9">
        <v>45024</v>
      </c>
      <c r="P2211">
        <v>18</v>
      </c>
      <c r="Q2211" s="11" t="s">
        <v>49</v>
      </c>
      <c r="R2211" s="7"/>
      <c r="S2211" s="7">
        <v>9979.0239999999994</v>
      </c>
      <c r="T2211" s="7"/>
      <c r="U2211" s="7"/>
      <c r="V2211" s="10">
        <v>9.5</v>
      </c>
      <c r="W2211" s="9">
        <v>45017</v>
      </c>
      <c r="X2211" s="10">
        <v>11.5</v>
      </c>
      <c r="Y2211" s="9">
        <v>45024</v>
      </c>
      <c r="Z2211">
        <v>18</v>
      </c>
      <c r="AA2211" s="11" t="s">
        <v>49</v>
      </c>
    </row>
    <row r="2212" spans="2:27" ht="16" x14ac:dyDescent="0.2">
      <c r="B2212" t="s">
        <v>35</v>
      </c>
      <c r="C2212">
        <v>40362567</v>
      </c>
      <c r="D2212" t="s">
        <v>409</v>
      </c>
      <c r="E2212">
        <v>1012108</v>
      </c>
      <c r="F2212" t="s">
        <v>57</v>
      </c>
      <c r="G2212" s="9">
        <v>45008</v>
      </c>
      <c r="H2212" s="7"/>
      <c r="I2212" s="7">
        <v>9979.0239999999994</v>
      </c>
      <c r="J2212" s="7"/>
      <c r="K2212" s="7"/>
      <c r="L2212" s="10">
        <v>7.5</v>
      </c>
      <c r="M2212" s="9">
        <v>45015</v>
      </c>
      <c r="N2212" s="10">
        <v>9.5</v>
      </c>
      <c r="O2212" s="9">
        <v>45024</v>
      </c>
      <c r="P2212">
        <v>18</v>
      </c>
      <c r="Q2212" s="11" t="s">
        <v>49</v>
      </c>
      <c r="R2212" s="7"/>
      <c r="S2212" s="7">
        <v>9979.0239999999994</v>
      </c>
      <c r="T2212" s="7"/>
      <c r="U2212" s="7"/>
      <c r="V2212" s="10">
        <v>9.5</v>
      </c>
      <c r="W2212" s="9">
        <v>45017</v>
      </c>
      <c r="X2212" s="10">
        <v>11.5</v>
      </c>
      <c r="Y2212" s="9">
        <v>45024</v>
      </c>
      <c r="Z2212">
        <v>18</v>
      </c>
      <c r="AA2212" s="11" t="s">
        <v>49</v>
      </c>
    </row>
    <row r="2213" spans="2:27" ht="16" x14ac:dyDescent="0.2">
      <c r="B2213" t="s">
        <v>35</v>
      </c>
      <c r="C2213">
        <v>40362566</v>
      </c>
      <c r="D2213" t="s">
        <v>409</v>
      </c>
      <c r="E2213">
        <v>1012108</v>
      </c>
      <c r="F2213" t="s">
        <v>57</v>
      </c>
      <c r="G2213" s="9">
        <v>44996</v>
      </c>
      <c r="H2213" s="7">
        <v>19958.047999999999</v>
      </c>
      <c r="I2213" s="7"/>
      <c r="J2213" s="7"/>
      <c r="K2213" s="7"/>
      <c r="L2213" s="10">
        <v>7.5</v>
      </c>
      <c r="M2213" s="9">
        <v>45003</v>
      </c>
      <c r="N2213" s="10">
        <v>9.5</v>
      </c>
      <c r="O2213" s="9">
        <v>45012</v>
      </c>
      <c r="P2213">
        <v>4</v>
      </c>
      <c r="Q2213" s="11" t="s">
        <v>49</v>
      </c>
      <c r="R2213" s="7">
        <v>19958.047999999999</v>
      </c>
      <c r="S2213" s="7"/>
      <c r="T2213" s="7"/>
      <c r="U2213" s="7"/>
      <c r="V2213" s="10">
        <v>9.5</v>
      </c>
      <c r="W2213" s="9">
        <v>45005</v>
      </c>
      <c r="X2213" s="10">
        <v>11.5</v>
      </c>
      <c r="Y2213" s="9">
        <v>45012</v>
      </c>
      <c r="Z2213">
        <v>4</v>
      </c>
      <c r="AA2213" s="11" t="s">
        <v>49</v>
      </c>
    </row>
    <row r="2214" spans="2:27" ht="16" x14ac:dyDescent="0.2">
      <c r="B2214" t="s">
        <v>35</v>
      </c>
      <c r="C2214">
        <v>40362556</v>
      </c>
      <c r="D2214" t="s">
        <v>409</v>
      </c>
      <c r="E2214">
        <v>1012107</v>
      </c>
      <c r="F2214" t="s">
        <v>215</v>
      </c>
      <c r="G2214" s="9">
        <v>44997</v>
      </c>
      <c r="H2214" s="7">
        <v>19958.047999999999</v>
      </c>
      <c r="I2214" s="7"/>
      <c r="J2214" s="7"/>
      <c r="K2214" s="7"/>
      <c r="L2214" s="10">
        <v>7.5</v>
      </c>
      <c r="M2214" s="9">
        <v>45004</v>
      </c>
      <c r="N2214" s="10">
        <v>9.5</v>
      </c>
      <c r="O2214" s="9">
        <v>45013</v>
      </c>
      <c r="P2214">
        <v>3</v>
      </c>
      <c r="Q2214" s="11" t="s">
        <v>49</v>
      </c>
      <c r="R2214" s="7">
        <v>19958.047999999999</v>
      </c>
      <c r="S2214" s="7"/>
      <c r="T2214" s="7"/>
      <c r="U2214" s="7"/>
      <c r="V2214" s="10">
        <v>9.5</v>
      </c>
      <c r="W2214" s="9">
        <v>45006</v>
      </c>
      <c r="X2214" s="10">
        <v>11.5</v>
      </c>
      <c r="Y2214" s="9">
        <v>45013</v>
      </c>
      <c r="Z2214">
        <v>3</v>
      </c>
      <c r="AA2214" s="11" t="s">
        <v>49</v>
      </c>
    </row>
    <row r="2215" spans="2:27" ht="16" x14ac:dyDescent="0.2">
      <c r="B2215" t="s">
        <v>35</v>
      </c>
      <c r="C2215">
        <v>40362551</v>
      </c>
      <c r="D2215" t="s">
        <v>409</v>
      </c>
      <c r="E2215">
        <v>1012167</v>
      </c>
      <c r="F2215" t="s">
        <v>70</v>
      </c>
      <c r="G2215" s="9">
        <v>45007</v>
      </c>
      <c r="H2215" s="7"/>
      <c r="I2215" s="7">
        <v>19958.047999999999</v>
      </c>
      <c r="J2215" s="7"/>
      <c r="K2215" s="7"/>
      <c r="L2215" s="10">
        <v>7.5</v>
      </c>
      <c r="M2215" s="9">
        <v>45014</v>
      </c>
      <c r="N2215" s="10">
        <v>9.5</v>
      </c>
      <c r="O2215" s="9">
        <v>45023</v>
      </c>
      <c r="P2215">
        <v>19</v>
      </c>
      <c r="Q2215" s="11" t="s">
        <v>49</v>
      </c>
      <c r="R2215" s="7"/>
      <c r="S2215" s="7">
        <v>19958.047999999999</v>
      </c>
      <c r="T2215" s="7"/>
      <c r="U2215" s="7"/>
      <c r="V2215" s="10">
        <v>9.5</v>
      </c>
      <c r="W2215" s="9">
        <v>45016</v>
      </c>
      <c r="X2215" s="10">
        <v>11.5</v>
      </c>
      <c r="Y2215" s="9">
        <v>45023</v>
      </c>
      <c r="Z2215">
        <v>19</v>
      </c>
      <c r="AA2215" s="11" t="s">
        <v>49</v>
      </c>
    </row>
    <row r="2216" spans="2:27" ht="16" x14ac:dyDescent="0.2">
      <c r="B2216" t="s">
        <v>35</v>
      </c>
      <c r="C2216">
        <v>40362550</v>
      </c>
      <c r="D2216" t="s">
        <v>409</v>
      </c>
      <c r="E2216">
        <v>1012167</v>
      </c>
      <c r="F2216" t="s">
        <v>70</v>
      </c>
      <c r="G2216" s="9">
        <v>45013</v>
      </c>
      <c r="H2216" s="7"/>
      <c r="I2216" s="7">
        <v>19958.047999999999</v>
      </c>
      <c r="J2216" s="7"/>
      <c r="K2216" s="7"/>
      <c r="L2216" s="10">
        <v>7.5</v>
      </c>
      <c r="M2216" s="9">
        <v>45020</v>
      </c>
      <c r="N2216" s="10">
        <v>9.5</v>
      </c>
      <c r="O2216" s="9">
        <v>45029</v>
      </c>
      <c r="P2216">
        <v>14</v>
      </c>
      <c r="Q2216" s="11" t="s">
        <v>49</v>
      </c>
      <c r="R2216" s="7"/>
      <c r="S2216" s="7">
        <v>19958.047999999999</v>
      </c>
      <c r="T2216" s="7"/>
      <c r="U2216" s="7"/>
      <c r="V2216" s="10">
        <v>9.5</v>
      </c>
      <c r="W2216" s="9">
        <v>45022</v>
      </c>
      <c r="X2216" s="10">
        <v>11.5</v>
      </c>
      <c r="Y2216" s="9">
        <v>45029</v>
      </c>
      <c r="Z2216">
        <v>14</v>
      </c>
      <c r="AA2216" s="11" t="s">
        <v>49</v>
      </c>
    </row>
    <row r="2217" spans="2:27" ht="16" x14ac:dyDescent="0.2">
      <c r="B2217" t="s">
        <v>35</v>
      </c>
      <c r="C2217">
        <v>40362549</v>
      </c>
      <c r="D2217" t="s">
        <v>409</v>
      </c>
      <c r="E2217">
        <v>1012167</v>
      </c>
      <c r="F2217" t="s">
        <v>70</v>
      </c>
      <c r="G2217" s="9">
        <v>45014</v>
      </c>
      <c r="H2217" s="7"/>
      <c r="I2217" s="7">
        <v>19958.047999999999</v>
      </c>
      <c r="J2217" s="7"/>
      <c r="K2217" s="7"/>
      <c r="L2217" s="10">
        <v>7.5</v>
      </c>
      <c r="M2217" s="9">
        <v>45021</v>
      </c>
      <c r="N2217" s="10">
        <v>9.5</v>
      </c>
      <c r="O2217" s="9">
        <v>45030</v>
      </c>
      <c r="P2217">
        <v>13</v>
      </c>
      <c r="Q2217" s="11" t="s">
        <v>49</v>
      </c>
      <c r="R2217" s="7"/>
      <c r="S2217" s="7">
        <v>19958.047999999999</v>
      </c>
      <c r="T2217" s="7"/>
      <c r="U2217" s="7"/>
      <c r="V2217" s="10">
        <v>9.5</v>
      </c>
      <c r="W2217" s="9">
        <v>45023</v>
      </c>
      <c r="X2217" s="10">
        <v>11.5</v>
      </c>
      <c r="Y2217" s="9">
        <v>45030</v>
      </c>
      <c r="Z2217">
        <v>13</v>
      </c>
      <c r="AA2217" s="11" t="s">
        <v>49</v>
      </c>
    </row>
    <row r="2218" spans="2:27" ht="16" x14ac:dyDescent="0.2">
      <c r="B2218" t="s">
        <v>35</v>
      </c>
      <c r="C2218">
        <v>40362548</v>
      </c>
      <c r="D2218" t="s">
        <v>409</v>
      </c>
      <c r="E2218">
        <v>1012167</v>
      </c>
      <c r="F2218" t="s">
        <v>70</v>
      </c>
      <c r="G2218" s="9">
        <v>45000</v>
      </c>
      <c r="H2218" s="7">
        <v>19958.047999999999</v>
      </c>
      <c r="I2218" s="7"/>
      <c r="J2218" s="7"/>
      <c r="K2218" s="7"/>
      <c r="L2218" s="10">
        <v>7.5</v>
      </c>
      <c r="M2218" s="9">
        <v>45007</v>
      </c>
      <c r="N2218" s="10">
        <v>9.5</v>
      </c>
      <c r="O2218" s="9">
        <v>45016</v>
      </c>
      <c r="P2218">
        <v>0</v>
      </c>
      <c r="Q2218" s="11" t="s">
        <v>598</v>
      </c>
      <c r="R2218" s="7">
        <v>19958.047999999999</v>
      </c>
      <c r="S2218" s="7"/>
      <c r="T2218" s="7"/>
      <c r="U2218" s="7"/>
      <c r="V2218" s="10">
        <v>9.5</v>
      </c>
      <c r="W2218" s="9">
        <v>45009</v>
      </c>
      <c r="X2218" s="10">
        <v>11.5</v>
      </c>
      <c r="Y2218" s="9">
        <v>45016</v>
      </c>
      <c r="Z2218">
        <v>0</v>
      </c>
      <c r="AA2218" s="11" t="s">
        <v>598</v>
      </c>
    </row>
    <row r="2219" spans="2:27" ht="16" x14ac:dyDescent="0.2">
      <c r="B2219" t="s">
        <v>35</v>
      </c>
      <c r="C2219">
        <v>40362547</v>
      </c>
      <c r="D2219" t="s">
        <v>409</v>
      </c>
      <c r="E2219">
        <v>1012167</v>
      </c>
      <c r="F2219" t="s">
        <v>70</v>
      </c>
      <c r="G2219" s="9">
        <v>45015</v>
      </c>
      <c r="H2219" s="7"/>
      <c r="I2219" s="7">
        <v>19958.047999999999</v>
      </c>
      <c r="J2219" s="7"/>
      <c r="K2219" s="7"/>
      <c r="L2219" s="10">
        <v>7.5</v>
      </c>
      <c r="M2219" s="9">
        <v>45022</v>
      </c>
      <c r="N2219" s="10">
        <v>9.5</v>
      </c>
      <c r="O2219" s="9">
        <v>45031</v>
      </c>
      <c r="P2219">
        <v>12</v>
      </c>
      <c r="Q2219" s="11" t="s">
        <v>49</v>
      </c>
      <c r="R2219" s="7"/>
      <c r="S2219" s="7">
        <v>19958.047999999999</v>
      </c>
      <c r="T2219" s="7"/>
      <c r="U2219" s="7"/>
      <c r="V2219" s="10">
        <v>9.5</v>
      </c>
      <c r="W2219" s="9">
        <v>45024</v>
      </c>
      <c r="X2219" s="10">
        <v>11.5</v>
      </c>
      <c r="Y2219" s="9">
        <v>45031</v>
      </c>
      <c r="Z2219">
        <v>12</v>
      </c>
      <c r="AA2219" s="11" t="s">
        <v>49</v>
      </c>
    </row>
    <row r="2220" spans="2:27" ht="16" x14ac:dyDescent="0.2">
      <c r="B2220" t="s">
        <v>35</v>
      </c>
      <c r="C2220">
        <v>40362545</v>
      </c>
      <c r="D2220" t="s">
        <v>409</v>
      </c>
      <c r="E2220">
        <v>1011701</v>
      </c>
      <c r="F2220" t="s">
        <v>82</v>
      </c>
      <c r="G2220" s="9">
        <v>44992</v>
      </c>
      <c r="H2220" s="7">
        <v>18146.501339999999</v>
      </c>
      <c r="I2220" s="7"/>
      <c r="J2220" s="7"/>
      <c r="K2220" s="7"/>
      <c r="L2220" s="10">
        <v>7.5</v>
      </c>
      <c r="M2220" s="9">
        <v>44999</v>
      </c>
      <c r="N2220" s="10">
        <v>9.5</v>
      </c>
      <c r="O2220" s="9">
        <v>45008</v>
      </c>
      <c r="P2220">
        <v>7</v>
      </c>
      <c r="Q2220" s="11" t="s">
        <v>49</v>
      </c>
      <c r="R2220" s="7">
        <v>18146.501339999999</v>
      </c>
      <c r="S2220" s="7"/>
      <c r="T2220" s="7"/>
      <c r="U2220" s="7"/>
      <c r="V2220" s="10">
        <v>9.5</v>
      </c>
      <c r="W2220" s="9">
        <v>45001</v>
      </c>
      <c r="X2220" s="10">
        <v>11.5</v>
      </c>
      <c r="Y2220" s="9">
        <v>45008</v>
      </c>
      <c r="Z2220">
        <v>7</v>
      </c>
      <c r="AA2220" s="11" t="s">
        <v>49</v>
      </c>
    </row>
    <row r="2221" spans="2:27" ht="16" x14ac:dyDescent="0.2">
      <c r="B2221" t="s">
        <v>35</v>
      </c>
      <c r="C2221">
        <v>40362544</v>
      </c>
      <c r="D2221" t="s">
        <v>409</v>
      </c>
      <c r="E2221">
        <v>1011701</v>
      </c>
      <c r="F2221" t="s">
        <v>82</v>
      </c>
      <c r="G2221" s="9">
        <v>44999</v>
      </c>
      <c r="H2221" s="7">
        <v>18143.73443</v>
      </c>
      <c r="I2221" s="7"/>
      <c r="J2221" s="7"/>
      <c r="K2221" s="7"/>
      <c r="L2221" s="10">
        <v>7.5</v>
      </c>
      <c r="M2221" s="9">
        <v>45006</v>
      </c>
      <c r="N2221" s="10">
        <v>9.5</v>
      </c>
      <c r="O2221" s="9">
        <v>45015</v>
      </c>
      <c r="P2221">
        <v>1</v>
      </c>
      <c r="Q2221" s="11" t="s">
        <v>598</v>
      </c>
      <c r="R2221" s="7">
        <v>18143.73443</v>
      </c>
      <c r="S2221" s="7"/>
      <c r="T2221" s="7"/>
      <c r="U2221" s="7"/>
      <c r="V2221" s="10">
        <v>9.5</v>
      </c>
      <c r="W2221" s="9">
        <v>45008</v>
      </c>
      <c r="X2221" s="10">
        <v>11.5</v>
      </c>
      <c r="Y2221" s="9">
        <v>45015</v>
      </c>
      <c r="Z2221">
        <v>1</v>
      </c>
      <c r="AA2221" s="11" t="s">
        <v>598</v>
      </c>
    </row>
    <row r="2222" spans="2:27" ht="16" x14ac:dyDescent="0.2">
      <c r="B2222" t="s">
        <v>35</v>
      </c>
      <c r="C2222">
        <v>40362541</v>
      </c>
      <c r="D2222" t="s">
        <v>409</v>
      </c>
      <c r="E2222">
        <v>1012518</v>
      </c>
      <c r="F2222" t="s">
        <v>65</v>
      </c>
      <c r="G2222" s="9">
        <v>44996</v>
      </c>
      <c r="H2222" s="7">
        <v>18143.68</v>
      </c>
      <c r="I2222" s="7"/>
      <c r="J2222" s="7"/>
      <c r="K2222" s="7"/>
      <c r="L2222" s="10">
        <v>7.5</v>
      </c>
      <c r="M2222" s="9">
        <v>45003</v>
      </c>
      <c r="N2222" s="10">
        <v>9.5</v>
      </c>
      <c r="O2222" s="9">
        <v>45012</v>
      </c>
      <c r="P2222">
        <v>4</v>
      </c>
      <c r="Q2222" s="11" t="s">
        <v>49</v>
      </c>
      <c r="R2222" s="7">
        <v>18143.68</v>
      </c>
      <c r="S2222" s="7"/>
      <c r="T2222" s="7"/>
      <c r="U2222" s="7"/>
      <c r="V2222" s="10">
        <v>9.5</v>
      </c>
      <c r="W2222" s="9">
        <v>45005</v>
      </c>
      <c r="X2222" s="10">
        <v>11.5</v>
      </c>
      <c r="Y2222" s="9">
        <v>45012</v>
      </c>
      <c r="Z2222">
        <v>4</v>
      </c>
      <c r="AA2222" s="11" t="s">
        <v>49</v>
      </c>
    </row>
    <row r="2223" spans="2:27" ht="16" x14ac:dyDescent="0.2">
      <c r="B2223" t="s">
        <v>35</v>
      </c>
      <c r="C2223">
        <v>40362540</v>
      </c>
      <c r="D2223" t="s">
        <v>409</v>
      </c>
      <c r="E2223">
        <v>1012518</v>
      </c>
      <c r="F2223" t="s">
        <v>65</v>
      </c>
      <c r="G2223" s="9">
        <v>44997</v>
      </c>
      <c r="H2223" s="7">
        <v>18143.68</v>
      </c>
      <c r="I2223" s="7"/>
      <c r="J2223" s="7"/>
      <c r="K2223" s="7"/>
      <c r="L2223" s="10">
        <v>7.5</v>
      </c>
      <c r="M2223" s="9">
        <v>45004</v>
      </c>
      <c r="N2223" s="10">
        <v>9.5</v>
      </c>
      <c r="O2223" s="9">
        <v>45013</v>
      </c>
      <c r="P2223">
        <v>3</v>
      </c>
      <c r="Q2223" s="11" t="s">
        <v>49</v>
      </c>
      <c r="R2223" s="7">
        <v>18143.68</v>
      </c>
      <c r="S2223" s="7"/>
      <c r="T2223" s="7"/>
      <c r="U2223" s="7"/>
      <c r="V2223" s="10">
        <v>9.5</v>
      </c>
      <c r="W2223" s="9">
        <v>45006</v>
      </c>
      <c r="X2223" s="10">
        <v>11.5</v>
      </c>
      <c r="Y2223" s="9">
        <v>45013</v>
      </c>
      <c r="Z2223">
        <v>3</v>
      </c>
      <c r="AA2223" s="11" t="s">
        <v>49</v>
      </c>
    </row>
    <row r="2224" spans="2:27" ht="16" x14ac:dyDescent="0.2">
      <c r="B2224" t="s">
        <v>35</v>
      </c>
      <c r="C2224">
        <v>40362539</v>
      </c>
      <c r="D2224" t="s">
        <v>409</v>
      </c>
      <c r="E2224">
        <v>1012518</v>
      </c>
      <c r="F2224" t="s">
        <v>65</v>
      </c>
      <c r="G2224" s="9">
        <v>44989</v>
      </c>
      <c r="H2224" s="7">
        <v>18143.68</v>
      </c>
      <c r="I2224" s="7"/>
      <c r="J2224" s="7"/>
      <c r="K2224" s="7"/>
      <c r="L2224" s="10">
        <v>7.5</v>
      </c>
      <c r="M2224" s="9">
        <v>44996</v>
      </c>
      <c r="N2224" s="10">
        <v>9.5</v>
      </c>
      <c r="O2224" s="9">
        <v>45005</v>
      </c>
      <c r="P2224">
        <v>10</v>
      </c>
      <c r="Q2224" s="11" t="s">
        <v>49</v>
      </c>
      <c r="R2224" s="7">
        <v>18143.68</v>
      </c>
      <c r="S2224" s="7"/>
      <c r="T2224" s="7"/>
      <c r="U2224" s="7"/>
      <c r="V2224" s="10">
        <v>9.5</v>
      </c>
      <c r="W2224" s="9">
        <v>44998</v>
      </c>
      <c r="X2224" s="10">
        <v>11.5</v>
      </c>
      <c r="Y2224" s="9">
        <v>45005</v>
      </c>
      <c r="Z2224">
        <v>10</v>
      </c>
      <c r="AA2224" s="11" t="s">
        <v>49</v>
      </c>
    </row>
    <row r="2225" spans="2:27" ht="16" x14ac:dyDescent="0.2">
      <c r="B2225" t="s">
        <v>35</v>
      </c>
      <c r="C2225">
        <v>40362532</v>
      </c>
      <c r="D2225" t="s">
        <v>409</v>
      </c>
      <c r="E2225">
        <v>1012163</v>
      </c>
      <c r="F2225" t="s">
        <v>140</v>
      </c>
      <c r="G2225" s="9">
        <v>44993</v>
      </c>
      <c r="H2225" s="7">
        <v>19958.047999999999</v>
      </c>
      <c r="I2225" s="7"/>
      <c r="J2225" s="7"/>
      <c r="K2225" s="7"/>
      <c r="L2225" s="10">
        <v>7.5</v>
      </c>
      <c r="M2225" s="9">
        <v>45000</v>
      </c>
      <c r="N2225" s="10">
        <v>9.5</v>
      </c>
      <c r="O2225" s="9">
        <v>45009</v>
      </c>
      <c r="P2225">
        <v>6</v>
      </c>
      <c r="Q2225" s="11" t="s">
        <v>49</v>
      </c>
      <c r="R2225" s="7">
        <v>19958.047999999999</v>
      </c>
      <c r="S2225" s="7"/>
      <c r="T2225" s="7"/>
      <c r="U2225" s="7"/>
      <c r="V2225" s="10">
        <v>9.5</v>
      </c>
      <c r="W2225" s="9">
        <v>45002</v>
      </c>
      <c r="X2225" s="10">
        <v>11.5</v>
      </c>
      <c r="Y2225" s="9">
        <v>45009</v>
      </c>
      <c r="Z2225">
        <v>6</v>
      </c>
      <c r="AA2225" s="11" t="s">
        <v>49</v>
      </c>
    </row>
    <row r="2226" spans="2:27" ht="16" x14ac:dyDescent="0.2">
      <c r="B2226" t="s">
        <v>35</v>
      </c>
      <c r="C2226">
        <v>40362531</v>
      </c>
      <c r="D2226" t="s">
        <v>409</v>
      </c>
      <c r="E2226">
        <v>1012163</v>
      </c>
      <c r="F2226" t="s">
        <v>140</v>
      </c>
      <c r="G2226" s="9">
        <v>44993</v>
      </c>
      <c r="H2226" s="7">
        <v>19958.047999999999</v>
      </c>
      <c r="I2226" s="7"/>
      <c r="J2226" s="7"/>
      <c r="K2226" s="7"/>
      <c r="L2226" s="10">
        <v>7.5</v>
      </c>
      <c r="M2226" s="9">
        <v>45000</v>
      </c>
      <c r="N2226" s="10">
        <v>9.5</v>
      </c>
      <c r="O2226" s="9">
        <v>45009</v>
      </c>
      <c r="P2226">
        <v>6</v>
      </c>
      <c r="Q2226" s="11" t="s">
        <v>49</v>
      </c>
      <c r="R2226" s="7">
        <v>19958.047999999999</v>
      </c>
      <c r="S2226" s="7"/>
      <c r="T2226" s="7"/>
      <c r="U2226" s="7"/>
      <c r="V2226" s="10">
        <v>9.5</v>
      </c>
      <c r="W2226" s="9">
        <v>45002</v>
      </c>
      <c r="X2226" s="10">
        <v>11.5</v>
      </c>
      <c r="Y2226" s="9">
        <v>45009</v>
      </c>
      <c r="Z2226">
        <v>6</v>
      </c>
      <c r="AA2226" s="11" t="s">
        <v>49</v>
      </c>
    </row>
    <row r="2227" spans="2:27" ht="16" x14ac:dyDescent="0.2">
      <c r="B2227" t="s">
        <v>35</v>
      </c>
      <c r="C2227">
        <v>40362519</v>
      </c>
      <c r="D2227" t="s">
        <v>409</v>
      </c>
      <c r="E2227">
        <v>1012147</v>
      </c>
      <c r="F2227" t="s">
        <v>217</v>
      </c>
      <c r="G2227" s="9">
        <v>45007</v>
      </c>
      <c r="H2227" s="7"/>
      <c r="I2227" s="7">
        <v>18660.774880000001</v>
      </c>
      <c r="J2227" s="7"/>
      <c r="K2227" s="7"/>
      <c r="L2227" s="10">
        <v>7.5</v>
      </c>
      <c r="M2227" s="9">
        <v>45014</v>
      </c>
      <c r="N2227" s="10">
        <v>9.5</v>
      </c>
      <c r="O2227" s="9">
        <v>45023</v>
      </c>
      <c r="P2227">
        <v>19</v>
      </c>
      <c r="Q2227" s="11" t="s">
        <v>49</v>
      </c>
      <c r="R2227" s="7"/>
      <c r="S2227" s="7">
        <v>18660.774880000001</v>
      </c>
      <c r="T2227" s="7"/>
      <c r="U2227" s="7"/>
      <c r="V2227" s="10">
        <v>9.5</v>
      </c>
      <c r="W2227" s="9">
        <v>45016</v>
      </c>
      <c r="X2227" s="10">
        <v>11.5</v>
      </c>
      <c r="Y2227" s="9">
        <v>45023</v>
      </c>
      <c r="Z2227">
        <v>19</v>
      </c>
      <c r="AA2227" s="11" t="s">
        <v>49</v>
      </c>
    </row>
    <row r="2228" spans="2:27" ht="16" x14ac:dyDescent="0.2">
      <c r="B2228" t="s">
        <v>35</v>
      </c>
      <c r="C2228">
        <v>40362517</v>
      </c>
      <c r="D2228" t="s">
        <v>409</v>
      </c>
      <c r="E2228">
        <v>1012483</v>
      </c>
      <c r="F2228" t="s">
        <v>90</v>
      </c>
      <c r="G2228" s="9">
        <v>44999</v>
      </c>
      <c r="H2228" s="7">
        <v>19958.047999999999</v>
      </c>
      <c r="I2228" s="7"/>
      <c r="J2228" s="7"/>
      <c r="K2228" s="7"/>
      <c r="L2228" s="10">
        <v>7.5</v>
      </c>
      <c r="M2228" s="9">
        <v>45006</v>
      </c>
      <c r="N2228" s="10">
        <v>9.5</v>
      </c>
      <c r="O2228" s="9">
        <v>45015</v>
      </c>
      <c r="P2228">
        <v>1</v>
      </c>
      <c r="Q2228" s="11" t="s">
        <v>598</v>
      </c>
      <c r="R2228" s="7">
        <v>19958.047999999999</v>
      </c>
      <c r="S2228" s="7"/>
      <c r="T2228" s="7"/>
      <c r="U2228" s="7"/>
      <c r="V2228" s="10">
        <v>9.5</v>
      </c>
      <c r="W2228" s="9">
        <v>45008</v>
      </c>
      <c r="X2228" s="10">
        <v>11.5</v>
      </c>
      <c r="Y2228" s="9">
        <v>45015</v>
      </c>
      <c r="Z2228">
        <v>1</v>
      </c>
      <c r="AA2228" s="11" t="s">
        <v>598</v>
      </c>
    </row>
    <row r="2229" spans="2:27" ht="16" x14ac:dyDescent="0.2">
      <c r="B2229" t="s">
        <v>35</v>
      </c>
      <c r="C2229">
        <v>40362516</v>
      </c>
      <c r="D2229" t="s">
        <v>409</v>
      </c>
      <c r="E2229">
        <v>1012483</v>
      </c>
      <c r="F2229" t="s">
        <v>90</v>
      </c>
      <c r="G2229" s="9">
        <v>44992</v>
      </c>
      <c r="H2229" s="7">
        <v>19958.047999999999</v>
      </c>
      <c r="I2229" s="7"/>
      <c r="J2229" s="7"/>
      <c r="K2229" s="7"/>
      <c r="L2229" s="10">
        <v>7.5</v>
      </c>
      <c r="M2229" s="9">
        <v>44999</v>
      </c>
      <c r="N2229" s="10">
        <v>9.5</v>
      </c>
      <c r="O2229" s="9">
        <v>45008</v>
      </c>
      <c r="P2229">
        <v>7</v>
      </c>
      <c r="Q2229" s="11" t="s">
        <v>49</v>
      </c>
      <c r="R2229" s="7">
        <v>19958.047999999999</v>
      </c>
      <c r="S2229" s="7"/>
      <c r="T2229" s="7"/>
      <c r="U2229" s="7"/>
      <c r="V2229" s="10">
        <v>9.5</v>
      </c>
      <c r="W2229" s="9">
        <v>45001</v>
      </c>
      <c r="X2229" s="10">
        <v>11.5</v>
      </c>
      <c r="Y2229" s="9">
        <v>45008</v>
      </c>
      <c r="Z2229">
        <v>7</v>
      </c>
      <c r="AA2229" s="11" t="s">
        <v>49</v>
      </c>
    </row>
    <row r="2230" spans="2:27" ht="16" x14ac:dyDescent="0.2">
      <c r="B2230" t="s">
        <v>35</v>
      </c>
      <c r="C2230">
        <v>40362494</v>
      </c>
      <c r="D2230" t="s">
        <v>409</v>
      </c>
      <c r="E2230">
        <v>1012164</v>
      </c>
      <c r="F2230" t="s">
        <v>142</v>
      </c>
      <c r="G2230" s="9">
        <v>44999</v>
      </c>
      <c r="H2230" s="7">
        <v>19794.75488</v>
      </c>
      <c r="I2230" s="7"/>
      <c r="J2230" s="7"/>
      <c r="K2230" s="7"/>
      <c r="L2230" s="10">
        <v>7.5</v>
      </c>
      <c r="M2230" s="9">
        <v>45006</v>
      </c>
      <c r="N2230" s="10">
        <v>9.5</v>
      </c>
      <c r="O2230" s="9">
        <v>45015</v>
      </c>
      <c r="P2230">
        <v>1</v>
      </c>
      <c r="Q2230" s="11" t="s">
        <v>598</v>
      </c>
      <c r="R2230" s="7">
        <v>19794.75488</v>
      </c>
      <c r="S2230" s="7"/>
      <c r="T2230" s="7"/>
      <c r="U2230" s="7"/>
      <c r="V2230" s="10">
        <v>9.5</v>
      </c>
      <c r="W2230" s="9">
        <v>45008</v>
      </c>
      <c r="X2230" s="10">
        <v>11.5</v>
      </c>
      <c r="Y2230" s="9">
        <v>45015</v>
      </c>
      <c r="Z2230">
        <v>1</v>
      </c>
      <c r="AA2230" s="11" t="s">
        <v>598</v>
      </c>
    </row>
    <row r="2231" spans="2:27" ht="16" x14ac:dyDescent="0.2">
      <c r="B2231" t="s">
        <v>35</v>
      </c>
      <c r="C2231">
        <v>40362493</v>
      </c>
      <c r="D2231" t="s">
        <v>409</v>
      </c>
      <c r="E2231">
        <v>1012161</v>
      </c>
      <c r="F2231" t="s">
        <v>101</v>
      </c>
      <c r="G2231" s="9">
        <v>44999</v>
      </c>
      <c r="H2231" s="7">
        <v>19958.047999999999</v>
      </c>
      <c r="I2231" s="7"/>
      <c r="J2231" s="7"/>
      <c r="K2231" s="7"/>
      <c r="L2231" s="10">
        <v>7.5</v>
      </c>
      <c r="M2231" s="9">
        <v>45006</v>
      </c>
      <c r="N2231" s="10">
        <v>9.5</v>
      </c>
      <c r="O2231" s="9">
        <v>45015</v>
      </c>
      <c r="P2231">
        <v>1</v>
      </c>
      <c r="Q2231" s="11" t="s">
        <v>598</v>
      </c>
      <c r="R2231" s="7">
        <v>19958.047999999999</v>
      </c>
      <c r="S2231" s="7"/>
      <c r="T2231" s="7"/>
      <c r="U2231" s="7"/>
      <c r="V2231" s="10">
        <v>9.5</v>
      </c>
      <c r="W2231" s="9">
        <v>45008</v>
      </c>
      <c r="X2231" s="10">
        <v>11.5</v>
      </c>
      <c r="Y2231" s="9">
        <v>45015</v>
      </c>
      <c r="Z2231">
        <v>1</v>
      </c>
      <c r="AA2231" s="11" t="s">
        <v>598</v>
      </c>
    </row>
    <row r="2232" spans="2:27" ht="16" x14ac:dyDescent="0.2">
      <c r="B2232" t="s">
        <v>35</v>
      </c>
      <c r="C2232">
        <v>40362481</v>
      </c>
      <c r="D2232" t="s">
        <v>391</v>
      </c>
      <c r="E2232">
        <v>1021936</v>
      </c>
      <c r="F2232" t="s">
        <v>411</v>
      </c>
      <c r="G2232" s="9">
        <v>45005</v>
      </c>
      <c r="H2232" s="7"/>
      <c r="I2232" s="7">
        <v>24000</v>
      </c>
      <c r="J2232" s="7"/>
      <c r="K2232" s="7"/>
      <c r="L2232" s="10">
        <v>4.830303030303031</v>
      </c>
      <c r="M2232" s="9">
        <v>45009</v>
      </c>
      <c r="N2232" s="10">
        <v>15</v>
      </c>
      <c r="O2232" s="9">
        <v>45024</v>
      </c>
      <c r="P2232">
        <v>18</v>
      </c>
      <c r="Q2232" s="11" t="s">
        <v>49</v>
      </c>
      <c r="R2232" s="7"/>
      <c r="S2232" s="7">
        <v>24000</v>
      </c>
      <c r="T2232" s="7"/>
      <c r="U2232" s="7"/>
      <c r="V2232" s="10">
        <v>6.830303030303031</v>
      </c>
      <c r="W2232" s="9">
        <v>45011</v>
      </c>
      <c r="X2232" s="10">
        <v>17</v>
      </c>
      <c r="Y2232" s="9">
        <v>45024</v>
      </c>
      <c r="Z2232">
        <v>18</v>
      </c>
      <c r="AA2232" s="11" t="s">
        <v>49</v>
      </c>
    </row>
    <row r="2233" spans="2:27" x14ac:dyDescent="0.2">
      <c r="B2233" t="s">
        <v>394</v>
      </c>
      <c r="C2233">
        <v>40362463</v>
      </c>
      <c r="D2233" t="s">
        <v>485</v>
      </c>
      <c r="E2233">
        <v>1012534</v>
      </c>
      <c r="F2233" t="s">
        <v>640</v>
      </c>
      <c r="G2233" s="9">
        <v>44968</v>
      </c>
      <c r="H2233" s="7"/>
      <c r="I2233" s="7"/>
      <c r="J2233" s="7"/>
      <c r="K2233" s="7"/>
      <c r="L2233" s="10"/>
      <c r="N2233" s="10"/>
      <c r="Q2233" s="11"/>
      <c r="R2233" s="7"/>
      <c r="S2233" s="7"/>
      <c r="T2233" s="7"/>
      <c r="U2233" s="7"/>
      <c r="V2233" s="10"/>
      <c r="X2233" s="10"/>
      <c r="AA2233" s="11"/>
    </row>
    <row r="2234" spans="2:27" x14ac:dyDescent="0.2">
      <c r="B2234" t="s">
        <v>394</v>
      </c>
      <c r="C2234">
        <v>40362463</v>
      </c>
      <c r="D2234" t="s">
        <v>485</v>
      </c>
      <c r="E2234">
        <v>1012778</v>
      </c>
      <c r="F2234" t="s">
        <v>613</v>
      </c>
      <c r="G2234" s="9">
        <v>44968</v>
      </c>
      <c r="H2234" s="7"/>
      <c r="I2234" s="7"/>
      <c r="J2234" s="7"/>
      <c r="K2234" s="7"/>
      <c r="L2234" s="10"/>
      <c r="N2234" s="10"/>
      <c r="Q2234" s="11"/>
      <c r="R2234" s="7"/>
      <c r="S2234" s="7"/>
      <c r="T2234" s="7"/>
      <c r="U2234" s="7"/>
      <c r="V2234" s="10"/>
      <c r="X2234" s="10"/>
      <c r="AA2234" s="11"/>
    </row>
    <row r="2235" spans="2:27" x14ac:dyDescent="0.2">
      <c r="B2235" t="s">
        <v>394</v>
      </c>
      <c r="C2235">
        <v>40362463</v>
      </c>
      <c r="D2235" t="s">
        <v>485</v>
      </c>
      <c r="E2235">
        <v>1012208</v>
      </c>
      <c r="F2235" t="s">
        <v>641</v>
      </c>
      <c r="G2235" s="9">
        <v>44968</v>
      </c>
      <c r="H2235" s="7"/>
      <c r="I2235" s="7"/>
      <c r="J2235" s="7"/>
      <c r="K2235" s="7"/>
      <c r="L2235" s="10"/>
      <c r="N2235" s="10"/>
      <c r="Q2235" s="11"/>
      <c r="R2235" s="7"/>
      <c r="S2235" s="7"/>
      <c r="T2235" s="7"/>
      <c r="U2235" s="7"/>
      <c r="V2235" s="10"/>
      <c r="X2235" s="10"/>
      <c r="AA2235" s="11"/>
    </row>
    <row r="2236" spans="2:27" ht="16" x14ac:dyDescent="0.2">
      <c r="B2236" t="s">
        <v>35</v>
      </c>
      <c r="C2236">
        <v>40362397</v>
      </c>
      <c r="D2236" t="s">
        <v>409</v>
      </c>
      <c r="E2236">
        <v>1012145</v>
      </c>
      <c r="F2236" t="s">
        <v>84</v>
      </c>
      <c r="G2236" s="9">
        <v>44985</v>
      </c>
      <c r="H2236" s="7">
        <v>19758.467519999998</v>
      </c>
      <c r="I2236" s="7"/>
      <c r="J2236" s="7"/>
      <c r="K2236" s="7"/>
      <c r="L2236" s="10">
        <v>7.5</v>
      </c>
      <c r="M2236" s="9">
        <v>44992</v>
      </c>
      <c r="N2236" s="10">
        <v>9.5</v>
      </c>
      <c r="O2236" s="9">
        <v>45001</v>
      </c>
      <c r="P2236">
        <v>13</v>
      </c>
      <c r="Q2236" s="11" t="s">
        <v>49</v>
      </c>
      <c r="R2236" s="7">
        <v>19758.467519999998</v>
      </c>
      <c r="S2236" s="7"/>
      <c r="T2236" s="7"/>
      <c r="U2236" s="7"/>
      <c r="V2236" s="10">
        <v>9.5</v>
      </c>
      <c r="W2236" s="9">
        <v>44994</v>
      </c>
      <c r="X2236" s="10">
        <v>11.5</v>
      </c>
      <c r="Y2236" s="9">
        <v>45001</v>
      </c>
      <c r="Z2236">
        <v>13</v>
      </c>
      <c r="AA2236" s="11" t="s">
        <v>49</v>
      </c>
    </row>
    <row r="2237" spans="2:27" ht="16" x14ac:dyDescent="0.2">
      <c r="B2237" t="s">
        <v>35</v>
      </c>
      <c r="C2237">
        <v>40362383</v>
      </c>
      <c r="D2237" t="s">
        <v>409</v>
      </c>
      <c r="E2237">
        <v>1012524</v>
      </c>
      <c r="F2237" t="s">
        <v>144</v>
      </c>
      <c r="G2237" s="9">
        <v>45000</v>
      </c>
      <c r="H2237" s="7">
        <v>18143.68</v>
      </c>
      <c r="I2237" s="7"/>
      <c r="J2237" s="7"/>
      <c r="K2237" s="7"/>
      <c r="L2237" s="10">
        <v>7.5</v>
      </c>
      <c r="M2237" s="9">
        <v>45007</v>
      </c>
      <c r="N2237" s="10">
        <v>9.5</v>
      </c>
      <c r="O2237" s="9">
        <v>45016</v>
      </c>
      <c r="P2237">
        <v>0</v>
      </c>
      <c r="Q2237" s="11" t="s">
        <v>598</v>
      </c>
      <c r="R2237" s="7">
        <v>18143.68</v>
      </c>
      <c r="S2237" s="7"/>
      <c r="T2237" s="7"/>
      <c r="U2237" s="7"/>
      <c r="V2237" s="10">
        <v>9.5</v>
      </c>
      <c r="W2237" s="9">
        <v>45009</v>
      </c>
      <c r="X2237" s="10">
        <v>11.5</v>
      </c>
      <c r="Y2237" s="9">
        <v>45016</v>
      </c>
      <c r="Z2237">
        <v>0</v>
      </c>
      <c r="AA2237" s="11" t="s">
        <v>598</v>
      </c>
    </row>
    <row r="2238" spans="2:27" x14ac:dyDescent="0.2">
      <c r="B2238" t="s">
        <v>394</v>
      </c>
      <c r="C2238">
        <v>40362345</v>
      </c>
      <c r="D2238" t="s">
        <v>485</v>
      </c>
      <c r="E2238">
        <v>1020944</v>
      </c>
      <c r="F2238" t="s">
        <v>498</v>
      </c>
      <c r="G2238" s="9">
        <v>44981</v>
      </c>
      <c r="H2238" s="7"/>
      <c r="I2238" s="7"/>
      <c r="J2238" s="7"/>
      <c r="K2238" s="7"/>
      <c r="L2238" s="10"/>
      <c r="N2238" s="10"/>
      <c r="Q2238" s="11"/>
      <c r="R2238" s="7"/>
      <c r="S2238" s="7"/>
      <c r="T2238" s="7"/>
      <c r="U2238" s="7"/>
      <c r="V2238" s="10"/>
      <c r="X2238" s="10"/>
      <c r="AA2238" s="11"/>
    </row>
    <row r="2239" spans="2:27" x14ac:dyDescent="0.2">
      <c r="B2239" t="s">
        <v>394</v>
      </c>
      <c r="C2239">
        <v>40362344</v>
      </c>
      <c r="D2239" t="s">
        <v>485</v>
      </c>
      <c r="E2239">
        <v>1020944</v>
      </c>
      <c r="F2239" t="s">
        <v>498</v>
      </c>
      <c r="G2239" s="9">
        <v>44981</v>
      </c>
      <c r="H2239" s="7"/>
      <c r="I2239" s="7"/>
      <c r="J2239" s="7"/>
      <c r="K2239" s="7"/>
      <c r="L2239" s="10"/>
      <c r="N2239" s="10"/>
      <c r="Q2239" s="11"/>
      <c r="R2239" s="7"/>
      <c r="S2239" s="7"/>
      <c r="T2239" s="7"/>
      <c r="U2239" s="7"/>
      <c r="V2239" s="10"/>
      <c r="X2239" s="10"/>
      <c r="AA2239" s="11"/>
    </row>
    <row r="2240" spans="2:27" x14ac:dyDescent="0.2">
      <c r="B2240" t="s">
        <v>394</v>
      </c>
      <c r="C2240">
        <v>40362343</v>
      </c>
      <c r="D2240" t="s">
        <v>485</v>
      </c>
      <c r="E2240">
        <v>1020944</v>
      </c>
      <c r="F2240" t="s">
        <v>498</v>
      </c>
      <c r="G2240" s="9">
        <v>44976</v>
      </c>
      <c r="H2240" s="7"/>
      <c r="I2240" s="7"/>
      <c r="J2240" s="7"/>
      <c r="K2240" s="7"/>
      <c r="L2240" s="10"/>
      <c r="N2240" s="10"/>
      <c r="Q2240" s="11"/>
      <c r="R2240" s="7"/>
      <c r="S2240" s="7"/>
      <c r="T2240" s="7"/>
      <c r="U2240" s="7"/>
      <c r="V2240" s="10"/>
      <c r="X2240" s="10"/>
      <c r="AA2240" s="11"/>
    </row>
    <row r="2241" spans="2:27" ht="16" x14ac:dyDescent="0.2">
      <c r="B2241" t="s">
        <v>35</v>
      </c>
      <c r="C2241">
        <v>40362318</v>
      </c>
      <c r="D2241" t="s">
        <v>389</v>
      </c>
      <c r="E2241">
        <v>1021766</v>
      </c>
      <c r="F2241" t="s">
        <v>286</v>
      </c>
      <c r="G2241" s="9">
        <v>45013</v>
      </c>
      <c r="H2241" s="7"/>
      <c r="I2241" s="7">
        <v>24372</v>
      </c>
      <c r="J2241" s="7"/>
      <c r="K2241" s="7"/>
      <c r="L2241" s="10">
        <v>5.5741092456127026</v>
      </c>
      <c r="M2241" s="9">
        <v>45018</v>
      </c>
      <c r="N2241" s="10">
        <v>5.5</v>
      </c>
      <c r="O2241" s="9">
        <v>45023</v>
      </c>
      <c r="P2241">
        <v>19</v>
      </c>
      <c r="Q2241" s="11" t="s">
        <v>49</v>
      </c>
      <c r="R2241" s="7"/>
      <c r="S2241" s="7">
        <v>24372</v>
      </c>
      <c r="T2241" s="7"/>
      <c r="U2241" s="7"/>
      <c r="V2241" s="10">
        <v>7.5741092456127026</v>
      </c>
      <c r="W2241" s="9">
        <v>45020</v>
      </c>
      <c r="X2241" s="10">
        <v>7.5</v>
      </c>
      <c r="Y2241" s="9">
        <v>45023</v>
      </c>
      <c r="Z2241">
        <v>19</v>
      </c>
      <c r="AA2241" s="11" t="s">
        <v>49</v>
      </c>
    </row>
    <row r="2242" spans="2:27" ht="16" x14ac:dyDescent="0.2">
      <c r="B2242" t="s">
        <v>35</v>
      </c>
      <c r="C2242">
        <v>40362316</v>
      </c>
      <c r="D2242" t="s">
        <v>389</v>
      </c>
      <c r="E2242">
        <v>1022639</v>
      </c>
      <c r="F2242" t="s">
        <v>316</v>
      </c>
      <c r="G2242" s="9">
        <v>45018</v>
      </c>
      <c r="H2242" s="7"/>
      <c r="I2242" s="7">
        <v>22590.52</v>
      </c>
      <c r="J2242" s="7"/>
      <c r="K2242" s="7"/>
      <c r="L2242" s="10">
        <v>5.5741092456127026</v>
      </c>
      <c r="M2242" s="9">
        <v>45023</v>
      </c>
      <c r="N2242" s="10">
        <v>5.5</v>
      </c>
      <c r="O2242" s="9">
        <v>45028</v>
      </c>
      <c r="P2242">
        <v>15</v>
      </c>
      <c r="Q2242" s="11" t="s">
        <v>49</v>
      </c>
      <c r="R2242" s="7"/>
      <c r="S2242" s="7">
        <v>22590.52</v>
      </c>
      <c r="T2242" s="7"/>
      <c r="U2242" s="7"/>
      <c r="V2242" s="10">
        <v>7.5741092456127026</v>
      </c>
      <c r="W2242" s="9">
        <v>45025</v>
      </c>
      <c r="X2242" s="10">
        <v>7.5</v>
      </c>
      <c r="Y2242" s="9">
        <v>45028</v>
      </c>
      <c r="Z2242">
        <v>15</v>
      </c>
      <c r="AA2242" s="11" t="s">
        <v>49</v>
      </c>
    </row>
    <row r="2243" spans="2:27" x14ac:dyDescent="0.2">
      <c r="B2243" t="s">
        <v>394</v>
      </c>
      <c r="C2243">
        <v>40362304</v>
      </c>
      <c r="D2243" t="s">
        <v>485</v>
      </c>
      <c r="E2243">
        <v>1021092</v>
      </c>
      <c r="F2243" t="s">
        <v>525</v>
      </c>
      <c r="G2243" s="9">
        <v>44989</v>
      </c>
      <c r="H2243" s="7">
        <v>11970.8</v>
      </c>
      <c r="I2243" s="7"/>
      <c r="J2243" s="7"/>
      <c r="K2243" s="7"/>
      <c r="L2243" s="10"/>
      <c r="N2243" s="10"/>
      <c r="Q2243" s="11"/>
      <c r="R2243" s="7">
        <v>11970.8</v>
      </c>
      <c r="S2243" s="7"/>
      <c r="T2243" s="7"/>
      <c r="U2243" s="7"/>
      <c r="V2243" s="10"/>
      <c r="X2243" s="10"/>
      <c r="AA2243" s="11"/>
    </row>
    <row r="2244" spans="2:27" x14ac:dyDescent="0.2">
      <c r="B2244" t="s">
        <v>394</v>
      </c>
      <c r="C2244">
        <v>40362304</v>
      </c>
      <c r="D2244" t="s">
        <v>485</v>
      </c>
      <c r="E2244">
        <v>1021092</v>
      </c>
      <c r="F2244" t="s">
        <v>525</v>
      </c>
      <c r="G2244" s="9">
        <v>44989</v>
      </c>
      <c r="H2244" s="7">
        <v>24004.43</v>
      </c>
      <c r="I2244" s="7"/>
      <c r="J2244" s="7"/>
      <c r="K2244" s="7"/>
      <c r="L2244" s="10"/>
      <c r="N2244" s="10"/>
      <c r="Q2244" s="11"/>
      <c r="R2244" s="7">
        <v>24004.43</v>
      </c>
      <c r="S2244" s="7"/>
      <c r="T2244" s="7"/>
      <c r="U2244" s="7"/>
      <c r="V2244" s="10"/>
      <c r="X2244" s="10"/>
      <c r="AA2244" s="11"/>
    </row>
    <row r="2245" spans="2:27" x14ac:dyDescent="0.2">
      <c r="B2245" t="s">
        <v>394</v>
      </c>
      <c r="C2245">
        <v>40362303</v>
      </c>
      <c r="D2245" t="s">
        <v>485</v>
      </c>
      <c r="E2245">
        <v>1021092</v>
      </c>
      <c r="F2245" t="s">
        <v>525</v>
      </c>
      <c r="G2245" s="9">
        <v>44980</v>
      </c>
      <c r="H2245" s="7"/>
      <c r="I2245" s="7"/>
      <c r="J2245" s="7"/>
      <c r="K2245" s="7"/>
      <c r="L2245" s="10"/>
      <c r="N2245" s="10"/>
      <c r="Q2245" s="11"/>
      <c r="R2245" s="7"/>
      <c r="S2245" s="7"/>
      <c r="T2245" s="7"/>
      <c r="U2245" s="7"/>
      <c r="V2245" s="10"/>
      <c r="X2245" s="10"/>
      <c r="AA2245" s="11"/>
    </row>
    <row r="2246" spans="2:27" x14ac:dyDescent="0.2">
      <c r="B2246" t="s">
        <v>394</v>
      </c>
      <c r="C2246">
        <v>40362290</v>
      </c>
      <c r="D2246" t="s">
        <v>485</v>
      </c>
      <c r="E2246">
        <v>1020086</v>
      </c>
      <c r="F2246" t="s">
        <v>526</v>
      </c>
      <c r="G2246" s="9">
        <v>44996</v>
      </c>
      <c r="H2246" s="7">
        <v>23918.89</v>
      </c>
      <c r="I2246" s="7"/>
      <c r="J2246" s="7"/>
      <c r="K2246" s="7"/>
      <c r="L2246" s="10"/>
      <c r="N2246" s="10"/>
      <c r="Q2246" s="11"/>
      <c r="R2246" s="7">
        <v>23918.89</v>
      </c>
      <c r="S2246" s="7"/>
      <c r="T2246" s="7"/>
      <c r="U2246" s="7"/>
      <c r="V2246" s="10"/>
      <c r="X2246" s="10"/>
      <c r="AA2246" s="11"/>
    </row>
    <row r="2247" spans="2:27" ht="16" x14ac:dyDescent="0.2">
      <c r="B2247" t="s">
        <v>35</v>
      </c>
      <c r="C2247">
        <v>40362283</v>
      </c>
      <c r="D2247" t="s">
        <v>386</v>
      </c>
      <c r="E2247">
        <v>1030224</v>
      </c>
      <c r="F2247" t="s">
        <v>527</v>
      </c>
      <c r="G2247" s="9">
        <v>45049</v>
      </c>
      <c r="H2247" s="7"/>
      <c r="I2247" s="7"/>
      <c r="J2247" s="7">
        <v>24009.79</v>
      </c>
      <c r="K2247" s="7"/>
      <c r="L2247" s="10">
        <v>5.1420118343195256</v>
      </c>
      <c r="M2247" s="9">
        <v>45054</v>
      </c>
      <c r="N2247" s="10">
        <v>7.5</v>
      </c>
      <c r="O2247" s="9">
        <v>45061</v>
      </c>
      <c r="P2247">
        <v>14</v>
      </c>
      <c r="Q2247" s="11" t="s">
        <v>49</v>
      </c>
      <c r="R2247" s="7"/>
      <c r="S2247" s="7"/>
      <c r="T2247" s="7">
        <v>24009.79</v>
      </c>
      <c r="U2247" s="7"/>
      <c r="V2247" s="10">
        <v>7.1420118343195256</v>
      </c>
      <c r="W2247" s="9">
        <v>45056</v>
      </c>
      <c r="X2247" s="10">
        <v>9.5</v>
      </c>
      <c r="Y2247" s="9">
        <v>45061</v>
      </c>
      <c r="Z2247">
        <v>14</v>
      </c>
      <c r="AA2247" s="11" t="s">
        <v>49</v>
      </c>
    </row>
    <row r="2248" spans="2:27" ht="16" x14ac:dyDescent="0.2">
      <c r="B2248" t="s">
        <v>35</v>
      </c>
      <c r="C2248">
        <v>40362281</v>
      </c>
      <c r="D2248" t="s">
        <v>386</v>
      </c>
      <c r="E2248">
        <v>1030332</v>
      </c>
      <c r="F2248" t="s">
        <v>528</v>
      </c>
      <c r="G2248" s="9">
        <v>45045</v>
      </c>
      <c r="H2248" s="7"/>
      <c r="I2248" s="7"/>
      <c r="J2248" s="7">
        <v>24000</v>
      </c>
      <c r="K2248" s="7"/>
      <c r="L2248" s="10">
        <v>5.1420118343195256</v>
      </c>
      <c r="M2248" s="9">
        <v>45050</v>
      </c>
      <c r="N2248" s="10">
        <v>7.5</v>
      </c>
      <c r="O2248" s="9">
        <v>45057</v>
      </c>
      <c r="P2248">
        <v>17</v>
      </c>
      <c r="Q2248" s="11" t="s">
        <v>49</v>
      </c>
      <c r="R2248" s="7"/>
      <c r="S2248" s="7"/>
      <c r="T2248" s="7">
        <v>24000</v>
      </c>
      <c r="U2248" s="7"/>
      <c r="V2248" s="10">
        <v>7.1420118343195256</v>
      </c>
      <c r="W2248" s="9">
        <v>45052</v>
      </c>
      <c r="X2248" s="10">
        <v>9.5</v>
      </c>
      <c r="Y2248" s="9">
        <v>45057</v>
      </c>
      <c r="Z2248">
        <v>17</v>
      </c>
      <c r="AA2248" s="11" t="s">
        <v>49</v>
      </c>
    </row>
    <row r="2249" spans="2:27" ht="16" x14ac:dyDescent="0.2">
      <c r="B2249" t="s">
        <v>35</v>
      </c>
      <c r="C2249">
        <v>40362280</v>
      </c>
      <c r="D2249" t="s">
        <v>386</v>
      </c>
      <c r="E2249">
        <v>1030224</v>
      </c>
      <c r="F2249" t="s">
        <v>527</v>
      </c>
      <c r="G2249" s="9">
        <v>45049</v>
      </c>
      <c r="H2249" s="7"/>
      <c r="I2249" s="7"/>
      <c r="J2249" s="7">
        <v>24009.19</v>
      </c>
      <c r="K2249" s="7"/>
      <c r="L2249" s="10">
        <v>5.1420118343195256</v>
      </c>
      <c r="M2249" s="9">
        <v>45054</v>
      </c>
      <c r="N2249" s="10">
        <v>7.5</v>
      </c>
      <c r="O2249" s="9">
        <v>45061</v>
      </c>
      <c r="P2249">
        <v>14</v>
      </c>
      <c r="Q2249" s="11" t="s">
        <v>49</v>
      </c>
      <c r="R2249" s="7"/>
      <c r="S2249" s="7"/>
      <c r="T2249" s="7">
        <v>24009.19</v>
      </c>
      <c r="U2249" s="7"/>
      <c r="V2249" s="10">
        <v>7.1420118343195256</v>
      </c>
      <c r="W2249" s="9">
        <v>45056</v>
      </c>
      <c r="X2249" s="10">
        <v>9.5</v>
      </c>
      <c r="Y2249" s="9">
        <v>45061</v>
      </c>
      <c r="Z2249">
        <v>14</v>
      </c>
      <c r="AA2249" s="11" t="s">
        <v>49</v>
      </c>
    </row>
    <row r="2250" spans="2:27" ht="16" x14ac:dyDescent="0.2">
      <c r="B2250" t="s">
        <v>35</v>
      </c>
      <c r="C2250">
        <v>40362279</v>
      </c>
      <c r="D2250" t="s">
        <v>386</v>
      </c>
      <c r="E2250">
        <v>1030224</v>
      </c>
      <c r="F2250" t="s">
        <v>527</v>
      </c>
      <c r="G2250" s="9">
        <v>45038</v>
      </c>
      <c r="H2250" s="7"/>
      <c r="I2250" s="7"/>
      <c r="J2250" s="7">
        <v>23999.17</v>
      </c>
      <c r="K2250" s="7"/>
      <c r="L2250" s="10">
        <v>5.1420118343195256</v>
      </c>
      <c r="M2250" s="9">
        <v>45043</v>
      </c>
      <c r="N2250" s="10">
        <v>7.5</v>
      </c>
      <c r="O2250" s="9">
        <v>45050</v>
      </c>
      <c r="P2250">
        <v>23</v>
      </c>
      <c r="Q2250" s="11" t="s">
        <v>49</v>
      </c>
      <c r="R2250" s="7"/>
      <c r="S2250" s="7"/>
      <c r="T2250" s="7">
        <v>23999.17</v>
      </c>
      <c r="U2250" s="7"/>
      <c r="V2250" s="10">
        <v>7.1420118343195256</v>
      </c>
      <c r="W2250" s="9">
        <v>45045</v>
      </c>
      <c r="X2250" s="10">
        <v>9.5</v>
      </c>
      <c r="Y2250" s="9">
        <v>45050</v>
      </c>
      <c r="Z2250">
        <v>23</v>
      </c>
      <c r="AA2250" s="11" t="s">
        <v>49</v>
      </c>
    </row>
    <row r="2251" spans="2:27" ht="16" x14ac:dyDescent="0.2">
      <c r="B2251" t="s">
        <v>35</v>
      </c>
      <c r="C2251">
        <v>40362278</v>
      </c>
      <c r="D2251" t="s">
        <v>386</v>
      </c>
      <c r="E2251">
        <v>1012207</v>
      </c>
      <c r="F2251" t="s">
        <v>464</v>
      </c>
      <c r="G2251" s="9">
        <v>45056</v>
      </c>
      <c r="H2251" s="7"/>
      <c r="I2251" s="7"/>
      <c r="J2251" s="7">
        <v>24000</v>
      </c>
      <c r="K2251" s="7"/>
      <c r="L2251" s="10">
        <v>5.1420118343195256</v>
      </c>
      <c r="M2251" s="9">
        <v>45061</v>
      </c>
      <c r="N2251" s="10">
        <v>7.5</v>
      </c>
      <c r="O2251" s="9">
        <v>45068</v>
      </c>
      <c r="P2251">
        <v>8</v>
      </c>
      <c r="Q2251" s="11" t="s">
        <v>49</v>
      </c>
      <c r="R2251" s="7"/>
      <c r="S2251" s="7"/>
      <c r="T2251" s="7">
        <v>24000</v>
      </c>
      <c r="U2251" s="7"/>
      <c r="V2251" s="10">
        <v>7.1420118343195256</v>
      </c>
      <c r="W2251" s="9">
        <v>45063</v>
      </c>
      <c r="X2251" s="10">
        <v>9.5</v>
      </c>
      <c r="Y2251" s="9">
        <v>45068</v>
      </c>
      <c r="Z2251">
        <v>8</v>
      </c>
      <c r="AA2251" s="11" t="s">
        <v>49</v>
      </c>
    </row>
    <row r="2252" spans="2:27" ht="16" x14ac:dyDescent="0.2">
      <c r="B2252" t="s">
        <v>35</v>
      </c>
      <c r="C2252">
        <v>40362276</v>
      </c>
      <c r="D2252" t="s">
        <v>386</v>
      </c>
      <c r="E2252">
        <v>1010877</v>
      </c>
      <c r="F2252" t="s">
        <v>387</v>
      </c>
      <c r="G2252" s="9">
        <v>45056</v>
      </c>
      <c r="H2252" s="7"/>
      <c r="I2252" s="7"/>
      <c r="J2252" s="7">
        <v>24000</v>
      </c>
      <c r="K2252" s="7"/>
      <c r="L2252" s="10">
        <v>5.1420118343195256</v>
      </c>
      <c r="M2252" s="9">
        <v>45061</v>
      </c>
      <c r="N2252" s="10">
        <v>7.5</v>
      </c>
      <c r="O2252" s="9">
        <v>45068</v>
      </c>
      <c r="P2252">
        <v>8</v>
      </c>
      <c r="Q2252" s="11" t="s">
        <v>49</v>
      </c>
      <c r="R2252" s="7"/>
      <c r="S2252" s="7"/>
      <c r="T2252" s="7">
        <v>24000</v>
      </c>
      <c r="U2252" s="7"/>
      <c r="V2252" s="10">
        <v>7.1420118343195256</v>
      </c>
      <c r="W2252" s="9">
        <v>45063</v>
      </c>
      <c r="X2252" s="10">
        <v>9.5</v>
      </c>
      <c r="Y2252" s="9">
        <v>45068</v>
      </c>
      <c r="Z2252">
        <v>8</v>
      </c>
      <c r="AA2252" s="11" t="s">
        <v>49</v>
      </c>
    </row>
    <row r="2253" spans="2:27" ht="16" x14ac:dyDescent="0.2">
      <c r="B2253" t="s">
        <v>35</v>
      </c>
      <c r="C2253">
        <v>40362272</v>
      </c>
      <c r="D2253" t="s">
        <v>389</v>
      </c>
      <c r="E2253">
        <v>1030525</v>
      </c>
      <c r="F2253" t="s">
        <v>377</v>
      </c>
      <c r="G2253" s="9">
        <v>45007</v>
      </c>
      <c r="H2253" s="7"/>
      <c r="I2253" s="7">
        <v>24000</v>
      </c>
      <c r="J2253" s="7"/>
      <c r="K2253" s="7"/>
      <c r="L2253" s="10">
        <v>5.5741092456127026</v>
      </c>
      <c r="M2253" s="9">
        <v>45012</v>
      </c>
      <c r="N2253" s="10">
        <v>5.5</v>
      </c>
      <c r="O2253" s="9">
        <v>45017</v>
      </c>
      <c r="P2253">
        <v>23</v>
      </c>
      <c r="Q2253" s="11" t="s">
        <v>49</v>
      </c>
      <c r="R2253" s="7"/>
      <c r="S2253" s="7">
        <v>24000</v>
      </c>
      <c r="T2253" s="7"/>
      <c r="U2253" s="7"/>
      <c r="V2253" s="10">
        <v>7.5741092456127026</v>
      </c>
      <c r="W2253" s="9">
        <v>45014</v>
      </c>
      <c r="X2253" s="10">
        <v>7.5</v>
      </c>
      <c r="Y2253" s="9">
        <v>45017</v>
      </c>
      <c r="Z2253">
        <v>23</v>
      </c>
      <c r="AA2253" s="11" t="s">
        <v>49</v>
      </c>
    </row>
    <row r="2254" spans="2:27" ht="16" x14ac:dyDescent="0.2">
      <c r="B2254" t="s">
        <v>35</v>
      </c>
      <c r="C2254">
        <v>40362271</v>
      </c>
      <c r="D2254" t="s">
        <v>389</v>
      </c>
      <c r="E2254">
        <v>1030525</v>
      </c>
      <c r="F2254" t="s">
        <v>377</v>
      </c>
      <c r="G2254" s="9">
        <v>45007</v>
      </c>
      <c r="H2254" s="7"/>
      <c r="I2254" s="7">
        <v>24000</v>
      </c>
      <c r="J2254" s="7"/>
      <c r="K2254" s="7"/>
      <c r="L2254" s="10">
        <v>5.5741092456127026</v>
      </c>
      <c r="M2254" s="9">
        <v>45012</v>
      </c>
      <c r="N2254" s="10">
        <v>5.5</v>
      </c>
      <c r="O2254" s="9">
        <v>45017</v>
      </c>
      <c r="P2254">
        <v>23</v>
      </c>
      <c r="Q2254" s="11" t="s">
        <v>49</v>
      </c>
      <c r="R2254" s="7"/>
      <c r="S2254" s="7">
        <v>24000</v>
      </c>
      <c r="T2254" s="7"/>
      <c r="U2254" s="7"/>
      <c r="V2254" s="10">
        <v>7.5741092456127026</v>
      </c>
      <c r="W2254" s="9">
        <v>45014</v>
      </c>
      <c r="X2254" s="10">
        <v>7.5</v>
      </c>
      <c r="Y2254" s="9">
        <v>45017</v>
      </c>
      <c r="Z2254">
        <v>23</v>
      </c>
      <c r="AA2254" s="11" t="s">
        <v>49</v>
      </c>
    </row>
    <row r="2255" spans="2:27" ht="16" x14ac:dyDescent="0.2">
      <c r="B2255" t="s">
        <v>35</v>
      </c>
      <c r="C2255">
        <v>40362269</v>
      </c>
      <c r="D2255" t="s">
        <v>389</v>
      </c>
      <c r="E2255">
        <v>1030566</v>
      </c>
      <c r="F2255" t="s">
        <v>439</v>
      </c>
      <c r="G2255" s="9">
        <v>45013</v>
      </c>
      <c r="H2255" s="7"/>
      <c r="I2255" s="7">
        <v>24000</v>
      </c>
      <c r="J2255" s="7"/>
      <c r="K2255" s="7"/>
      <c r="L2255" s="10">
        <v>5.5741092456127026</v>
      </c>
      <c r="M2255" s="9">
        <v>45018</v>
      </c>
      <c r="N2255" s="10">
        <v>5.5</v>
      </c>
      <c r="O2255" s="9">
        <v>45023</v>
      </c>
      <c r="P2255">
        <v>19</v>
      </c>
      <c r="Q2255" s="11" t="s">
        <v>49</v>
      </c>
      <c r="R2255" s="7"/>
      <c r="S2255" s="7">
        <v>24000</v>
      </c>
      <c r="T2255" s="7"/>
      <c r="U2255" s="7"/>
      <c r="V2255" s="10">
        <v>7.5741092456127026</v>
      </c>
      <c r="W2255" s="9">
        <v>45020</v>
      </c>
      <c r="X2255" s="10">
        <v>7.5</v>
      </c>
      <c r="Y2255" s="9">
        <v>45023</v>
      </c>
      <c r="Z2255">
        <v>19</v>
      </c>
      <c r="AA2255" s="11" t="s">
        <v>49</v>
      </c>
    </row>
    <row r="2256" spans="2:27" ht="16" x14ac:dyDescent="0.2">
      <c r="B2256" t="s">
        <v>35</v>
      </c>
      <c r="C2256">
        <v>40362268</v>
      </c>
      <c r="D2256" t="s">
        <v>389</v>
      </c>
      <c r="E2256">
        <v>1030686</v>
      </c>
      <c r="F2256" t="s">
        <v>381</v>
      </c>
      <c r="G2256" s="9">
        <v>45012</v>
      </c>
      <c r="H2256" s="7"/>
      <c r="I2256" s="7">
        <v>24000</v>
      </c>
      <c r="J2256" s="7"/>
      <c r="K2256" s="7"/>
      <c r="L2256" s="10">
        <v>5.5741092456127026</v>
      </c>
      <c r="M2256" s="9">
        <v>45017</v>
      </c>
      <c r="N2256" s="10">
        <v>5.5</v>
      </c>
      <c r="O2256" s="9">
        <v>45022</v>
      </c>
      <c r="P2256">
        <v>20</v>
      </c>
      <c r="Q2256" s="11" t="s">
        <v>49</v>
      </c>
      <c r="R2256" s="7"/>
      <c r="S2256" s="7">
        <v>24000</v>
      </c>
      <c r="T2256" s="7"/>
      <c r="U2256" s="7"/>
      <c r="V2256" s="10">
        <v>7.5741092456127026</v>
      </c>
      <c r="W2256" s="9">
        <v>45019</v>
      </c>
      <c r="X2256" s="10">
        <v>7.5</v>
      </c>
      <c r="Y2256" s="9">
        <v>45022</v>
      </c>
      <c r="Z2256">
        <v>20</v>
      </c>
      <c r="AA2256" s="11" t="s">
        <v>49</v>
      </c>
    </row>
    <row r="2257" spans="2:27" ht="16" x14ac:dyDescent="0.2">
      <c r="B2257" t="s">
        <v>35</v>
      </c>
      <c r="C2257">
        <v>40362267</v>
      </c>
      <c r="D2257" t="s">
        <v>389</v>
      </c>
      <c r="E2257">
        <v>1030686</v>
      </c>
      <c r="F2257" t="s">
        <v>381</v>
      </c>
      <c r="G2257" s="9">
        <v>45012</v>
      </c>
      <c r="H2257" s="7"/>
      <c r="I2257" s="7">
        <v>24000</v>
      </c>
      <c r="J2257" s="7"/>
      <c r="K2257" s="7"/>
      <c r="L2257" s="10">
        <v>5.5741092456127026</v>
      </c>
      <c r="M2257" s="9">
        <v>45017</v>
      </c>
      <c r="N2257" s="10">
        <v>5.5</v>
      </c>
      <c r="O2257" s="9">
        <v>45022</v>
      </c>
      <c r="P2257">
        <v>20</v>
      </c>
      <c r="Q2257" s="11" t="s">
        <v>49</v>
      </c>
      <c r="R2257" s="7"/>
      <c r="S2257" s="7">
        <v>24000</v>
      </c>
      <c r="T2257" s="7"/>
      <c r="U2257" s="7"/>
      <c r="V2257" s="10">
        <v>7.5741092456127026</v>
      </c>
      <c r="W2257" s="9">
        <v>45019</v>
      </c>
      <c r="X2257" s="10">
        <v>7.5</v>
      </c>
      <c r="Y2257" s="9">
        <v>45022</v>
      </c>
      <c r="Z2257">
        <v>20</v>
      </c>
      <c r="AA2257" s="11" t="s">
        <v>49</v>
      </c>
    </row>
    <row r="2258" spans="2:27" ht="16" x14ac:dyDescent="0.2">
      <c r="B2258" t="s">
        <v>35</v>
      </c>
      <c r="C2258">
        <v>40362266</v>
      </c>
      <c r="D2258" t="s">
        <v>389</v>
      </c>
      <c r="E2258">
        <v>1030686</v>
      </c>
      <c r="F2258" t="s">
        <v>381</v>
      </c>
      <c r="G2258" s="9">
        <v>45007</v>
      </c>
      <c r="H2258" s="7"/>
      <c r="I2258" s="7">
        <v>24000</v>
      </c>
      <c r="J2258" s="7"/>
      <c r="K2258" s="7"/>
      <c r="L2258" s="10">
        <v>5.5741092456127026</v>
      </c>
      <c r="M2258" s="9">
        <v>45012</v>
      </c>
      <c r="N2258" s="10">
        <v>5.5</v>
      </c>
      <c r="O2258" s="9">
        <v>45017</v>
      </c>
      <c r="P2258">
        <v>23</v>
      </c>
      <c r="Q2258" s="11" t="s">
        <v>49</v>
      </c>
      <c r="R2258" s="7"/>
      <c r="S2258" s="7">
        <v>24000</v>
      </c>
      <c r="T2258" s="7"/>
      <c r="U2258" s="7"/>
      <c r="V2258" s="10">
        <v>7.5741092456127026</v>
      </c>
      <c r="W2258" s="9">
        <v>45014</v>
      </c>
      <c r="X2258" s="10">
        <v>7.5</v>
      </c>
      <c r="Y2258" s="9">
        <v>45017</v>
      </c>
      <c r="Z2258">
        <v>23</v>
      </c>
      <c r="AA2258" s="11" t="s">
        <v>49</v>
      </c>
    </row>
    <row r="2259" spans="2:27" ht="16" x14ac:dyDescent="0.2">
      <c r="B2259" t="s">
        <v>35</v>
      </c>
      <c r="C2259">
        <v>40362265</v>
      </c>
      <c r="D2259" t="s">
        <v>389</v>
      </c>
      <c r="E2259">
        <v>1030686</v>
      </c>
      <c r="F2259" t="s">
        <v>381</v>
      </c>
      <c r="G2259" s="9">
        <v>45007</v>
      </c>
      <c r="H2259" s="7"/>
      <c r="I2259" s="7">
        <v>24000</v>
      </c>
      <c r="J2259" s="7"/>
      <c r="K2259" s="7"/>
      <c r="L2259" s="10">
        <v>5.5741092456127026</v>
      </c>
      <c r="M2259" s="9">
        <v>45012</v>
      </c>
      <c r="N2259" s="10">
        <v>5.5</v>
      </c>
      <c r="O2259" s="9">
        <v>45017</v>
      </c>
      <c r="P2259">
        <v>23</v>
      </c>
      <c r="Q2259" s="11" t="s">
        <v>49</v>
      </c>
      <c r="R2259" s="7"/>
      <c r="S2259" s="7">
        <v>24000</v>
      </c>
      <c r="T2259" s="7"/>
      <c r="U2259" s="7"/>
      <c r="V2259" s="10">
        <v>7.5741092456127026</v>
      </c>
      <c r="W2259" s="9">
        <v>45014</v>
      </c>
      <c r="X2259" s="10">
        <v>7.5</v>
      </c>
      <c r="Y2259" s="9">
        <v>45017</v>
      </c>
      <c r="Z2259">
        <v>23</v>
      </c>
      <c r="AA2259" s="11" t="s">
        <v>49</v>
      </c>
    </row>
    <row r="2260" spans="2:27" ht="16" x14ac:dyDescent="0.2">
      <c r="B2260" t="s">
        <v>35</v>
      </c>
      <c r="C2260">
        <v>40362261</v>
      </c>
      <c r="D2260" t="s">
        <v>389</v>
      </c>
      <c r="E2260">
        <v>1030683</v>
      </c>
      <c r="F2260" t="s">
        <v>379</v>
      </c>
      <c r="G2260" s="9">
        <v>45007</v>
      </c>
      <c r="H2260" s="7"/>
      <c r="I2260" s="7">
        <v>24000</v>
      </c>
      <c r="J2260" s="7"/>
      <c r="K2260" s="7"/>
      <c r="L2260" s="10">
        <v>5.5741092456127026</v>
      </c>
      <c r="M2260" s="9">
        <v>45012</v>
      </c>
      <c r="N2260" s="10">
        <v>5.5</v>
      </c>
      <c r="O2260" s="9">
        <v>45017</v>
      </c>
      <c r="P2260">
        <v>23</v>
      </c>
      <c r="Q2260" s="11" t="s">
        <v>49</v>
      </c>
      <c r="R2260" s="7"/>
      <c r="S2260" s="7">
        <v>24000</v>
      </c>
      <c r="T2260" s="7"/>
      <c r="U2260" s="7"/>
      <c r="V2260" s="10">
        <v>7.5741092456127026</v>
      </c>
      <c r="W2260" s="9">
        <v>45014</v>
      </c>
      <c r="X2260" s="10">
        <v>7.5</v>
      </c>
      <c r="Y2260" s="9">
        <v>45017</v>
      </c>
      <c r="Z2260">
        <v>23</v>
      </c>
      <c r="AA2260" s="11" t="s">
        <v>49</v>
      </c>
    </row>
    <row r="2261" spans="2:27" ht="16" x14ac:dyDescent="0.2">
      <c r="B2261" t="s">
        <v>35</v>
      </c>
      <c r="C2261">
        <v>40362260</v>
      </c>
      <c r="D2261" t="s">
        <v>389</v>
      </c>
      <c r="E2261">
        <v>1030683</v>
      </c>
      <c r="F2261" t="s">
        <v>379</v>
      </c>
      <c r="G2261" s="9">
        <v>45005</v>
      </c>
      <c r="H2261" s="7">
        <v>24000</v>
      </c>
      <c r="I2261" s="7"/>
      <c r="J2261" s="7"/>
      <c r="K2261" s="7"/>
      <c r="L2261" s="10">
        <v>5.5741092456127026</v>
      </c>
      <c r="M2261" s="9">
        <v>45010</v>
      </c>
      <c r="N2261" s="10">
        <v>5.5</v>
      </c>
      <c r="O2261" s="9">
        <v>45015</v>
      </c>
      <c r="P2261">
        <v>1</v>
      </c>
      <c r="Q2261" s="11" t="s">
        <v>598</v>
      </c>
      <c r="R2261" s="7">
        <v>24000</v>
      </c>
      <c r="S2261" s="7"/>
      <c r="T2261" s="7"/>
      <c r="U2261" s="7"/>
      <c r="V2261" s="10">
        <v>7.5741092456127026</v>
      </c>
      <c r="W2261" s="9">
        <v>45012</v>
      </c>
      <c r="X2261" s="10">
        <v>7.5</v>
      </c>
      <c r="Y2261" s="9">
        <v>45015</v>
      </c>
      <c r="Z2261">
        <v>1</v>
      </c>
      <c r="AA2261" s="11" t="s">
        <v>598</v>
      </c>
    </row>
    <row r="2262" spans="2:27" ht="16" x14ac:dyDescent="0.2">
      <c r="B2262" t="s">
        <v>35</v>
      </c>
      <c r="C2262">
        <v>40362257</v>
      </c>
      <c r="D2262" t="s">
        <v>389</v>
      </c>
      <c r="E2262">
        <v>1030685</v>
      </c>
      <c r="F2262" t="s">
        <v>413</v>
      </c>
      <c r="G2262" s="9">
        <v>45007</v>
      </c>
      <c r="H2262" s="7"/>
      <c r="I2262" s="7">
        <v>24000</v>
      </c>
      <c r="J2262" s="7"/>
      <c r="K2262" s="7"/>
      <c r="L2262" s="10">
        <v>5.5741092456127026</v>
      </c>
      <c r="M2262" s="9">
        <v>45012</v>
      </c>
      <c r="N2262" s="10">
        <v>5.5</v>
      </c>
      <c r="O2262" s="9">
        <v>45017</v>
      </c>
      <c r="P2262">
        <v>23</v>
      </c>
      <c r="Q2262" s="11" t="s">
        <v>49</v>
      </c>
      <c r="R2262" s="7"/>
      <c r="S2262" s="7">
        <v>24000</v>
      </c>
      <c r="T2262" s="7"/>
      <c r="U2262" s="7"/>
      <c r="V2262" s="10">
        <v>7.5741092456127026</v>
      </c>
      <c r="W2262" s="9">
        <v>45014</v>
      </c>
      <c r="X2262" s="10">
        <v>7.5</v>
      </c>
      <c r="Y2262" s="9">
        <v>45017</v>
      </c>
      <c r="Z2262">
        <v>23</v>
      </c>
      <c r="AA2262" s="11" t="s">
        <v>49</v>
      </c>
    </row>
    <row r="2263" spans="2:27" ht="16" x14ac:dyDescent="0.2">
      <c r="B2263" t="s">
        <v>35</v>
      </c>
      <c r="C2263">
        <v>40362256</v>
      </c>
      <c r="D2263" t="s">
        <v>389</v>
      </c>
      <c r="E2263">
        <v>1030685</v>
      </c>
      <c r="F2263" t="s">
        <v>413</v>
      </c>
      <c r="G2263" s="9">
        <v>45005</v>
      </c>
      <c r="H2263" s="7">
        <v>24000</v>
      </c>
      <c r="I2263" s="7"/>
      <c r="J2263" s="7"/>
      <c r="K2263" s="7"/>
      <c r="L2263" s="10">
        <v>5.5741092456127026</v>
      </c>
      <c r="M2263" s="9">
        <v>45010</v>
      </c>
      <c r="N2263" s="10">
        <v>5.5</v>
      </c>
      <c r="O2263" s="9">
        <v>45015</v>
      </c>
      <c r="P2263">
        <v>1</v>
      </c>
      <c r="Q2263" s="11" t="s">
        <v>598</v>
      </c>
      <c r="R2263" s="7">
        <v>24000</v>
      </c>
      <c r="S2263" s="7"/>
      <c r="T2263" s="7"/>
      <c r="U2263" s="7"/>
      <c r="V2263" s="10">
        <v>7.5741092456127026</v>
      </c>
      <c r="W2263" s="9">
        <v>45012</v>
      </c>
      <c r="X2263" s="10">
        <v>7.5</v>
      </c>
      <c r="Y2263" s="9">
        <v>45015</v>
      </c>
      <c r="Z2263">
        <v>1</v>
      </c>
      <c r="AA2263" s="11" t="s">
        <v>598</v>
      </c>
    </row>
    <row r="2264" spans="2:27" ht="16" x14ac:dyDescent="0.2">
      <c r="B2264" t="s">
        <v>35</v>
      </c>
      <c r="C2264">
        <v>40362250</v>
      </c>
      <c r="D2264" t="s">
        <v>389</v>
      </c>
      <c r="E2264">
        <v>1023066</v>
      </c>
      <c r="F2264" t="s">
        <v>529</v>
      </c>
      <c r="G2264" s="9">
        <v>45018</v>
      </c>
      <c r="H2264" s="7"/>
      <c r="I2264" s="7">
        <v>23100</v>
      </c>
      <c r="J2264" s="7"/>
      <c r="K2264" s="7"/>
      <c r="L2264" s="10">
        <v>5.5741092456127026</v>
      </c>
      <c r="M2264" s="9">
        <v>45023</v>
      </c>
      <c r="N2264" s="10">
        <v>5.5</v>
      </c>
      <c r="O2264" s="9">
        <v>45028</v>
      </c>
      <c r="P2264">
        <v>15</v>
      </c>
      <c r="Q2264" s="11" t="s">
        <v>49</v>
      </c>
      <c r="R2264" s="7"/>
      <c r="S2264" s="7">
        <v>23100</v>
      </c>
      <c r="T2264" s="7"/>
      <c r="U2264" s="7"/>
      <c r="V2264" s="10">
        <v>7.5741092456127026</v>
      </c>
      <c r="W2264" s="9">
        <v>45025</v>
      </c>
      <c r="X2264" s="10">
        <v>7.5</v>
      </c>
      <c r="Y2264" s="9">
        <v>45028</v>
      </c>
      <c r="Z2264">
        <v>15</v>
      </c>
      <c r="AA2264" s="11" t="s">
        <v>49</v>
      </c>
    </row>
    <row r="2265" spans="2:27" ht="16" x14ac:dyDescent="0.2">
      <c r="B2265" t="s">
        <v>35</v>
      </c>
      <c r="C2265">
        <v>40362249</v>
      </c>
      <c r="D2265" t="s">
        <v>389</v>
      </c>
      <c r="E2265">
        <v>1022378</v>
      </c>
      <c r="F2265" t="s">
        <v>304</v>
      </c>
      <c r="G2265" s="9">
        <v>45004</v>
      </c>
      <c r="H2265" s="7">
        <v>24350</v>
      </c>
      <c r="I2265" s="7"/>
      <c r="J2265" s="7"/>
      <c r="K2265" s="7"/>
      <c r="L2265" s="10">
        <v>5.5741092456127026</v>
      </c>
      <c r="M2265" s="9">
        <v>45009</v>
      </c>
      <c r="N2265" s="10">
        <v>5.5</v>
      </c>
      <c r="O2265" s="9">
        <v>45014</v>
      </c>
      <c r="P2265">
        <v>2</v>
      </c>
      <c r="Q2265" s="11" t="s">
        <v>598</v>
      </c>
      <c r="R2265" s="7">
        <v>24350</v>
      </c>
      <c r="S2265" s="7"/>
      <c r="T2265" s="7"/>
      <c r="U2265" s="7"/>
      <c r="V2265" s="10">
        <v>7.5741092456127026</v>
      </c>
      <c r="W2265" s="9">
        <v>45011</v>
      </c>
      <c r="X2265" s="10">
        <v>7.5</v>
      </c>
      <c r="Y2265" s="9">
        <v>45014</v>
      </c>
      <c r="Z2265">
        <v>2</v>
      </c>
      <c r="AA2265" s="11" t="s">
        <v>598</v>
      </c>
    </row>
    <row r="2266" spans="2:27" ht="16" x14ac:dyDescent="0.2">
      <c r="B2266" t="s">
        <v>35</v>
      </c>
      <c r="C2266">
        <v>40362242</v>
      </c>
      <c r="D2266" t="s">
        <v>389</v>
      </c>
      <c r="E2266">
        <v>1023291</v>
      </c>
      <c r="F2266" t="s">
        <v>530</v>
      </c>
      <c r="G2266" s="9">
        <v>45011</v>
      </c>
      <c r="H2266" s="7"/>
      <c r="I2266" s="7">
        <v>24280</v>
      </c>
      <c r="J2266" s="7"/>
      <c r="K2266" s="7"/>
      <c r="L2266" s="10">
        <v>5.5741092456127026</v>
      </c>
      <c r="M2266" s="9">
        <v>45016</v>
      </c>
      <c r="N2266" s="10">
        <v>5.5</v>
      </c>
      <c r="O2266" s="9">
        <v>45021</v>
      </c>
      <c r="P2266">
        <v>21</v>
      </c>
      <c r="Q2266" s="11" t="s">
        <v>49</v>
      </c>
      <c r="R2266" s="7"/>
      <c r="S2266" s="7">
        <v>24280</v>
      </c>
      <c r="T2266" s="7"/>
      <c r="U2266" s="7"/>
      <c r="V2266" s="10">
        <v>7.5741092456127026</v>
      </c>
      <c r="W2266" s="9">
        <v>45018</v>
      </c>
      <c r="X2266" s="10">
        <v>7.5</v>
      </c>
      <c r="Y2266" s="9">
        <v>45021</v>
      </c>
      <c r="Z2266">
        <v>21</v>
      </c>
      <c r="AA2266" s="11" t="s">
        <v>49</v>
      </c>
    </row>
    <row r="2267" spans="2:27" ht="16" x14ac:dyDescent="0.2">
      <c r="B2267" t="s">
        <v>35</v>
      </c>
      <c r="C2267">
        <v>40362241</v>
      </c>
      <c r="D2267" t="s">
        <v>389</v>
      </c>
      <c r="E2267">
        <v>1022639</v>
      </c>
      <c r="F2267" t="s">
        <v>316</v>
      </c>
      <c r="G2267" s="9">
        <v>45018</v>
      </c>
      <c r="H2267" s="7"/>
      <c r="I2267" s="7">
        <v>22343.83</v>
      </c>
      <c r="J2267" s="7"/>
      <c r="K2267" s="7"/>
      <c r="L2267" s="10">
        <v>5.5741092456127026</v>
      </c>
      <c r="M2267" s="9">
        <v>45023</v>
      </c>
      <c r="N2267" s="10">
        <v>5.5</v>
      </c>
      <c r="O2267" s="9">
        <v>45028</v>
      </c>
      <c r="P2267">
        <v>15</v>
      </c>
      <c r="Q2267" s="11" t="s">
        <v>49</v>
      </c>
      <c r="R2267" s="7"/>
      <c r="S2267" s="7">
        <v>22343.83</v>
      </c>
      <c r="T2267" s="7"/>
      <c r="U2267" s="7"/>
      <c r="V2267" s="10">
        <v>7.5741092456127026</v>
      </c>
      <c r="W2267" s="9">
        <v>45025</v>
      </c>
      <c r="X2267" s="10">
        <v>7.5</v>
      </c>
      <c r="Y2267" s="9">
        <v>45028</v>
      </c>
      <c r="Z2267">
        <v>15</v>
      </c>
      <c r="AA2267" s="11" t="s">
        <v>49</v>
      </c>
    </row>
    <row r="2268" spans="2:27" ht="16" x14ac:dyDescent="0.2">
      <c r="B2268" t="s">
        <v>35</v>
      </c>
      <c r="C2268">
        <v>40362227</v>
      </c>
      <c r="D2268" t="s">
        <v>389</v>
      </c>
      <c r="E2268">
        <v>1022639</v>
      </c>
      <c r="F2268" t="s">
        <v>316</v>
      </c>
      <c r="G2268" s="9">
        <v>45012</v>
      </c>
      <c r="H2268" s="7"/>
      <c r="I2268" s="7">
        <v>22265.88</v>
      </c>
      <c r="J2268" s="7"/>
      <c r="K2268" s="7"/>
      <c r="L2268" s="10">
        <v>5.5741092456127026</v>
      </c>
      <c r="M2268" s="9">
        <v>45017</v>
      </c>
      <c r="N2268" s="10">
        <v>5.5</v>
      </c>
      <c r="O2268" s="9">
        <v>45022</v>
      </c>
      <c r="P2268">
        <v>20</v>
      </c>
      <c r="Q2268" s="11" t="s">
        <v>49</v>
      </c>
      <c r="R2268" s="7"/>
      <c r="S2268" s="7">
        <v>22265.88</v>
      </c>
      <c r="T2268" s="7"/>
      <c r="U2268" s="7"/>
      <c r="V2268" s="10">
        <v>7.5741092456127026</v>
      </c>
      <c r="W2268" s="9">
        <v>45019</v>
      </c>
      <c r="X2268" s="10">
        <v>7.5</v>
      </c>
      <c r="Y2268" s="9">
        <v>45022</v>
      </c>
      <c r="Z2268">
        <v>20</v>
      </c>
      <c r="AA2268" s="11" t="s">
        <v>49</v>
      </c>
    </row>
    <row r="2269" spans="2:27" ht="16" x14ac:dyDescent="0.2">
      <c r="B2269" t="s">
        <v>35</v>
      </c>
      <c r="C2269">
        <v>40362204</v>
      </c>
      <c r="D2269" t="s">
        <v>389</v>
      </c>
      <c r="E2269">
        <v>1022640</v>
      </c>
      <c r="F2269" t="s">
        <v>318</v>
      </c>
      <c r="G2269" s="9">
        <v>45020</v>
      </c>
      <c r="H2269" s="7"/>
      <c r="I2269" s="7">
        <v>23996.35</v>
      </c>
      <c r="J2269" s="7"/>
      <c r="K2269" s="7"/>
      <c r="L2269" s="10">
        <v>5.5741092456127026</v>
      </c>
      <c r="M2269" s="9">
        <v>45025</v>
      </c>
      <c r="N2269" s="10">
        <v>5.5</v>
      </c>
      <c r="O2269" s="9">
        <v>45030</v>
      </c>
      <c r="P2269">
        <v>13</v>
      </c>
      <c r="Q2269" s="11" t="s">
        <v>49</v>
      </c>
      <c r="R2269" s="7"/>
      <c r="S2269" s="7">
        <v>23996.35</v>
      </c>
      <c r="T2269" s="7"/>
      <c r="U2269" s="7"/>
      <c r="V2269" s="10">
        <v>7.5741092456127026</v>
      </c>
      <c r="W2269" s="9">
        <v>45027</v>
      </c>
      <c r="X2269" s="10">
        <v>7.5</v>
      </c>
      <c r="Y2269" s="9">
        <v>45030</v>
      </c>
      <c r="Z2269">
        <v>13</v>
      </c>
      <c r="AA2269" s="11" t="s">
        <v>49</v>
      </c>
    </row>
    <row r="2270" spans="2:27" ht="16" x14ac:dyDescent="0.2">
      <c r="B2270" t="s">
        <v>35</v>
      </c>
      <c r="C2270">
        <v>40362203</v>
      </c>
      <c r="D2270" t="s">
        <v>389</v>
      </c>
      <c r="E2270">
        <v>1022212</v>
      </c>
      <c r="F2270" t="s">
        <v>300</v>
      </c>
      <c r="G2270" s="9">
        <v>45025</v>
      </c>
      <c r="H2270" s="7"/>
      <c r="I2270" s="7">
        <v>23915.8</v>
      </c>
      <c r="J2270" s="7"/>
      <c r="K2270" s="7"/>
      <c r="L2270" s="10">
        <v>5.5741092456127026</v>
      </c>
      <c r="M2270" s="9">
        <v>45030</v>
      </c>
      <c r="N2270" s="10">
        <v>5.5</v>
      </c>
      <c r="O2270" s="9">
        <v>45035</v>
      </c>
      <c r="P2270">
        <v>9</v>
      </c>
      <c r="Q2270" s="11" t="s">
        <v>49</v>
      </c>
      <c r="R2270" s="7"/>
      <c r="S2270" s="7">
        <v>23915.8</v>
      </c>
      <c r="T2270" s="7"/>
      <c r="U2270" s="7"/>
      <c r="V2270" s="10">
        <v>7.5741092456127026</v>
      </c>
      <c r="W2270" s="9">
        <v>45032</v>
      </c>
      <c r="X2270" s="10">
        <v>7.5</v>
      </c>
      <c r="Y2270" s="9">
        <v>45035</v>
      </c>
      <c r="Z2270">
        <v>9</v>
      </c>
      <c r="AA2270" s="11" t="s">
        <v>49</v>
      </c>
    </row>
    <row r="2271" spans="2:27" ht="16" x14ac:dyDescent="0.2">
      <c r="B2271" t="s">
        <v>35</v>
      </c>
      <c r="C2271">
        <v>40362202</v>
      </c>
      <c r="D2271" t="s">
        <v>389</v>
      </c>
      <c r="E2271">
        <v>1022212</v>
      </c>
      <c r="F2271" t="s">
        <v>300</v>
      </c>
      <c r="G2271" s="9">
        <v>45025</v>
      </c>
      <c r="H2271" s="7"/>
      <c r="I2271" s="7">
        <v>23654.3</v>
      </c>
      <c r="J2271" s="7"/>
      <c r="K2271" s="7"/>
      <c r="L2271" s="10">
        <v>5.5741092456127026</v>
      </c>
      <c r="M2271" s="9">
        <v>45030</v>
      </c>
      <c r="N2271" s="10">
        <v>5.5</v>
      </c>
      <c r="O2271" s="9">
        <v>45035</v>
      </c>
      <c r="P2271">
        <v>9</v>
      </c>
      <c r="Q2271" s="11" t="s">
        <v>49</v>
      </c>
      <c r="R2271" s="7"/>
      <c r="S2271" s="7">
        <v>23654.3</v>
      </c>
      <c r="T2271" s="7"/>
      <c r="U2271" s="7"/>
      <c r="V2271" s="10">
        <v>7.5741092456127026</v>
      </c>
      <c r="W2271" s="9">
        <v>45032</v>
      </c>
      <c r="X2271" s="10">
        <v>7.5</v>
      </c>
      <c r="Y2271" s="9">
        <v>45035</v>
      </c>
      <c r="Z2271">
        <v>9</v>
      </c>
      <c r="AA2271" s="11" t="s">
        <v>49</v>
      </c>
    </row>
    <row r="2272" spans="2:27" ht="16" x14ac:dyDescent="0.2">
      <c r="B2272" t="s">
        <v>35</v>
      </c>
      <c r="C2272">
        <v>40362201</v>
      </c>
      <c r="D2272" t="s">
        <v>389</v>
      </c>
      <c r="E2272">
        <v>1022212</v>
      </c>
      <c r="F2272" t="s">
        <v>300</v>
      </c>
      <c r="G2272" s="9">
        <v>45025</v>
      </c>
      <c r="H2272" s="7"/>
      <c r="I2272" s="7">
        <v>23864.38</v>
      </c>
      <c r="J2272" s="7"/>
      <c r="K2272" s="7"/>
      <c r="L2272" s="10">
        <v>5.5741092456127026</v>
      </c>
      <c r="M2272" s="9">
        <v>45030</v>
      </c>
      <c r="N2272" s="10">
        <v>5.5</v>
      </c>
      <c r="O2272" s="9">
        <v>45035</v>
      </c>
      <c r="P2272">
        <v>9</v>
      </c>
      <c r="Q2272" s="11" t="s">
        <v>49</v>
      </c>
      <c r="R2272" s="7"/>
      <c r="S2272" s="7">
        <v>23864.38</v>
      </c>
      <c r="T2272" s="7"/>
      <c r="U2272" s="7"/>
      <c r="V2272" s="10">
        <v>7.5741092456127026</v>
      </c>
      <c r="W2272" s="9">
        <v>45032</v>
      </c>
      <c r="X2272" s="10">
        <v>7.5</v>
      </c>
      <c r="Y2272" s="9">
        <v>45035</v>
      </c>
      <c r="Z2272">
        <v>9</v>
      </c>
      <c r="AA2272" s="11" t="s">
        <v>49</v>
      </c>
    </row>
    <row r="2273" spans="2:27" ht="16" x14ac:dyDescent="0.2">
      <c r="B2273" t="s">
        <v>35</v>
      </c>
      <c r="C2273">
        <v>40362200</v>
      </c>
      <c r="D2273" t="s">
        <v>389</v>
      </c>
      <c r="E2273">
        <v>1022212</v>
      </c>
      <c r="F2273" t="s">
        <v>300</v>
      </c>
      <c r="G2273" s="9">
        <v>45025</v>
      </c>
      <c r="H2273" s="7"/>
      <c r="I2273" s="7">
        <v>23864.79</v>
      </c>
      <c r="J2273" s="7"/>
      <c r="K2273" s="7"/>
      <c r="L2273" s="10">
        <v>5.5741092456127026</v>
      </c>
      <c r="M2273" s="9">
        <v>45030</v>
      </c>
      <c r="N2273" s="10">
        <v>5.5</v>
      </c>
      <c r="O2273" s="9">
        <v>45035</v>
      </c>
      <c r="P2273">
        <v>9</v>
      </c>
      <c r="Q2273" s="11" t="s">
        <v>49</v>
      </c>
      <c r="R2273" s="7"/>
      <c r="S2273" s="7">
        <v>23864.79</v>
      </c>
      <c r="T2273" s="7"/>
      <c r="U2273" s="7"/>
      <c r="V2273" s="10">
        <v>7.5741092456127026</v>
      </c>
      <c r="W2273" s="9">
        <v>45032</v>
      </c>
      <c r="X2273" s="10">
        <v>7.5</v>
      </c>
      <c r="Y2273" s="9">
        <v>45035</v>
      </c>
      <c r="Z2273">
        <v>9</v>
      </c>
      <c r="AA2273" s="11" t="s">
        <v>49</v>
      </c>
    </row>
    <row r="2274" spans="2:27" ht="16" x14ac:dyDescent="0.2">
      <c r="B2274" t="s">
        <v>35</v>
      </c>
      <c r="C2274">
        <v>40362199</v>
      </c>
      <c r="D2274" t="s">
        <v>389</v>
      </c>
      <c r="E2274">
        <v>1022212</v>
      </c>
      <c r="F2274" t="s">
        <v>300</v>
      </c>
      <c r="G2274" s="9">
        <v>45025</v>
      </c>
      <c r="H2274" s="7"/>
      <c r="I2274" s="7">
        <v>24012.68</v>
      </c>
      <c r="J2274" s="7"/>
      <c r="K2274" s="7"/>
      <c r="L2274" s="10">
        <v>5.5741092456127026</v>
      </c>
      <c r="M2274" s="9">
        <v>45030</v>
      </c>
      <c r="N2274" s="10">
        <v>5.5</v>
      </c>
      <c r="O2274" s="9">
        <v>45035</v>
      </c>
      <c r="P2274">
        <v>9</v>
      </c>
      <c r="Q2274" s="11" t="s">
        <v>49</v>
      </c>
      <c r="R2274" s="7"/>
      <c r="S2274" s="7">
        <v>24012.68</v>
      </c>
      <c r="T2274" s="7"/>
      <c r="U2274" s="7"/>
      <c r="V2274" s="10">
        <v>7.5741092456127026</v>
      </c>
      <c r="W2274" s="9">
        <v>45032</v>
      </c>
      <c r="X2274" s="10">
        <v>7.5</v>
      </c>
      <c r="Y2274" s="9">
        <v>45035</v>
      </c>
      <c r="Z2274">
        <v>9</v>
      </c>
      <c r="AA2274" s="11" t="s">
        <v>49</v>
      </c>
    </row>
    <row r="2275" spans="2:27" ht="16" x14ac:dyDescent="0.2">
      <c r="B2275" t="s">
        <v>35</v>
      </c>
      <c r="C2275">
        <v>40362198</v>
      </c>
      <c r="D2275" t="s">
        <v>389</v>
      </c>
      <c r="E2275">
        <v>1022212</v>
      </c>
      <c r="F2275" t="s">
        <v>300</v>
      </c>
      <c r="G2275" s="9">
        <v>45020</v>
      </c>
      <c r="H2275" s="7"/>
      <c r="I2275" s="7">
        <v>23546.52</v>
      </c>
      <c r="J2275" s="7"/>
      <c r="K2275" s="7"/>
      <c r="L2275" s="10">
        <v>5.5741092456127026</v>
      </c>
      <c r="M2275" s="9">
        <v>45025</v>
      </c>
      <c r="N2275" s="10">
        <v>5.5</v>
      </c>
      <c r="O2275" s="9">
        <v>45030</v>
      </c>
      <c r="P2275">
        <v>13</v>
      </c>
      <c r="Q2275" s="11" t="s">
        <v>49</v>
      </c>
      <c r="R2275" s="7"/>
      <c r="S2275" s="7">
        <v>23546.52</v>
      </c>
      <c r="T2275" s="7"/>
      <c r="U2275" s="7"/>
      <c r="V2275" s="10">
        <v>7.5741092456127026</v>
      </c>
      <c r="W2275" s="9">
        <v>45027</v>
      </c>
      <c r="X2275" s="10">
        <v>7.5</v>
      </c>
      <c r="Y2275" s="9">
        <v>45030</v>
      </c>
      <c r="Z2275">
        <v>13</v>
      </c>
      <c r="AA2275" s="11" t="s">
        <v>49</v>
      </c>
    </row>
    <row r="2276" spans="2:27" ht="16" x14ac:dyDescent="0.2">
      <c r="B2276" t="s">
        <v>35</v>
      </c>
      <c r="C2276">
        <v>40362197</v>
      </c>
      <c r="D2276" t="s">
        <v>389</v>
      </c>
      <c r="E2276">
        <v>1022212</v>
      </c>
      <c r="F2276" t="s">
        <v>300</v>
      </c>
      <c r="G2276" s="9">
        <v>45007</v>
      </c>
      <c r="H2276" s="7"/>
      <c r="I2276" s="7">
        <v>23963.23</v>
      </c>
      <c r="J2276" s="7"/>
      <c r="K2276" s="7"/>
      <c r="L2276" s="10">
        <v>5.5741092456127026</v>
      </c>
      <c r="M2276" s="9">
        <v>45012</v>
      </c>
      <c r="N2276" s="10">
        <v>5.5</v>
      </c>
      <c r="O2276" s="9">
        <v>45017</v>
      </c>
      <c r="P2276">
        <v>23</v>
      </c>
      <c r="Q2276" s="11" t="s">
        <v>49</v>
      </c>
      <c r="R2276" s="7"/>
      <c r="S2276" s="7">
        <v>23963.23</v>
      </c>
      <c r="T2276" s="7"/>
      <c r="U2276" s="7"/>
      <c r="V2276" s="10">
        <v>7.5741092456127026</v>
      </c>
      <c r="W2276" s="9">
        <v>45014</v>
      </c>
      <c r="X2276" s="10">
        <v>7.5</v>
      </c>
      <c r="Y2276" s="9">
        <v>45017</v>
      </c>
      <c r="Z2276">
        <v>23</v>
      </c>
      <c r="AA2276" s="11" t="s">
        <v>49</v>
      </c>
    </row>
    <row r="2277" spans="2:27" ht="16" x14ac:dyDescent="0.2">
      <c r="B2277" t="s">
        <v>35</v>
      </c>
      <c r="C2277">
        <v>40362187</v>
      </c>
      <c r="D2277" t="s">
        <v>389</v>
      </c>
      <c r="E2277">
        <v>1022212</v>
      </c>
      <c r="F2277" t="s">
        <v>300</v>
      </c>
      <c r="G2277" s="9">
        <v>45001</v>
      </c>
      <c r="H2277" s="7">
        <v>24344.94</v>
      </c>
      <c r="I2277" s="7"/>
      <c r="J2277" s="7"/>
      <c r="K2277" s="7"/>
      <c r="L2277" s="10">
        <v>5.5741092456127026</v>
      </c>
      <c r="M2277" s="9">
        <v>45006</v>
      </c>
      <c r="N2277" s="10">
        <v>5.5</v>
      </c>
      <c r="O2277" s="9">
        <v>45011</v>
      </c>
      <c r="P2277">
        <v>5</v>
      </c>
      <c r="Q2277" s="11" t="s">
        <v>49</v>
      </c>
      <c r="R2277" s="7">
        <v>24344.94</v>
      </c>
      <c r="S2277" s="7"/>
      <c r="T2277" s="7"/>
      <c r="U2277" s="7"/>
      <c r="V2277" s="10">
        <v>7.5741092456127026</v>
      </c>
      <c r="W2277" s="9">
        <v>45008</v>
      </c>
      <c r="X2277" s="10">
        <v>7.5</v>
      </c>
      <c r="Y2277" s="9">
        <v>45011</v>
      </c>
      <c r="Z2277">
        <v>5</v>
      </c>
      <c r="AA2277" s="11" t="s">
        <v>49</v>
      </c>
    </row>
    <row r="2278" spans="2:27" ht="16" x14ac:dyDescent="0.2">
      <c r="B2278" t="s">
        <v>35</v>
      </c>
      <c r="C2278">
        <v>40362186</v>
      </c>
      <c r="D2278" t="s">
        <v>389</v>
      </c>
      <c r="E2278">
        <v>1022212</v>
      </c>
      <c r="F2278" t="s">
        <v>300</v>
      </c>
      <c r="G2278" s="9">
        <v>45004</v>
      </c>
      <c r="H2278" s="7">
        <v>24062.27</v>
      </c>
      <c r="I2278" s="7"/>
      <c r="J2278" s="7"/>
      <c r="K2278" s="7"/>
      <c r="L2278" s="10">
        <v>5.5741092456127026</v>
      </c>
      <c r="M2278" s="9">
        <v>45009</v>
      </c>
      <c r="N2278" s="10">
        <v>5.5</v>
      </c>
      <c r="O2278" s="9">
        <v>45014</v>
      </c>
      <c r="P2278">
        <v>2</v>
      </c>
      <c r="Q2278" s="11" t="s">
        <v>598</v>
      </c>
      <c r="R2278" s="7">
        <v>24062.27</v>
      </c>
      <c r="S2278" s="7"/>
      <c r="T2278" s="7"/>
      <c r="U2278" s="7"/>
      <c r="V2278" s="10">
        <v>7.5741092456127026</v>
      </c>
      <c r="W2278" s="9">
        <v>45011</v>
      </c>
      <c r="X2278" s="10">
        <v>7.5</v>
      </c>
      <c r="Y2278" s="9">
        <v>45014</v>
      </c>
      <c r="Z2278">
        <v>2</v>
      </c>
      <c r="AA2278" s="11" t="s">
        <v>598</v>
      </c>
    </row>
    <row r="2279" spans="2:27" ht="16" x14ac:dyDescent="0.2">
      <c r="B2279" t="s">
        <v>35</v>
      </c>
      <c r="C2279">
        <v>40362184</v>
      </c>
      <c r="D2279" t="s">
        <v>389</v>
      </c>
      <c r="E2279">
        <v>1022212</v>
      </c>
      <c r="F2279" t="s">
        <v>300</v>
      </c>
      <c r="G2279" s="9">
        <v>45001</v>
      </c>
      <c r="H2279" s="7">
        <v>18865.240000000002</v>
      </c>
      <c r="I2279" s="7"/>
      <c r="J2279" s="7"/>
      <c r="K2279" s="7"/>
      <c r="L2279" s="10">
        <v>5.5741092456127026</v>
      </c>
      <c r="M2279" s="9">
        <v>45006</v>
      </c>
      <c r="N2279" s="10">
        <v>5.5</v>
      </c>
      <c r="O2279" s="9">
        <v>45011</v>
      </c>
      <c r="P2279">
        <v>5</v>
      </c>
      <c r="Q2279" s="11" t="s">
        <v>49</v>
      </c>
      <c r="R2279" s="7">
        <v>18865.240000000002</v>
      </c>
      <c r="S2279" s="7"/>
      <c r="T2279" s="7"/>
      <c r="U2279" s="7"/>
      <c r="V2279" s="10">
        <v>7.5741092456127026</v>
      </c>
      <c r="W2279" s="9">
        <v>45008</v>
      </c>
      <c r="X2279" s="10">
        <v>7.5</v>
      </c>
      <c r="Y2279" s="9">
        <v>45011</v>
      </c>
      <c r="Z2279">
        <v>5</v>
      </c>
      <c r="AA2279" s="11" t="s">
        <v>49</v>
      </c>
    </row>
    <row r="2280" spans="2:27" ht="16" x14ac:dyDescent="0.2">
      <c r="B2280" t="s">
        <v>35</v>
      </c>
      <c r="C2280">
        <v>40362184</v>
      </c>
      <c r="D2280" t="s">
        <v>389</v>
      </c>
      <c r="E2280">
        <v>1022212</v>
      </c>
      <c r="F2280" t="s">
        <v>300</v>
      </c>
      <c r="G2280" s="9">
        <v>45001</v>
      </c>
      <c r="H2280" s="7">
        <v>24290.78</v>
      </c>
      <c r="I2280" s="7"/>
      <c r="J2280" s="7"/>
      <c r="K2280" s="7"/>
      <c r="L2280" s="10">
        <v>5.5741092456127026</v>
      </c>
      <c r="M2280" s="9">
        <v>45006</v>
      </c>
      <c r="N2280" s="10">
        <v>5.5</v>
      </c>
      <c r="O2280" s="9">
        <v>45011</v>
      </c>
      <c r="P2280">
        <v>5</v>
      </c>
      <c r="Q2280" s="11" t="s">
        <v>49</v>
      </c>
      <c r="R2280" s="7">
        <v>24290.78</v>
      </c>
      <c r="S2280" s="7"/>
      <c r="T2280" s="7"/>
      <c r="U2280" s="7"/>
      <c r="V2280" s="10">
        <v>7.5741092456127026</v>
      </c>
      <c r="W2280" s="9">
        <v>45008</v>
      </c>
      <c r="X2280" s="10">
        <v>7.5</v>
      </c>
      <c r="Y2280" s="9">
        <v>45011</v>
      </c>
      <c r="Z2280">
        <v>5</v>
      </c>
      <c r="AA2280" s="11" t="s">
        <v>49</v>
      </c>
    </row>
    <row r="2281" spans="2:27" ht="16" x14ac:dyDescent="0.2">
      <c r="B2281" t="s">
        <v>35</v>
      </c>
      <c r="C2281">
        <v>40362176</v>
      </c>
      <c r="D2281" t="s">
        <v>389</v>
      </c>
      <c r="E2281">
        <v>1022033</v>
      </c>
      <c r="F2281" t="s">
        <v>415</v>
      </c>
      <c r="G2281" s="9">
        <v>45007</v>
      </c>
      <c r="H2281" s="7"/>
      <c r="I2281" s="7">
        <v>24000</v>
      </c>
      <c r="J2281" s="7"/>
      <c r="K2281" s="7"/>
      <c r="L2281" s="10">
        <v>5.5741092456127026</v>
      </c>
      <c r="M2281" s="9">
        <v>45012</v>
      </c>
      <c r="N2281" s="10">
        <v>5.5</v>
      </c>
      <c r="O2281" s="9">
        <v>45017</v>
      </c>
      <c r="P2281">
        <v>23</v>
      </c>
      <c r="Q2281" s="11" t="s">
        <v>49</v>
      </c>
      <c r="R2281" s="7"/>
      <c r="S2281" s="7">
        <v>24000</v>
      </c>
      <c r="T2281" s="7"/>
      <c r="U2281" s="7"/>
      <c r="V2281" s="10">
        <v>7.5741092456127026</v>
      </c>
      <c r="W2281" s="9">
        <v>45014</v>
      </c>
      <c r="X2281" s="10">
        <v>7.5</v>
      </c>
      <c r="Y2281" s="9">
        <v>45017</v>
      </c>
      <c r="Z2281">
        <v>23</v>
      </c>
      <c r="AA2281" s="11" t="s">
        <v>49</v>
      </c>
    </row>
    <row r="2282" spans="2:27" ht="16" x14ac:dyDescent="0.2">
      <c r="B2282" t="s">
        <v>35</v>
      </c>
      <c r="C2282">
        <v>40362174</v>
      </c>
      <c r="D2282" t="s">
        <v>389</v>
      </c>
      <c r="E2282">
        <v>1022169</v>
      </c>
      <c r="F2282" t="s">
        <v>298</v>
      </c>
      <c r="G2282" s="9">
        <v>45013</v>
      </c>
      <c r="H2282" s="7"/>
      <c r="I2282" s="7">
        <v>13340</v>
      </c>
      <c r="J2282" s="7"/>
      <c r="K2282" s="7"/>
      <c r="L2282" s="10">
        <v>5.5741092456127026</v>
      </c>
      <c r="M2282" s="9">
        <v>45018</v>
      </c>
      <c r="N2282" s="10">
        <v>5.5</v>
      </c>
      <c r="O2282" s="9">
        <v>45023</v>
      </c>
      <c r="P2282">
        <v>19</v>
      </c>
      <c r="Q2282" s="11" t="s">
        <v>49</v>
      </c>
      <c r="R2282" s="7"/>
      <c r="S2282" s="7">
        <v>13340</v>
      </c>
      <c r="T2282" s="7"/>
      <c r="U2282" s="7"/>
      <c r="V2282" s="10">
        <v>7.5741092456127026</v>
      </c>
      <c r="W2282" s="9">
        <v>45020</v>
      </c>
      <c r="X2282" s="10">
        <v>7.5</v>
      </c>
      <c r="Y2282" s="9">
        <v>45023</v>
      </c>
      <c r="Z2282">
        <v>19</v>
      </c>
      <c r="AA2282" s="11" t="s">
        <v>49</v>
      </c>
    </row>
    <row r="2283" spans="2:27" ht="16" x14ac:dyDescent="0.2">
      <c r="B2283" t="s">
        <v>35</v>
      </c>
      <c r="C2283">
        <v>40362174</v>
      </c>
      <c r="D2283" t="s">
        <v>389</v>
      </c>
      <c r="E2283">
        <v>1022169</v>
      </c>
      <c r="F2283" t="s">
        <v>298</v>
      </c>
      <c r="G2283" s="9">
        <v>45013</v>
      </c>
      <c r="H2283" s="7"/>
      <c r="I2283" s="7">
        <v>24040</v>
      </c>
      <c r="J2283" s="7"/>
      <c r="K2283" s="7"/>
      <c r="L2283" s="10">
        <v>5.5741092456127026</v>
      </c>
      <c r="M2283" s="9">
        <v>45018</v>
      </c>
      <c r="N2283" s="10">
        <v>5.5</v>
      </c>
      <c r="O2283" s="9">
        <v>45023</v>
      </c>
      <c r="P2283">
        <v>19</v>
      </c>
      <c r="Q2283" s="11" t="s">
        <v>49</v>
      </c>
      <c r="R2283" s="7"/>
      <c r="S2283" s="7">
        <v>24040</v>
      </c>
      <c r="T2283" s="7"/>
      <c r="U2283" s="7"/>
      <c r="V2283" s="10">
        <v>7.5741092456127026</v>
      </c>
      <c r="W2283" s="9">
        <v>45020</v>
      </c>
      <c r="X2283" s="10">
        <v>7.5</v>
      </c>
      <c r="Y2283" s="9">
        <v>45023</v>
      </c>
      <c r="Z2283">
        <v>19</v>
      </c>
      <c r="AA2283" s="11" t="s">
        <v>49</v>
      </c>
    </row>
    <row r="2284" spans="2:27" ht="16" x14ac:dyDescent="0.2">
      <c r="B2284" t="s">
        <v>35</v>
      </c>
      <c r="C2284">
        <v>40362173</v>
      </c>
      <c r="D2284" t="s">
        <v>389</v>
      </c>
      <c r="E2284">
        <v>1022169</v>
      </c>
      <c r="F2284" t="s">
        <v>298</v>
      </c>
      <c r="G2284" s="9">
        <v>45012</v>
      </c>
      <c r="H2284" s="7"/>
      <c r="I2284" s="7">
        <v>24000</v>
      </c>
      <c r="J2284" s="7"/>
      <c r="K2284" s="7"/>
      <c r="L2284" s="10">
        <v>5.5741092456127026</v>
      </c>
      <c r="M2284" s="9">
        <v>45017</v>
      </c>
      <c r="N2284" s="10">
        <v>5.5</v>
      </c>
      <c r="O2284" s="9">
        <v>45022</v>
      </c>
      <c r="P2284">
        <v>20</v>
      </c>
      <c r="Q2284" s="11" t="s">
        <v>49</v>
      </c>
      <c r="R2284" s="7"/>
      <c r="S2284" s="7">
        <v>24000</v>
      </c>
      <c r="T2284" s="7"/>
      <c r="U2284" s="7"/>
      <c r="V2284" s="10">
        <v>7.5741092456127026</v>
      </c>
      <c r="W2284" s="9">
        <v>45019</v>
      </c>
      <c r="X2284" s="10">
        <v>7.5</v>
      </c>
      <c r="Y2284" s="9">
        <v>45022</v>
      </c>
      <c r="Z2284">
        <v>20</v>
      </c>
      <c r="AA2284" s="11" t="s">
        <v>49</v>
      </c>
    </row>
    <row r="2285" spans="2:27" ht="16" x14ac:dyDescent="0.2">
      <c r="B2285" t="s">
        <v>35</v>
      </c>
      <c r="C2285">
        <v>40362172</v>
      </c>
      <c r="D2285" t="s">
        <v>389</v>
      </c>
      <c r="E2285">
        <v>1022169</v>
      </c>
      <c r="F2285" t="s">
        <v>298</v>
      </c>
      <c r="G2285" s="9">
        <v>45007</v>
      </c>
      <c r="H2285" s="7"/>
      <c r="I2285" s="7">
        <v>24410</v>
      </c>
      <c r="J2285" s="7"/>
      <c r="K2285" s="7"/>
      <c r="L2285" s="10">
        <v>5.5741092456127026</v>
      </c>
      <c r="M2285" s="9">
        <v>45012</v>
      </c>
      <c r="N2285" s="10">
        <v>5.5</v>
      </c>
      <c r="O2285" s="9">
        <v>45017</v>
      </c>
      <c r="P2285">
        <v>23</v>
      </c>
      <c r="Q2285" s="11" t="s">
        <v>49</v>
      </c>
      <c r="R2285" s="7"/>
      <c r="S2285" s="7">
        <v>24410</v>
      </c>
      <c r="T2285" s="7"/>
      <c r="U2285" s="7"/>
      <c r="V2285" s="10">
        <v>7.5741092456127026</v>
      </c>
      <c r="W2285" s="9">
        <v>45014</v>
      </c>
      <c r="X2285" s="10">
        <v>7.5</v>
      </c>
      <c r="Y2285" s="9">
        <v>45017</v>
      </c>
      <c r="Z2285">
        <v>23</v>
      </c>
      <c r="AA2285" s="11" t="s">
        <v>49</v>
      </c>
    </row>
    <row r="2286" spans="2:27" ht="16" x14ac:dyDescent="0.2">
      <c r="B2286" t="s">
        <v>35</v>
      </c>
      <c r="C2286">
        <v>40362170</v>
      </c>
      <c r="D2286" t="s">
        <v>389</v>
      </c>
      <c r="E2286">
        <v>1022169</v>
      </c>
      <c r="F2286" t="s">
        <v>298</v>
      </c>
      <c r="G2286" s="9">
        <v>45005</v>
      </c>
      <c r="H2286" s="7">
        <v>24450</v>
      </c>
      <c r="I2286" s="7"/>
      <c r="J2286" s="7"/>
      <c r="K2286" s="7"/>
      <c r="L2286" s="10">
        <v>5.5741092456127026</v>
      </c>
      <c r="M2286" s="9">
        <v>45010</v>
      </c>
      <c r="N2286" s="10">
        <v>5.5</v>
      </c>
      <c r="O2286" s="9">
        <v>45015</v>
      </c>
      <c r="P2286">
        <v>1</v>
      </c>
      <c r="Q2286" s="11" t="s">
        <v>598</v>
      </c>
      <c r="R2286" s="7">
        <v>24450</v>
      </c>
      <c r="S2286" s="7"/>
      <c r="T2286" s="7"/>
      <c r="U2286" s="7"/>
      <c r="V2286" s="10">
        <v>7.5741092456127026</v>
      </c>
      <c r="W2286" s="9">
        <v>45012</v>
      </c>
      <c r="X2286" s="10">
        <v>7.5</v>
      </c>
      <c r="Y2286" s="9">
        <v>45015</v>
      </c>
      <c r="Z2286">
        <v>1</v>
      </c>
      <c r="AA2286" s="11" t="s">
        <v>598</v>
      </c>
    </row>
    <row r="2287" spans="2:27" ht="16" x14ac:dyDescent="0.2">
      <c r="B2287" t="s">
        <v>35</v>
      </c>
      <c r="C2287">
        <v>40362162</v>
      </c>
      <c r="D2287" t="s">
        <v>389</v>
      </c>
      <c r="E2287">
        <v>1022080</v>
      </c>
      <c r="F2287" t="s">
        <v>292</v>
      </c>
      <c r="G2287" s="9">
        <v>45013</v>
      </c>
      <c r="H2287" s="7"/>
      <c r="I2287" s="7">
        <v>24070</v>
      </c>
      <c r="J2287" s="7"/>
      <c r="K2287" s="7"/>
      <c r="L2287" s="10">
        <v>5.5741092456127026</v>
      </c>
      <c r="M2287" s="9">
        <v>45018</v>
      </c>
      <c r="N2287" s="10">
        <v>5.5</v>
      </c>
      <c r="O2287" s="9">
        <v>45023</v>
      </c>
      <c r="P2287">
        <v>19</v>
      </c>
      <c r="Q2287" s="11" t="s">
        <v>49</v>
      </c>
      <c r="R2287" s="7"/>
      <c r="S2287" s="7">
        <v>24070</v>
      </c>
      <c r="T2287" s="7"/>
      <c r="U2287" s="7"/>
      <c r="V2287" s="10">
        <v>7.5741092456127026</v>
      </c>
      <c r="W2287" s="9">
        <v>45020</v>
      </c>
      <c r="X2287" s="10">
        <v>7.5</v>
      </c>
      <c r="Y2287" s="9">
        <v>45023</v>
      </c>
      <c r="Z2287">
        <v>19</v>
      </c>
      <c r="AA2287" s="11" t="s">
        <v>49</v>
      </c>
    </row>
    <row r="2288" spans="2:27" ht="16" x14ac:dyDescent="0.2">
      <c r="B2288" t="s">
        <v>35</v>
      </c>
      <c r="C2288">
        <v>40362160</v>
      </c>
      <c r="D2288" t="s">
        <v>389</v>
      </c>
      <c r="E2288">
        <v>1022637</v>
      </c>
      <c r="F2288" t="s">
        <v>314</v>
      </c>
      <c r="G2288" s="9">
        <v>45025</v>
      </c>
      <c r="H2288" s="7"/>
      <c r="I2288" s="7">
        <v>23250</v>
      </c>
      <c r="J2288" s="7"/>
      <c r="K2288" s="7"/>
      <c r="L2288" s="10">
        <v>5.5741092456127026</v>
      </c>
      <c r="M2288" s="9">
        <v>45030</v>
      </c>
      <c r="N2288" s="10">
        <v>5.5</v>
      </c>
      <c r="O2288" s="9">
        <v>45035</v>
      </c>
      <c r="P2288">
        <v>9</v>
      </c>
      <c r="Q2288" s="11" t="s">
        <v>49</v>
      </c>
      <c r="R2288" s="7"/>
      <c r="S2288" s="7">
        <v>23250</v>
      </c>
      <c r="T2288" s="7"/>
      <c r="U2288" s="7"/>
      <c r="V2288" s="10">
        <v>7.5741092456127026</v>
      </c>
      <c r="W2288" s="9">
        <v>45032</v>
      </c>
      <c r="X2288" s="10">
        <v>7.5</v>
      </c>
      <c r="Y2288" s="9">
        <v>45035</v>
      </c>
      <c r="Z2288">
        <v>9</v>
      </c>
      <c r="AA2288" s="11" t="s">
        <v>49</v>
      </c>
    </row>
    <row r="2289" spans="2:27" ht="16" x14ac:dyDescent="0.2">
      <c r="B2289" t="s">
        <v>35</v>
      </c>
      <c r="C2289">
        <v>40362159</v>
      </c>
      <c r="D2289" t="s">
        <v>389</v>
      </c>
      <c r="E2289">
        <v>1022637</v>
      </c>
      <c r="F2289" t="s">
        <v>314</v>
      </c>
      <c r="G2289" s="9">
        <v>45020</v>
      </c>
      <c r="H2289" s="7"/>
      <c r="I2289" s="7">
        <v>21495</v>
      </c>
      <c r="J2289" s="7"/>
      <c r="K2289" s="7"/>
      <c r="L2289" s="10">
        <v>5.5741092456127026</v>
      </c>
      <c r="M2289" s="9">
        <v>45025</v>
      </c>
      <c r="N2289" s="10">
        <v>5.5</v>
      </c>
      <c r="O2289" s="9">
        <v>45030</v>
      </c>
      <c r="P2289">
        <v>13</v>
      </c>
      <c r="Q2289" s="11" t="s">
        <v>49</v>
      </c>
      <c r="R2289" s="7"/>
      <c r="S2289" s="7">
        <v>21495</v>
      </c>
      <c r="T2289" s="7"/>
      <c r="U2289" s="7"/>
      <c r="V2289" s="10">
        <v>7.5741092456127026</v>
      </c>
      <c r="W2289" s="9">
        <v>45027</v>
      </c>
      <c r="X2289" s="10">
        <v>7.5</v>
      </c>
      <c r="Y2289" s="9">
        <v>45030</v>
      </c>
      <c r="Z2289">
        <v>13</v>
      </c>
      <c r="AA2289" s="11" t="s">
        <v>49</v>
      </c>
    </row>
    <row r="2290" spans="2:27" ht="16" x14ac:dyDescent="0.2">
      <c r="B2290" t="s">
        <v>35</v>
      </c>
      <c r="C2290">
        <v>40362158</v>
      </c>
      <c r="D2290" t="s">
        <v>389</v>
      </c>
      <c r="E2290">
        <v>1022637</v>
      </c>
      <c r="F2290" t="s">
        <v>314</v>
      </c>
      <c r="G2290" s="9">
        <v>45015</v>
      </c>
      <c r="H2290" s="7"/>
      <c r="I2290" s="7">
        <v>22905</v>
      </c>
      <c r="J2290" s="7"/>
      <c r="K2290" s="7"/>
      <c r="L2290" s="10">
        <v>5.5741092456127026</v>
      </c>
      <c r="M2290" s="9">
        <v>45020</v>
      </c>
      <c r="N2290" s="10">
        <v>5.5</v>
      </c>
      <c r="O2290" s="9">
        <v>45025</v>
      </c>
      <c r="P2290">
        <v>18</v>
      </c>
      <c r="Q2290" s="11" t="s">
        <v>49</v>
      </c>
      <c r="R2290" s="7"/>
      <c r="S2290" s="7">
        <v>22905</v>
      </c>
      <c r="T2290" s="7"/>
      <c r="U2290" s="7"/>
      <c r="V2290" s="10">
        <v>7.5741092456127026</v>
      </c>
      <c r="W2290" s="9">
        <v>45022</v>
      </c>
      <c r="X2290" s="10">
        <v>7.5</v>
      </c>
      <c r="Y2290" s="9">
        <v>45025</v>
      </c>
      <c r="Z2290">
        <v>18</v>
      </c>
      <c r="AA2290" s="11" t="s">
        <v>49</v>
      </c>
    </row>
    <row r="2291" spans="2:27" ht="16" x14ac:dyDescent="0.2">
      <c r="B2291" t="s">
        <v>35</v>
      </c>
      <c r="C2291">
        <v>40362154</v>
      </c>
      <c r="D2291" t="s">
        <v>389</v>
      </c>
      <c r="E2291">
        <v>1022096</v>
      </c>
      <c r="F2291" t="s">
        <v>440</v>
      </c>
      <c r="G2291" s="9">
        <v>45008</v>
      </c>
      <c r="H2291" s="7"/>
      <c r="I2291" s="7">
        <v>24510</v>
      </c>
      <c r="J2291" s="7"/>
      <c r="K2291" s="7"/>
      <c r="L2291" s="10">
        <v>5.5741092456127026</v>
      </c>
      <c r="M2291" s="9">
        <v>45013</v>
      </c>
      <c r="N2291" s="10">
        <v>5.5</v>
      </c>
      <c r="O2291" s="9">
        <v>45018</v>
      </c>
      <c r="P2291">
        <v>23</v>
      </c>
      <c r="Q2291" s="11" t="s">
        <v>49</v>
      </c>
      <c r="R2291" s="7"/>
      <c r="S2291" s="7">
        <v>24510</v>
      </c>
      <c r="T2291" s="7"/>
      <c r="U2291" s="7"/>
      <c r="V2291" s="10">
        <v>7.5741092456127026</v>
      </c>
      <c r="W2291" s="9">
        <v>45015</v>
      </c>
      <c r="X2291" s="10">
        <v>7.5</v>
      </c>
      <c r="Y2291" s="9">
        <v>45018</v>
      </c>
      <c r="Z2291">
        <v>23</v>
      </c>
      <c r="AA2291" s="11" t="s">
        <v>49</v>
      </c>
    </row>
    <row r="2292" spans="2:27" ht="16" x14ac:dyDescent="0.2">
      <c r="B2292" t="s">
        <v>35</v>
      </c>
      <c r="C2292">
        <v>40362152</v>
      </c>
      <c r="D2292" t="s">
        <v>389</v>
      </c>
      <c r="E2292">
        <v>1022096</v>
      </c>
      <c r="F2292" t="s">
        <v>440</v>
      </c>
      <c r="G2292" s="9">
        <v>45004</v>
      </c>
      <c r="H2292" s="7">
        <v>24000</v>
      </c>
      <c r="I2292" s="7"/>
      <c r="J2292" s="7"/>
      <c r="K2292" s="7"/>
      <c r="L2292" s="10">
        <v>5.5741092456127026</v>
      </c>
      <c r="M2292" s="9">
        <v>45009</v>
      </c>
      <c r="N2292" s="10">
        <v>5.5</v>
      </c>
      <c r="O2292" s="9">
        <v>45014</v>
      </c>
      <c r="P2292">
        <v>2</v>
      </c>
      <c r="Q2292" s="11" t="s">
        <v>598</v>
      </c>
      <c r="R2292" s="7">
        <v>24000</v>
      </c>
      <c r="S2292" s="7"/>
      <c r="T2292" s="7"/>
      <c r="U2292" s="7"/>
      <c r="V2292" s="10">
        <v>7.5741092456127026</v>
      </c>
      <c r="W2292" s="9">
        <v>45011</v>
      </c>
      <c r="X2292" s="10">
        <v>7.5</v>
      </c>
      <c r="Y2292" s="9">
        <v>45014</v>
      </c>
      <c r="Z2292">
        <v>2</v>
      </c>
      <c r="AA2292" s="11" t="s">
        <v>598</v>
      </c>
    </row>
    <row r="2293" spans="2:27" ht="16" x14ac:dyDescent="0.2">
      <c r="B2293" t="s">
        <v>35</v>
      </c>
      <c r="C2293">
        <v>40362151</v>
      </c>
      <c r="D2293" t="s">
        <v>389</v>
      </c>
      <c r="E2293">
        <v>1022096</v>
      </c>
      <c r="F2293" t="s">
        <v>440</v>
      </c>
      <c r="G2293" s="9">
        <v>45004</v>
      </c>
      <c r="H2293" s="7">
        <v>24060</v>
      </c>
      <c r="I2293" s="7"/>
      <c r="J2293" s="7"/>
      <c r="K2293" s="7"/>
      <c r="L2293" s="10">
        <v>5.5741092456127026</v>
      </c>
      <c r="M2293" s="9">
        <v>45009</v>
      </c>
      <c r="N2293" s="10">
        <v>5.5</v>
      </c>
      <c r="O2293" s="9">
        <v>45014</v>
      </c>
      <c r="P2293">
        <v>2</v>
      </c>
      <c r="Q2293" s="11" t="s">
        <v>598</v>
      </c>
      <c r="R2293" s="7">
        <v>24060</v>
      </c>
      <c r="S2293" s="7"/>
      <c r="T2293" s="7"/>
      <c r="U2293" s="7"/>
      <c r="V2293" s="10">
        <v>7.5741092456127026</v>
      </c>
      <c r="W2293" s="9">
        <v>45011</v>
      </c>
      <c r="X2293" s="10">
        <v>7.5</v>
      </c>
      <c r="Y2293" s="9">
        <v>45014</v>
      </c>
      <c r="Z2293">
        <v>2</v>
      </c>
      <c r="AA2293" s="11" t="s">
        <v>598</v>
      </c>
    </row>
    <row r="2294" spans="2:27" ht="16" x14ac:dyDescent="0.2">
      <c r="B2294" t="s">
        <v>35</v>
      </c>
      <c r="C2294">
        <v>40362150</v>
      </c>
      <c r="D2294" t="s">
        <v>389</v>
      </c>
      <c r="E2294">
        <v>1022096</v>
      </c>
      <c r="F2294" t="s">
        <v>440</v>
      </c>
      <c r="G2294" s="9">
        <v>44996</v>
      </c>
      <c r="H2294" s="7">
        <v>24230</v>
      </c>
      <c r="I2294" s="7"/>
      <c r="J2294" s="7"/>
      <c r="K2294" s="7"/>
      <c r="L2294" s="10">
        <v>5.5741092456127026</v>
      </c>
      <c r="M2294" s="9">
        <v>45001</v>
      </c>
      <c r="N2294" s="10">
        <v>5.5</v>
      </c>
      <c r="O2294" s="9">
        <v>45006</v>
      </c>
      <c r="P2294">
        <v>9</v>
      </c>
      <c r="Q2294" s="11" t="s">
        <v>49</v>
      </c>
      <c r="R2294" s="7">
        <v>24230</v>
      </c>
      <c r="S2294" s="7"/>
      <c r="T2294" s="7"/>
      <c r="U2294" s="7"/>
      <c r="V2294" s="10">
        <v>7.5741092456127026</v>
      </c>
      <c r="W2294" s="9">
        <v>45003</v>
      </c>
      <c r="X2294" s="10">
        <v>7.5</v>
      </c>
      <c r="Y2294" s="9">
        <v>45006</v>
      </c>
      <c r="Z2294">
        <v>9</v>
      </c>
      <c r="AA2294" s="11" t="s">
        <v>49</v>
      </c>
    </row>
    <row r="2295" spans="2:27" ht="16" x14ac:dyDescent="0.2">
      <c r="B2295" t="s">
        <v>35</v>
      </c>
      <c r="C2295">
        <v>40362148</v>
      </c>
      <c r="D2295" t="s">
        <v>389</v>
      </c>
      <c r="E2295">
        <v>1021766</v>
      </c>
      <c r="F2295" t="s">
        <v>286</v>
      </c>
      <c r="G2295" s="9">
        <v>45025</v>
      </c>
      <c r="H2295" s="7"/>
      <c r="I2295" s="7">
        <v>19890</v>
      </c>
      <c r="J2295" s="7"/>
      <c r="K2295" s="7"/>
      <c r="L2295" s="10">
        <v>5.5741092456127026</v>
      </c>
      <c r="M2295" s="9">
        <v>45030</v>
      </c>
      <c r="N2295" s="10">
        <v>5.5</v>
      </c>
      <c r="O2295" s="9">
        <v>45035</v>
      </c>
      <c r="P2295">
        <v>9</v>
      </c>
      <c r="Q2295" s="11" t="s">
        <v>49</v>
      </c>
      <c r="R2295" s="7"/>
      <c r="S2295" s="7">
        <v>19890</v>
      </c>
      <c r="T2295" s="7"/>
      <c r="U2295" s="7"/>
      <c r="V2295" s="10">
        <v>7.5741092456127026</v>
      </c>
      <c r="W2295" s="9">
        <v>45032</v>
      </c>
      <c r="X2295" s="10">
        <v>7.5</v>
      </c>
      <c r="Y2295" s="9">
        <v>45035</v>
      </c>
      <c r="Z2295">
        <v>9</v>
      </c>
      <c r="AA2295" s="11" t="s">
        <v>49</v>
      </c>
    </row>
    <row r="2296" spans="2:27" ht="16" x14ac:dyDescent="0.2">
      <c r="B2296" t="s">
        <v>35</v>
      </c>
      <c r="C2296">
        <v>40362148</v>
      </c>
      <c r="D2296" t="s">
        <v>389</v>
      </c>
      <c r="E2296">
        <v>1021766</v>
      </c>
      <c r="F2296" t="s">
        <v>286</v>
      </c>
      <c r="G2296" s="9">
        <v>45025</v>
      </c>
      <c r="H2296" s="7"/>
      <c r="I2296" s="7">
        <v>22950</v>
      </c>
      <c r="J2296" s="7"/>
      <c r="K2296" s="7"/>
      <c r="L2296" s="10">
        <v>5.5741092456127026</v>
      </c>
      <c r="M2296" s="9">
        <v>45030</v>
      </c>
      <c r="N2296" s="10">
        <v>5.5</v>
      </c>
      <c r="O2296" s="9">
        <v>45035</v>
      </c>
      <c r="P2296">
        <v>9</v>
      </c>
      <c r="Q2296" s="11" t="s">
        <v>49</v>
      </c>
      <c r="R2296" s="7"/>
      <c r="S2296" s="7">
        <v>22950</v>
      </c>
      <c r="T2296" s="7"/>
      <c r="U2296" s="7"/>
      <c r="V2296" s="10">
        <v>7.5741092456127026</v>
      </c>
      <c r="W2296" s="9">
        <v>45032</v>
      </c>
      <c r="X2296" s="10">
        <v>7.5</v>
      </c>
      <c r="Y2296" s="9">
        <v>45035</v>
      </c>
      <c r="Z2296">
        <v>9</v>
      </c>
      <c r="AA2296" s="11" t="s">
        <v>49</v>
      </c>
    </row>
    <row r="2297" spans="2:27" ht="16" x14ac:dyDescent="0.2">
      <c r="B2297" t="s">
        <v>35</v>
      </c>
      <c r="C2297">
        <v>40362147</v>
      </c>
      <c r="D2297" t="s">
        <v>389</v>
      </c>
      <c r="E2297">
        <v>1021766</v>
      </c>
      <c r="F2297" t="s">
        <v>286</v>
      </c>
      <c r="G2297" s="9">
        <v>45025</v>
      </c>
      <c r="H2297" s="7"/>
      <c r="I2297" s="7">
        <v>24156</v>
      </c>
      <c r="J2297" s="7"/>
      <c r="K2297" s="7"/>
      <c r="L2297" s="10">
        <v>5.5741092456127026</v>
      </c>
      <c r="M2297" s="9">
        <v>45030</v>
      </c>
      <c r="N2297" s="10">
        <v>5.5</v>
      </c>
      <c r="O2297" s="9">
        <v>45035</v>
      </c>
      <c r="P2297">
        <v>9</v>
      </c>
      <c r="Q2297" s="11" t="s">
        <v>49</v>
      </c>
      <c r="R2297" s="7"/>
      <c r="S2297" s="7">
        <v>24156</v>
      </c>
      <c r="T2297" s="7"/>
      <c r="U2297" s="7"/>
      <c r="V2297" s="10">
        <v>7.5741092456127026</v>
      </c>
      <c r="W2297" s="9">
        <v>45032</v>
      </c>
      <c r="X2297" s="10">
        <v>7.5</v>
      </c>
      <c r="Y2297" s="9">
        <v>45035</v>
      </c>
      <c r="Z2297">
        <v>9</v>
      </c>
      <c r="AA2297" s="11" t="s">
        <v>49</v>
      </c>
    </row>
    <row r="2298" spans="2:27" ht="16" x14ac:dyDescent="0.2">
      <c r="B2298" t="s">
        <v>35</v>
      </c>
      <c r="C2298">
        <v>40362142</v>
      </c>
      <c r="D2298" t="s">
        <v>389</v>
      </c>
      <c r="E2298">
        <v>1021766</v>
      </c>
      <c r="F2298" t="s">
        <v>286</v>
      </c>
      <c r="G2298" s="9">
        <v>45018</v>
      </c>
      <c r="H2298" s="7"/>
      <c r="I2298" s="7">
        <v>24120</v>
      </c>
      <c r="J2298" s="7"/>
      <c r="K2298" s="7"/>
      <c r="L2298" s="10">
        <v>5.5741092456127026</v>
      </c>
      <c r="M2298" s="9">
        <v>45023</v>
      </c>
      <c r="N2298" s="10">
        <v>5.5</v>
      </c>
      <c r="O2298" s="9">
        <v>45028</v>
      </c>
      <c r="P2298">
        <v>15</v>
      </c>
      <c r="Q2298" s="11" t="s">
        <v>49</v>
      </c>
      <c r="R2298" s="7"/>
      <c r="S2298" s="7">
        <v>24120</v>
      </c>
      <c r="T2298" s="7"/>
      <c r="U2298" s="7"/>
      <c r="V2298" s="10">
        <v>7.5741092456127026</v>
      </c>
      <c r="W2298" s="9">
        <v>45025</v>
      </c>
      <c r="X2298" s="10">
        <v>7.5</v>
      </c>
      <c r="Y2298" s="9">
        <v>45028</v>
      </c>
      <c r="Z2298">
        <v>15</v>
      </c>
      <c r="AA2298" s="11" t="s">
        <v>49</v>
      </c>
    </row>
    <row r="2299" spans="2:27" ht="16" x14ac:dyDescent="0.2">
      <c r="B2299" t="s">
        <v>35</v>
      </c>
      <c r="C2299">
        <v>40362131</v>
      </c>
      <c r="D2299" t="s">
        <v>389</v>
      </c>
      <c r="E2299">
        <v>1023306</v>
      </c>
      <c r="F2299" t="s">
        <v>330</v>
      </c>
      <c r="G2299" s="9">
        <v>45018</v>
      </c>
      <c r="H2299" s="7"/>
      <c r="I2299" s="7">
        <v>24580</v>
      </c>
      <c r="J2299" s="7"/>
      <c r="K2299" s="7"/>
      <c r="L2299" s="10">
        <v>5.5741092456127026</v>
      </c>
      <c r="M2299" s="9">
        <v>45023</v>
      </c>
      <c r="N2299" s="10">
        <v>5.5</v>
      </c>
      <c r="O2299" s="9">
        <v>45028</v>
      </c>
      <c r="P2299">
        <v>15</v>
      </c>
      <c r="Q2299" s="11" t="s">
        <v>49</v>
      </c>
      <c r="R2299" s="7"/>
      <c r="S2299" s="7">
        <v>24580</v>
      </c>
      <c r="T2299" s="7"/>
      <c r="U2299" s="7"/>
      <c r="V2299" s="10">
        <v>7.5741092456127026</v>
      </c>
      <c r="W2299" s="9">
        <v>45025</v>
      </c>
      <c r="X2299" s="10">
        <v>7.5</v>
      </c>
      <c r="Y2299" s="9">
        <v>45028</v>
      </c>
      <c r="Z2299">
        <v>15</v>
      </c>
      <c r="AA2299" s="11" t="s">
        <v>49</v>
      </c>
    </row>
    <row r="2300" spans="2:27" ht="16" x14ac:dyDescent="0.2">
      <c r="B2300" t="s">
        <v>35</v>
      </c>
      <c r="C2300">
        <v>40362129</v>
      </c>
      <c r="D2300" t="s">
        <v>389</v>
      </c>
      <c r="E2300">
        <v>1023306</v>
      </c>
      <c r="F2300" t="s">
        <v>330</v>
      </c>
      <c r="G2300" s="9">
        <v>45012</v>
      </c>
      <c r="H2300" s="7"/>
      <c r="I2300" s="7">
        <v>24220</v>
      </c>
      <c r="J2300" s="7"/>
      <c r="K2300" s="7"/>
      <c r="L2300" s="10">
        <v>5.5741092456127026</v>
      </c>
      <c r="M2300" s="9">
        <v>45017</v>
      </c>
      <c r="N2300" s="10">
        <v>5.5</v>
      </c>
      <c r="O2300" s="9">
        <v>45022</v>
      </c>
      <c r="P2300">
        <v>20</v>
      </c>
      <c r="Q2300" s="11" t="s">
        <v>49</v>
      </c>
      <c r="R2300" s="7"/>
      <c r="S2300" s="7">
        <v>24220</v>
      </c>
      <c r="T2300" s="7"/>
      <c r="U2300" s="7"/>
      <c r="V2300" s="10">
        <v>7.5741092456127026</v>
      </c>
      <c r="W2300" s="9">
        <v>45019</v>
      </c>
      <c r="X2300" s="10">
        <v>7.5</v>
      </c>
      <c r="Y2300" s="9">
        <v>45022</v>
      </c>
      <c r="Z2300">
        <v>20</v>
      </c>
      <c r="AA2300" s="11" t="s">
        <v>49</v>
      </c>
    </row>
    <row r="2301" spans="2:27" ht="16" x14ac:dyDescent="0.2">
      <c r="B2301" t="s">
        <v>35</v>
      </c>
      <c r="C2301">
        <v>40362128</v>
      </c>
      <c r="D2301" t="s">
        <v>389</v>
      </c>
      <c r="E2301">
        <v>1023306</v>
      </c>
      <c r="F2301" t="s">
        <v>330</v>
      </c>
      <c r="G2301" s="9">
        <v>45007</v>
      </c>
      <c r="H2301" s="7"/>
      <c r="I2301" s="7">
        <v>24280</v>
      </c>
      <c r="J2301" s="7"/>
      <c r="K2301" s="7"/>
      <c r="L2301" s="10">
        <v>5.5741092456127026</v>
      </c>
      <c r="M2301" s="9">
        <v>45012</v>
      </c>
      <c r="N2301" s="10">
        <v>5.5</v>
      </c>
      <c r="O2301" s="9">
        <v>45017</v>
      </c>
      <c r="P2301">
        <v>23</v>
      </c>
      <c r="Q2301" s="11" t="s">
        <v>49</v>
      </c>
      <c r="R2301" s="7"/>
      <c r="S2301" s="7">
        <v>24280</v>
      </c>
      <c r="T2301" s="7"/>
      <c r="U2301" s="7"/>
      <c r="V2301" s="10">
        <v>7.5741092456127026</v>
      </c>
      <c r="W2301" s="9">
        <v>45014</v>
      </c>
      <c r="X2301" s="10">
        <v>7.5</v>
      </c>
      <c r="Y2301" s="9">
        <v>45017</v>
      </c>
      <c r="Z2301">
        <v>23</v>
      </c>
      <c r="AA2301" s="11" t="s">
        <v>49</v>
      </c>
    </row>
    <row r="2302" spans="2:27" ht="16" x14ac:dyDescent="0.2">
      <c r="B2302" t="s">
        <v>35</v>
      </c>
      <c r="C2302">
        <v>40362127</v>
      </c>
      <c r="D2302" t="s">
        <v>389</v>
      </c>
      <c r="E2302">
        <v>1023306</v>
      </c>
      <c r="F2302" t="s">
        <v>330</v>
      </c>
      <c r="G2302" s="9">
        <v>45008</v>
      </c>
      <c r="H2302" s="7"/>
      <c r="I2302" s="7">
        <v>24260</v>
      </c>
      <c r="J2302" s="7"/>
      <c r="K2302" s="7"/>
      <c r="L2302" s="10">
        <v>5.5741092456127026</v>
      </c>
      <c r="M2302" s="9">
        <v>45013</v>
      </c>
      <c r="N2302" s="10">
        <v>5.5</v>
      </c>
      <c r="O2302" s="9">
        <v>45018</v>
      </c>
      <c r="P2302">
        <v>23</v>
      </c>
      <c r="Q2302" s="11" t="s">
        <v>49</v>
      </c>
      <c r="R2302" s="7"/>
      <c r="S2302" s="7">
        <v>24260</v>
      </c>
      <c r="T2302" s="7"/>
      <c r="U2302" s="7"/>
      <c r="V2302" s="10">
        <v>7.5741092456127026</v>
      </c>
      <c r="W2302" s="9">
        <v>45015</v>
      </c>
      <c r="X2302" s="10">
        <v>7.5</v>
      </c>
      <c r="Y2302" s="9">
        <v>45018</v>
      </c>
      <c r="Z2302">
        <v>23</v>
      </c>
      <c r="AA2302" s="11" t="s">
        <v>49</v>
      </c>
    </row>
    <row r="2303" spans="2:27" ht="16" x14ac:dyDescent="0.2">
      <c r="B2303" t="s">
        <v>35</v>
      </c>
      <c r="C2303">
        <v>40362126</v>
      </c>
      <c r="D2303" t="s">
        <v>389</v>
      </c>
      <c r="E2303">
        <v>1023306</v>
      </c>
      <c r="F2303" t="s">
        <v>330</v>
      </c>
      <c r="G2303" s="9">
        <v>45007</v>
      </c>
      <c r="H2303" s="7"/>
      <c r="I2303" s="7">
        <v>24300</v>
      </c>
      <c r="J2303" s="7"/>
      <c r="K2303" s="7"/>
      <c r="L2303" s="10">
        <v>5.5741092456127026</v>
      </c>
      <c r="M2303" s="9">
        <v>45012</v>
      </c>
      <c r="N2303" s="10">
        <v>5.5</v>
      </c>
      <c r="O2303" s="9">
        <v>45017</v>
      </c>
      <c r="P2303">
        <v>23</v>
      </c>
      <c r="Q2303" s="11" t="s">
        <v>49</v>
      </c>
      <c r="R2303" s="7"/>
      <c r="S2303" s="7">
        <v>24300</v>
      </c>
      <c r="T2303" s="7"/>
      <c r="U2303" s="7"/>
      <c r="V2303" s="10">
        <v>7.5741092456127026</v>
      </c>
      <c r="W2303" s="9">
        <v>45014</v>
      </c>
      <c r="X2303" s="10">
        <v>7.5</v>
      </c>
      <c r="Y2303" s="9">
        <v>45017</v>
      </c>
      <c r="Z2303">
        <v>23</v>
      </c>
      <c r="AA2303" s="11" t="s">
        <v>49</v>
      </c>
    </row>
    <row r="2304" spans="2:27" ht="16" x14ac:dyDescent="0.2">
      <c r="B2304" t="s">
        <v>35</v>
      </c>
      <c r="C2304">
        <v>40362125</v>
      </c>
      <c r="D2304" t="s">
        <v>389</v>
      </c>
      <c r="E2304">
        <v>1023306</v>
      </c>
      <c r="F2304" t="s">
        <v>330</v>
      </c>
      <c r="G2304" s="9">
        <v>45008</v>
      </c>
      <c r="H2304" s="7"/>
      <c r="I2304" s="7">
        <v>22440</v>
      </c>
      <c r="J2304" s="7"/>
      <c r="K2304" s="7"/>
      <c r="L2304" s="10">
        <v>5.5741092456127026</v>
      </c>
      <c r="M2304" s="9">
        <v>45013</v>
      </c>
      <c r="N2304" s="10">
        <v>5.5</v>
      </c>
      <c r="O2304" s="9">
        <v>45018</v>
      </c>
      <c r="P2304">
        <v>23</v>
      </c>
      <c r="Q2304" s="11" t="s">
        <v>49</v>
      </c>
      <c r="R2304" s="7"/>
      <c r="S2304" s="7">
        <v>22440</v>
      </c>
      <c r="T2304" s="7"/>
      <c r="U2304" s="7"/>
      <c r="V2304" s="10">
        <v>7.5741092456127026</v>
      </c>
      <c r="W2304" s="9">
        <v>45015</v>
      </c>
      <c r="X2304" s="10">
        <v>7.5</v>
      </c>
      <c r="Y2304" s="9">
        <v>45018</v>
      </c>
      <c r="Z2304">
        <v>23</v>
      </c>
      <c r="AA2304" s="11" t="s">
        <v>49</v>
      </c>
    </row>
    <row r="2305" spans="2:27" ht="16" x14ac:dyDescent="0.2">
      <c r="B2305" t="s">
        <v>35</v>
      </c>
      <c r="C2305">
        <v>40362124</v>
      </c>
      <c r="D2305" t="s">
        <v>389</v>
      </c>
      <c r="E2305">
        <v>1023306</v>
      </c>
      <c r="F2305" t="s">
        <v>330</v>
      </c>
      <c r="G2305" s="9">
        <v>45005</v>
      </c>
      <c r="H2305" s="7">
        <v>23900</v>
      </c>
      <c r="I2305" s="7"/>
      <c r="J2305" s="7"/>
      <c r="K2305" s="7"/>
      <c r="L2305" s="10">
        <v>5.5741092456127026</v>
      </c>
      <c r="M2305" s="9">
        <v>45010</v>
      </c>
      <c r="N2305" s="10">
        <v>5.5</v>
      </c>
      <c r="O2305" s="9">
        <v>45015</v>
      </c>
      <c r="P2305">
        <v>1</v>
      </c>
      <c r="Q2305" s="11" t="s">
        <v>598</v>
      </c>
      <c r="R2305" s="7">
        <v>23900</v>
      </c>
      <c r="S2305" s="7"/>
      <c r="T2305" s="7"/>
      <c r="U2305" s="7"/>
      <c r="V2305" s="10">
        <v>7.5741092456127026</v>
      </c>
      <c r="W2305" s="9">
        <v>45012</v>
      </c>
      <c r="X2305" s="10">
        <v>7.5</v>
      </c>
      <c r="Y2305" s="9">
        <v>45015</v>
      </c>
      <c r="Z2305">
        <v>1</v>
      </c>
      <c r="AA2305" s="11" t="s">
        <v>598</v>
      </c>
    </row>
    <row r="2306" spans="2:27" ht="16" x14ac:dyDescent="0.2">
      <c r="B2306" t="s">
        <v>35</v>
      </c>
      <c r="C2306">
        <v>40362112</v>
      </c>
      <c r="D2306" t="s">
        <v>389</v>
      </c>
      <c r="E2306">
        <v>1022939</v>
      </c>
      <c r="F2306" t="s">
        <v>505</v>
      </c>
      <c r="G2306" s="9">
        <v>45012</v>
      </c>
      <c r="H2306" s="7"/>
      <c r="I2306" s="7">
        <v>12500</v>
      </c>
      <c r="J2306" s="7"/>
      <c r="K2306" s="7"/>
      <c r="L2306" s="10">
        <v>5.5741092456127026</v>
      </c>
      <c r="M2306" s="9">
        <v>45017</v>
      </c>
      <c r="N2306" s="10">
        <v>5.5</v>
      </c>
      <c r="O2306" s="9">
        <v>45022</v>
      </c>
      <c r="P2306">
        <v>20</v>
      </c>
      <c r="Q2306" s="11" t="s">
        <v>49</v>
      </c>
      <c r="R2306" s="7"/>
      <c r="S2306" s="7">
        <v>12500</v>
      </c>
      <c r="T2306" s="7"/>
      <c r="U2306" s="7"/>
      <c r="V2306" s="10">
        <v>7.5741092456127026</v>
      </c>
      <c r="W2306" s="9">
        <v>45019</v>
      </c>
      <c r="X2306" s="10">
        <v>7.5</v>
      </c>
      <c r="Y2306" s="9">
        <v>45022</v>
      </c>
      <c r="Z2306">
        <v>20</v>
      </c>
      <c r="AA2306" s="11" t="s">
        <v>49</v>
      </c>
    </row>
    <row r="2307" spans="2:27" ht="16" x14ac:dyDescent="0.2">
      <c r="B2307" t="s">
        <v>35</v>
      </c>
      <c r="C2307">
        <v>40362112</v>
      </c>
      <c r="D2307" t="s">
        <v>389</v>
      </c>
      <c r="E2307">
        <v>1023093</v>
      </c>
      <c r="F2307" t="s">
        <v>179</v>
      </c>
      <c r="G2307" s="9">
        <v>45012</v>
      </c>
      <c r="H2307" s="7"/>
      <c r="I2307" s="7">
        <v>12500</v>
      </c>
      <c r="J2307" s="7"/>
      <c r="K2307" s="7"/>
      <c r="L2307" s="10">
        <v>5.5741092456127026</v>
      </c>
      <c r="M2307" s="9">
        <v>45017</v>
      </c>
      <c r="N2307" s="10">
        <v>5.5</v>
      </c>
      <c r="O2307" s="9">
        <v>45022</v>
      </c>
      <c r="P2307">
        <v>20</v>
      </c>
      <c r="Q2307" s="11" t="s">
        <v>49</v>
      </c>
      <c r="R2307" s="7"/>
      <c r="S2307" s="7">
        <v>12500</v>
      </c>
      <c r="T2307" s="7"/>
      <c r="U2307" s="7"/>
      <c r="V2307" s="10">
        <v>7.5741092456127026</v>
      </c>
      <c r="W2307" s="9">
        <v>45019</v>
      </c>
      <c r="X2307" s="10">
        <v>7.5</v>
      </c>
      <c r="Y2307" s="9">
        <v>45022</v>
      </c>
      <c r="Z2307">
        <v>20</v>
      </c>
      <c r="AA2307" s="11" t="s">
        <v>49</v>
      </c>
    </row>
    <row r="2308" spans="2:27" ht="16" x14ac:dyDescent="0.2">
      <c r="B2308" t="s">
        <v>35</v>
      </c>
      <c r="C2308">
        <v>40362111</v>
      </c>
      <c r="D2308" t="s">
        <v>389</v>
      </c>
      <c r="E2308">
        <v>1023093</v>
      </c>
      <c r="F2308" t="s">
        <v>179</v>
      </c>
      <c r="G2308" s="9">
        <v>45012</v>
      </c>
      <c r="H2308" s="7"/>
      <c r="I2308" s="7">
        <v>23940</v>
      </c>
      <c r="J2308" s="7"/>
      <c r="K2308" s="7"/>
      <c r="L2308" s="10">
        <v>5.5741092456127026</v>
      </c>
      <c r="M2308" s="9">
        <v>45017</v>
      </c>
      <c r="N2308" s="10">
        <v>5.5</v>
      </c>
      <c r="O2308" s="9">
        <v>45022</v>
      </c>
      <c r="P2308">
        <v>20</v>
      </c>
      <c r="Q2308" s="11" t="s">
        <v>49</v>
      </c>
      <c r="R2308" s="7"/>
      <c r="S2308" s="7">
        <v>23940</v>
      </c>
      <c r="T2308" s="7"/>
      <c r="U2308" s="7"/>
      <c r="V2308" s="10">
        <v>7.5741092456127026</v>
      </c>
      <c r="W2308" s="9">
        <v>45019</v>
      </c>
      <c r="X2308" s="10">
        <v>7.5</v>
      </c>
      <c r="Y2308" s="9">
        <v>45022</v>
      </c>
      <c r="Z2308">
        <v>20</v>
      </c>
      <c r="AA2308" s="11" t="s">
        <v>49</v>
      </c>
    </row>
    <row r="2309" spans="2:27" ht="16" x14ac:dyDescent="0.2">
      <c r="B2309" t="s">
        <v>35</v>
      </c>
      <c r="C2309">
        <v>40362110</v>
      </c>
      <c r="D2309" t="s">
        <v>389</v>
      </c>
      <c r="E2309">
        <v>1022125</v>
      </c>
      <c r="F2309" t="s">
        <v>296</v>
      </c>
      <c r="G2309" s="9">
        <v>45012</v>
      </c>
      <c r="H2309" s="7"/>
      <c r="I2309" s="7">
        <v>19856.560000000001</v>
      </c>
      <c r="J2309" s="7"/>
      <c r="K2309" s="7"/>
      <c r="L2309" s="10">
        <v>5.5741092456127026</v>
      </c>
      <c r="M2309" s="9">
        <v>45017</v>
      </c>
      <c r="N2309" s="10">
        <v>5.5</v>
      </c>
      <c r="O2309" s="9">
        <v>45022</v>
      </c>
      <c r="P2309">
        <v>20</v>
      </c>
      <c r="Q2309" s="11" t="s">
        <v>49</v>
      </c>
      <c r="R2309" s="7"/>
      <c r="S2309" s="7">
        <v>19856.560000000001</v>
      </c>
      <c r="T2309" s="7"/>
      <c r="U2309" s="7"/>
      <c r="V2309" s="10">
        <v>7.5741092456127026</v>
      </c>
      <c r="W2309" s="9">
        <v>45019</v>
      </c>
      <c r="X2309" s="10">
        <v>7.5</v>
      </c>
      <c r="Y2309" s="9">
        <v>45022</v>
      </c>
      <c r="Z2309">
        <v>20</v>
      </c>
      <c r="AA2309" s="11" t="s">
        <v>49</v>
      </c>
    </row>
    <row r="2310" spans="2:27" ht="16" x14ac:dyDescent="0.2">
      <c r="B2310" t="s">
        <v>35</v>
      </c>
      <c r="C2310">
        <v>40362110</v>
      </c>
      <c r="D2310" t="s">
        <v>389</v>
      </c>
      <c r="E2310">
        <v>1022125</v>
      </c>
      <c r="F2310" t="s">
        <v>296</v>
      </c>
      <c r="G2310" s="9">
        <v>45012</v>
      </c>
      <c r="H2310" s="7"/>
      <c r="I2310" s="7">
        <v>24637.18</v>
      </c>
      <c r="J2310" s="7"/>
      <c r="K2310" s="7"/>
      <c r="L2310" s="10">
        <v>5.5741092456127026</v>
      </c>
      <c r="M2310" s="9">
        <v>45017</v>
      </c>
      <c r="N2310" s="10">
        <v>5.5</v>
      </c>
      <c r="O2310" s="9">
        <v>45022</v>
      </c>
      <c r="P2310">
        <v>20</v>
      </c>
      <c r="Q2310" s="11" t="s">
        <v>49</v>
      </c>
      <c r="R2310" s="7"/>
      <c r="S2310" s="7">
        <v>24637.18</v>
      </c>
      <c r="T2310" s="7"/>
      <c r="U2310" s="7"/>
      <c r="V2310" s="10">
        <v>7.5741092456127026</v>
      </c>
      <c r="W2310" s="9">
        <v>45019</v>
      </c>
      <c r="X2310" s="10">
        <v>7.5</v>
      </c>
      <c r="Y2310" s="9">
        <v>45022</v>
      </c>
      <c r="Z2310">
        <v>20</v>
      </c>
      <c r="AA2310" s="11" t="s">
        <v>49</v>
      </c>
    </row>
    <row r="2311" spans="2:27" ht="16" x14ac:dyDescent="0.2">
      <c r="B2311" t="s">
        <v>35</v>
      </c>
      <c r="C2311">
        <v>40362109</v>
      </c>
      <c r="D2311" t="s">
        <v>389</v>
      </c>
      <c r="E2311">
        <v>1022125</v>
      </c>
      <c r="F2311" t="s">
        <v>296</v>
      </c>
      <c r="G2311" s="9">
        <v>45018</v>
      </c>
      <c r="H2311" s="7"/>
      <c r="I2311" s="7">
        <v>23996.16</v>
      </c>
      <c r="J2311" s="7"/>
      <c r="K2311" s="7"/>
      <c r="L2311" s="10">
        <v>5.5741092456127026</v>
      </c>
      <c r="M2311" s="9">
        <v>45023</v>
      </c>
      <c r="N2311" s="10">
        <v>5.5</v>
      </c>
      <c r="O2311" s="9">
        <v>45028</v>
      </c>
      <c r="P2311">
        <v>15</v>
      </c>
      <c r="Q2311" s="11" t="s">
        <v>49</v>
      </c>
      <c r="R2311" s="7"/>
      <c r="S2311" s="7">
        <v>23996.16</v>
      </c>
      <c r="T2311" s="7"/>
      <c r="U2311" s="7"/>
      <c r="V2311" s="10">
        <v>7.5741092456127026</v>
      </c>
      <c r="W2311" s="9">
        <v>45025</v>
      </c>
      <c r="X2311" s="10">
        <v>7.5</v>
      </c>
      <c r="Y2311" s="9">
        <v>45028</v>
      </c>
      <c r="Z2311">
        <v>15</v>
      </c>
      <c r="AA2311" s="11" t="s">
        <v>49</v>
      </c>
    </row>
    <row r="2312" spans="2:27" ht="16" x14ac:dyDescent="0.2">
      <c r="B2312" t="s">
        <v>35</v>
      </c>
      <c r="C2312">
        <v>40362108</v>
      </c>
      <c r="D2312" t="s">
        <v>389</v>
      </c>
      <c r="E2312">
        <v>1022125</v>
      </c>
      <c r="F2312" t="s">
        <v>296</v>
      </c>
      <c r="G2312" s="9">
        <v>45007</v>
      </c>
      <c r="H2312" s="7"/>
      <c r="I2312" s="7">
        <v>12024.64</v>
      </c>
      <c r="J2312" s="7"/>
      <c r="K2312" s="7"/>
      <c r="L2312" s="10">
        <v>5.5741092456127026</v>
      </c>
      <c r="M2312" s="9">
        <v>45012</v>
      </c>
      <c r="N2312" s="10">
        <v>5.5</v>
      </c>
      <c r="O2312" s="9">
        <v>45017</v>
      </c>
      <c r="P2312">
        <v>23</v>
      </c>
      <c r="Q2312" s="11" t="s">
        <v>49</v>
      </c>
      <c r="R2312" s="7"/>
      <c r="S2312" s="7">
        <v>12024.64</v>
      </c>
      <c r="T2312" s="7"/>
      <c r="U2312" s="7"/>
      <c r="V2312" s="10">
        <v>7.5741092456127026</v>
      </c>
      <c r="W2312" s="9">
        <v>45014</v>
      </c>
      <c r="X2312" s="10">
        <v>7.5</v>
      </c>
      <c r="Y2312" s="9">
        <v>45017</v>
      </c>
      <c r="Z2312">
        <v>23</v>
      </c>
      <c r="AA2312" s="11" t="s">
        <v>49</v>
      </c>
    </row>
    <row r="2313" spans="2:27" ht="16" x14ac:dyDescent="0.2">
      <c r="B2313" t="s">
        <v>35</v>
      </c>
      <c r="C2313">
        <v>40362108</v>
      </c>
      <c r="D2313" t="s">
        <v>389</v>
      </c>
      <c r="E2313">
        <v>1022125</v>
      </c>
      <c r="F2313" t="s">
        <v>296</v>
      </c>
      <c r="G2313" s="9">
        <v>45007</v>
      </c>
      <c r="H2313" s="7"/>
      <c r="I2313" s="7">
        <v>25009.34</v>
      </c>
      <c r="J2313" s="7"/>
      <c r="K2313" s="7"/>
      <c r="L2313" s="10">
        <v>5.5741092456127026</v>
      </c>
      <c r="M2313" s="9">
        <v>45012</v>
      </c>
      <c r="N2313" s="10">
        <v>5.5</v>
      </c>
      <c r="O2313" s="9">
        <v>45017</v>
      </c>
      <c r="P2313">
        <v>23</v>
      </c>
      <c r="Q2313" s="11" t="s">
        <v>49</v>
      </c>
      <c r="R2313" s="7"/>
      <c r="S2313" s="7">
        <v>25009.34</v>
      </c>
      <c r="T2313" s="7"/>
      <c r="U2313" s="7"/>
      <c r="V2313" s="10">
        <v>7.5741092456127026</v>
      </c>
      <c r="W2313" s="9">
        <v>45014</v>
      </c>
      <c r="X2313" s="10">
        <v>7.5</v>
      </c>
      <c r="Y2313" s="9">
        <v>45017</v>
      </c>
      <c r="Z2313">
        <v>23</v>
      </c>
      <c r="AA2313" s="11" t="s">
        <v>49</v>
      </c>
    </row>
    <row r="2314" spans="2:27" ht="16" x14ac:dyDescent="0.2">
      <c r="B2314" t="s">
        <v>35</v>
      </c>
      <c r="C2314">
        <v>40362105</v>
      </c>
      <c r="D2314" t="s">
        <v>389</v>
      </c>
      <c r="E2314">
        <v>1022125</v>
      </c>
      <c r="F2314" t="s">
        <v>296</v>
      </c>
      <c r="G2314" s="9">
        <v>45004</v>
      </c>
      <c r="H2314" s="7">
        <v>18439.2</v>
      </c>
      <c r="I2314" s="7"/>
      <c r="J2314" s="7"/>
      <c r="K2314" s="7"/>
      <c r="L2314" s="10">
        <v>5.5741092456127026</v>
      </c>
      <c r="M2314" s="9">
        <v>45009</v>
      </c>
      <c r="N2314" s="10">
        <v>5.5</v>
      </c>
      <c r="O2314" s="9">
        <v>45014</v>
      </c>
      <c r="P2314">
        <v>2</v>
      </c>
      <c r="Q2314" s="11" t="s">
        <v>598</v>
      </c>
      <c r="R2314" s="7">
        <v>18439.2</v>
      </c>
      <c r="S2314" s="7"/>
      <c r="T2314" s="7"/>
      <c r="U2314" s="7"/>
      <c r="V2314" s="10">
        <v>7.5741092456127026</v>
      </c>
      <c r="W2314" s="9">
        <v>45011</v>
      </c>
      <c r="X2314" s="10">
        <v>7.5</v>
      </c>
      <c r="Y2314" s="9">
        <v>45014</v>
      </c>
      <c r="Z2314">
        <v>2</v>
      </c>
      <c r="AA2314" s="11" t="s">
        <v>598</v>
      </c>
    </row>
    <row r="2315" spans="2:27" ht="16" x14ac:dyDescent="0.2">
      <c r="B2315" t="s">
        <v>35</v>
      </c>
      <c r="C2315">
        <v>40362105</v>
      </c>
      <c r="D2315" t="s">
        <v>389</v>
      </c>
      <c r="E2315">
        <v>1022125</v>
      </c>
      <c r="F2315" t="s">
        <v>296</v>
      </c>
      <c r="G2315" s="9">
        <v>45004</v>
      </c>
      <c r="H2315" s="7">
        <v>25022.01</v>
      </c>
      <c r="I2315" s="7"/>
      <c r="J2315" s="7"/>
      <c r="K2315" s="7"/>
      <c r="L2315" s="10">
        <v>5.5741092456127026</v>
      </c>
      <c r="M2315" s="9">
        <v>45009</v>
      </c>
      <c r="N2315" s="10">
        <v>5.5</v>
      </c>
      <c r="O2315" s="9">
        <v>45014</v>
      </c>
      <c r="P2315">
        <v>2</v>
      </c>
      <c r="Q2315" s="11" t="s">
        <v>598</v>
      </c>
      <c r="R2315" s="7">
        <v>25022.01</v>
      </c>
      <c r="S2315" s="7"/>
      <c r="T2315" s="7"/>
      <c r="U2315" s="7"/>
      <c r="V2315" s="10">
        <v>7.5741092456127026</v>
      </c>
      <c r="W2315" s="9">
        <v>45011</v>
      </c>
      <c r="X2315" s="10">
        <v>7.5</v>
      </c>
      <c r="Y2315" s="9">
        <v>45014</v>
      </c>
      <c r="Z2315">
        <v>2</v>
      </c>
      <c r="AA2315" s="11" t="s">
        <v>598</v>
      </c>
    </row>
    <row r="2316" spans="2:27" ht="16" x14ac:dyDescent="0.2">
      <c r="B2316" t="s">
        <v>35</v>
      </c>
      <c r="C2316">
        <v>40362104</v>
      </c>
      <c r="D2316" t="s">
        <v>389</v>
      </c>
      <c r="E2316">
        <v>1022125</v>
      </c>
      <c r="F2316" t="s">
        <v>296</v>
      </c>
      <c r="G2316" s="9">
        <v>45004</v>
      </c>
      <c r="H2316" s="7">
        <v>13014.29</v>
      </c>
      <c r="I2316" s="7"/>
      <c r="J2316" s="7"/>
      <c r="K2316" s="7"/>
      <c r="L2316" s="10">
        <v>5.5741092456127026</v>
      </c>
      <c r="M2316" s="9">
        <v>45009</v>
      </c>
      <c r="N2316" s="10">
        <v>5.5</v>
      </c>
      <c r="O2316" s="9">
        <v>45014</v>
      </c>
      <c r="P2316">
        <v>2</v>
      </c>
      <c r="Q2316" s="11" t="s">
        <v>598</v>
      </c>
      <c r="R2316" s="7">
        <v>13014.29</v>
      </c>
      <c r="S2316" s="7"/>
      <c r="T2316" s="7"/>
      <c r="U2316" s="7"/>
      <c r="V2316" s="10">
        <v>7.5741092456127026</v>
      </c>
      <c r="W2316" s="9">
        <v>45011</v>
      </c>
      <c r="X2316" s="10">
        <v>7.5</v>
      </c>
      <c r="Y2316" s="9">
        <v>45014</v>
      </c>
      <c r="Z2316">
        <v>2</v>
      </c>
      <c r="AA2316" s="11" t="s">
        <v>598</v>
      </c>
    </row>
    <row r="2317" spans="2:27" ht="16" x14ac:dyDescent="0.2">
      <c r="B2317" t="s">
        <v>35</v>
      </c>
      <c r="C2317">
        <v>40362104</v>
      </c>
      <c r="D2317" t="s">
        <v>389</v>
      </c>
      <c r="E2317">
        <v>1022125</v>
      </c>
      <c r="F2317" t="s">
        <v>296</v>
      </c>
      <c r="G2317" s="9">
        <v>45004</v>
      </c>
      <c r="H2317" s="7">
        <v>24020.19</v>
      </c>
      <c r="I2317" s="7"/>
      <c r="J2317" s="7"/>
      <c r="K2317" s="7"/>
      <c r="L2317" s="10">
        <v>5.5741092456127026</v>
      </c>
      <c r="M2317" s="9">
        <v>45009</v>
      </c>
      <c r="N2317" s="10">
        <v>5.5</v>
      </c>
      <c r="O2317" s="9">
        <v>45014</v>
      </c>
      <c r="P2317">
        <v>2</v>
      </c>
      <c r="Q2317" s="11" t="s">
        <v>598</v>
      </c>
      <c r="R2317" s="7">
        <v>24020.19</v>
      </c>
      <c r="S2317" s="7"/>
      <c r="T2317" s="7"/>
      <c r="U2317" s="7"/>
      <c r="V2317" s="10">
        <v>7.5741092456127026</v>
      </c>
      <c r="W2317" s="9">
        <v>45011</v>
      </c>
      <c r="X2317" s="10">
        <v>7.5</v>
      </c>
      <c r="Y2317" s="9">
        <v>45014</v>
      </c>
      <c r="Z2317">
        <v>2</v>
      </c>
      <c r="AA2317" s="11" t="s">
        <v>598</v>
      </c>
    </row>
    <row r="2318" spans="2:27" ht="16" x14ac:dyDescent="0.2">
      <c r="B2318" t="s">
        <v>35</v>
      </c>
      <c r="C2318">
        <v>40362103</v>
      </c>
      <c r="D2318" t="s">
        <v>389</v>
      </c>
      <c r="E2318">
        <v>1022125</v>
      </c>
      <c r="F2318" t="s">
        <v>296</v>
      </c>
      <c r="G2318" s="9">
        <v>44996</v>
      </c>
      <c r="H2318" s="7">
        <v>23991.18</v>
      </c>
      <c r="I2318" s="7"/>
      <c r="J2318" s="7"/>
      <c r="K2318" s="7"/>
      <c r="L2318" s="10">
        <v>5.5741092456127026</v>
      </c>
      <c r="M2318" s="9">
        <v>45001</v>
      </c>
      <c r="N2318" s="10">
        <v>5.5</v>
      </c>
      <c r="O2318" s="9">
        <v>45006</v>
      </c>
      <c r="P2318">
        <v>9</v>
      </c>
      <c r="Q2318" s="11" t="s">
        <v>49</v>
      </c>
      <c r="R2318" s="7">
        <v>23991.18</v>
      </c>
      <c r="S2318" s="7"/>
      <c r="T2318" s="7"/>
      <c r="U2318" s="7"/>
      <c r="V2318" s="10">
        <v>7.5741092456127026</v>
      </c>
      <c r="W2318" s="9">
        <v>45003</v>
      </c>
      <c r="X2318" s="10">
        <v>7.5</v>
      </c>
      <c r="Y2318" s="9">
        <v>45006</v>
      </c>
      <c r="Z2318">
        <v>9</v>
      </c>
      <c r="AA2318" s="11" t="s">
        <v>49</v>
      </c>
    </row>
    <row r="2319" spans="2:27" ht="16" x14ac:dyDescent="0.2">
      <c r="B2319" t="s">
        <v>35</v>
      </c>
      <c r="C2319">
        <v>40362102</v>
      </c>
      <c r="D2319" t="s">
        <v>389</v>
      </c>
      <c r="E2319">
        <v>1022125</v>
      </c>
      <c r="F2319" t="s">
        <v>296</v>
      </c>
      <c r="G2319" s="9">
        <v>45001</v>
      </c>
      <c r="H2319" s="7">
        <v>24352.71</v>
      </c>
      <c r="I2319" s="7"/>
      <c r="J2319" s="7"/>
      <c r="K2319" s="7"/>
      <c r="L2319" s="10">
        <v>5.5741092456127026</v>
      </c>
      <c r="M2319" s="9">
        <v>45006</v>
      </c>
      <c r="N2319" s="10">
        <v>5.5</v>
      </c>
      <c r="O2319" s="9">
        <v>45011</v>
      </c>
      <c r="P2319">
        <v>5</v>
      </c>
      <c r="Q2319" s="11" t="s">
        <v>49</v>
      </c>
      <c r="R2319" s="7">
        <v>24352.71</v>
      </c>
      <c r="S2319" s="7"/>
      <c r="T2319" s="7"/>
      <c r="U2319" s="7"/>
      <c r="V2319" s="10">
        <v>7.5741092456127026</v>
      </c>
      <c r="W2319" s="9">
        <v>45008</v>
      </c>
      <c r="X2319" s="10">
        <v>7.5</v>
      </c>
      <c r="Y2319" s="9">
        <v>45011</v>
      </c>
      <c r="Z2319">
        <v>5</v>
      </c>
      <c r="AA2319" s="11" t="s">
        <v>49</v>
      </c>
    </row>
    <row r="2320" spans="2:27" ht="16" x14ac:dyDescent="0.2">
      <c r="B2320" t="s">
        <v>35</v>
      </c>
      <c r="C2320">
        <v>40362098</v>
      </c>
      <c r="D2320" t="s">
        <v>389</v>
      </c>
      <c r="E2320">
        <v>1023411</v>
      </c>
      <c r="F2320" t="s">
        <v>331</v>
      </c>
      <c r="G2320" s="9">
        <v>45018</v>
      </c>
      <c r="H2320" s="7"/>
      <c r="I2320" s="7">
        <v>6020.3</v>
      </c>
      <c r="J2320" s="7"/>
      <c r="K2320" s="7"/>
      <c r="L2320" s="10">
        <v>5.5741092456127026</v>
      </c>
      <c r="M2320" s="9">
        <v>45023</v>
      </c>
      <c r="N2320" s="10">
        <v>5.5</v>
      </c>
      <c r="O2320" s="9">
        <v>45028</v>
      </c>
      <c r="P2320">
        <v>15</v>
      </c>
      <c r="Q2320" s="11" t="s">
        <v>49</v>
      </c>
      <c r="R2320" s="7"/>
      <c r="S2320" s="7">
        <v>6020.3</v>
      </c>
      <c r="T2320" s="7"/>
      <c r="U2320" s="7"/>
      <c r="V2320" s="10">
        <v>7.5741092456127026</v>
      </c>
      <c r="W2320" s="9">
        <v>45025</v>
      </c>
      <c r="X2320" s="10">
        <v>7.5</v>
      </c>
      <c r="Y2320" s="9">
        <v>45028</v>
      </c>
      <c r="Z2320">
        <v>15</v>
      </c>
      <c r="AA2320" s="11" t="s">
        <v>49</v>
      </c>
    </row>
    <row r="2321" spans="2:27" ht="16" x14ac:dyDescent="0.2">
      <c r="B2321" t="s">
        <v>35</v>
      </c>
      <c r="C2321">
        <v>40362098</v>
      </c>
      <c r="D2321" t="s">
        <v>389</v>
      </c>
      <c r="E2321">
        <v>1023411</v>
      </c>
      <c r="F2321" t="s">
        <v>331</v>
      </c>
      <c r="G2321" s="9">
        <v>45018</v>
      </c>
      <c r="H2321" s="7"/>
      <c r="I2321" s="7">
        <v>23072.799999999999</v>
      </c>
      <c r="J2321" s="7"/>
      <c r="K2321" s="7"/>
      <c r="L2321" s="10">
        <v>5.5741092456127026</v>
      </c>
      <c r="M2321" s="9">
        <v>45023</v>
      </c>
      <c r="N2321" s="10">
        <v>5.5</v>
      </c>
      <c r="O2321" s="9">
        <v>45028</v>
      </c>
      <c r="P2321">
        <v>15</v>
      </c>
      <c r="Q2321" s="11" t="s">
        <v>49</v>
      </c>
      <c r="R2321" s="7"/>
      <c r="S2321" s="7">
        <v>23072.799999999999</v>
      </c>
      <c r="T2321" s="7"/>
      <c r="U2321" s="7"/>
      <c r="V2321" s="10">
        <v>7.5741092456127026</v>
      </c>
      <c r="W2321" s="9">
        <v>45025</v>
      </c>
      <c r="X2321" s="10">
        <v>7.5</v>
      </c>
      <c r="Y2321" s="9">
        <v>45028</v>
      </c>
      <c r="Z2321">
        <v>15</v>
      </c>
      <c r="AA2321" s="11" t="s">
        <v>49</v>
      </c>
    </row>
    <row r="2322" spans="2:27" ht="16" x14ac:dyDescent="0.2">
      <c r="B2322" t="s">
        <v>35</v>
      </c>
      <c r="C2322">
        <v>40362097</v>
      </c>
      <c r="D2322" t="s">
        <v>389</v>
      </c>
      <c r="E2322">
        <v>1023411</v>
      </c>
      <c r="F2322" t="s">
        <v>331</v>
      </c>
      <c r="G2322" s="9">
        <v>45012</v>
      </c>
      <c r="H2322" s="7"/>
      <c r="I2322" s="7">
        <v>23858.5</v>
      </c>
      <c r="J2322" s="7"/>
      <c r="K2322" s="7"/>
      <c r="L2322" s="10">
        <v>5.5741092456127026</v>
      </c>
      <c r="M2322" s="9">
        <v>45017</v>
      </c>
      <c r="N2322" s="10">
        <v>5.5</v>
      </c>
      <c r="O2322" s="9">
        <v>45022</v>
      </c>
      <c r="P2322">
        <v>20</v>
      </c>
      <c r="Q2322" s="11" t="s">
        <v>49</v>
      </c>
      <c r="R2322" s="7"/>
      <c r="S2322" s="7">
        <v>23858.5</v>
      </c>
      <c r="T2322" s="7"/>
      <c r="U2322" s="7"/>
      <c r="V2322" s="10">
        <v>7.5741092456127026</v>
      </c>
      <c r="W2322" s="9">
        <v>45019</v>
      </c>
      <c r="X2322" s="10">
        <v>7.5</v>
      </c>
      <c r="Y2322" s="9">
        <v>45022</v>
      </c>
      <c r="Z2322">
        <v>20</v>
      </c>
      <c r="AA2322" s="11" t="s">
        <v>49</v>
      </c>
    </row>
    <row r="2323" spans="2:27" ht="16" x14ac:dyDescent="0.2">
      <c r="B2323" t="s">
        <v>35</v>
      </c>
      <c r="C2323">
        <v>40362096</v>
      </c>
      <c r="D2323" t="s">
        <v>389</v>
      </c>
      <c r="E2323">
        <v>1023411</v>
      </c>
      <c r="F2323" t="s">
        <v>331</v>
      </c>
      <c r="G2323" s="9">
        <v>45000</v>
      </c>
      <c r="H2323" s="7">
        <v>24287.11</v>
      </c>
      <c r="I2323" s="7"/>
      <c r="J2323" s="7"/>
      <c r="K2323" s="7"/>
      <c r="L2323" s="10">
        <v>5.5741092456127026</v>
      </c>
      <c r="M2323" s="9">
        <v>45005</v>
      </c>
      <c r="N2323" s="10">
        <v>5.5</v>
      </c>
      <c r="O2323" s="9">
        <v>45010</v>
      </c>
      <c r="P2323">
        <v>5</v>
      </c>
      <c r="Q2323" s="11" t="s">
        <v>49</v>
      </c>
      <c r="R2323" s="7">
        <v>24287.11</v>
      </c>
      <c r="S2323" s="7"/>
      <c r="T2323" s="7"/>
      <c r="U2323" s="7"/>
      <c r="V2323" s="10">
        <v>7.5741092456127026</v>
      </c>
      <c r="W2323" s="9">
        <v>45007</v>
      </c>
      <c r="X2323" s="10">
        <v>7.5</v>
      </c>
      <c r="Y2323" s="9">
        <v>45010</v>
      </c>
      <c r="Z2323">
        <v>5</v>
      </c>
      <c r="AA2323" s="11" t="s">
        <v>49</v>
      </c>
    </row>
    <row r="2324" spans="2:27" ht="16" x14ac:dyDescent="0.2">
      <c r="B2324" t="s">
        <v>35</v>
      </c>
      <c r="C2324">
        <v>40362093</v>
      </c>
      <c r="D2324" t="s">
        <v>389</v>
      </c>
      <c r="E2324">
        <v>1023412</v>
      </c>
      <c r="F2324" t="s">
        <v>333</v>
      </c>
      <c r="G2324" s="9">
        <v>45007</v>
      </c>
      <c r="H2324" s="7"/>
      <c r="I2324" s="7">
        <v>23981.96</v>
      </c>
      <c r="J2324" s="7"/>
      <c r="K2324" s="7"/>
      <c r="L2324" s="10">
        <v>5.5741092456127026</v>
      </c>
      <c r="M2324" s="9">
        <v>45012</v>
      </c>
      <c r="N2324" s="10">
        <v>5.5</v>
      </c>
      <c r="O2324" s="9">
        <v>45017</v>
      </c>
      <c r="P2324">
        <v>23</v>
      </c>
      <c r="Q2324" s="11" t="s">
        <v>49</v>
      </c>
      <c r="R2324" s="7"/>
      <c r="S2324" s="7">
        <v>23981.96</v>
      </c>
      <c r="T2324" s="7"/>
      <c r="U2324" s="7"/>
      <c r="V2324" s="10">
        <v>7.5741092456127026</v>
      </c>
      <c r="W2324" s="9">
        <v>45014</v>
      </c>
      <c r="X2324" s="10">
        <v>7.5</v>
      </c>
      <c r="Y2324" s="9">
        <v>45017</v>
      </c>
      <c r="Z2324">
        <v>23</v>
      </c>
      <c r="AA2324" s="11" t="s">
        <v>49</v>
      </c>
    </row>
    <row r="2325" spans="2:27" ht="16" x14ac:dyDescent="0.2">
      <c r="B2325" t="s">
        <v>35</v>
      </c>
      <c r="C2325">
        <v>40362092</v>
      </c>
      <c r="D2325" t="s">
        <v>389</v>
      </c>
      <c r="E2325">
        <v>1023412</v>
      </c>
      <c r="F2325" t="s">
        <v>333</v>
      </c>
      <c r="G2325" s="9">
        <v>45007</v>
      </c>
      <c r="H2325" s="7"/>
      <c r="I2325" s="7">
        <v>24358.92</v>
      </c>
      <c r="J2325" s="7"/>
      <c r="K2325" s="7"/>
      <c r="L2325" s="10">
        <v>5.5741092456127026</v>
      </c>
      <c r="M2325" s="9">
        <v>45012</v>
      </c>
      <c r="N2325" s="10">
        <v>5.5</v>
      </c>
      <c r="O2325" s="9">
        <v>45017</v>
      </c>
      <c r="P2325">
        <v>23</v>
      </c>
      <c r="Q2325" s="11" t="s">
        <v>49</v>
      </c>
      <c r="R2325" s="7"/>
      <c r="S2325" s="7">
        <v>24358.92</v>
      </c>
      <c r="T2325" s="7"/>
      <c r="U2325" s="7"/>
      <c r="V2325" s="10">
        <v>7.5741092456127026</v>
      </c>
      <c r="W2325" s="9">
        <v>45014</v>
      </c>
      <c r="X2325" s="10">
        <v>7.5</v>
      </c>
      <c r="Y2325" s="9">
        <v>45017</v>
      </c>
      <c r="Z2325">
        <v>23</v>
      </c>
      <c r="AA2325" s="11" t="s">
        <v>49</v>
      </c>
    </row>
    <row r="2326" spans="2:27" ht="16" x14ac:dyDescent="0.2">
      <c r="B2326" t="s">
        <v>35</v>
      </c>
      <c r="C2326">
        <v>40362091</v>
      </c>
      <c r="D2326" t="s">
        <v>389</v>
      </c>
      <c r="E2326">
        <v>1023412</v>
      </c>
      <c r="F2326" t="s">
        <v>333</v>
      </c>
      <c r="G2326" s="9">
        <v>45007</v>
      </c>
      <c r="H2326" s="7"/>
      <c r="I2326" s="7">
        <v>24013.3</v>
      </c>
      <c r="J2326" s="7"/>
      <c r="K2326" s="7"/>
      <c r="L2326" s="10">
        <v>5.5741092456127026</v>
      </c>
      <c r="M2326" s="9">
        <v>45012</v>
      </c>
      <c r="N2326" s="10">
        <v>5.5</v>
      </c>
      <c r="O2326" s="9">
        <v>45017</v>
      </c>
      <c r="P2326">
        <v>23</v>
      </c>
      <c r="Q2326" s="11" t="s">
        <v>49</v>
      </c>
      <c r="R2326" s="7"/>
      <c r="S2326" s="7">
        <v>24013.3</v>
      </c>
      <c r="T2326" s="7"/>
      <c r="U2326" s="7"/>
      <c r="V2326" s="10">
        <v>7.5741092456127026</v>
      </c>
      <c r="W2326" s="9">
        <v>45014</v>
      </c>
      <c r="X2326" s="10">
        <v>7.5</v>
      </c>
      <c r="Y2326" s="9">
        <v>45017</v>
      </c>
      <c r="Z2326">
        <v>23</v>
      </c>
      <c r="AA2326" s="11" t="s">
        <v>49</v>
      </c>
    </row>
    <row r="2327" spans="2:27" ht="16" x14ac:dyDescent="0.2">
      <c r="B2327" t="s">
        <v>35</v>
      </c>
      <c r="C2327">
        <v>40362043</v>
      </c>
      <c r="D2327" t="s">
        <v>389</v>
      </c>
      <c r="E2327">
        <v>1022073</v>
      </c>
      <c r="F2327" t="s">
        <v>45</v>
      </c>
      <c r="G2327" s="9">
        <v>45005</v>
      </c>
      <c r="H2327" s="7">
        <v>24010.799999999999</v>
      </c>
      <c r="I2327" s="7"/>
      <c r="J2327" s="7"/>
      <c r="K2327" s="7"/>
      <c r="L2327" s="10">
        <v>5.5741092456127026</v>
      </c>
      <c r="M2327" s="9">
        <v>45010</v>
      </c>
      <c r="N2327" s="10">
        <v>5.5</v>
      </c>
      <c r="O2327" s="9">
        <v>45015</v>
      </c>
      <c r="P2327">
        <v>1</v>
      </c>
      <c r="Q2327" s="11" t="s">
        <v>598</v>
      </c>
      <c r="R2327" s="7">
        <v>24010.799999999999</v>
      </c>
      <c r="S2327" s="7"/>
      <c r="T2327" s="7"/>
      <c r="U2327" s="7"/>
      <c r="V2327" s="10">
        <v>7.5741092456127026</v>
      </c>
      <c r="W2327" s="9">
        <v>45012</v>
      </c>
      <c r="X2327" s="10">
        <v>7.5</v>
      </c>
      <c r="Y2327" s="9">
        <v>45015</v>
      </c>
      <c r="Z2327">
        <v>1</v>
      </c>
      <c r="AA2327" s="11" t="s">
        <v>598</v>
      </c>
    </row>
    <row r="2328" spans="2:27" ht="16" x14ac:dyDescent="0.2">
      <c r="B2328" t="s">
        <v>35</v>
      </c>
      <c r="C2328">
        <v>40362039</v>
      </c>
      <c r="D2328" t="s">
        <v>389</v>
      </c>
      <c r="E2328">
        <v>1021774</v>
      </c>
      <c r="F2328" t="s">
        <v>443</v>
      </c>
      <c r="G2328" s="9">
        <v>45013</v>
      </c>
      <c r="H2328" s="7"/>
      <c r="I2328" s="7">
        <v>24340</v>
      </c>
      <c r="J2328" s="7"/>
      <c r="K2328" s="7"/>
      <c r="L2328" s="10">
        <v>5.5741092456127026</v>
      </c>
      <c r="M2328" s="9">
        <v>45018</v>
      </c>
      <c r="N2328" s="10">
        <v>5.5</v>
      </c>
      <c r="O2328" s="9">
        <v>45023</v>
      </c>
      <c r="P2328">
        <v>19</v>
      </c>
      <c r="Q2328" s="11" t="s">
        <v>49</v>
      </c>
      <c r="R2328" s="7"/>
      <c r="S2328" s="7">
        <v>24340</v>
      </c>
      <c r="T2328" s="7"/>
      <c r="U2328" s="7"/>
      <c r="V2328" s="10">
        <v>7.5741092456127026</v>
      </c>
      <c r="W2328" s="9">
        <v>45020</v>
      </c>
      <c r="X2328" s="10">
        <v>7.5</v>
      </c>
      <c r="Y2328" s="9">
        <v>45023</v>
      </c>
      <c r="Z2328">
        <v>19</v>
      </c>
      <c r="AA2328" s="11" t="s">
        <v>49</v>
      </c>
    </row>
    <row r="2329" spans="2:27" ht="16" x14ac:dyDescent="0.2">
      <c r="B2329" t="s">
        <v>35</v>
      </c>
      <c r="C2329">
        <v>40362038</v>
      </c>
      <c r="D2329" t="s">
        <v>389</v>
      </c>
      <c r="E2329">
        <v>1021774</v>
      </c>
      <c r="F2329" t="s">
        <v>443</v>
      </c>
      <c r="G2329" s="9">
        <v>44996</v>
      </c>
      <c r="H2329" s="7">
        <v>24320</v>
      </c>
      <c r="I2329" s="7"/>
      <c r="J2329" s="7"/>
      <c r="K2329" s="7"/>
      <c r="L2329" s="10">
        <v>5.5741092456127026</v>
      </c>
      <c r="M2329" s="9">
        <v>45001</v>
      </c>
      <c r="N2329" s="10">
        <v>5.5</v>
      </c>
      <c r="O2329" s="9">
        <v>45006</v>
      </c>
      <c r="P2329">
        <v>9</v>
      </c>
      <c r="Q2329" s="11" t="s">
        <v>49</v>
      </c>
      <c r="R2329" s="7">
        <v>24320</v>
      </c>
      <c r="S2329" s="7"/>
      <c r="T2329" s="7"/>
      <c r="U2329" s="7"/>
      <c r="V2329" s="10">
        <v>7.5741092456127026</v>
      </c>
      <c r="W2329" s="9">
        <v>45003</v>
      </c>
      <c r="X2329" s="10">
        <v>7.5</v>
      </c>
      <c r="Y2329" s="9">
        <v>45006</v>
      </c>
      <c r="Z2329">
        <v>9</v>
      </c>
      <c r="AA2329" s="11" t="s">
        <v>49</v>
      </c>
    </row>
    <row r="2330" spans="2:27" ht="16" x14ac:dyDescent="0.2">
      <c r="B2330" t="s">
        <v>35</v>
      </c>
      <c r="C2330">
        <v>40362036</v>
      </c>
      <c r="D2330" t="s">
        <v>389</v>
      </c>
      <c r="E2330">
        <v>1022636</v>
      </c>
      <c r="F2330" t="s">
        <v>312</v>
      </c>
      <c r="G2330" s="9">
        <v>45024</v>
      </c>
      <c r="H2330" s="7"/>
      <c r="I2330" s="7">
        <v>17445</v>
      </c>
      <c r="J2330" s="7"/>
      <c r="K2330" s="7"/>
      <c r="L2330" s="10">
        <v>5.5741092456127026</v>
      </c>
      <c r="M2330" s="9">
        <v>45029</v>
      </c>
      <c r="N2330" s="10">
        <v>5.5</v>
      </c>
      <c r="O2330" s="9">
        <v>45034</v>
      </c>
      <c r="P2330">
        <v>10</v>
      </c>
      <c r="Q2330" s="11" t="s">
        <v>49</v>
      </c>
      <c r="R2330" s="7"/>
      <c r="S2330" s="7">
        <v>17445</v>
      </c>
      <c r="T2330" s="7"/>
      <c r="U2330" s="7"/>
      <c r="V2330" s="10">
        <v>7.5741092456127026</v>
      </c>
      <c r="W2330" s="9">
        <v>45031</v>
      </c>
      <c r="X2330" s="10">
        <v>7.5</v>
      </c>
      <c r="Y2330" s="9">
        <v>45034</v>
      </c>
      <c r="Z2330">
        <v>10</v>
      </c>
      <c r="AA2330" s="11" t="s">
        <v>49</v>
      </c>
    </row>
    <row r="2331" spans="2:27" ht="16" x14ac:dyDescent="0.2">
      <c r="B2331" t="s">
        <v>35</v>
      </c>
      <c r="C2331">
        <v>40362036</v>
      </c>
      <c r="D2331" t="s">
        <v>389</v>
      </c>
      <c r="E2331">
        <v>1022636</v>
      </c>
      <c r="F2331" t="s">
        <v>312</v>
      </c>
      <c r="G2331" s="9">
        <v>45024</v>
      </c>
      <c r="H2331" s="7"/>
      <c r="I2331" s="7">
        <v>22380</v>
      </c>
      <c r="J2331" s="7"/>
      <c r="K2331" s="7"/>
      <c r="L2331" s="10">
        <v>5.5741092456127026</v>
      </c>
      <c r="M2331" s="9">
        <v>45029</v>
      </c>
      <c r="N2331" s="10">
        <v>5.5</v>
      </c>
      <c r="O2331" s="9">
        <v>45034</v>
      </c>
      <c r="P2331">
        <v>10</v>
      </c>
      <c r="Q2331" s="11" t="s">
        <v>49</v>
      </c>
      <c r="R2331" s="7"/>
      <c r="S2331" s="7">
        <v>22380</v>
      </c>
      <c r="T2331" s="7"/>
      <c r="U2331" s="7"/>
      <c r="V2331" s="10">
        <v>7.5741092456127026</v>
      </c>
      <c r="W2331" s="9">
        <v>45031</v>
      </c>
      <c r="X2331" s="10">
        <v>7.5</v>
      </c>
      <c r="Y2331" s="9">
        <v>45034</v>
      </c>
      <c r="Z2331">
        <v>10</v>
      </c>
      <c r="AA2331" s="11" t="s">
        <v>49</v>
      </c>
    </row>
    <row r="2332" spans="2:27" ht="16" x14ac:dyDescent="0.2">
      <c r="B2332" t="s">
        <v>35</v>
      </c>
      <c r="C2332">
        <v>40362035</v>
      </c>
      <c r="D2332" t="s">
        <v>389</v>
      </c>
      <c r="E2332">
        <v>1022636</v>
      </c>
      <c r="F2332" t="s">
        <v>312</v>
      </c>
      <c r="G2332" s="9">
        <v>45022</v>
      </c>
      <c r="H2332" s="7"/>
      <c r="I2332" s="7">
        <v>21645</v>
      </c>
      <c r="J2332" s="7"/>
      <c r="K2332" s="7"/>
      <c r="L2332" s="10">
        <v>5.5741092456127026</v>
      </c>
      <c r="M2332" s="9">
        <v>45027</v>
      </c>
      <c r="N2332" s="10">
        <v>5.5</v>
      </c>
      <c r="O2332" s="9">
        <v>45032</v>
      </c>
      <c r="P2332">
        <v>12</v>
      </c>
      <c r="Q2332" s="11" t="s">
        <v>49</v>
      </c>
      <c r="R2332" s="7"/>
      <c r="S2332" s="7">
        <v>21645</v>
      </c>
      <c r="T2332" s="7"/>
      <c r="U2332" s="7"/>
      <c r="V2332" s="10">
        <v>7.5741092456127026</v>
      </c>
      <c r="W2332" s="9">
        <v>45029</v>
      </c>
      <c r="X2332" s="10">
        <v>7.5</v>
      </c>
      <c r="Y2332" s="9">
        <v>45032</v>
      </c>
      <c r="Z2332">
        <v>12</v>
      </c>
      <c r="AA2332" s="11" t="s">
        <v>49</v>
      </c>
    </row>
    <row r="2333" spans="2:27" ht="16" x14ac:dyDescent="0.2">
      <c r="B2333" t="s">
        <v>35</v>
      </c>
      <c r="C2333">
        <v>40362020</v>
      </c>
      <c r="D2333" t="s">
        <v>389</v>
      </c>
      <c r="E2333">
        <v>1022183</v>
      </c>
      <c r="F2333" t="s">
        <v>165</v>
      </c>
      <c r="G2333" s="9">
        <v>45001</v>
      </c>
      <c r="H2333" s="7">
        <v>24324.47</v>
      </c>
      <c r="I2333" s="7"/>
      <c r="J2333" s="7"/>
      <c r="K2333" s="7"/>
      <c r="L2333" s="10">
        <v>5.5741092456127026</v>
      </c>
      <c r="M2333" s="9">
        <v>45006</v>
      </c>
      <c r="N2333" s="10">
        <v>5.5</v>
      </c>
      <c r="O2333" s="9">
        <v>45011</v>
      </c>
      <c r="P2333">
        <v>5</v>
      </c>
      <c r="Q2333" s="11" t="s">
        <v>49</v>
      </c>
      <c r="R2333" s="7">
        <v>24324.47</v>
      </c>
      <c r="S2333" s="7"/>
      <c r="T2333" s="7"/>
      <c r="U2333" s="7"/>
      <c r="V2333" s="10">
        <v>7.5741092456127026</v>
      </c>
      <c r="W2333" s="9">
        <v>45008</v>
      </c>
      <c r="X2333" s="10">
        <v>7.5</v>
      </c>
      <c r="Y2333" s="9">
        <v>45011</v>
      </c>
      <c r="Z2333">
        <v>5</v>
      </c>
      <c r="AA2333" s="11" t="s">
        <v>49</v>
      </c>
    </row>
    <row r="2334" spans="2:27" ht="16" x14ac:dyDescent="0.2">
      <c r="B2334" t="s">
        <v>35</v>
      </c>
      <c r="C2334">
        <v>40362016</v>
      </c>
      <c r="D2334" t="s">
        <v>389</v>
      </c>
      <c r="E2334">
        <v>1022183</v>
      </c>
      <c r="F2334" t="s">
        <v>165</v>
      </c>
      <c r="G2334" s="9">
        <v>45004</v>
      </c>
      <c r="H2334" s="7">
        <v>24836.89</v>
      </c>
      <c r="I2334" s="7"/>
      <c r="J2334" s="7"/>
      <c r="K2334" s="7"/>
      <c r="L2334" s="10">
        <v>5.5741092456127026</v>
      </c>
      <c r="M2334" s="9">
        <v>45009</v>
      </c>
      <c r="N2334" s="10">
        <v>5.5</v>
      </c>
      <c r="O2334" s="9">
        <v>45014</v>
      </c>
      <c r="P2334">
        <v>2</v>
      </c>
      <c r="Q2334" s="11" t="s">
        <v>598</v>
      </c>
      <c r="R2334" s="7">
        <v>24836.89</v>
      </c>
      <c r="S2334" s="7"/>
      <c r="T2334" s="7"/>
      <c r="U2334" s="7"/>
      <c r="V2334" s="10">
        <v>7.5741092456127026</v>
      </c>
      <c r="W2334" s="9">
        <v>45011</v>
      </c>
      <c r="X2334" s="10">
        <v>7.5</v>
      </c>
      <c r="Y2334" s="9">
        <v>45014</v>
      </c>
      <c r="Z2334">
        <v>2</v>
      </c>
      <c r="AA2334" s="11" t="s">
        <v>598</v>
      </c>
    </row>
    <row r="2335" spans="2:27" ht="16" x14ac:dyDescent="0.2">
      <c r="B2335" t="s">
        <v>35</v>
      </c>
      <c r="C2335">
        <v>40362015</v>
      </c>
      <c r="D2335" t="s">
        <v>389</v>
      </c>
      <c r="E2335">
        <v>1022183</v>
      </c>
      <c r="F2335" t="s">
        <v>165</v>
      </c>
      <c r="G2335" s="9">
        <v>45001</v>
      </c>
      <c r="H2335" s="7">
        <v>23920.87</v>
      </c>
      <c r="I2335" s="7"/>
      <c r="J2335" s="7"/>
      <c r="K2335" s="7"/>
      <c r="L2335" s="10">
        <v>5.5741092456127026</v>
      </c>
      <c r="M2335" s="9">
        <v>45006</v>
      </c>
      <c r="N2335" s="10">
        <v>5.5</v>
      </c>
      <c r="O2335" s="9">
        <v>45011</v>
      </c>
      <c r="P2335">
        <v>5</v>
      </c>
      <c r="Q2335" s="11" t="s">
        <v>49</v>
      </c>
      <c r="R2335" s="7">
        <v>23920.87</v>
      </c>
      <c r="S2335" s="7"/>
      <c r="T2335" s="7"/>
      <c r="U2335" s="7"/>
      <c r="V2335" s="10">
        <v>7.5741092456127026</v>
      </c>
      <c r="W2335" s="9">
        <v>45008</v>
      </c>
      <c r="X2335" s="10">
        <v>7.5</v>
      </c>
      <c r="Y2335" s="9">
        <v>45011</v>
      </c>
      <c r="Z2335">
        <v>5</v>
      </c>
      <c r="AA2335" s="11" t="s">
        <v>49</v>
      </c>
    </row>
    <row r="2336" spans="2:27" ht="16" x14ac:dyDescent="0.2">
      <c r="B2336" t="s">
        <v>35</v>
      </c>
      <c r="C2336">
        <v>40361995</v>
      </c>
      <c r="D2336" t="s">
        <v>389</v>
      </c>
      <c r="E2336">
        <v>1021735</v>
      </c>
      <c r="F2336" t="s">
        <v>278</v>
      </c>
      <c r="G2336" s="9">
        <v>45017</v>
      </c>
      <c r="H2336" s="7"/>
      <c r="I2336" s="7">
        <v>24220</v>
      </c>
      <c r="J2336" s="7"/>
      <c r="K2336" s="7"/>
      <c r="L2336" s="10">
        <v>5.5741092456127026</v>
      </c>
      <c r="M2336" s="9">
        <v>45022</v>
      </c>
      <c r="N2336" s="10">
        <v>5.5</v>
      </c>
      <c r="O2336" s="9">
        <v>45027</v>
      </c>
      <c r="P2336">
        <v>16</v>
      </c>
      <c r="Q2336" s="11" t="s">
        <v>49</v>
      </c>
      <c r="R2336" s="7"/>
      <c r="S2336" s="7">
        <v>24220</v>
      </c>
      <c r="T2336" s="7"/>
      <c r="U2336" s="7"/>
      <c r="V2336" s="10">
        <v>7.5741092456127026</v>
      </c>
      <c r="W2336" s="9">
        <v>45024</v>
      </c>
      <c r="X2336" s="10">
        <v>7.5</v>
      </c>
      <c r="Y2336" s="9">
        <v>45027</v>
      </c>
      <c r="Z2336">
        <v>16</v>
      </c>
      <c r="AA2336" s="11" t="s">
        <v>49</v>
      </c>
    </row>
    <row r="2337" spans="2:27" ht="16" x14ac:dyDescent="0.2">
      <c r="B2337" t="s">
        <v>35</v>
      </c>
      <c r="C2337">
        <v>40361994</v>
      </c>
      <c r="D2337" t="s">
        <v>389</v>
      </c>
      <c r="E2337">
        <v>1021735</v>
      </c>
      <c r="F2337" t="s">
        <v>278</v>
      </c>
      <c r="G2337" s="9">
        <v>45018</v>
      </c>
      <c r="H2337" s="7"/>
      <c r="I2337" s="7">
        <v>23940</v>
      </c>
      <c r="J2337" s="7"/>
      <c r="K2337" s="7"/>
      <c r="L2337" s="10">
        <v>5.5741092456127026</v>
      </c>
      <c r="M2337" s="9">
        <v>45023</v>
      </c>
      <c r="N2337" s="10">
        <v>5.5</v>
      </c>
      <c r="O2337" s="9">
        <v>45028</v>
      </c>
      <c r="P2337">
        <v>15</v>
      </c>
      <c r="Q2337" s="11" t="s">
        <v>49</v>
      </c>
      <c r="R2337" s="7"/>
      <c r="S2337" s="7">
        <v>23940</v>
      </c>
      <c r="T2337" s="7"/>
      <c r="U2337" s="7"/>
      <c r="V2337" s="10">
        <v>7.5741092456127026</v>
      </c>
      <c r="W2337" s="9">
        <v>45025</v>
      </c>
      <c r="X2337" s="10">
        <v>7.5</v>
      </c>
      <c r="Y2337" s="9">
        <v>45028</v>
      </c>
      <c r="Z2337">
        <v>15</v>
      </c>
      <c r="AA2337" s="11" t="s">
        <v>49</v>
      </c>
    </row>
    <row r="2338" spans="2:27" ht="16" x14ac:dyDescent="0.2">
      <c r="B2338" t="s">
        <v>35</v>
      </c>
      <c r="C2338">
        <v>40361993</v>
      </c>
      <c r="D2338" t="s">
        <v>389</v>
      </c>
      <c r="E2338">
        <v>1021735</v>
      </c>
      <c r="F2338" t="s">
        <v>278</v>
      </c>
      <c r="G2338" s="9">
        <v>45012</v>
      </c>
      <c r="H2338" s="7"/>
      <c r="I2338" s="7">
        <v>24040</v>
      </c>
      <c r="J2338" s="7"/>
      <c r="K2338" s="7"/>
      <c r="L2338" s="10">
        <v>5.5741092456127026</v>
      </c>
      <c r="M2338" s="9">
        <v>45017</v>
      </c>
      <c r="N2338" s="10">
        <v>5.5</v>
      </c>
      <c r="O2338" s="9">
        <v>45022</v>
      </c>
      <c r="P2338">
        <v>20</v>
      </c>
      <c r="Q2338" s="11" t="s">
        <v>49</v>
      </c>
      <c r="R2338" s="7"/>
      <c r="S2338" s="7">
        <v>24040</v>
      </c>
      <c r="T2338" s="7"/>
      <c r="U2338" s="7"/>
      <c r="V2338" s="10">
        <v>7.5741092456127026</v>
      </c>
      <c r="W2338" s="9">
        <v>45019</v>
      </c>
      <c r="X2338" s="10">
        <v>7.5</v>
      </c>
      <c r="Y2338" s="9">
        <v>45022</v>
      </c>
      <c r="Z2338">
        <v>20</v>
      </c>
      <c r="AA2338" s="11" t="s">
        <v>49</v>
      </c>
    </row>
    <row r="2339" spans="2:27" ht="16" x14ac:dyDescent="0.2">
      <c r="B2339" t="s">
        <v>35</v>
      </c>
      <c r="C2339">
        <v>40361989</v>
      </c>
      <c r="D2339" t="s">
        <v>389</v>
      </c>
      <c r="E2339">
        <v>1021737</v>
      </c>
      <c r="F2339" t="s">
        <v>280</v>
      </c>
      <c r="G2339" s="9">
        <v>45025</v>
      </c>
      <c r="H2339" s="7"/>
      <c r="I2339" s="7">
        <v>24160</v>
      </c>
      <c r="J2339" s="7"/>
      <c r="K2339" s="7"/>
      <c r="L2339" s="10">
        <v>5.5741092456127026</v>
      </c>
      <c r="M2339" s="9">
        <v>45030</v>
      </c>
      <c r="N2339" s="10">
        <v>5.5</v>
      </c>
      <c r="O2339" s="9">
        <v>45035</v>
      </c>
      <c r="P2339">
        <v>9</v>
      </c>
      <c r="Q2339" s="11" t="s">
        <v>49</v>
      </c>
      <c r="R2339" s="7"/>
      <c r="S2339" s="7">
        <v>24160</v>
      </c>
      <c r="T2339" s="7"/>
      <c r="U2339" s="7"/>
      <c r="V2339" s="10">
        <v>7.5741092456127026</v>
      </c>
      <c r="W2339" s="9">
        <v>45032</v>
      </c>
      <c r="X2339" s="10">
        <v>7.5</v>
      </c>
      <c r="Y2339" s="9">
        <v>45035</v>
      </c>
      <c r="Z2339">
        <v>9</v>
      </c>
      <c r="AA2339" s="11" t="s">
        <v>49</v>
      </c>
    </row>
    <row r="2340" spans="2:27" ht="16" x14ac:dyDescent="0.2">
      <c r="B2340" t="s">
        <v>35</v>
      </c>
      <c r="C2340">
        <v>40361986</v>
      </c>
      <c r="D2340" t="s">
        <v>389</v>
      </c>
      <c r="E2340">
        <v>1022748</v>
      </c>
      <c r="F2340" t="s">
        <v>444</v>
      </c>
      <c r="G2340" s="9">
        <v>45031</v>
      </c>
      <c r="H2340" s="7"/>
      <c r="I2340" s="7">
        <v>24100</v>
      </c>
      <c r="J2340" s="7"/>
      <c r="K2340" s="7"/>
      <c r="L2340" s="10">
        <v>5.5741092456127026</v>
      </c>
      <c r="M2340" s="9">
        <v>45036</v>
      </c>
      <c r="N2340" s="10">
        <v>5.5</v>
      </c>
      <c r="O2340" s="9">
        <v>45041</v>
      </c>
      <c r="P2340">
        <v>4</v>
      </c>
      <c r="Q2340" s="11" t="s">
        <v>49</v>
      </c>
      <c r="R2340" s="7"/>
      <c r="S2340" s="7">
        <v>24100</v>
      </c>
      <c r="T2340" s="7"/>
      <c r="U2340" s="7"/>
      <c r="V2340" s="10">
        <v>7.5741092456127026</v>
      </c>
      <c r="W2340" s="9">
        <v>45038</v>
      </c>
      <c r="X2340" s="10">
        <v>7.5</v>
      </c>
      <c r="Y2340" s="9">
        <v>45041</v>
      </c>
      <c r="Z2340">
        <v>4</v>
      </c>
      <c r="AA2340" s="11" t="s">
        <v>49</v>
      </c>
    </row>
    <row r="2341" spans="2:27" ht="16" x14ac:dyDescent="0.2">
      <c r="B2341" t="s">
        <v>35</v>
      </c>
      <c r="C2341">
        <v>40361985</v>
      </c>
      <c r="D2341" t="s">
        <v>389</v>
      </c>
      <c r="E2341">
        <v>1022748</v>
      </c>
      <c r="F2341" t="s">
        <v>444</v>
      </c>
      <c r="G2341" s="9">
        <v>45018</v>
      </c>
      <c r="H2341" s="7"/>
      <c r="I2341" s="7">
        <v>1940</v>
      </c>
      <c r="J2341" s="7"/>
      <c r="K2341" s="7"/>
      <c r="L2341" s="10">
        <v>5.5741092456127026</v>
      </c>
      <c r="M2341" s="9">
        <v>45023</v>
      </c>
      <c r="N2341" s="10">
        <v>5.5</v>
      </c>
      <c r="O2341" s="9">
        <v>45028</v>
      </c>
      <c r="P2341">
        <v>15</v>
      </c>
      <c r="Q2341" s="11" t="s">
        <v>49</v>
      </c>
      <c r="R2341" s="7"/>
      <c r="S2341" s="7">
        <v>1940</v>
      </c>
      <c r="T2341" s="7"/>
      <c r="U2341" s="7"/>
      <c r="V2341" s="10">
        <v>7.5741092456127026</v>
      </c>
      <c r="W2341" s="9">
        <v>45025</v>
      </c>
      <c r="X2341" s="10">
        <v>7.5</v>
      </c>
      <c r="Y2341" s="9">
        <v>45028</v>
      </c>
      <c r="Z2341">
        <v>15</v>
      </c>
      <c r="AA2341" s="11" t="s">
        <v>49</v>
      </c>
    </row>
    <row r="2342" spans="2:27" ht="16" x14ac:dyDescent="0.2">
      <c r="B2342" t="s">
        <v>35</v>
      </c>
      <c r="C2342">
        <v>40361985</v>
      </c>
      <c r="D2342" t="s">
        <v>389</v>
      </c>
      <c r="E2342">
        <v>1022748</v>
      </c>
      <c r="F2342" t="s">
        <v>444</v>
      </c>
      <c r="G2342" s="9">
        <v>45018</v>
      </c>
      <c r="H2342" s="7"/>
      <c r="I2342" s="7">
        <v>24020</v>
      </c>
      <c r="J2342" s="7"/>
      <c r="K2342" s="7"/>
      <c r="L2342" s="10">
        <v>5.5741092456127026</v>
      </c>
      <c r="M2342" s="9">
        <v>45023</v>
      </c>
      <c r="N2342" s="10">
        <v>5.5</v>
      </c>
      <c r="O2342" s="9">
        <v>45028</v>
      </c>
      <c r="P2342">
        <v>15</v>
      </c>
      <c r="Q2342" s="11" t="s">
        <v>49</v>
      </c>
      <c r="R2342" s="7"/>
      <c r="S2342" s="7">
        <v>24020</v>
      </c>
      <c r="T2342" s="7"/>
      <c r="U2342" s="7"/>
      <c r="V2342" s="10">
        <v>7.5741092456127026</v>
      </c>
      <c r="W2342" s="9">
        <v>45025</v>
      </c>
      <c r="X2342" s="10">
        <v>7.5</v>
      </c>
      <c r="Y2342" s="9">
        <v>45028</v>
      </c>
      <c r="Z2342">
        <v>15</v>
      </c>
      <c r="AA2342" s="11" t="s">
        <v>49</v>
      </c>
    </row>
    <row r="2343" spans="2:27" ht="16" x14ac:dyDescent="0.2">
      <c r="B2343" t="s">
        <v>35</v>
      </c>
      <c r="C2343">
        <v>40361984</v>
      </c>
      <c r="D2343" t="s">
        <v>389</v>
      </c>
      <c r="E2343">
        <v>1022748</v>
      </c>
      <c r="F2343" t="s">
        <v>444</v>
      </c>
      <c r="G2343" s="9">
        <v>45013</v>
      </c>
      <c r="H2343" s="7"/>
      <c r="I2343" s="7">
        <v>24000</v>
      </c>
      <c r="J2343" s="7"/>
      <c r="K2343" s="7"/>
      <c r="L2343" s="10">
        <v>5.5741092456127026</v>
      </c>
      <c r="M2343" s="9">
        <v>45018</v>
      </c>
      <c r="N2343" s="10">
        <v>5.5</v>
      </c>
      <c r="O2343" s="9">
        <v>45023</v>
      </c>
      <c r="P2343">
        <v>19</v>
      </c>
      <c r="Q2343" s="11" t="s">
        <v>49</v>
      </c>
      <c r="R2343" s="7"/>
      <c r="S2343" s="7">
        <v>24000</v>
      </c>
      <c r="T2343" s="7"/>
      <c r="U2343" s="7"/>
      <c r="V2343" s="10">
        <v>7.5741092456127026</v>
      </c>
      <c r="W2343" s="9">
        <v>45020</v>
      </c>
      <c r="X2343" s="10">
        <v>7.5</v>
      </c>
      <c r="Y2343" s="9">
        <v>45023</v>
      </c>
      <c r="Z2343">
        <v>19</v>
      </c>
      <c r="AA2343" s="11" t="s">
        <v>49</v>
      </c>
    </row>
    <row r="2344" spans="2:27" ht="16" x14ac:dyDescent="0.2">
      <c r="B2344" t="s">
        <v>35</v>
      </c>
      <c r="C2344">
        <v>40361983</v>
      </c>
      <c r="D2344" t="s">
        <v>389</v>
      </c>
      <c r="E2344">
        <v>1022748</v>
      </c>
      <c r="F2344" t="s">
        <v>444</v>
      </c>
      <c r="G2344" s="9">
        <v>45008</v>
      </c>
      <c r="H2344" s="7"/>
      <c r="I2344" s="7">
        <v>23960</v>
      </c>
      <c r="J2344" s="7"/>
      <c r="K2344" s="7"/>
      <c r="L2344" s="10">
        <v>5.5741092456127026</v>
      </c>
      <c r="M2344" s="9">
        <v>45013</v>
      </c>
      <c r="N2344" s="10">
        <v>5.5</v>
      </c>
      <c r="O2344" s="9">
        <v>45018</v>
      </c>
      <c r="P2344">
        <v>23</v>
      </c>
      <c r="Q2344" s="11" t="s">
        <v>49</v>
      </c>
      <c r="R2344" s="7"/>
      <c r="S2344" s="7">
        <v>23960</v>
      </c>
      <c r="T2344" s="7"/>
      <c r="U2344" s="7"/>
      <c r="V2344" s="10">
        <v>7.5741092456127026</v>
      </c>
      <c r="W2344" s="9">
        <v>45015</v>
      </c>
      <c r="X2344" s="10">
        <v>7.5</v>
      </c>
      <c r="Y2344" s="9">
        <v>45018</v>
      </c>
      <c r="Z2344">
        <v>23</v>
      </c>
      <c r="AA2344" s="11" t="s">
        <v>49</v>
      </c>
    </row>
    <row r="2345" spans="2:27" ht="16" x14ac:dyDescent="0.2">
      <c r="B2345" t="s">
        <v>35</v>
      </c>
      <c r="C2345">
        <v>40361978</v>
      </c>
      <c r="D2345" t="s">
        <v>389</v>
      </c>
      <c r="E2345">
        <v>1022753</v>
      </c>
      <c r="F2345" t="s">
        <v>320</v>
      </c>
      <c r="G2345" s="9">
        <v>45026</v>
      </c>
      <c r="H2345" s="7"/>
      <c r="I2345" s="7">
        <v>25000</v>
      </c>
      <c r="J2345" s="7"/>
      <c r="K2345" s="7"/>
      <c r="L2345" s="10">
        <v>5.5741092456127026</v>
      </c>
      <c r="M2345" s="9">
        <v>45031</v>
      </c>
      <c r="N2345" s="10">
        <v>5.5</v>
      </c>
      <c r="O2345" s="9">
        <v>45036</v>
      </c>
      <c r="P2345">
        <v>8</v>
      </c>
      <c r="Q2345" s="11" t="s">
        <v>49</v>
      </c>
      <c r="R2345" s="7"/>
      <c r="S2345" s="7">
        <v>25000</v>
      </c>
      <c r="T2345" s="7"/>
      <c r="U2345" s="7"/>
      <c r="V2345" s="10">
        <v>7.5741092456127026</v>
      </c>
      <c r="W2345" s="9">
        <v>45033</v>
      </c>
      <c r="X2345" s="10">
        <v>7.5</v>
      </c>
      <c r="Y2345" s="9">
        <v>45036</v>
      </c>
      <c r="Z2345">
        <v>8</v>
      </c>
      <c r="AA2345" s="11" t="s">
        <v>49</v>
      </c>
    </row>
    <row r="2346" spans="2:27" ht="16" x14ac:dyDescent="0.2">
      <c r="B2346" t="s">
        <v>35</v>
      </c>
      <c r="C2346">
        <v>40361977</v>
      </c>
      <c r="D2346" t="s">
        <v>389</v>
      </c>
      <c r="E2346">
        <v>1022753</v>
      </c>
      <c r="F2346" t="s">
        <v>320</v>
      </c>
      <c r="G2346" s="9">
        <v>45013</v>
      </c>
      <c r="H2346" s="7"/>
      <c r="I2346" s="7">
        <v>16420</v>
      </c>
      <c r="J2346" s="7"/>
      <c r="K2346" s="7"/>
      <c r="L2346" s="10">
        <v>5.5741092456127026</v>
      </c>
      <c r="M2346" s="9">
        <v>45018</v>
      </c>
      <c r="N2346" s="10">
        <v>5.5</v>
      </c>
      <c r="O2346" s="9">
        <v>45023</v>
      </c>
      <c r="P2346">
        <v>19</v>
      </c>
      <c r="Q2346" s="11" t="s">
        <v>49</v>
      </c>
      <c r="R2346" s="7"/>
      <c r="S2346" s="7">
        <v>16420</v>
      </c>
      <c r="T2346" s="7"/>
      <c r="U2346" s="7"/>
      <c r="V2346" s="10">
        <v>7.5741092456127026</v>
      </c>
      <c r="W2346" s="9">
        <v>45020</v>
      </c>
      <c r="X2346" s="10">
        <v>7.5</v>
      </c>
      <c r="Y2346" s="9">
        <v>45023</v>
      </c>
      <c r="Z2346">
        <v>19</v>
      </c>
      <c r="AA2346" s="11" t="s">
        <v>49</v>
      </c>
    </row>
    <row r="2347" spans="2:27" ht="16" x14ac:dyDescent="0.2">
      <c r="B2347" t="s">
        <v>35</v>
      </c>
      <c r="C2347">
        <v>40361977</v>
      </c>
      <c r="D2347" t="s">
        <v>389</v>
      </c>
      <c r="E2347">
        <v>1022753</v>
      </c>
      <c r="F2347" t="s">
        <v>320</v>
      </c>
      <c r="G2347" s="9">
        <v>45013</v>
      </c>
      <c r="H2347" s="7"/>
      <c r="I2347" s="7">
        <v>25000</v>
      </c>
      <c r="J2347" s="7"/>
      <c r="K2347" s="7"/>
      <c r="L2347" s="10">
        <v>5.5741092456127026</v>
      </c>
      <c r="M2347" s="9">
        <v>45018</v>
      </c>
      <c r="N2347" s="10">
        <v>5.5</v>
      </c>
      <c r="O2347" s="9">
        <v>45023</v>
      </c>
      <c r="P2347">
        <v>19</v>
      </c>
      <c r="Q2347" s="11" t="s">
        <v>49</v>
      </c>
      <c r="R2347" s="7"/>
      <c r="S2347" s="7">
        <v>25000</v>
      </c>
      <c r="T2347" s="7"/>
      <c r="U2347" s="7"/>
      <c r="V2347" s="10">
        <v>7.5741092456127026</v>
      </c>
      <c r="W2347" s="9">
        <v>45020</v>
      </c>
      <c r="X2347" s="10">
        <v>7.5</v>
      </c>
      <c r="Y2347" s="9">
        <v>45023</v>
      </c>
      <c r="Z2347">
        <v>19</v>
      </c>
      <c r="AA2347" s="11" t="s">
        <v>49</v>
      </c>
    </row>
    <row r="2348" spans="2:27" ht="16" x14ac:dyDescent="0.2">
      <c r="B2348" t="s">
        <v>35</v>
      </c>
      <c r="C2348">
        <v>40361976</v>
      </c>
      <c r="D2348" t="s">
        <v>389</v>
      </c>
      <c r="E2348">
        <v>1022753</v>
      </c>
      <c r="F2348" t="s">
        <v>320</v>
      </c>
      <c r="G2348" s="9">
        <v>45012</v>
      </c>
      <c r="H2348" s="7"/>
      <c r="I2348" s="7">
        <v>25000</v>
      </c>
      <c r="J2348" s="7"/>
      <c r="K2348" s="7"/>
      <c r="L2348" s="10">
        <v>5.5741092456127026</v>
      </c>
      <c r="M2348" s="9">
        <v>45017</v>
      </c>
      <c r="N2348" s="10">
        <v>5.5</v>
      </c>
      <c r="O2348" s="9">
        <v>45022</v>
      </c>
      <c r="P2348">
        <v>20</v>
      </c>
      <c r="Q2348" s="11" t="s">
        <v>49</v>
      </c>
      <c r="R2348" s="7"/>
      <c r="S2348" s="7">
        <v>25000</v>
      </c>
      <c r="T2348" s="7"/>
      <c r="U2348" s="7"/>
      <c r="V2348" s="10">
        <v>7.5741092456127026</v>
      </c>
      <c r="W2348" s="9">
        <v>45019</v>
      </c>
      <c r="X2348" s="10">
        <v>7.5</v>
      </c>
      <c r="Y2348" s="9">
        <v>45022</v>
      </c>
      <c r="Z2348">
        <v>20</v>
      </c>
      <c r="AA2348" s="11" t="s">
        <v>49</v>
      </c>
    </row>
    <row r="2349" spans="2:27" ht="16" x14ac:dyDescent="0.2">
      <c r="B2349" t="s">
        <v>35</v>
      </c>
      <c r="C2349">
        <v>40361975</v>
      </c>
      <c r="D2349" t="s">
        <v>389</v>
      </c>
      <c r="E2349">
        <v>1022753</v>
      </c>
      <c r="F2349" t="s">
        <v>320</v>
      </c>
      <c r="G2349" s="9">
        <v>45012</v>
      </c>
      <c r="H2349" s="7"/>
      <c r="I2349" s="7">
        <v>16000</v>
      </c>
      <c r="J2349" s="7"/>
      <c r="K2349" s="7"/>
      <c r="L2349" s="10">
        <v>5.5741092456127026</v>
      </c>
      <c r="M2349" s="9">
        <v>45017</v>
      </c>
      <c r="N2349" s="10">
        <v>5.5</v>
      </c>
      <c r="O2349" s="9">
        <v>45022</v>
      </c>
      <c r="P2349">
        <v>20</v>
      </c>
      <c r="Q2349" s="11" t="s">
        <v>49</v>
      </c>
      <c r="R2349" s="7"/>
      <c r="S2349" s="7">
        <v>16000</v>
      </c>
      <c r="T2349" s="7"/>
      <c r="U2349" s="7"/>
      <c r="V2349" s="10">
        <v>7.5741092456127026</v>
      </c>
      <c r="W2349" s="9">
        <v>45019</v>
      </c>
      <c r="X2349" s="10">
        <v>7.5</v>
      </c>
      <c r="Y2349" s="9">
        <v>45022</v>
      </c>
      <c r="Z2349">
        <v>20</v>
      </c>
      <c r="AA2349" s="11" t="s">
        <v>49</v>
      </c>
    </row>
    <row r="2350" spans="2:27" ht="16" x14ac:dyDescent="0.2">
      <c r="B2350" t="s">
        <v>35</v>
      </c>
      <c r="C2350">
        <v>40361975</v>
      </c>
      <c r="D2350" t="s">
        <v>389</v>
      </c>
      <c r="E2350">
        <v>1022753</v>
      </c>
      <c r="F2350" t="s">
        <v>320</v>
      </c>
      <c r="G2350" s="9">
        <v>45012</v>
      </c>
      <c r="H2350" s="7"/>
      <c r="I2350" s="7">
        <v>25000</v>
      </c>
      <c r="J2350" s="7"/>
      <c r="K2350" s="7"/>
      <c r="L2350" s="10">
        <v>5.5741092456127026</v>
      </c>
      <c r="M2350" s="9">
        <v>45017</v>
      </c>
      <c r="N2350" s="10">
        <v>5.5</v>
      </c>
      <c r="O2350" s="9">
        <v>45022</v>
      </c>
      <c r="P2350">
        <v>20</v>
      </c>
      <c r="Q2350" s="11" t="s">
        <v>49</v>
      </c>
      <c r="R2350" s="7"/>
      <c r="S2350" s="7">
        <v>25000</v>
      </c>
      <c r="T2350" s="7"/>
      <c r="U2350" s="7"/>
      <c r="V2350" s="10">
        <v>7.5741092456127026</v>
      </c>
      <c r="W2350" s="9">
        <v>45019</v>
      </c>
      <c r="X2350" s="10">
        <v>7.5</v>
      </c>
      <c r="Y2350" s="9">
        <v>45022</v>
      </c>
      <c r="Z2350">
        <v>20</v>
      </c>
      <c r="AA2350" s="11" t="s">
        <v>49</v>
      </c>
    </row>
    <row r="2351" spans="2:27" ht="16" x14ac:dyDescent="0.2">
      <c r="B2351" t="s">
        <v>35</v>
      </c>
      <c r="C2351">
        <v>40361974</v>
      </c>
      <c r="D2351" t="s">
        <v>389</v>
      </c>
      <c r="E2351">
        <v>1022753</v>
      </c>
      <c r="F2351" t="s">
        <v>320</v>
      </c>
      <c r="G2351" s="9">
        <v>45007</v>
      </c>
      <c r="H2351" s="7"/>
      <c r="I2351" s="7">
        <v>24460</v>
      </c>
      <c r="J2351" s="7"/>
      <c r="K2351" s="7"/>
      <c r="L2351" s="10">
        <v>5.5741092456127026</v>
      </c>
      <c r="M2351" s="9">
        <v>45012</v>
      </c>
      <c r="N2351" s="10">
        <v>5.5</v>
      </c>
      <c r="O2351" s="9">
        <v>45017</v>
      </c>
      <c r="P2351">
        <v>23</v>
      </c>
      <c r="Q2351" s="11" t="s">
        <v>49</v>
      </c>
      <c r="R2351" s="7"/>
      <c r="S2351" s="7">
        <v>24460</v>
      </c>
      <c r="T2351" s="7"/>
      <c r="U2351" s="7"/>
      <c r="V2351" s="10">
        <v>7.5741092456127026</v>
      </c>
      <c r="W2351" s="9">
        <v>45014</v>
      </c>
      <c r="X2351" s="10">
        <v>7.5</v>
      </c>
      <c r="Y2351" s="9">
        <v>45017</v>
      </c>
      <c r="Z2351">
        <v>23</v>
      </c>
      <c r="AA2351" s="11" t="s">
        <v>49</v>
      </c>
    </row>
    <row r="2352" spans="2:27" ht="16" x14ac:dyDescent="0.2">
      <c r="B2352" t="s">
        <v>35</v>
      </c>
      <c r="C2352">
        <v>40361958</v>
      </c>
      <c r="D2352" t="s">
        <v>389</v>
      </c>
      <c r="E2352">
        <v>1022541</v>
      </c>
      <c r="F2352" t="s">
        <v>445</v>
      </c>
      <c r="G2352" s="9">
        <v>45017</v>
      </c>
      <c r="H2352" s="7"/>
      <c r="I2352" s="7">
        <v>24287.37</v>
      </c>
      <c r="J2352" s="7"/>
      <c r="K2352" s="7"/>
      <c r="L2352" s="10">
        <v>5.5741092456127026</v>
      </c>
      <c r="M2352" s="9">
        <v>45022</v>
      </c>
      <c r="N2352" s="10">
        <v>5.5</v>
      </c>
      <c r="O2352" s="9">
        <v>45027</v>
      </c>
      <c r="P2352">
        <v>16</v>
      </c>
      <c r="Q2352" s="11" t="s">
        <v>49</v>
      </c>
      <c r="R2352" s="7"/>
      <c r="S2352" s="7">
        <v>24287.37</v>
      </c>
      <c r="T2352" s="7"/>
      <c r="U2352" s="7"/>
      <c r="V2352" s="10">
        <v>7.5741092456127026</v>
      </c>
      <c r="W2352" s="9">
        <v>45024</v>
      </c>
      <c r="X2352" s="10">
        <v>7.5</v>
      </c>
      <c r="Y2352" s="9">
        <v>45027</v>
      </c>
      <c r="Z2352">
        <v>16</v>
      </c>
      <c r="AA2352" s="11" t="s">
        <v>49</v>
      </c>
    </row>
    <row r="2353" spans="2:27" ht="16" x14ac:dyDescent="0.2">
      <c r="B2353" t="s">
        <v>35</v>
      </c>
      <c r="C2353">
        <v>40361957</v>
      </c>
      <c r="D2353" t="s">
        <v>389</v>
      </c>
      <c r="E2353">
        <v>1022541</v>
      </c>
      <c r="F2353" t="s">
        <v>445</v>
      </c>
      <c r="G2353" s="9">
        <v>45018</v>
      </c>
      <c r="H2353" s="7"/>
      <c r="I2353" s="7">
        <v>24139.040000000001</v>
      </c>
      <c r="J2353" s="7"/>
      <c r="K2353" s="7"/>
      <c r="L2353" s="10">
        <v>5.5741092456127026</v>
      </c>
      <c r="M2353" s="9">
        <v>45023</v>
      </c>
      <c r="N2353" s="10">
        <v>5.5</v>
      </c>
      <c r="O2353" s="9">
        <v>45028</v>
      </c>
      <c r="P2353">
        <v>15</v>
      </c>
      <c r="Q2353" s="11" t="s">
        <v>49</v>
      </c>
      <c r="R2353" s="7"/>
      <c r="S2353" s="7">
        <v>24139.040000000001</v>
      </c>
      <c r="T2353" s="7"/>
      <c r="U2353" s="7"/>
      <c r="V2353" s="10">
        <v>7.5741092456127026</v>
      </c>
      <c r="W2353" s="9">
        <v>45025</v>
      </c>
      <c r="X2353" s="10">
        <v>7.5</v>
      </c>
      <c r="Y2353" s="9">
        <v>45028</v>
      </c>
      <c r="Z2353">
        <v>15</v>
      </c>
      <c r="AA2353" s="11" t="s">
        <v>49</v>
      </c>
    </row>
    <row r="2354" spans="2:27" ht="16" x14ac:dyDescent="0.2">
      <c r="B2354" t="s">
        <v>35</v>
      </c>
      <c r="C2354">
        <v>40361956</v>
      </c>
      <c r="D2354" t="s">
        <v>389</v>
      </c>
      <c r="E2354">
        <v>1022541</v>
      </c>
      <c r="F2354" t="s">
        <v>445</v>
      </c>
      <c r="G2354" s="9">
        <v>45007</v>
      </c>
      <c r="H2354" s="7"/>
      <c r="I2354" s="7">
        <v>23376.71</v>
      </c>
      <c r="J2354" s="7"/>
      <c r="K2354" s="7"/>
      <c r="L2354" s="10">
        <v>5.5741092456127026</v>
      </c>
      <c r="M2354" s="9">
        <v>45012</v>
      </c>
      <c r="N2354" s="10">
        <v>5.5</v>
      </c>
      <c r="O2354" s="9">
        <v>45017</v>
      </c>
      <c r="P2354">
        <v>23</v>
      </c>
      <c r="Q2354" s="11" t="s">
        <v>49</v>
      </c>
      <c r="R2354" s="7"/>
      <c r="S2354" s="7">
        <v>23376.71</v>
      </c>
      <c r="T2354" s="7"/>
      <c r="U2354" s="7"/>
      <c r="V2354" s="10">
        <v>7.5741092456127026</v>
      </c>
      <c r="W2354" s="9">
        <v>45014</v>
      </c>
      <c r="X2354" s="10">
        <v>7.5</v>
      </c>
      <c r="Y2354" s="9">
        <v>45017</v>
      </c>
      <c r="Z2354">
        <v>23</v>
      </c>
      <c r="AA2354" s="11" t="s">
        <v>49</v>
      </c>
    </row>
    <row r="2355" spans="2:27" ht="16" x14ac:dyDescent="0.2">
      <c r="B2355" t="s">
        <v>35</v>
      </c>
      <c r="C2355">
        <v>40361955</v>
      </c>
      <c r="D2355" t="s">
        <v>389</v>
      </c>
      <c r="E2355">
        <v>1022541</v>
      </c>
      <c r="F2355" t="s">
        <v>445</v>
      </c>
      <c r="G2355" s="9">
        <v>45005</v>
      </c>
      <c r="H2355" s="7">
        <v>25011.61</v>
      </c>
      <c r="I2355" s="7"/>
      <c r="J2355" s="7"/>
      <c r="K2355" s="7"/>
      <c r="L2355" s="10">
        <v>5.5741092456127026</v>
      </c>
      <c r="M2355" s="9">
        <v>45010</v>
      </c>
      <c r="N2355" s="10">
        <v>5.5</v>
      </c>
      <c r="O2355" s="9">
        <v>45015</v>
      </c>
      <c r="P2355">
        <v>1</v>
      </c>
      <c r="Q2355" s="11" t="s">
        <v>598</v>
      </c>
      <c r="R2355" s="7">
        <v>25011.61</v>
      </c>
      <c r="S2355" s="7"/>
      <c r="T2355" s="7"/>
      <c r="U2355" s="7"/>
      <c r="V2355" s="10">
        <v>7.5741092456127026</v>
      </c>
      <c r="W2355" s="9">
        <v>45012</v>
      </c>
      <c r="X2355" s="10">
        <v>7.5</v>
      </c>
      <c r="Y2355" s="9">
        <v>45015</v>
      </c>
      <c r="Z2355">
        <v>1</v>
      </c>
      <c r="AA2355" s="11" t="s">
        <v>598</v>
      </c>
    </row>
    <row r="2356" spans="2:27" ht="16" x14ac:dyDescent="0.2">
      <c r="B2356" t="s">
        <v>35</v>
      </c>
      <c r="C2356">
        <v>40361954</v>
      </c>
      <c r="D2356" t="s">
        <v>389</v>
      </c>
      <c r="E2356">
        <v>1022541</v>
      </c>
      <c r="F2356" t="s">
        <v>445</v>
      </c>
      <c r="G2356" s="9">
        <v>45005</v>
      </c>
      <c r="H2356" s="7">
        <v>24078.59</v>
      </c>
      <c r="I2356" s="7"/>
      <c r="J2356" s="7"/>
      <c r="K2356" s="7"/>
      <c r="L2356" s="10">
        <v>5.5741092456127026</v>
      </c>
      <c r="M2356" s="9">
        <v>45010</v>
      </c>
      <c r="N2356" s="10">
        <v>5.5</v>
      </c>
      <c r="O2356" s="9">
        <v>45015</v>
      </c>
      <c r="P2356">
        <v>1</v>
      </c>
      <c r="Q2356" s="11" t="s">
        <v>598</v>
      </c>
      <c r="R2356" s="7">
        <v>24078.59</v>
      </c>
      <c r="S2356" s="7"/>
      <c r="T2356" s="7"/>
      <c r="U2356" s="7"/>
      <c r="V2356" s="10">
        <v>7.5741092456127026</v>
      </c>
      <c r="W2356" s="9">
        <v>45012</v>
      </c>
      <c r="X2356" s="10">
        <v>7.5</v>
      </c>
      <c r="Y2356" s="9">
        <v>45015</v>
      </c>
      <c r="Z2356">
        <v>1</v>
      </c>
      <c r="AA2356" s="11" t="s">
        <v>598</v>
      </c>
    </row>
    <row r="2357" spans="2:27" ht="16" x14ac:dyDescent="0.2">
      <c r="B2357" t="s">
        <v>35</v>
      </c>
      <c r="C2357">
        <v>40361951</v>
      </c>
      <c r="D2357" t="s">
        <v>389</v>
      </c>
      <c r="E2357">
        <v>1022541</v>
      </c>
      <c r="F2357" t="s">
        <v>445</v>
      </c>
      <c r="G2357" s="9">
        <v>45013</v>
      </c>
      <c r="H2357" s="7"/>
      <c r="I2357" s="7">
        <v>25018.720000000001</v>
      </c>
      <c r="J2357" s="7"/>
      <c r="K2357" s="7"/>
      <c r="L2357" s="10">
        <v>5.5741092456127026</v>
      </c>
      <c r="M2357" s="9">
        <v>45018</v>
      </c>
      <c r="N2357" s="10">
        <v>5.5</v>
      </c>
      <c r="O2357" s="9">
        <v>45023</v>
      </c>
      <c r="P2357">
        <v>19</v>
      </c>
      <c r="Q2357" s="11" t="s">
        <v>49</v>
      </c>
      <c r="R2357" s="7"/>
      <c r="S2357" s="7">
        <v>25018.720000000001</v>
      </c>
      <c r="T2357" s="7"/>
      <c r="U2357" s="7"/>
      <c r="V2357" s="10">
        <v>7.5741092456127026</v>
      </c>
      <c r="W2357" s="9">
        <v>45020</v>
      </c>
      <c r="X2357" s="10">
        <v>7.5</v>
      </c>
      <c r="Y2357" s="9">
        <v>45023</v>
      </c>
      <c r="Z2357">
        <v>19</v>
      </c>
      <c r="AA2357" s="11" t="s">
        <v>49</v>
      </c>
    </row>
    <row r="2358" spans="2:27" ht="16" x14ac:dyDescent="0.2">
      <c r="B2358" t="s">
        <v>35</v>
      </c>
      <c r="C2358">
        <v>40361948</v>
      </c>
      <c r="D2358" t="s">
        <v>389</v>
      </c>
      <c r="E2358">
        <v>1022381</v>
      </c>
      <c r="F2358" t="s">
        <v>447</v>
      </c>
      <c r="G2358" s="9">
        <v>45004</v>
      </c>
      <c r="H2358" s="7">
        <v>24000</v>
      </c>
      <c r="I2358" s="7"/>
      <c r="J2358" s="7"/>
      <c r="K2358" s="7"/>
      <c r="L2358" s="10">
        <v>5.5741092456127026</v>
      </c>
      <c r="M2358" s="9">
        <v>45009</v>
      </c>
      <c r="N2358" s="10">
        <v>5.5</v>
      </c>
      <c r="O2358" s="9">
        <v>45014</v>
      </c>
      <c r="P2358">
        <v>2</v>
      </c>
      <c r="Q2358" s="11" t="s">
        <v>598</v>
      </c>
      <c r="R2358" s="7">
        <v>24000</v>
      </c>
      <c r="S2358" s="7"/>
      <c r="T2358" s="7"/>
      <c r="U2358" s="7"/>
      <c r="V2358" s="10">
        <v>7.5741092456127026</v>
      </c>
      <c r="W2358" s="9">
        <v>45011</v>
      </c>
      <c r="X2358" s="10">
        <v>7.5</v>
      </c>
      <c r="Y2358" s="9">
        <v>45014</v>
      </c>
      <c r="Z2358">
        <v>2</v>
      </c>
      <c r="AA2358" s="11" t="s">
        <v>598</v>
      </c>
    </row>
    <row r="2359" spans="2:27" ht="16" x14ac:dyDescent="0.2">
      <c r="B2359" t="s">
        <v>35</v>
      </c>
      <c r="C2359">
        <v>40361944</v>
      </c>
      <c r="D2359" t="s">
        <v>389</v>
      </c>
      <c r="E2359">
        <v>1022379</v>
      </c>
      <c r="F2359" t="s">
        <v>306</v>
      </c>
      <c r="G2359" s="9">
        <v>45018</v>
      </c>
      <c r="H2359" s="7"/>
      <c r="I2359" s="7">
        <v>24244.78</v>
      </c>
      <c r="J2359" s="7"/>
      <c r="K2359" s="7"/>
      <c r="L2359" s="10">
        <v>5.5741092456127026</v>
      </c>
      <c r="M2359" s="9">
        <v>45023</v>
      </c>
      <c r="N2359" s="10">
        <v>5.5</v>
      </c>
      <c r="O2359" s="9">
        <v>45028</v>
      </c>
      <c r="P2359">
        <v>15</v>
      </c>
      <c r="Q2359" s="11" t="s">
        <v>49</v>
      </c>
      <c r="R2359" s="7"/>
      <c r="S2359" s="7">
        <v>24244.78</v>
      </c>
      <c r="T2359" s="7"/>
      <c r="U2359" s="7"/>
      <c r="V2359" s="10">
        <v>7.5741092456127026</v>
      </c>
      <c r="W2359" s="9">
        <v>45025</v>
      </c>
      <c r="X2359" s="10">
        <v>7.5</v>
      </c>
      <c r="Y2359" s="9">
        <v>45028</v>
      </c>
      <c r="Z2359">
        <v>15</v>
      </c>
      <c r="AA2359" s="11" t="s">
        <v>49</v>
      </c>
    </row>
    <row r="2360" spans="2:27" ht="16" x14ac:dyDescent="0.2">
      <c r="B2360" t="s">
        <v>35</v>
      </c>
      <c r="C2360">
        <v>40361943</v>
      </c>
      <c r="D2360" t="s">
        <v>389</v>
      </c>
      <c r="E2360">
        <v>1022379</v>
      </c>
      <c r="F2360" t="s">
        <v>306</v>
      </c>
      <c r="G2360" s="9">
        <v>45013</v>
      </c>
      <c r="H2360" s="7"/>
      <c r="I2360" s="7">
        <v>24493.439999999999</v>
      </c>
      <c r="J2360" s="7"/>
      <c r="K2360" s="7"/>
      <c r="L2360" s="10">
        <v>5.5741092456127026</v>
      </c>
      <c r="M2360" s="9">
        <v>45018</v>
      </c>
      <c r="N2360" s="10">
        <v>5.5</v>
      </c>
      <c r="O2360" s="9">
        <v>45023</v>
      </c>
      <c r="P2360">
        <v>19</v>
      </c>
      <c r="Q2360" s="11" t="s">
        <v>49</v>
      </c>
      <c r="R2360" s="7"/>
      <c r="S2360" s="7">
        <v>24493.439999999999</v>
      </c>
      <c r="T2360" s="7"/>
      <c r="U2360" s="7"/>
      <c r="V2360" s="10">
        <v>7.5741092456127026</v>
      </c>
      <c r="W2360" s="9">
        <v>45020</v>
      </c>
      <c r="X2360" s="10">
        <v>7.5</v>
      </c>
      <c r="Y2360" s="9">
        <v>45023</v>
      </c>
      <c r="Z2360">
        <v>19</v>
      </c>
      <c r="AA2360" s="11" t="s">
        <v>49</v>
      </c>
    </row>
    <row r="2361" spans="2:27" ht="16" x14ac:dyDescent="0.2">
      <c r="B2361" t="s">
        <v>35</v>
      </c>
      <c r="C2361">
        <v>40361942</v>
      </c>
      <c r="D2361" t="s">
        <v>389</v>
      </c>
      <c r="E2361">
        <v>1022379</v>
      </c>
      <c r="F2361" t="s">
        <v>306</v>
      </c>
      <c r="G2361" s="9">
        <v>45012</v>
      </c>
      <c r="H2361" s="7"/>
      <c r="I2361" s="7">
        <v>24429.63</v>
      </c>
      <c r="J2361" s="7"/>
      <c r="K2361" s="7"/>
      <c r="L2361" s="10">
        <v>5.5741092456127026</v>
      </c>
      <c r="M2361" s="9">
        <v>45017</v>
      </c>
      <c r="N2361" s="10">
        <v>5.5</v>
      </c>
      <c r="O2361" s="9">
        <v>45022</v>
      </c>
      <c r="P2361">
        <v>20</v>
      </c>
      <c r="Q2361" s="11" t="s">
        <v>49</v>
      </c>
      <c r="R2361" s="7"/>
      <c r="S2361" s="7">
        <v>24429.63</v>
      </c>
      <c r="T2361" s="7"/>
      <c r="U2361" s="7"/>
      <c r="V2361" s="10">
        <v>7.5741092456127026</v>
      </c>
      <c r="W2361" s="9">
        <v>45019</v>
      </c>
      <c r="X2361" s="10">
        <v>7.5</v>
      </c>
      <c r="Y2361" s="9">
        <v>45022</v>
      </c>
      <c r="Z2361">
        <v>20</v>
      </c>
      <c r="AA2361" s="11" t="s">
        <v>49</v>
      </c>
    </row>
    <row r="2362" spans="2:27" ht="16" x14ac:dyDescent="0.2">
      <c r="B2362" t="s">
        <v>35</v>
      </c>
      <c r="C2362">
        <v>40361941</v>
      </c>
      <c r="D2362" t="s">
        <v>389</v>
      </c>
      <c r="E2362">
        <v>1022379</v>
      </c>
      <c r="F2362" t="s">
        <v>306</v>
      </c>
      <c r="G2362" s="9">
        <v>45013</v>
      </c>
      <c r="H2362" s="7"/>
      <c r="I2362" s="7">
        <v>24121.38</v>
      </c>
      <c r="J2362" s="7"/>
      <c r="K2362" s="7"/>
      <c r="L2362" s="10">
        <v>5.5741092456127026</v>
      </c>
      <c r="M2362" s="9">
        <v>45018</v>
      </c>
      <c r="N2362" s="10">
        <v>5.5</v>
      </c>
      <c r="O2362" s="9">
        <v>45023</v>
      </c>
      <c r="P2362">
        <v>19</v>
      </c>
      <c r="Q2362" s="11" t="s">
        <v>49</v>
      </c>
      <c r="R2362" s="7"/>
      <c r="S2362" s="7">
        <v>24121.38</v>
      </c>
      <c r="T2362" s="7"/>
      <c r="U2362" s="7"/>
      <c r="V2362" s="10">
        <v>7.5741092456127026</v>
      </c>
      <c r="W2362" s="9">
        <v>45020</v>
      </c>
      <c r="X2362" s="10">
        <v>7.5</v>
      </c>
      <c r="Y2362" s="9">
        <v>45023</v>
      </c>
      <c r="Z2362">
        <v>19</v>
      </c>
      <c r="AA2362" s="11" t="s">
        <v>49</v>
      </c>
    </row>
    <row r="2363" spans="2:27" ht="16" x14ac:dyDescent="0.2">
      <c r="B2363" t="s">
        <v>35</v>
      </c>
      <c r="C2363">
        <v>40361940</v>
      </c>
      <c r="D2363" t="s">
        <v>389</v>
      </c>
      <c r="E2363">
        <v>1022379</v>
      </c>
      <c r="F2363" t="s">
        <v>306</v>
      </c>
      <c r="G2363" s="9">
        <v>45007</v>
      </c>
      <c r="H2363" s="7"/>
      <c r="I2363" s="7">
        <v>24137.35</v>
      </c>
      <c r="J2363" s="7"/>
      <c r="K2363" s="7"/>
      <c r="L2363" s="10">
        <v>5.5741092456127026</v>
      </c>
      <c r="M2363" s="9">
        <v>45012</v>
      </c>
      <c r="N2363" s="10">
        <v>5.5</v>
      </c>
      <c r="O2363" s="9">
        <v>45017</v>
      </c>
      <c r="P2363">
        <v>23</v>
      </c>
      <c r="Q2363" s="11" t="s">
        <v>49</v>
      </c>
      <c r="R2363" s="7"/>
      <c r="S2363" s="7">
        <v>24137.35</v>
      </c>
      <c r="T2363" s="7"/>
      <c r="U2363" s="7"/>
      <c r="V2363" s="10">
        <v>7.5741092456127026</v>
      </c>
      <c r="W2363" s="9">
        <v>45014</v>
      </c>
      <c r="X2363" s="10">
        <v>7.5</v>
      </c>
      <c r="Y2363" s="9">
        <v>45017</v>
      </c>
      <c r="Z2363">
        <v>23</v>
      </c>
      <c r="AA2363" s="11" t="s">
        <v>49</v>
      </c>
    </row>
    <row r="2364" spans="2:27" ht="16" x14ac:dyDescent="0.2">
      <c r="B2364" t="s">
        <v>35</v>
      </c>
      <c r="C2364">
        <v>40361939</v>
      </c>
      <c r="D2364" t="s">
        <v>389</v>
      </c>
      <c r="E2364">
        <v>1022379</v>
      </c>
      <c r="F2364" t="s">
        <v>306</v>
      </c>
      <c r="G2364" s="9">
        <v>45004</v>
      </c>
      <c r="H2364" s="7">
        <v>24405.88</v>
      </c>
      <c r="I2364" s="7"/>
      <c r="J2364" s="7"/>
      <c r="K2364" s="7"/>
      <c r="L2364" s="10">
        <v>5.5741092456127026</v>
      </c>
      <c r="M2364" s="9">
        <v>45009</v>
      </c>
      <c r="N2364" s="10">
        <v>5.5</v>
      </c>
      <c r="O2364" s="9">
        <v>45014</v>
      </c>
      <c r="P2364">
        <v>2</v>
      </c>
      <c r="Q2364" s="11" t="s">
        <v>598</v>
      </c>
      <c r="R2364" s="7">
        <v>24405.88</v>
      </c>
      <c r="S2364" s="7"/>
      <c r="T2364" s="7"/>
      <c r="U2364" s="7"/>
      <c r="V2364" s="10">
        <v>7.5741092456127026</v>
      </c>
      <c r="W2364" s="9">
        <v>45011</v>
      </c>
      <c r="X2364" s="10">
        <v>7.5</v>
      </c>
      <c r="Y2364" s="9">
        <v>45014</v>
      </c>
      <c r="Z2364">
        <v>2</v>
      </c>
      <c r="AA2364" s="11" t="s">
        <v>598</v>
      </c>
    </row>
    <row r="2365" spans="2:27" ht="16" x14ac:dyDescent="0.2">
      <c r="B2365" t="s">
        <v>35</v>
      </c>
      <c r="C2365">
        <v>40361938</v>
      </c>
      <c r="D2365" t="s">
        <v>389</v>
      </c>
      <c r="E2365">
        <v>1022379</v>
      </c>
      <c r="F2365" t="s">
        <v>306</v>
      </c>
      <c r="G2365" s="9">
        <v>45001</v>
      </c>
      <c r="H2365" s="7">
        <v>13994.9</v>
      </c>
      <c r="I2365" s="7"/>
      <c r="J2365" s="7"/>
      <c r="K2365" s="7"/>
      <c r="L2365" s="10">
        <v>5.5741092456127026</v>
      </c>
      <c r="M2365" s="9">
        <v>45006</v>
      </c>
      <c r="N2365" s="10">
        <v>5.5</v>
      </c>
      <c r="O2365" s="9">
        <v>45011</v>
      </c>
      <c r="P2365">
        <v>5</v>
      </c>
      <c r="Q2365" s="11" t="s">
        <v>49</v>
      </c>
      <c r="R2365" s="7">
        <v>13994.9</v>
      </c>
      <c r="S2365" s="7"/>
      <c r="T2365" s="7"/>
      <c r="U2365" s="7"/>
      <c r="V2365" s="10">
        <v>7.5741092456127026</v>
      </c>
      <c r="W2365" s="9">
        <v>45008</v>
      </c>
      <c r="X2365" s="10">
        <v>7.5</v>
      </c>
      <c r="Y2365" s="9">
        <v>45011</v>
      </c>
      <c r="Z2365">
        <v>5</v>
      </c>
      <c r="AA2365" s="11" t="s">
        <v>49</v>
      </c>
    </row>
    <row r="2366" spans="2:27" ht="16" x14ac:dyDescent="0.2">
      <c r="B2366" t="s">
        <v>35</v>
      </c>
      <c r="C2366">
        <v>40361938</v>
      </c>
      <c r="D2366" t="s">
        <v>389</v>
      </c>
      <c r="E2366">
        <v>1022379</v>
      </c>
      <c r="F2366" t="s">
        <v>306</v>
      </c>
      <c r="G2366" s="9">
        <v>45001</v>
      </c>
      <c r="H2366" s="7">
        <v>23797.91</v>
      </c>
      <c r="I2366" s="7"/>
      <c r="J2366" s="7"/>
      <c r="K2366" s="7"/>
      <c r="L2366" s="10">
        <v>5.5741092456127026</v>
      </c>
      <c r="M2366" s="9">
        <v>45006</v>
      </c>
      <c r="N2366" s="10">
        <v>5.5</v>
      </c>
      <c r="O2366" s="9">
        <v>45011</v>
      </c>
      <c r="P2366">
        <v>5</v>
      </c>
      <c r="Q2366" s="11" t="s">
        <v>49</v>
      </c>
      <c r="R2366" s="7">
        <v>23797.91</v>
      </c>
      <c r="S2366" s="7"/>
      <c r="T2366" s="7"/>
      <c r="U2366" s="7"/>
      <c r="V2366" s="10">
        <v>7.5741092456127026</v>
      </c>
      <c r="W2366" s="9">
        <v>45008</v>
      </c>
      <c r="X2366" s="10">
        <v>7.5</v>
      </c>
      <c r="Y2366" s="9">
        <v>45011</v>
      </c>
      <c r="Z2366">
        <v>5</v>
      </c>
      <c r="AA2366" s="11" t="s">
        <v>49</v>
      </c>
    </row>
    <row r="2367" spans="2:27" ht="16" x14ac:dyDescent="0.2">
      <c r="B2367" t="s">
        <v>35</v>
      </c>
      <c r="C2367">
        <v>40361931</v>
      </c>
      <c r="D2367" t="s">
        <v>389</v>
      </c>
      <c r="E2367">
        <v>1021767</v>
      </c>
      <c r="F2367" t="s">
        <v>288</v>
      </c>
      <c r="G2367" s="9">
        <v>45025</v>
      </c>
      <c r="H2367" s="7"/>
      <c r="I2367" s="7">
        <v>24012</v>
      </c>
      <c r="J2367" s="7"/>
      <c r="K2367" s="7"/>
      <c r="L2367" s="10">
        <v>5.5741092456127026</v>
      </c>
      <c r="M2367" s="9">
        <v>45030</v>
      </c>
      <c r="N2367" s="10">
        <v>5.5</v>
      </c>
      <c r="O2367" s="9">
        <v>45035</v>
      </c>
      <c r="P2367">
        <v>9</v>
      </c>
      <c r="Q2367" s="11" t="s">
        <v>49</v>
      </c>
      <c r="R2367" s="7"/>
      <c r="S2367" s="7">
        <v>24012</v>
      </c>
      <c r="T2367" s="7"/>
      <c r="U2367" s="7"/>
      <c r="V2367" s="10">
        <v>7.5741092456127026</v>
      </c>
      <c r="W2367" s="9">
        <v>45032</v>
      </c>
      <c r="X2367" s="10">
        <v>7.5</v>
      </c>
      <c r="Y2367" s="9">
        <v>45035</v>
      </c>
      <c r="Z2367">
        <v>9</v>
      </c>
      <c r="AA2367" s="11" t="s">
        <v>49</v>
      </c>
    </row>
    <row r="2368" spans="2:27" ht="16" x14ac:dyDescent="0.2">
      <c r="B2368" t="s">
        <v>35</v>
      </c>
      <c r="C2368">
        <v>40361930</v>
      </c>
      <c r="D2368" t="s">
        <v>389</v>
      </c>
      <c r="E2368">
        <v>1021767</v>
      </c>
      <c r="F2368" t="s">
        <v>288</v>
      </c>
      <c r="G2368" s="9">
        <v>45020</v>
      </c>
      <c r="H2368" s="7"/>
      <c r="I2368" s="7">
        <v>25002</v>
      </c>
      <c r="J2368" s="7"/>
      <c r="K2368" s="7"/>
      <c r="L2368" s="10">
        <v>5.5741092456127026</v>
      </c>
      <c r="M2368" s="9">
        <v>45025</v>
      </c>
      <c r="N2368" s="10">
        <v>5.5</v>
      </c>
      <c r="O2368" s="9">
        <v>45030</v>
      </c>
      <c r="P2368">
        <v>13</v>
      </c>
      <c r="Q2368" s="11" t="s">
        <v>49</v>
      </c>
      <c r="R2368" s="7"/>
      <c r="S2368" s="7">
        <v>25002</v>
      </c>
      <c r="T2368" s="7"/>
      <c r="U2368" s="7"/>
      <c r="V2368" s="10">
        <v>7.5741092456127026</v>
      </c>
      <c r="W2368" s="9">
        <v>45027</v>
      </c>
      <c r="X2368" s="10">
        <v>7.5</v>
      </c>
      <c r="Y2368" s="9">
        <v>45030</v>
      </c>
      <c r="Z2368">
        <v>13</v>
      </c>
      <c r="AA2368" s="11" t="s">
        <v>49</v>
      </c>
    </row>
    <row r="2369" spans="2:27" ht="16" x14ac:dyDescent="0.2">
      <c r="B2369" t="s">
        <v>35</v>
      </c>
      <c r="C2369">
        <v>40361929</v>
      </c>
      <c r="D2369" t="s">
        <v>389</v>
      </c>
      <c r="E2369">
        <v>1021767</v>
      </c>
      <c r="F2369" t="s">
        <v>288</v>
      </c>
      <c r="G2369" s="9">
        <v>45018</v>
      </c>
      <c r="H2369" s="7"/>
      <c r="I2369" s="7">
        <v>24300</v>
      </c>
      <c r="J2369" s="7"/>
      <c r="K2369" s="7"/>
      <c r="L2369" s="10">
        <v>5.5741092456127026</v>
      </c>
      <c r="M2369" s="9">
        <v>45023</v>
      </c>
      <c r="N2369" s="10">
        <v>5.5</v>
      </c>
      <c r="O2369" s="9">
        <v>45028</v>
      </c>
      <c r="P2369">
        <v>15</v>
      </c>
      <c r="Q2369" s="11" t="s">
        <v>49</v>
      </c>
      <c r="R2369" s="7"/>
      <c r="S2369" s="7">
        <v>24300</v>
      </c>
      <c r="T2369" s="7"/>
      <c r="U2369" s="7"/>
      <c r="V2369" s="10">
        <v>7.5741092456127026</v>
      </c>
      <c r="W2369" s="9">
        <v>45025</v>
      </c>
      <c r="X2369" s="10">
        <v>7.5</v>
      </c>
      <c r="Y2369" s="9">
        <v>45028</v>
      </c>
      <c r="Z2369">
        <v>15</v>
      </c>
      <c r="AA2369" s="11" t="s">
        <v>49</v>
      </c>
    </row>
    <row r="2370" spans="2:27" ht="16" x14ac:dyDescent="0.2">
      <c r="B2370" t="s">
        <v>35</v>
      </c>
      <c r="C2370">
        <v>40361927</v>
      </c>
      <c r="D2370" t="s">
        <v>389</v>
      </c>
      <c r="E2370">
        <v>1021767</v>
      </c>
      <c r="F2370" t="s">
        <v>288</v>
      </c>
      <c r="G2370" s="9">
        <v>45018</v>
      </c>
      <c r="H2370" s="7"/>
      <c r="I2370" s="7">
        <v>25002</v>
      </c>
      <c r="J2370" s="7"/>
      <c r="K2370" s="7"/>
      <c r="L2370" s="10">
        <v>5.5741092456127026</v>
      </c>
      <c r="M2370" s="9">
        <v>45023</v>
      </c>
      <c r="N2370" s="10">
        <v>5.5</v>
      </c>
      <c r="O2370" s="9">
        <v>45028</v>
      </c>
      <c r="P2370">
        <v>15</v>
      </c>
      <c r="Q2370" s="11" t="s">
        <v>49</v>
      </c>
      <c r="R2370" s="7"/>
      <c r="S2370" s="7">
        <v>25002</v>
      </c>
      <c r="T2370" s="7"/>
      <c r="U2370" s="7"/>
      <c r="V2370" s="10">
        <v>7.5741092456127026</v>
      </c>
      <c r="W2370" s="9">
        <v>45025</v>
      </c>
      <c r="X2370" s="10">
        <v>7.5</v>
      </c>
      <c r="Y2370" s="9">
        <v>45028</v>
      </c>
      <c r="Z2370">
        <v>15</v>
      </c>
      <c r="AA2370" s="11" t="s">
        <v>49</v>
      </c>
    </row>
    <row r="2371" spans="2:27" ht="16" x14ac:dyDescent="0.2">
      <c r="B2371" t="s">
        <v>35</v>
      </c>
      <c r="C2371">
        <v>40361925</v>
      </c>
      <c r="D2371" t="s">
        <v>389</v>
      </c>
      <c r="E2371">
        <v>1021767</v>
      </c>
      <c r="F2371" t="s">
        <v>288</v>
      </c>
      <c r="G2371" s="9">
        <v>45025</v>
      </c>
      <c r="H2371" s="7"/>
      <c r="I2371" s="7">
        <v>25002</v>
      </c>
      <c r="J2371" s="7"/>
      <c r="K2371" s="7"/>
      <c r="L2371" s="10">
        <v>5.5741092456127026</v>
      </c>
      <c r="M2371" s="9">
        <v>45030</v>
      </c>
      <c r="N2371" s="10">
        <v>5.5</v>
      </c>
      <c r="O2371" s="9">
        <v>45035</v>
      </c>
      <c r="P2371">
        <v>9</v>
      </c>
      <c r="Q2371" s="11" t="s">
        <v>49</v>
      </c>
      <c r="R2371" s="7"/>
      <c r="S2371" s="7">
        <v>25002</v>
      </c>
      <c r="T2371" s="7"/>
      <c r="U2371" s="7"/>
      <c r="V2371" s="10">
        <v>7.5741092456127026</v>
      </c>
      <c r="W2371" s="9">
        <v>45032</v>
      </c>
      <c r="X2371" s="10">
        <v>7.5</v>
      </c>
      <c r="Y2371" s="9">
        <v>45035</v>
      </c>
      <c r="Z2371">
        <v>9</v>
      </c>
      <c r="AA2371" s="11" t="s">
        <v>49</v>
      </c>
    </row>
    <row r="2372" spans="2:27" ht="16" x14ac:dyDescent="0.2">
      <c r="B2372" t="s">
        <v>35</v>
      </c>
      <c r="C2372">
        <v>40361924</v>
      </c>
      <c r="D2372" t="s">
        <v>389</v>
      </c>
      <c r="E2372">
        <v>1021767</v>
      </c>
      <c r="F2372" t="s">
        <v>288</v>
      </c>
      <c r="G2372" s="9">
        <v>45018</v>
      </c>
      <c r="H2372" s="7"/>
      <c r="I2372" s="7">
        <v>24534</v>
      </c>
      <c r="J2372" s="7"/>
      <c r="K2372" s="7"/>
      <c r="L2372" s="10">
        <v>5.5741092456127026</v>
      </c>
      <c r="M2372" s="9">
        <v>45023</v>
      </c>
      <c r="N2372" s="10">
        <v>5.5</v>
      </c>
      <c r="O2372" s="9">
        <v>45028</v>
      </c>
      <c r="P2372">
        <v>15</v>
      </c>
      <c r="Q2372" s="11" t="s">
        <v>49</v>
      </c>
      <c r="R2372" s="7"/>
      <c r="S2372" s="7">
        <v>24534</v>
      </c>
      <c r="T2372" s="7"/>
      <c r="U2372" s="7"/>
      <c r="V2372" s="10">
        <v>7.5741092456127026</v>
      </c>
      <c r="W2372" s="9">
        <v>45025</v>
      </c>
      <c r="X2372" s="10">
        <v>7.5</v>
      </c>
      <c r="Y2372" s="9">
        <v>45028</v>
      </c>
      <c r="Z2372">
        <v>15</v>
      </c>
      <c r="AA2372" s="11" t="s">
        <v>49</v>
      </c>
    </row>
    <row r="2373" spans="2:27" ht="16" x14ac:dyDescent="0.2">
      <c r="B2373" t="s">
        <v>35</v>
      </c>
      <c r="C2373">
        <v>40361909</v>
      </c>
      <c r="D2373" t="s">
        <v>389</v>
      </c>
      <c r="E2373">
        <v>1012448</v>
      </c>
      <c r="F2373" t="s">
        <v>451</v>
      </c>
      <c r="G2373" s="9">
        <v>45011</v>
      </c>
      <c r="H2373" s="7"/>
      <c r="I2373" s="7">
        <v>24000</v>
      </c>
      <c r="J2373" s="7"/>
      <c r="K2373" s="7"/>
      <c r="L2373" s="10">
        <v>5.5741092456127026</v>
      </c>
      <c r="M2373" s="9">
        <v>45016</v>
      </c>
      <c r="N2373" s="10">
        <v>5.5</v>
      </c>
      <c r="O2373" s="9">
        <v>45021</v>
      </c>
      <c r="P2373">
        <v>21</v>
      </c>
      <c r="Q2373" s="11" t="s">
        <v>49</v>
      </c>
      <c r="R2373" s="7"/>
      <c r="S2373" s="7">
        <v>24000</v>
      </c>
      <c r="T2373" s="7"/>
      <c r="U2373" s="7"/>
      <c r="V2373" s="10">
        <v>7.5741092456127026</v>
      </c>
      <c r="W2373" s="9">
        <v>45018</v>
      </c>
      <c r="X2373" s="10">
        <v>7.5</v>
      </c>
      <c r="Y2373" s="9">
        <v>45021</v>
      </c>
      <c r="Z2373">
        <v>21</v>
      </c>
      <c r="AA2373" s="11" t="s">
        <v>49</v>
      </c>
    </row>
    <row r="2374" spans="2:27" ht="16" x14ac:dyDescent="0.2">
      <c r="B2374" t="s">
        <v>35</v>
      </c>
      <c r="C2374">
        <v>40361908</v>
      </c>
      <c r="D2374" t="s">
        <v>389</v>
      </c>
      <c r="E2374">
        <v>1012448</v>
      </c>
      <c r="F2374" t="s">
        <v>451</v>
      </c>
      <c r="G2374" s="9">
        <v>45014</v>
      </c>
      <c r="H2374" s="7"/>
      <c r="I2374" s="7">
        <v>24000</v>
      </c>
      <c r="J2374" s="7"/>
      <c r="K2374" s="7"/>
      <c r="L2374" s="10">
        <v>5.5741092456127026</v>
      </c>
      <c r="M2374" s="9">
        <v>45019</v>
      </c>
      <c r="N2374" s="10">
        <v>5.5</v>
      </c>
      <c r="O2374" s="9">
        <v>45024</v>
      </c>
      <c r="P2374">
        <v>18</v>
      </c>
      <c r="Q2374" s="11" t="s">
        <v>49</v>
      </c>
      <c r="R2374" s="7"/>
      <c r="S2374" s="7">
        <v>24000</v>
      </c>
      <c r="T2374" s="7"/>
      <c r="U2374" s="7"/>
      <c r="V2374" s="10">
        <v>7.5741092456127026</v>
      </c>
      <c r="W2374" s="9">
        <v>45021</v>
      </c>
      <c r="X2374" s="10">
        <v>7.5</v>
      </c>
      <c r="Y2374" s="9">
        <v>45024</v>
      </c>
      <c r="Z2374">
        <v>18</v>
      </c>
      <c r="AA2374" s="11" t="s">
        <v>49</v>
      </c>
    </row>
    <row r="2375" spans="2:27" ht="16" x14ac:dyDescent="0.2">
      <c r="B2375" t="s">
        <v>35</v>
      </c>
      <c r="C2375">
        <v>40361907</v>
      </c>
      <c r="D2375" t="s">
        <v>389</v>
      </c>
      <c r="E2375">
        <v>1012448</v>
      </c>
      <c r="F2375" t="s">
        <v>451</v>
      </c>
      <c r="G2375" s="9">
        <v>45008</v>
      </c>
      <c r="H2375" s="7"/>
      <c r="I2375" s="7">
        <v>24000</v>
      </c>
      <c r="J2375" s="7"/>
      <c r="K2375" s="7"/>
      <c r="L2375" s="10">
        <v>5.5741092456127026</v>
      </c>
      <c r="M2375" s="9">
        <v>45013</v>
      </c>
      <c r="N2375" s="10">
        <v>5.5</v>
      </c>
      <c r="O2375" s="9">
        <v>45018</v>
      </c>
      <c r="P2375">
        <v>23</v>
      </c>
      <c r="Q2375" s="11" t="s">
        <v>49</v>
      </c>
      <c r="R2375" s="7"/>
      <c r="S2375" s="7">
        <v>24000</v>
      </c>
      <c r="T2375" s="7"/>
      <c r="U2375" s="7"/>
      <c r="V2375" s="10">
        <v>7.5741092456127026</v>
      </c>
      <c r="W2375" s="9">
        <v>45015</v>
      </c>
      <c r="X2375" s="10">
        <v>7.5</v>
      </c>
      <c r="Y2375" s="9">
        <v>45018</v>
      </c>
      <c r="Z2375">
        <v>23</v>
      </c>
      <c r="AA2375" s="11" t="s">
        <v>49</v>
      </c>
    </row>
    <row r="2376" spans="2:27" ht="16" x14ac:dyDescent="0.2">
      <c r="B2376" t="s">
        <v>35</v>
      </c>
      <c r="C2376">
        <v>40361906</v>
      </c>
      <c r="D2376" t="s">
        <v>389</v>
      </c>
      <c r="E2376">
        <v>1012448</v>
      </c>
      <c r="F2376" t="s">
        <v>451</v>
      </c>
      <c r="G2376" s="9">
        <v>44996</v>
      </c>
      <c r="H2376" s="7">
        <v>24000</v>
      </c>
      <c r="I2376" s="7"/>
      <c r="J2376" s="7"/>
      <c r="K2376" s="7"/>
      <c r="L2376" s="10">
        <v>5.5741092456127026</v>
      </c>
      <c r="M2376" s="9">
        <v>45001</v>
      </c>
      <c r="N2376" s="10">
        <v>5.5</v>
      </c>
      <c r="O2376" s="9">
        <v>45006</v>
      </c>
      <c r="P2376">
        <v>9</v>
      </c>
      <c r="Q2376" s="11" t="s">
        <v>49</v>
      </c>
      <c r="R2376" s="7">
        <v>24000</v>
      </c>
      <c r="S2376" s="7"/>
      <c r="T2376" s="7"/>
      <c r="U2376" s="7"/>
      <c r="V2376" s="10">
        <v>7.5741092456127026</v>
      </c>
      <c r="W2376" s="9">
        <v>45003</v>
      </c>
      <c r="X2376" s="10">
        <v>7.5</v>
      </c>
      <c r="Y2376" s="9">
        <v>45006</v>
      </c>
      <c r="Z2376">
        <v>9</v>
      </c>
      <c r="AA2376" s="11" t="s">
        <v>49</v>
      </c>
    </row>
    <row r="2377" spans="2:27" ht="16" x14ac:dyDescent="0.2">
      <c r="B2377" t="s">
        <v>35</v>
      </c>
      <c r="C2377">
        <v>40361900</v>
      </c>
      <c r="D2377" t="s">
        <v>389</v>
      </c>
      <c r="E2377">
        <v>1012681</v>
      </c>
      <c r="F2377" t="s">
        <v>449</v>
      </c>
      <c r="G2377" s="9">
        <v>45008</v>
      </c>
      <c r="H2377" s="7"/>
      <c r="I2377" s="7">
        <v>24000</v>
      </c>
      <c r="J2377" s="7"/>
      <c r="K2377" s="7"/>
      <c r="L2377" s="10">
        <v>5.5741092456127026</v>
      </c>
      <c r="M2377" s="9">
        <v>45013</v>
      </c>
      <c r="N2377" s="10">
        <v>5.5</v>
      </c>
      <c r="O2377" s="9">
        <v>45018</v>
      </c>
      <c r="P2377">
        <v>23</v>
      </c>
      <c r="Q2377" s="11" t="s">
        <v>49</v>
      </c>
      <c r="R2377" s="7"/>
      <c r="S2377" s="7">
        <v>24000</v>
      </c>
      <c r="T2377" s="7"/>
      <c r="U2377" s="7"/>
      <c r="V2377" s="10">
        <v>7.5741092456127026</v>
      </c>
      <c r="W2377" s="9">
        <v>45015</v>
      </c>
      <c r="X2377" s="10">
        <v>7.5</v>
      </c>
      <c r="Y2377" s="9">
        <v>45018</v>
      </c>
      <c r="Z2377">
        <v>23</v>
      </c>
      <c r="AA2377" s="11" t="s">
        <v>49</v>
      </c>
    </row>
    <row r="2378" spans="2:27" ht="16" x14ac:dyDescent="0.2">
      <c r="B2378" t="s">
        <v>35</v>
      </c>
      <c r="C2378">
        <v>40361898</v>
      </c>
      <c r="D2378" t="s">
        <v>389</v>
      </c>
      <c r="E2378">
        <v>1012434</v>
      </c>
      <c r="F2378" t="s">
        <v>239</v>
      </c>
      <c r="G2378" s="9">
        <v>45011</v>
      </c>
      <c r="H2378" s="7"/>
      <c r="I2378" s="7">
        <v>24000</v>
      </c>
      <c r="J2378" s="7"/>
      <c r="K2378" s="7"/>
      <c r="L2378" s="10">
        <v>5.5741092456127026</v>
      </c>
      <c r="M2378" s="9">
        <v>45016</v>
      </c>
      <c r="N2378" s="10">
        <v>5.5</v>
      </c>
      <c r="O2378" s="9">
        <v>45021</v>
      </c>
      <c r="P2378">
        <v>21</v>
      </c>
      <c r="Q2378" s="11" t="s">
        <v>49</v>
      </c>
      <c r="R2378" s="7"/>
      <c r="S2378" s="7">
        <v>24000</v>
      </c>
      <c r="T2378" s="7"/>
      <c r="U2378" s="7"/>
      <c r="V2378" s="10">
        <v>7.5741092456127026</v>
      </c>
      <c r="W2378" s="9">
        <v>45018</v>
      </c>
      <c r="X2378" s="10">
        <v>7.5</v>
      </c>
      <c r="Y2378" s="9">
        <v>45021</v>
      </c>
      <c r="Z2378">
        <v>21</v>
      </c>
      <c r="AA2378" s="11" t="s">
        <v>49</v>
      </c>
    </row>
    <row r="2379" spans="2:27" ht="16" x14ac:dyDescent="0.2">
      <c r="B2379" t="s">
        <v>35</v>
      </c>
      <c r="C2379">
        <v>40361897</v>
      </c>
      <c r="D2379" t="s">
        <v>389</v>
      </c>
      <c r="E2379">
        <v>1012434</v>
      </c>
      <c r="F2379" t="s">
        <v>239</v>
      </c>
      <c r="G2379" s="9">
        <v>45004</v>
      </c>
      <c r="H2379" s="7">
        <v>24000</v>
      </c>
      <c r="I2379" s="7"/>
      <c r="J2379" s="7"/>
      <c r="K2379" s="7"/>
      <c r="L2379" s="10">
        <v>5.5741092456127026</v>
      </c>
      <c r="M2379" s="9">
        <v>45009</v>
      </c>
      <c r="N2379" s="10">
        <v>5.5</v>
      </c>
      <c r="O2379" s="9">
        <v>45014</v>
      </c>
      <c r="P2379">
        <v>2</v>
      </c>
      <c r="Q2379" s="11" t="s">
        <v>598</v>
      </c>
      <c r="R2379" s="7">
        <v>24000</v>
      </c>
      <c r="S2379" s="7"/>
      <c r="T2379" s="7"/>
      <c r="U2379" s="7"/>
      <c r="V2379" s="10">
        <v>7.5741092456127026</v>
      </c>
      <c r="W2379" s="9">
        <v>45011</v>
      </c>
      <c r="X2379" s="10">
        <v>7.5</v>
      </c>
      <c r="Y2379" s="9">
        <v>45014</v>
      </c>
      <c r="Z2379">
        <v>2</v>
      </c>
      <c r="AA2379" s="11" t="s">
        <v>598</v>
      </c>
    </row>
    <row r="2380" spans="2:27" ht="16" x14ac:dyDescent="0.2">
      <c r="B2380" t="s">
        <v>35</v>
      </c>
      <c r="C2380">
        <v>40361895</v>
      </c>
      <c r="D2380" t="s">
        <v>389</v>
      </c>
      <c r="E2380">
        <v>1011969</v>
      </c>
      <c r="F2380" t="s">
        <v>417</v>
      </c>
      <c r="G2380" s="9">
        <v>45001</v>
      </c>
      <c r="H2380" s="7">
        <v>24000</v>
      </c>
      <c r="I2380" s="7"/>
      <c r="J2380" s="7"/>
      <c r="K2380" s="7"/>
      <c r="L2380" s="10">
        <v>5.5741092456127026</v>
      </c>
      <c r="M2380" s="9">
        <v>45006</v>
      </c>
      <c r="N2380" s="10">
        <v>5.5</v>
      </c>
      <c r="O2380" s="9">
        <v>45011</v>
      </c>
      <c r="P2380">
        <v>5</v>
      </c>
      <c r="Q2380" s="11" t="s">
        <v>49</v>
      </c>
      <c r="R2380" s="7">
        <v>24000</v>
      </c>
      <c r="S2380" s="7"/>
      <c r="T2380" s="7"/>
      <c r="U2380" s="7"/>
      <c r="V2380" s="10">
        <v>7.5741092456127026</v>
      </c>
      <c r="W2380" s="9">
        <v>45008</v>
      </c>
      <c r="X2380" s="10">
        <v>7.5</v>
      </c>
      <c r="Y2380" s="9">
        <v>45011</v>
      </c>
      <c r="Z2380">
        <v>5</v>
      </c>
      <c r="AA2380" s="11" t="s">
        <v>49</v>
      </c>
    </row>
    <row r="2381" spans="2:27" ht="16" x14ac:dyDescent="0.2">
      <c r="B2381" t="s">
        <v>35</v>
      </c>
      <c r="C2381">
        <v>40361879</v>
      </c>
      <c r="D2381" t="s">
        <v>389</v>
      </c>
      <c r="E2381">
        <v>1011586</v>
      </c>
      <c r="F2381" t="s">
        <v>420</v>
      </c>
      <c r="G2381" s="9">
        <v>45000</v>
      </c>
      <c r="H2381" s="7">
        <v>19954</v>
      </c>
      <c r="I2381" s="7"/>
      <c r="J2381" s="7"/>
      <c r="K2381" s="7"/>
      <c r="L2381" s="10">
        <v>5.5741092456127026</v>
      </c>
      <c r="M2381" s="9">
        <v>45005</v>
      </c>
      <c r="N2381" s="10">
        <v>5.5</v>
      </c>
      <c r="O2381" s="9">
        <v>45010</v>
      </c>
      <c r="P2381">
        <v>5</v>
      </c>
      <c r="Q2381" s="11" t="s">
        <v>49</v>
      </c>
      <c r="R2381" s="7">
        <v>19954</v>
      </c>
      <c r="S2381" s="7"/>
      <c r="T2381" s="7"/>
      <c r="U2381" s="7"/>
      <c r="V2381" s="10">
        <v>7.5741092456127026</v>
      </c>
      <c r="W2381" s="9">
        <v>45007</v>
      </c>
      <c r="X2381" s="10">
        <v>7.5</v>
      </c>
      <c r="Y2381" s="9">
        <v>45010</v>
      </c>
      <c r="Z2381">
        <v>5</v>
      </c>
      <c r="AA2381" s="11" t="s">
        <v>49</v>
      </c>
    </row>
    <row r="2382" spans="2:27" ht="16" x14ac:dyDescent="0.2">
      <c r="B2382" t="s">
        <v>35</v>
      </c>
      <c r="C2382">
        <v>40361872</v>
      </c>
      <c r="D2382" t="s">
        <v>389</v>
      </c>
      <c r="E2382">
        <v>1011417</v>
      </c>
      <c r="F2382" t="s">
        <v>421</v>
      </c>
      <c r="G2382" s="9">
        <v>45012</v>
      </c>
      <c r="H2382" s="7"/>
      <c r="I2382" s="7">
        <v>19800</v>
      </c>
      <c r="J2382" s="7"/>
      <c r="K2382" s="7"/>
      <c r="L2382" s="10">
        <v>5.5741092456127026</v>
      </c>
      <c r="M2382" s="9">
        <v>45017</v>
      </c>
      <c r="N2382" s="10">
        <v>5.5</v>
      </c>
      <c r="O2382" s="9">
        <v>45022</v>
      </c>
      <c r="P2382">
        <v>20</v>
      </c>
      <c r="Q2382" s="11" t="s">
        <v>49</v>
      </c>
      <c r="R2382" s="7"/>
      <c r="S2382" s="7">
        <v>19800</v>
      </c>
      <c r="T2382" s="7"/>
      <c r="U2382" s="7"/>
      <c r="V2382" s="10">
        <v>7.5741092456127026</v>
      </c>
      <c r="W2382" s="9">
        <v>45019</v>
      </c>
      <c r="X2382" s="10">
        <v>7.5</v>
      </c>
      <c r="Y2382" s="9">
        <v>45022</v>
      </c>
      <c r="Z2382">
        <v>20</v>
      </c>
      <c r="AA2382" s="11" t="s">
        <v>49</v>
      </c>
    </row>
    <row r="2383" spans="2:27" ht="16" x14ac:dyDescent="0.2">
      <c r="B2383" t="s">
        <v>35</v>
      </c>
      <c r="C2383">
        <v>40361868</v>
      </c>
      <c r="D2383" t="s">
        <v>389</v>
      </c>
      <c r="E2383">
        <v>1012455</v>
      </c>
      <c r="F2383" t="s">
        <v>450</v>
      </c>
      <c r="G2383" s="9">
        <v>45018</v>
      </c>
      <c r="H2383" s="7"/>
      <c r="I2383" s="7">
        <v>24000</v>
      </c>
      <c r="J2383" s="7"/>
      <c r="K2383" s="7"/>
      <c r="L2383" s="10">
        <v>5.5741092456127026</v>
      </c>
      <c r="M2383" s="9">
        <v>45023</v>
      </c>
      <c r="N2383" s="10">
        <v>5.5</v>
      </c>
      <c r="O2383" s="9">
        <v>45028</v>
      </c>
      <c r="P2383">
        <v>15</v>
      </c>
      <c r="Q2383" s="11" t="s">
        <v>49</v>
      </c>
      <c r="R2383" s="7"/>
      <c r="S2383" s="7">
        <v>24000</v>
      </c>
      <c r="T2383" s="7"/>
      <c r="U2383" s="7"/>
      <c r="V2383" s="10">
        <v>7.5741092456127026</v>
      </c>
      <c r="W2383" s="9">
        <v>45025</v>
      </c>
      <c r="X2383" s="10">
        <v>7.5</v>
      </c>
      <c r="Y2383" s="9">
        <v>45028</v>
      </c>
      <c r="Z2383">
        <v>15</v>
      </c>
      <c r="AA2383" s="11" t="s">
        <v>49</v>
      </c>
    </row>
    <row r="2384" spans="2:27" ht="16" x14ac:dyDescent="0.2">
      <c r="B2384" t="s">
        <v>35</v>
      </c>
      <c r="C2384">
        <v>40361861</v>
      </c>
      <c r="D2384" t="s">
        <v>389</v>
      </c>
      <c r="E2384">
        <v>1012595</v>
      </c>
      <c r="F2384" t="s">
        <v>248</v>
      </c>
      <c r="G2384" s="9">
        <v>45017</v>
      </c>
      <c r="H2384" s="7"/>
      <c r="I2384" s="7">
        <v>7840</v>
      </c>
      <c r="J2384" s="7"/>
      <c r="K2384" s="7"/>
      <c r="L2384" s="10">
        <v>5.5741092456127026</v>
      </c>
      <c r="M2384" s="9">
        <v>45022</v>
      </c>
      <c r="N2384" s="10">
        <v>5.5</v>
      </c>
      <c r="O2384" s="9">
        <v>45027</v>
      </c>
      <c r="P2384">
        <v>16</v>
      </c>
      <c r="Q2384" s="11" t="s">
        <v>49</v>
      </c>
      <c r="R2384" s="7"/>
      <c r="S2384" s="7">
        <v>7840</v>
      </c>
      <c r="T2384" s="7"/>
      <c r="U2384" s="7"/>
      <c r="V2384" s="10">
        <v>7.5741092456127026</v>
      </c>
      <c r="W2384" s="9">
        <v>45024</v>
      </c>
      <c r="X2384" s="10">
        <v>7.5</v>
      </c>
      <c r="Y2384" s="9">
        <v>45027</v>
      </c>
      <c r="Z2384">
        <v>16</v>
      </c>
      <c r="AA2384" s="11" t="s">
        <v>49</v>
      </c>
    </row>
    <row r="2385" spans="2:27" ht="16" x14ac:dyDescent="0.2">
      <c r="B2385" t="s">
        <v>35</v>
      </c>
      <c r="C2385">
        <v>40361861</v>
      </c>
      <c r="D2385" t="s">
        <v>389</v>
      </c>
      <c r="E2385">
        <v>1012218</v>
      </c>
      <c r="F2385" t="s">
        <v>235</v>
      </c>
      <c r="G2385" s="9">
        <v>45017</v>
      </c>
      <c r="H2385" s="7"/>
      <c r="I2385" s="7">
        <v>6615</v>
      </c>
      <c r="J2385" s="7"/>
      <c r="K2385" s="7"/>
      <c r="L2385" s="10">
        <v>5.5741092456127026</v>
      </c>
      <c r="M2385" s="9">
        <v>45022</v>
      </c>
      <c r="N2385" s="10">
        <v>5.5</v>
      </c>
      <c r="O2385" s="9">
        <v>45027</v>
      </c>
      <c r="P2385">
        <v>16</v>
      </c>
      <c r="Q2385" s="11" t="s">
        <v>49</v>
      </c>
      <c r="R2385" s="7"/>
      <c r="S2385" s="7">
        <v>6615</v>
      </c>
      <c r="T2385" s="7"/>
      <c r="U2385" s="7"/>
      <c r="V2385" s="10">
        <v>7.5741092456127026</v>
      </c>
      <c r="W2385" s="9">
        <v>45024</v>
      </c>
      <c r="X2385" s="10">
        <v>7.5</v>
      </c>
      <c r="Y2385" s="9">
        <v>45027</v>
      </c>
      <c r="Z2385">
        <v>16</v>
      </c>
      <c r="AA2385" s="11" t="s">
        <v>49</v>
      </c>
    </row>
    <row r="2386" spans="2:27" ht="16" x14ac:dyDescent="0.2">
      <c r="B2386" t="s">
        <v>35</v>
      </c>
      <c r="C2386">
        <v>40361861</v>
      </c>
      <c r="D2386" t="s">
        <v>389</v>
      </c>
      <c r="E2386">
        <v>1012005</v>
      </c>
      <c r="F2386" t="s">
        <v>531</v>
      </c>
      <c r="G2386" s="9">
        <v>45017</v>
      </c>
      <c r="H2386" s="7"/>
      <c r="I2386" s="7">
        <v>2880</v>
      </c>
      <c r="J2386" s="7"/>
      <c r="K2386" s="7"/>
      <c r="L2386" s="10">
        <v>5.5741092456127026</v>
      </c>
      <c r="M2386" s="9">
        <v>45022</v>
      </c>
      <c r="N2386" s="10">
        <v>5.5</v>
      </c>
      <c r="O2386" s="9">
        <v>45027</v>
      </c>
      <c r="P2386">
        <v>16</v>
      </c>
      <c r="Q2386" s="11" t="s">
        <v>49</v>
      </c>
      <c r="R2386" s="7"/>
      <c r="S2386" s="7">
        <v>2880</v>
      </c>
      <c r="T2386" s="7"/>
      <c r="U2386" s="7"/>
      <c r="V2386" s="10">
        <v>7.5741092456127026</v>
      </c>
      <c r="W2386" s="9">
        <v>45024</v>
      </c>
      <c r="X2386" s="10">
        <v>7.5</v>
      </c>
      <c r="Y2386" s="9">
        <v>45027</v>
      </c>
      <c r="Z2386">
        <v>16</v>
      </c>
      <c r="AA2386" s="11" t="s">
        <v>49</v>
      </c>
    </row>
    <row r="2387" spans="2:27" ht="16" x14ac:dyDescent="0.2">
      <c r="B2387" t="s">
        <v>35</v>
      </c>
      <c r="C2387">
        <v>40361850</v>
      </c>
      <c r="D2387" t="s">
        <v>386</v>
      </c>
      <c r="E2387">
        <v>1010877</v>
      </c>
      <c r="F2387" t="s">
        <v>387</v>
      </c>
      <c r="G2387" s="9">
        <v>45038</v>
      </c>
      <c r="H2387" s="7"/>
      <c r="I2387" s="7"/>
      <c r="J2387" s="7">
        <v>24000</v>
      </c>
      <c r="K2387" s="7"/>
      <c r="L2387" s="10">
        <v>5.1420118343195256</v>
      </c>
      <c r="M2387" s="9">
        <v>45043</v>
      </c>
      <c r="N2387" s="10">
        <v>7.5</v>
      </c>
      <c r="O2387" s="9">
        <v>45050</v>
      </c>
      <c r="P2387">
        <v>23</v>
      </c>
      <c r="Q2387" s="11" t="s">
        <v>49</v>
      </c>
      <c r="R2387" s="7"/>
      <c r="S2387" s="7"/>
      <c r="T2387" s="7">
        <v>24000</v>
      </c>
      <c r="U2387" s="7"/>
      <c r="V2387" s="10">
        <v>7.1420118343195256</v>
      </c>
      <c r="W2387" s="9">
        <v>45045</v>
      </c>
      <c r="X2387" s="10">
        <v>9.5</v>
      </c>
      <c r="Y2387" s="9">
        <v>45050</v>
      </c>
      <c r="Z2387">
        <v>23</v>
      </c>
      <c r="AA2387" s="11" t="s">
        <v>49</v>
      </c>
    </row>
    <row r="2388" spans="2:27" ht="16" x14ac:dyDescent="0.2">
      <c r="B2388" t="s">
        <v>35</v>
      </c>
      <c r="C2388">
        <v>40361830</v>
      </c>
      <c r="D2388" t="s">
        <v>423</v>
      </c>
      <c r="E2388">
        <v>1021874</v>
      </c>
      <c r="F2388" t="s">
        <v>514</v>
      </c>
      <c r="G2388" s="9">
        <v>44991</v>
      </c>
      <c r="H2388" s="7">
        <v>23930.87</v>
      </c>
      <c r="I2388" s="7"/>
      <c r="J2388" s="7"/>
      <c r="K2388" s="7"/>
      <c r="L2388" s="10">
        <v>5.4496124031007751</v>
      </c>
      <c r="M2388" s="9">
        <v>44996</v>
      </c>
      <c r="N2388" s="10">
        <v>10</v>
      </c>
      <c r="O2388" s="9">
        <v>45006</v>
      </c>
      <c r="P2388">
        <v>9</v>
      </c>
      <c r="Q2388" s="11" t="s">
        <v>49</v>
      </c>
      <c r="R2388" s="7">
        <v>23930.87</v>
      </c>
      <c r="S2388" s="7"/>
      <c r="T2388" s="7"/>
      <c r="U2388" s="7"/>
      <c r="V2388" s="10">
        <v>7.4496124031007751</v>
      </c>
      <c r="W2388" s="9">
        <v>44998</v>
      </c>
      <c r="X2388" s="10">
        <v>12</v>
      </c>
      <c r="Y2388" s="9">
        <v>45006</v>
      </c>
      <c r="Z2388">
        <v>9</v>
      </c>
      <c r="AA2388" s="11" t="s">
        <v>49</v>
      </c>
    </row>
    <row r="2389" spans="2:27" ht="16" x14ac:dyDescent="0.2">
      <c r="B2389" t="s">
        <v>35</v>
      </c>
      <c r="C2389">
        <v>40361822</v>
      </c>
      <c r="D2389" t="s">
        <v>423</v>
      </c>
      <c r="E2389">
        <v>1030337</v>
      </c>
      <c r="F2389" t="s">
        <v>369</v>
      </c>
      <c r="G2389" s="9">
        <v>44995</v>
      </c>
      <c r="H2389" s="7">
        <v>24000</v>
      </c>
      <c r="I2389" s="7"/>
      <c r="J2389" s="7"/>
      <c r="K2389" s="7"/>
      <c r="L2389" s="10">
        <v>5.4496124031007751</v>
      </c>
      <c r="M2389" s="9">
        <v>45000</v>
      </c>
      <c r="N2389" s="10">
        <v>10</v>
      </c>
      <c r="O2389" s="9">
        <v>45010</v>
      </c>
      <c r="P2389">
        <v>5</v>
      </c>
      <c r="Q2389" s="11" t="s">
        <v>49</v>
      </c>
      <c r="R2389" s="7">
        <v>24000</v>
      </c>
      <c r="S2389" s="7"/>
      <c r="T2389" s="7"/>
      <c r="U2389" s="7"/>
      <c r="V2389" s="10">
        <v>7.4496124031007751</v>
      </c>
      <c r="W2389" s="9">
        <v>45002</v>
      </c>
      <c r="X2389" s="10">
        <v>12</v>
      </c>
      <c r="Y2389" s="9">
        <v>45010</v>
      </c>
      <c r="Z2389">
        <v>5</v>
      </c>
      <c r="AA2389" s="11" t="s">
        <v>49</v>
      </c>
    </row>
    <row r="2390" spans="2:27" ht="16" x14ac:dyDescent="0.2">
      <c r="B2390" t="s">
        <v>35</v>
      </c>
      <c r="C2390">
        <v>40361814</v>
      </c>
      <c r="D2390" t="s">
        <v>423</v>
      </c>
      <c r="E2390">
        <v>1021555</v>
      </c>
      <c r="F2390" t="s">
        <v>422</v>
      </c>
      <c r="G2390" s="9">
        <v>44994</v>
      </c>
      <c r="H2390" s="7">
        <v>24017.99</v>
      </c>
      <c r="I2390" s="7"/>
      <c r="J2390" s="7"/>
      <c r="K2390" s="7"/>
      <c r="L2390" s="10">
        <v>5.4496124031007751</v>
      </c>
      <c r="M2390" s="9">
        <v>44999</v>
      </c>
      <c r="N2390" s="10">
        <v>10</v>
      </c>
      <c r="O2390" s="9">
        <v>45009</v>
      </c>
      <c r="P2390">
        <v>6</v>
      </c>
      <c r="Q2390" s="11" t="s">
        <v>49</v>
      </c>
      <c r="R2390" s="7">
        <v>24017.99</v>
      </c>
      <c r="S2390" s="7"/>
      <c r="T2390" s="7"/>
      <c r="U2390" s="7"/>
      <c r="V2390" s="10">
        <v>7.4496124031007751</v>
      </c>
      <c r="W2390" s="9">
        <v>45001</v>
      </c>
      <c r="X2390" s="10">
        <v>12</v>
      </c>
      <c r="Y2390" s="9">
        <v>45009</v>
      </c>
      <c r="Z2390">
        <v>6</v>
      </c>
      <c r="AA2390" s="11" t="s">
        <v>49</v>
      </c>
    </row>
    <row r="2391" spans="2:27" ht="16" x14ac:dyDescent="0.2">
      <c r="B2391" t="s">
        <v>35</v>
      </c>
      <c r="C2391">
        <v>40361811</v>
      </c>
      <c r="D2391" t="s">
        <v>423</v>
      </c>
      <c r="E2391">
        <v>1021272</v>
      </c>
      <c r="F2391" t="s">
        <v>263</v>
      </c>
      <c r="G2391" s="9">
        <v>44991</v>
      </c>
      <c r="H2391" s="7">
        <v>23516.240000000002</v>
      </c>
      <c r="I2391" s="7"/>
      <c r="J2391" s="7"/>
      <c r="K2391" s="7"/>
      <c r="L2391" s="10">
        <v>5.4496124031007751</v>
      </c>
      <c r="M2391" s="9">
        <v>44996</v>
      </c>
      <c r="N2391" s="10">
        <v>10</v>
      </c>
      <c r="O2391" s="9">
        <v>45006</v>
      </c>
      <c r="P2391">
        <v>9</v>
      </c>
      <c r="Q2391" s="11" t="s">
        <v>49</v>
      </c>
      <c r="R2391" s="7">
        <v>23516.240000000002</v>
      </c>
      <c r="S2391" s="7"/>
      <c r="T2391" s="7"/>
      <c r="U2391" s="7"/>
      <c r="V2391" s="10">
        <v>7.4496124031007751</v>
      </c>
      <c r="W2391" s="9">
        <v>44998</v>
      </c>
      <c r="X2391" s="10">
        <v>12</v>
      </c>
      <c r="Y2391" s="9">
        <v>45006</v>
      </c>
      <c r="Z2391">
        <v>9</v>
      </c>
      <c r="AA2391" s="11" t="s">
        <v>49</v>
      </c>
    </row>
    <row r="2392" spans="2:27" ht="16" x14ac:dyDescent="0.2">
      <c r="B2392" t="s">
        <v>35</v>
      </c>
      <c r="C2392">
        <v>40361810</v>
      </c>
      <c r="D2392" t="s">
        <v>423</v>
      </c>
      <c r="E2392">
        <v>1021272</v>
      </c>
      <c r="F2392" t="s">
        <v>263</v>
      </c>
      <c r="G2392" s="9">
        <v>44984</v>
      </c>
      <c r="H2392" s="7">
        <v>24012.76</v>
      </c>
      <c r="I2392" s="7"/>
      <c r="J2392" s="7"/>
      <c r="K2392" s="7"/>
      <c r="L2392" s="10">
        <v>5.4496124031007751</v>
      </c>
      <c r="M2392" s="9">
        <v>44989</v>
      </c>
      <c r="N2392" s="10">
        <v>10</v>
      </c>
      <c r="O2392" s="9">
        <v>44999</v>
      </c>
      <c r="P2392">
        <v>13</v>
      </c>
      <c r="Q2392" s="11" t="s">
        <v>49</v>
      </c>
      <c r="R2392" s="7">
        <v>24012.76</v>
      </c>
      <c r="S2392" s="7"/>
      <c r="T2392" s="7"/>
      <c r="U2392" s="7"/>
      <c r="V2392" s="10">
        <v>7.4496124031007751</v>
      </c>
      <c r="W2392" s="9">
        <v>44991</v>
      </c>
      <c r="X2392" s="10">
        <v>12</v>
      </c>
      <c r="Y2392" s="9">
        <v>44999</v>
      </c>
      <c r="Z2392">
        <v>13</v>
      </c>
      <c r="AA2392" s="11" t="s">
        <v>49</v>
      </c>
    </row>
    <row r="2393" spans="2:27" ht="16" x14ac:dyDescent="0.2">
      <c r="B2393" t="s">
        <v>35</v>
      </c>
      <c r="C2393">
        <v>40361795</v>
      </c>
      <c r="D2393" t="s">
        <v>423</v>
      </c>
      <c r="E2393">
        <v>1023302</v>
      </c>
      <c r="F2393" t="s">
        <v>268</v>
      </c>
      <c r="G2393" s="9">
        <v>44991</v>
      </c>
      <c r="H2393" s="7">
        <v>11980</v>
      </c>
      <c r="I2393" s="7"/>
      <c r="J2393" s="7"/>
      <c r="K2393" s="7"/>
      <c r="L2393" s="10">
        <v>5.4496124031007751</v>
      </c>
      <c r="M2393" s="9">
        <v>44996</v>
      </c>
      <c r="N2393" s="10">
        <v>10</v>
      </c>
      <c r="O2393" s="9">
        <v>45006</v>
      </c>
      <c r="P2393">
        <v>9</v>
      </c>
      <c r="Q2393" s="11" t="s">
        <v>49</v>
      </c>
      <c r="R2393" s="7">
        <v>11980</v>
      </c>
      <c r="S2393" s="7"/>
      <c r="T2393" s="7"/>
      <c r="U2393" s="7"/>
      <c r="V2393" s="10">
        <v>7.4496124031007751</v>
      </c>
      <c r="W2393" s="9">
        <v>44998</v>
      </c>
      <c r="X2393" s="10">
        <v>12</v>
      </c>
      <c r="Y2393" s="9">
        <v>45006</v>
      </c>
      <c r="Z2393">
        <v>9</v>
      </c>
      <c r="AA2393" s="11" t="s">
        <v>49</v>
      </c>
    </row>
    <row r="2394" spans="2:27" ht="16" x14ac:dyDescent="0.2">
      <c r="B2394" t="s">
        <v>35</v>
      </c>
      <c r="C2394">
        <v>40361795</v>
      </c>
      <c r="D2394" t="s">
        <v>423</v>
      </c>
      <c r="E2394">
        <v>1023302</v>
      </c>
      <c r="F2394" t="s">
        <v>268</v>
      </c>
      <c r="G2394" s="9">
        <v>44991</v>
      </c>
      <c r="H2394" s="7">
        <v>24380</v>
      </c>
      <c r="I2394" s="7"/>
      <c r="J2394" s="7"/>
      <c r="K2394" s="7"/>
      <c r="L2394" s="10">
        <v>5.4496124031007751</v>
      </c>
      <c r="M2394" s="9">
        <v>44996</v>
      </c>
      <c r="N2394" s="10">
        <v>10</v>
      </c>
      <c r="O2394" s="9">
        <v>45006</v>
      </c>
      <c r="P2394">
        <v>9</v>
      </c>
      <c r="Q2394" s="11" t="s">
        <v>49</v>
      </c>
      <c r="R2394" s="7">
        <v>24380</v>
      </c>
      <c r="S2394" s="7"/>
      <c r="T2394" s="7"/>
      <c r="U2394" s="7"/>
      <c r="V2394" s="10">
        <v>7.4496124031007751</v>
      </c>
      <c r="W2394" s="9">
        <v>44998</v>
      </c>
      <c r="X2394" s="10">
        <v>12</v>
      </c>
      <c r="Y2394" s="9">
        <v>45006</v>
      </c>
      <c r="Z2394">
        <v>9</v>
      </c>
      <c r="AA2394" s="11" t="s">
        <v>49</v>
      </c>
    </row>
    <row r="2395" spans="2:27" ht="16" x14ac:dyDescent="0.2">
      <c r="B2395" t="s">
        <v>35</v>
      </c>
      <c r="C2395">
        <v>40361792</v>
      </c>
      <c r="D2395" t="s">
        <v>423</v>
      </c>
      <c r="E2395">
        <v>1021272</v>
      </c>
      <c r="F2395" t="s">
        <v>263</v>
      </c>
      <c r="G2395" s="9">
        <v>44988</v>
      </c>
      <c r="H2395" s="7">
        <v>24006.83</v>
      </c>
      <c r="I2395" s="7"/>
      <c r="J2395" s="7"/>
      <c r="K2395" s="7"/>
      <c r="L2395" s="10">
        <v>5.4496124031007751</v>
      </c>
      <c r="M2395" s="9">
        <v>44993</v>
      </c>
      <c r="N2395" s="10">
        <v>10</v>
      </c>
      <c r="O2395" s="9">
        <v>45003</v>
      </c>
      <c r="P2395">
        <v>9</v>
      </c>
      <c r="Q2395" s="11" t="s">
        <v>49</v>
      </c>
      <c r="R2395" s="7">
        <v>24006.83</v>
      </c>
      <c r="S2395" s="7"/>
      <c r="T2395" s="7"/>
      <c r="U2395" s="7"/>
      <c r="V2395" s="10">
        <v>7.4496124031007751</v>
      </c>
      <c r="W2395" s="9">
        <v>44995</v>
      </c>
      <c r="X2395" s="10">
        <v>12</v>
      </c>
      <c r="Y2395" s="9">
        <v>45003</v>
      </c>
      <c r="Z2395">
        <v>9</v>
      </c>
      <c r="AA2395" s="11" t="s">
        <v>49</v>
      </c>
    </row>
    <row r="2396" spans="2:27" ht="16" x14ac:dyDescent="0.2">
      <c r="B2396" t="s">
        <v>35</v>
      </c>
      <c r="C2396">
        <v>40361788</v>
      </c>
      <c r="D2396" t="s">
        <v>423</v>
      </c>
      <c r="E2396">
        <v>1021270</v>
      </c>
      <c r="F2396" t="s">
        <v>424</v>
      </c>
      <c r="G2396" s="9">
        <v>45007</v>
      </c>
      <c r="H2396" s="7"/>
      <c r="I2396" s="7">
        <v>24017.59</v>
      </c>
      <c r="J2396" s="7"/>
      <c r="K2396" s="7"/>
      <c r="L2396" s="10">
        <v>5.4496124031007751</v>
      </c>
      <c r="M2396" s="9">
        <v>45012</v>
      </c>
      <c r="N2396" s="10">
        <v>10</v>
      </c>
      <c r="O2396" s="9">
        <v>45022</v>
      </c>
      <c r="P2396">
        <v>20</v>
      </c>
      <c r="Q2396" s="11" t="s">
        <v>49</v>
      </c>
      <c r="R2396" s="7"/>
      <c r="S2396" s="7">
        <v>24017.59</v>
      </c>
      <c r="T2396" s="7"/>
      <c r="U2396" s="7"/>
      <c r="V2396" s="10">
        <v>7.4496124031007751</v>
      </c>
      <c r="W2396" s="9">
        <v>45014</v>
      </c>
      <c r="X2396" s="10">
        <v>12</v>
      </c>
      <c r="Y2396" s="9">
        <v>45022</v>
      </c>
      <c r="Z2396">
        <v>20</v>
      </c>
      <c r="AA2396" s="11" t="s">
        <v>49</v>
      </c>
    </row>
    <row r="2397" spans="2:27" ht="16" x14ac:dyDescent="0.2">
      <c r="B2397" t="s">
        <v>35</v>
      </c>
      <c r="C2397">
        <v>40361786</v>
      </c>
      <c r="D2397" t="s">
        <v>423</v>
      </c>
      <c r="E2397">
        <v>1021270</v>
      </c>
      <c r="F2397" t="s">
        <v>424</v>
      </c>
      <c r="G2397" s="9">
        <v>44994</v>
      </c>
      <c r="H2397" s="7">
        <v>24001.77</v>
      </c>
      <c r="I2397" s="7"/>
      <c r="J2397" s="7"/>
      <c r="K2397" s="7"/>
      <c r="L2397" s="10">
        <v>5.4496124031007751</v>
      </c>
      <c r="M2397" s="9">
        <v>44999</v>
      </c>
      <c r="N2397" s="10">
        <v>10</v>
      </c>
      <c r="O2397" s="9">
        <v>45009</v>
      </c>
      <c r="P2397">
        <v>6</v>
      </c>
      <c r="Q2397" s="11" t="s">
        <v>49</v>
      </c>
      <c r="R2397" s="7">
        <v>24001.77</v>
      </c>
      <c r="S2397" s="7"/>
      <c r="T2397" s="7"/>
      <c r="U2397" s="7"/>
      <c r="V2397" s="10">
        <v>7.4496124031007751</v>
      </c>
      <c r="W2397" s="9">
        <v>45001</v>
      </c>
      <c r="X2397" s="10">
        <v>12</v>
      </c>
      <c r="Y2397" s="9">
        <v>45009</v>
      </c>
      <c r="Z2397">
        <v>6</v>
      </c>
      <c r="AA2397" s="11" t="s">
        <v>49</v>
      </c>
    </row>
    <row r="2398" spans="2:27" ht="16" x14ac:dyDescent="0.2">
      <c r="B2398" t="s">
        <v>35</v>
      </c>
      <c r="C2398">
        <v>40361785</v>
      </c>
      <c r="D2398" t="s">
        <v>423</v>
      </c>
      <c r="E2398">
        <v>1021270</v>
      </c>
      <c r="F2398" t="s">
        <v>424</v>
      </c>
      <c r="G2398" s="9">
        <v>45001</v>
      </c>
      <c r="H2398" s="7">
        <v>24005.68</v>
      </c>
      <c r="I2398" s="7"/>
      <c r="J2398" s="7"/>
      <c r="K2398" s="7"/>
      <c r="L2398" s="10">
        <v>5.4496124031007751</v>
      </c>
      <c r="M2398" s="9">
        <v>45006</v>
      </c>
      <c r="N2398" s="10">
        <v>10</v>
      </c>
      <c r="O2398" s="9">
        <v>45016</v>
      </c>
      <c r="P2398">
        <v>0</v>
      </c>
      <c r="Q2398" s="11" t="s">
        <v>598</v>
      </c>
      <c r="R2398" s="7">
        <v>24005.68</v>
      </c>
      <c r="S2398" s="7"/>
      <c r="T2398" s="7"/>
      <c r="U2398" s="7"/>
      <c r="V2398" s="10">
        <v>7.4496124031007751</v>
      </c>
      <c r="W2398" s="9">
        <v>45008</v>
      </c>
      <c r="X2398" s="10">
        <v>12</v>
      </c>
      <c r="Y2398" s="9">
        <v>45016</v>
      </c>
      <c r="Z2398">
        <v>0</v>
      </c>
      <c r="AA2398" s="11" t="s">
        <v>598</v>
      </c>
    </row>
    <row r="2399" spans="2:27" ht="16" x14ac:dyDescent="0.2">
      <c r="B2399" t="s">
        <v>35</v>
      </c>
      <c r="C2399">
        <v>40361784</v>
      </c>
      <c r="D2399" t="s">
        <v>423</v>
      </c>
      <c r="E2399">
        <v>1021874</v>
      </c>
      <c r="F2399" t="s">
        <v>514</v>
      </c>
      <c r="G2399" s="9">
        <v>44997</v>
      </c>
      <c r="H2399" s="7">
        <v>15591.03</v>
      </c>
      <c r="I2399" s="7"/>
      <c r="J2399" s="7"/>
      <c r="K2399" s="7"/>
      <c r="L2399" s="10">
        <v>5.4496124031007751</v>
      </c>
      <c r="M2399" s="9">
        <v>45002</v>
      </c>
      <c r="N2399" s="10">
        <v>10</v>
      </c>
      <c r="O2399" s="9">
        <v>45012</v>
      </c>
      <c r="P2399">
        <v>4</v>
      </c>
      <c r="Q2399" s="11" t="s">
        <v>49</v>
      </c>
      <c r="R2399" s="7">
        <v>15591.03</v>
      </c>
      <c r="S2399" s="7"/>
      <c r="T2399" s="7"/>
      <c r="U2399" s="7"/>
      <c r="V2399" s="10">
        <v>7.4496124031007751</v>
      </c>
      <c r="W2399" s="9">
        <v>45004</v>
      </c>
      <c r="X2399" s="10">
        <v>12</v>
      </c>
      <c r="Y2399" s="9">
        <v>45012</v>
      </c>
      <c r="Z2399">
        <v>4</v>
      </c>
      <c r="AA2399" s="11" t="s">
        <v>49</v>
      </c>
    </row>
    <row r="2400" spans="2:27" ht="16" x14ac:dyDescent="0.2">
      <c r="B2400" t="s">
        <v>35</v>
      </c>
      <c r="C2400">
        <v>40361784</v>
      </c>
      <c r="D2400" t="s">
        <v>423</v>
      </c>
      <c r="E2400">
        <v>1021874</v>
      </c>
      <c r="F2400" t="s">
        <v>514</v>
      </c>
      <c r="G2400" s="9">
        <v>44997</v>
      </c>
      <c r="H2400" s="7">
        <v>24018.74</v>
      </c>
      <c r="I2400" s="7"/>
      <c r="J2400" s="7"/>
      <c r="K2400" s="7"/>
      <c r="L2400" s="10">
        <v>5.4496124031007751</v>
      </c>
      <c r="M2400" s="9">
        <v>45002</v>
      </c>
      <c r="N2400" s="10">
        <v>10</v>
      </c>
      <c r="O2400" s="9">
        <v>45012</v>
      </c>
      <c r="P2400">
        <v>4</v>
      </c>
      <c r="Q2400" s="11" t="s">
        <v>49</v>
      </c>
      <c r="R2400" s="7">
        <v>24018.74</v>
      </c>
      <c r="S2400" s="7"/>
      <c r="T2400" s="7"/>
      <c r="U2400" s="7"/>
      <c r="V2400" s="10">
        <v>7.4496124031007751</v>
      </c>
      <c r="W2400" s="9">
        <v>45004</v>
      </c>
      <c r="X2400" s="10">
        <v>12</v>
      </c>
      <c r="Y2400" s="9">
        <v>45012</v>
      </c>
      <c r="Z2400">
        <v>4</v>
      </c>
      <c r="AA2400" s="11" t="s">
        <v>49</v>
      </c>
    </row>
    <row r="2401" spans="2:27" ht="16" x14ac:dyDescent="0.2">
      <c r="B2401" t="s">
        <v>35</v>
      </c>
      <c r="C2401">
        <v>40361780</v>
      </c>
      <c r="D2401" t="s">
        <v>423</v>
      </c>
      <c r="E2401">
        <v>1023302</v>
      </c>
      <c r="F2401" t="s">
        <v>268</v>
      </c>
      <c r="G2401" s="9">
        <v>44984</v>
      </c>
      <c r="H2401" s="7">
        <v>10000</v>
      </c>
      <c r="I2401" s="7"/>
      <c r="J2401" s="7"/>
      <c r="K2401" s="7"/>
      <c r="L2401" s="10">
        <v>5.4496124031007751</v>
      </c>
      <c r="M2401" s="9">
        <v>44989</v>
      </c>
      <c r="N2401" s="10">
        <v>10</v>
      </c>
      <c r="O2401" s="9">
        <v>44999</v>
      </c>
      <c r="P2401">
        <v>13</v>
      </c>
      <c r="Q2401" s="11" t="s">
        <v>49</v>
      </c>
      <c r="R2401" s="7">
        <v>10000</v>
      </c>
      <c r="S2401" s="7"/>
      <c r="T2401" s="7"/>
      <c r="U2401" s="7"/>
      <c r="V2401" s="10">
        <v>7.4496124031007751</v>
      </c>
      <c r="W2401" s="9">
        <v>44991</v>
      </c>
      <c r="X2401" s="10">
        <v>12</v>
      </c>
      <c r="Y2401" s="9">
        <v>44999</v>
      </c>
      <c r="Z2401">
        <v>13</v>
      </c>
      <c r="AA2401" s="11" t="s">
        <v>49</v>
      </c>
    </row>
    <row r="2402" spans="2:27" ht="16" x14ac:dyDescent="0.2">
      <c r="B2402" t="s">
        <v>35</v>
      </c>
      <c r="C2402">
        <v>40361780</v>
      </c>
      <c r="D2402" t="s">
        <v>423</v>
      </c>
      <c r="E2402">
        <v>1023302</v>
      </c>
      <c r="F2402" t="s">
        <v>268</v>
      </c>
      <c r="G2402" s="9">
        <v>44984</v>
      </c>
      <c r="H2402" s="7">
        <v>24000</v>
      </c>
      <c r="I2402" s="7"/>
      <c r="J2402" s="7"/>
      <c r="K2402" s="7"/>
      <c r="L2402" s="10">
        <v>5.4496124031007751</v>
      </c>
      <c r="M2402" s="9">
        <v>44989</v>
      </c>
      <c r="N2402" s="10">
        <v>10</v>
      </c>
      <c r="O2402" s="9">
        <v>44999</v>
      </c>
      <c r="P2402">
        <v>13</v>
      </c>
      <c r="Q2402" s="11" t="s">
        <v>49</v>
      </c>
      <c r="R2402" s="7">
        <v>24000</v>
      </c>
      <c r="S2402" s="7"/>
      <c r="T2402" s="7"/>
      <c r="U2402" s="7"/>
      <c r="V2402" s="10">
        <v>7.4496124031007751</v>
      </c>
      <c r="W2402" s="9">
        <v>44991</v>
      </c>
      <c r="X2402" s="10">
        <v>12</v>
      </c>
      <c r="Y2402" s="9">
        <v>44999</v>
      </c>
      <c r="Z2402">
        <v>13</v>
      </c>
      <c r="AA2402" s="11" t="s">
        <v>49</v>
      </c>
    </row>
    <row r="2403" spans="2:27" ht="16" x14ac:dyDescent="0.2">
      <c r="B2403" t="s">
        <v>35</v>
      </c>
      <c r="C2403">
        <v>40361771</v>
      </c>
      <c r="D2403" t="s">
        <v>423</v>
      </c>
      <c r="E2403">
        <v>1021270</v>
      </c>
      <c r="F2403" t="s">
        <v>424</v>
      </c>
      <c r="G2403" s="9">
        <v>44994</v>
      </c>
      <c r="H2403" s="7">
        <v>24015.35</v>
      </c>
      <c r="I2403" s="7"/>
      <c r="J2403" s="7"/>
      <c r="K2403" s="7"/>
      <c r="L2403" s="10">
        <v>5.4496124031007751</v>
      </c>
      <c r="M2403" s="9">
        <v>44999</v>
      </c>
      <c r="N2403" s="10">
        <v>10</v>
      </c>
      <c r="O2403" s="9">
        <v>45009</v>
      </c>
      <c r="P2403">
        <v>6</v>
      </c>
      <c r="Q2403" s="11" t="s">
        <v>49</v>
      </c>
      <c r="R2403" s="7">
        <v>24015.35</v>
      </c>
      <c r="S2403" s="7"/>
      <c r="T2403" s="7"/>
      <c r="U2403" s="7"/>
      <c r="V2403" s="10">
        <v>7.4496124031007751</v>
      </c>
      <c r="W2403" s="9">
        <v>45001</v>
      </c>
      <c r="X2403" s="10">
        <v>12</v>
      </c>
      <c r="Y2403" s="9">
        <v>45009</v>
      </c>
      <c r="Z2403">
        <v>6</v>
      </c>
      <c r="AA2403" s="11" t="s">
        <v>49</v>
      </c>
    </row>
    <row r="2404" spans="2:27" ht="16" x14ac:dyDescent="0.2">
      <c r="B2404" t="s">
        <v>35</v>
      </c>
      <c r="C2404">
        <v>40361766</v>
      </c>
      <c r="D2404" t="s">
        <v>423</v>
      </c>
      <c r="E2404">
        <v>1023450</v>
      </c>
      <c r="F2404" t="s">
        <v>532</v>
      </c>
      <c r="G2404" s="9">
        <v>44988</v>
      </c>
      <c r="H2404" s="7">
        <v>6194.45</v>
      </c>
      <c r="I2404" s="7"/>
      <c r="J2404" s="7"/>
      <c r="K2404" s="7"/>
      <c r="L2404" s="10">
        <v>5.4496124031007751</v>
      </c>
      <c r="M2404" s="9">
        <v>44993</v>
      </c>
      <c r="N2404" s="10">
        <v>10</v>
      </c>
      <c r="O2404" s="9">
        <v>45003</v>
      </c>
      <c r="P2404">
        <v>9</v>
      </c>
      <c r="Q2404" s="11" t="s">
        <v>49</v>
      </c>
      <c r="R2404" s="7">
        <v>6194.45</v>
      </c>
      <c r="S2404" s="7"/>
      <c r="T2404" s="7"/>
      <c r="U2404" s="7"/>
      <c r="V2404" s="10">
        <v>7.4496124031007751</v>
      </c>
      <c r="W2404" s="9">
        <v>44995</v>
      </c>
      <c r="X2404" s="10">
        <v>12</v>
      </c>
      <c r="Y2404" s="9">
        <v>45003</v>
      </c>
      <c r="Z2404">
        <v>9</v>
      </c>
      <c r="AA2404" s="11" t="s">
        <v>49</v>
      </c>
    </row>
    <row r="2405" spans="2:27" ht="16" x14ac:dyDescent="0.2">
      <c r="B2405" t="s">
        <v>35</v>
      </c>
      <c r="C2405">
        <v>40361766</v>
      </c>
      <c r="D2405" t="s">
        <v>423</v>
      </c>
      <c r="E2405">
        <v>1023450</v>
      </c>
      <c r="F2405" t="s">
        <v>532</v>
      </c>
      <c r="G2405" s="9">
        <v>44988</v>
      </c>
      <c r="H2405" s="7">
        <v>24002.63</v>
      </c>
      <c r="I2405" s="7"/>
      <c r="J2405" s="7"/>
      <c r="K2405" s="7"/>
      <c r="L2405" s="10">
        <v>5.4496124031007751</v>
      </c>
      <c r="M2405" s="9">
        <v>44993</v>
      </c>
      <c r="N2405" s="10">
        <v>10</v>
      </c>
      <c r="O2405" s="9">
        <v>45003</v>
      </c>
      <c r="P2405">
        <v>9</v>
      </c>
      <c r="Q2405" s="11" t="s">
        <v>49</v>
      </c>
      <c r="R2405" s="7">
        <v>24002.63</v>
      </c>
      <c r="S2405" s="7"/>
      <c r="T2405" s="7"/>
      <c r="U2405" s="7"/>
      <c r="V2405" s="10">
        <v>7.4496124031007751</v>
      </c>
      <c r="W2405" s="9">
        <v>44995</v>
      </c>
      <c r="X2405" s="10">
        <v>12</v>
      </c>
      <c r="Y2405" s="9">
        <v>45003</v>
      </c>
      <c r="Z2405">
        <v>9</v>
      </c>
      <c r="AA2405" s="11" t="s">
        <v>49</v>
      </c>
    </row>
    <row r="2406" spans="2:27" ht="16" x14ac:dyDescent="0.2">
      <c r="B2406" t="s">
        <v>35</v>
      </c>
      <c r="C2406">
        <v>40361754</v>
      </c>
      <c r="D2406" t="s">
        <v>423</v>
      </c>
      <c r="E2406">
        <v>1011614</v>
      </c>
      <c r="F2406" t="s">
        <v>487</v>
      </c>
      <c r="G2406" s="9">
        <v>44984</v>
      </c>
      <c r="H2406" s="7">
        <v>19954</v>
      </c>
      <c r="I2406" s="7"/>
      <c r="J2406" s="7"/>
      <c r="K2406" s="7"/>
      <c r="L2406" s="10">
        <v>5.4496124031007751</v>
      </c>
      <c r="M2406" s="9">
        <v>44989</v>
      </c>
      <c r="N2406" s="10">
        <v>10</v>
      </c>
      <c r="O2406" s="9">
        <v>44999</v>
      </c>
      <c r="P2406">
        <v>13</v>
      </c>
      <c r="Q2406" s="11" t="s">
        <v>49</v>
      </c>
      <c r="R2406" s="7">
        <v>19954</v>
      </c>
      <c r="S2406" s="7"/>
      <c r="T2406" s="7"/>
      <c r="U2406" s="7"/>
      <c r="V2406" s="10">
        <v>7.4496124031007751</v>
      </c>
      <c r="W2406" s="9">
        <v>44991</v>
      </c>
      <c r="X2406" s="10">
        <v>12</v>
      </c>
      <c r="Y2406" s="9">
        <v>44999</v>
      </c>
      <c r="Z2406">
        <v>13</v>
      </c>
      <c r="AA2406" s="11" t="s">
        <v>49</v>
      </c>
    </row>
    <row r="2407" spans="2:27" ht="16" x14ac:dyDescent="0.2">
      <c r="B2407" t="s">
        <v>35</v>
      </c>
      <c r="C2407">
        <v>40361752</v>
      </c>
      <c r="D2407" t="s">
        <v>423</v>
      </c>
      <c r="E2407">
        <v>1011611</v>
      </c>
      <c r="F2407" t="s">
        <v>533</v>
      </c>
      <c r="G2407" s="9">
        <v>44984</v>
      </c>
      <c r="H2407" s="7">
        <v>19954</v>
      </c>
      <c r="I2407" s="7"/>
      <c r="J2407" s="7"/>
      <c r="K2407" s="7"/>
      <c r="L2407" s="10">
        <v>5.4496124031007751</v>
      </c>
      <c r="M2407" s="9">
        <v>44989</v>
      </c>
      <c r="N2407" s="10">
        <v>10</v>
      </c>
      <c r="O2407" s="9">
        <v>44999</v>
      </c>
      <c r="P2407">
        <v>13</v>
      </c>
      <c r="Q2407" s="11" t="s">
        <v>49</v>
      </c>
      <c r="R2407" s="7">
        <v>19954</v>
      </c>
      <c r="S2407" s="7"/>
      <c r="T2407" s="7"/>
      <c r="U2407" s="7"/>
      <c r="V2407" s="10">
        <v>7.4496124031007751</v>
      </c>
      <c r="W2407" s="9">
        <v>44991</v>
      </c>
      <c r="X2407" s="10">
        <v>12</v>
      </c>
      <c r="Y2407" s="9">
        <v>44999</v>
      </c>
      <c r="Z2407">
        <v>13</v>
      </c>
      <c r="AA2407" s="11" t="s">
        <v>49</v>
      </c>
    </row>
    <row r="2408" spans="2:27" ht="16" x14ac:dyDescent="0.2">
      <c r="B2408" t="s">
        <v>35</v>
      </c>
      <c r="C2408">
        <v>40361697</v>
      </c>
      <c r="D2408" t="s">
        <v>423</v>
      </c>
      <c r="E2408">
        <v>1011047</v>
      </c>
      <c r="F2408" t="s">
        <v>534</v>
      </c>
      <c r="G2408" s="9">
        <v>44997</v>
      </c>
      <c r="H2408" s="7">
        <v>21600</v>
      </c>
      <c r="I2408" s="7"/>
      <c r="J2408" s="7"/>
      <c r="K2408" s="7"/>
      <c r="L2408" s="10">
        <v>5.4496124031007751</v>
      </c>
      <c r="M2408" s="9">
        <v>45002</v>
      </c>
      <c r="N2408" s="10">
        <v>10</v>
      </c>
      <c r="O2408" s="9">
        <v>45012</v>
      </c>
      <c r="P2408">
        <v>4</v>
      </c>
      <c r="Q2408" s="11" t="s">
        <v>49</v>
      </c>
      <c r="R2408" s="7">
        <v>21600</v>
      </c>
      <c r="S2408" s="7"/>
      <c r="T2408" s="7"/>
      <c r="U2408" s="7"/>
      <c r="V2408" s="10">
        <v>7.4496124031007751</v>
      </c>
      <c r="W2408" s="9">
        <v>45004</v>
      </c>
      <c r="X2408" s="10">
        <v>12</v>
      </c>
      <c r="Y2408" s="9">
        <v>45012</v>
      </c>
      <c r="Z2408">
        <v>4</v>
      </c>
      <c r="AA2408" s="11" t="s">
        <v>49</v>
      </c>
    </row>
    <row r="2409" spans="2:27" ht="16" x14ac:dyDescent="0.2">
      <c r="B2409" t="s">
        <v>35</v>
      </c>
      <c r="C2409">
        <v>40361696</v>
      </c>
      <c r="D2409" t="s">
        <v>423</v>
      </c>
      <c r="E2409">
        <v>1011047</v>
      </c>
      <c r="F2409" t="s">
        <v>534</v>
      </c>
      <c r="G2409" s="9">
        <v>44997</v>
      </c>
      <c r="H2409" s="7">
        <v>21600</v>
      </c>
      <c r="I2409" s="7"/>
      <c r="J2409" s="7"/>
      <c r="K2409" s="7"/>
      <c r="L2409" s="10">
        <v>5.4496124031007751</v>
      </c>
      <c r="M2409" s="9">
        <v>45002</v>
      </c>
      <c r="N2409" s="10">
        <v>10</v>
      </c>
      <c r="O2409" s="9">
        <v>45012</v>
      </c>
      <c r="P2409">
        <v>4</v>
      </c>
      <c r="Q2409" s="11" t="s">
        <v>49</v>
      </c>
      <c r="R2409" s="7">
        <v>21600</v>
      </c>
      <c r="S2409" s="7"/>
      <c r="T2409" s="7"/>
      <c r="U2409" s="7"/>
      <c r="V2409" s="10">
        <v>7.4496124031007751</v>
      </c>
      <c r="W2409" s="9">
        <v>45004</v>
      </c>
      <c r="X2409" s="10">
        <v>12</v>
      </c>
      <c r="Y2409" s="9">
        <v>45012</v>
      </c>
      <c r="Z2409">
        <v>4</v>
      </c>
      <c r="AA2409" s="11" t="s">
        <v>49</v>
      </c>
    </row>
    <row r="2410" spans="2:27" ht="16" x14ac:dyDescent="0.2">
      <c r="B2410" t="s">
        <v>35</v>
      </c>
      <c r="C2410">
        <v>40361635</v>
      </c>
      <c r="D2410" t="s">
        <v>423</v>
      </c>
      <c r="E2410">
        <v>1011150</v>
      </c>
      <c r="F2410" t="s">
        <v>149</v>
      </c>
      <c r="G2410" s="9">
        <v>44997</v>
      </c>
      <c r="H2410" s="7">
        <v>20007</v>
      </c>
      <c r="I2410" s="7"/>
      <c r="J2410" s="7"/>
      <c r="K2410" s="7"/>
      <c r="L2410" s="10">
        <v>5.4496124031007751</v>
      </c>
      <c r="M2410" s="9">
        <v>45002</v>
      </c>
      <c r="N2410" s="10">
        <v>10</v>
      </c>
      <c r="O2410" s="9">
        <v>45012</v>
      </c>
      <c r="P2410">
        <v>4</v>
      </c>
      <c r="Q2410" s="11" t="s">
        <v>49</v>
      </c>
      <c r="R2410" s="7">
        <v>20007</v>
      </c>
      <c r="S2410" s="7"/>
      <c r="T2410" s="7"/>
      <c r="U2410" s="7"/>
      <c r="V2410" s="10">
        <v>7.4496124031007751</v>
      </c>
      <c r="W2410" s="9">
        <v>45004</v>
      </c>
      <c r="X2410" s="10">
        <v>12</v>
      </c>
      <c r="Y2410" s="9">
        <v>45012</v>
      </c>
      <c r="Z2410">
        <v>4</v>
      </c>
      <c r="AA2410" s="11" t="s">
        <v>49</v>
      </c>
    </row>
    <row r="2411" spans="2:27" ht="16" x14ac:dyDescent="0.2">
      <c r="B2411" t="s">
        <v>35</v>
      </c>
      <c r="C2411">
        <v>40361629</v>
      </c>
      <c r="D2411" t="s">
        <v>423</v>
      </c>
      <c r="E2411">
        <v>1012278</v>
      </c>
      <c r="F2411" t="s">
        <v>230</v>
      </c>
      <c r="G2411" s="9">
        <v>44988</v>
      </c>
      <c r="H2411" s="7">
        <v>20007</v>
      </c>
      <c r="I2411" s="7"/>
      <c r="J2411" s="7"/>
      <c r="K2411" s="7"/>
      <c r="L2411" s="10">
        <v>5.4496124031007751</v>
      </c>
      <c r="M2411" s="9">
        <v>44993</v>
      </c>
      <c r="N2411" s="10">
        <v>10</v>
      </c>
      <c r="O2411" s="9">
        <v>45003</v>
      </c>
      <c r="P2411">
        <v>9</v>
      </c>
      <c r="Q2411" s="11" t="s">
        <v>49</v>
      </c>
      <c r="R2411" s="7">
        <v>20007</v>
      </c>
      <c r="S2411" s="7"/>
      <c r="T2411" s="7"/>
      <c r="U2411" s="7"/>
      <c r="V2411" s="10">
        <v>7.4496124031007751</v>
      </c>
      <c r="W2411" s="9">
        <v>44995</v>
      </c>
      <c r="X2411" s="10">
        <v>12</v>
      </c>
      <c r="Y2411" s="9">
        <v>45003</v>
      </c>
      <c r="Z2411">
        <v>9</v>
      </c>
      <c r="AA2411" s="11" t="s">
        <v>49</v>
      </c>
    </row>
    <row r="2412" spans="2:27" ht="16" x14ac:dyDescent="0.2">
      <c r="B2412" t="s">
        <v>35</v>
      </c>
      <c r="C2412">
        <v>40361624</v>
      </c>
      <c r="D2412" t="s">
        <v>423</v>
      </c>
      <c r="E2412">
        <v>1012278</v>
      </c>
      <c r="F2412" t="s">
        <v>230</v>
      </c>
      <c r="G2412" s="9">
        <v>44984</v>
      </c>
      <c r="H2412" s="7">
        <v>20007</v>
      </c>
      <c r="I2412" s="7"/>
      <c r="J2412" s="7"/>
      <c r="K2412" s="7"/>
      <c r="L2412" s="10">
        <v>5.4496124031007751</v>
      </c>
      <c r="M2412" s="9">
        <v>44989</v>
      </c>
      <c r="N2412" s="10">
        <v>10</v>
      </c>
      <c r="O2412" s="9">
        <v>44999</v>
      </c>
      <c r="P2412">
        <v>13</v>
      </c>
      <c r="Q2412" s="11" t="s">
        <v>49</v>
      </c>
      <c r="R2412" s="7">
        <v>20007</v>
      </c>
      <c r="S2412" s="7"/>
      <c r="T2412" s="7"/>
      <c r="U2412" s="7"/>
      <c r="V2412" s="10">
        <v>7.4496124031007751</v>
      </c>
      <c r="W2412" s="9">
        <v>44991</v>
      </c>
      <c r="X2412" s="10">
        <v>12</v>
      </c>
      <c r="Y2412" s="9">
        <v>44999</v>
      </c>
      <c r="Z2412">
        <v>13</v>
      </c>
      <c r="AA2412" s="11" t="s">
        <v>49</v>
      </c>
    </row>
    <row r="2413" spans="2:27" x14ac:dyDescent="0.2">
      <c r="B2413" t="s">
        <v>394</v>
      </c>
      <c r="C2413">
        <v>40361467</v>
      </c>
      <c r="D2413" t="s">
        <v>485</v>
      </c>
      <c r="E2413">
        <v>1021976</v>
      </c>
      <c r="F2413" t="s">
        <v>512</v>
      </c>
      <c r="G2413" s="9">
        <v>44984</v>
      </c>
      <c r="H2413" s="7"/>
      <c r="I2413" s="7"/>
      <c r="J2413" s="7"/>
      <c r="K2413" s="7"/>
      <c r="L2413" s="10"/>
      <c r="N2413" s="10"/>
      <c r="Q2413" s="11"/>
      <c r="R2413" s="7"/>
      <c r="S2413" s="7"/>
      <c r="T2413" s="7"/>
      <c r="U2413" s="7"/>
      <c r="V2413" s="10"/>
      <c r="X2413" s="10"/>
      <c r="AA2413" s="11"/>
    </row>
    <row r="2414" spans="2:27" ht="16" x14ac:dyDescent="0.2">
      <c r="B2414" t="s">
        <v>35</v>
      </c>
      <c r="C2414">
        <v>40361462</v>
      </c>
      <c r="D2414" t="s">
        <v>386</v>
      </c>
      <c r="E2414">
        <v>1022858</v>
      </c>
      <c r="F2414" t="s">
        <v>428</v>
      </c>
      <c r="G2414" s="9">
        <v>44990</v>
      </c>
      <c r="H2414" s="7">
        <v>20006.96</v>
      </c>
      <c r="I2414" s="7"/>
      <c r="J2414" s="7"/>
      <c r="K2414" s="7"/>
      <c r="L2414" s="10">
        <v>5.1420118343195256</v>
      </c>
      <c r="M2414" s="9">
        <v>44995</v>
      </c>
      <c r="N2414" s="10">
        <v>7.5</v>
      </c>
      <c r="O2414" s="9">
        <v>45002</v>
      </c>
      <c r="P2414">
        <v>12</v>
      </c>
      <c r="Q2414" s="11" t="s">
        <v>49</v>
      </c>
      <c r="R2414" s="7">
        <v>20006.96</v>
      </c>
      <c r="S2414" s="7"/>
      <c r="T2414" s="7"/>
      <c r="U2414" s="7"/>
      <c r="V2414" s="10">
        <v>7.1420118343195256</v>
      </c>
      <c r="W2414" s="9">
        <v>44997</v>
      </c>
      <c r="X2414" s="10">
        <v>9.5</v>
      </c>
      <c r="Y2414" s="9">
        <v>45002</v>
      </c>
      <c r="Z2414">
        <v>12</v>
      </c>
      <c r="AA2414" s="11" t="s">
        <v>49</v>
      </c>
    </row>
    <row r="2415" spans="2:27" ht="16" x14ac:dyDescent="0.2">
      <c r="B2415" t="s">
        <v>35</v>
      </c>
      <c r="C2415">
        <v>40361447</v>
      </c>
      <c r="D2415" t="s">
        <v>386</v>
      </c>
      <c r="E2415">
        <v>1020853</v>
      </c>
      <c r="F2415" t="s">
        <v>262</v>
      </c>
      <c r="G2415" s="9">
        <v>44997</v>
      </c>
      <c r="H2415" s="7">
        <v>20000</v>
      </c>
      <c r="I2415" s="7"/>
      <c r="J2415" s="7"/>
      <c r="K2415" s="7"/>
      <c r="L2415" s="10">
        <v>5.1420118343195256</v>
      </c>
      <c r="M2415" s="9">
        <v>45002</v>
      </c>
      <c r="N2415" s="10">
        <v>7.5</v>
      </c>
      <c r="O2415" s="9">
        <v>45009</v>
      </c>
      <c r="P2415">
        <v>6</v>
      </c>
      <c r="Q2415" s="11" t="s">
        <v>49</v>
      </c>
      <c r="R2415" s="7">
        <v>20000</v>
      </c>
      <c r="S2415" s="7"/>
      <c r="T2415" s="7"/>
      <c r="U2415" s="7"/>
      <c r="V2415" s="10">
        <v>7.1420118343195256</v>
      </c>
      <c r="W2415" s="9">
        <v>45004</v>
      </c>
      <c r="X2415" s="10">
        <v>9.5</v>
      </c>
      <c r="Y2415" s="9">
        <v>45009</v>
      </c>
      <c r="Z2415">
        <v>6</v>
      </c>
      <c r="AA2415" s="11" t="s">
        <v>49</v>
      </c>
    </row>
    <row r="2416" spans="2:27" ht="16" x14ac:dyDescent="0.2">
      <c r="B2416" t="s">
        <v>35</v>
      </c>
      <c r="C2416">
        <v>40361444</v>
      </c>
      <c r="D2416" t="s">
        <v>386</v>
      </c>
      <c r="E2416">
        <v>1020853</v>
      </c>
      <c r="F2416" t="s">
        <v>262</v>
      </c>
      <c r="G2416" s="9">
        <v>44995</v>
      </c>
      <c r="H2416" s="7">
        <v>1995</v>
      </c>
      <c r="I2416" s="7"/>
      <c r="J2416" s="7"/>
      <c r="K2416" s="7"/>
      <c r="L2416" s="10">
        <v>5.1420118343195256</v>
      </c>
      <c r="M2416" s="9">
        <v>45000</v>
      </c>
      <c r="N2416" s="10">
        <v>7.5</v>
      </c>
      <c r="O2416" s="9">
        <v>45007</v>
      </c>
      <c r="P2416">
        <v>8</v>
      </c>
      <c r="Q2416" s="11" t="s">
        <v>49</v>
      </c>
      <c r="R2416" s="7">
        <v>1995</v>
      </c>
      <c r="S2416" s="7"/>
      <c r="T2416" s="7"/>
      <c r="U2416" s="7"/>
      <c r="V2416" s="10">
        <v>7.1420118343195256</v>
      </c>
      <c r="W2416" s="9">
        <v>45002</v>
      </c>
      <c r="X2416" s="10">
        <v>9.5</v>
      </c>
      <c r="Y2416" s="9">
        <v>45007</v>
      </c>
      <c r="Z2416">
        <v>8</v>
      </c>
      <c r="AA2416" s="11" t="s">
        <v>49</v>
      </c>
    </row>
    <row r="2417" spans="2:27" ht="16" x14ac:dyDescent="0.2">
      <c r="B2417" t="s">
        <v>35</v>
      </c>
      <c r="C2417">
        <v>40361444</v>
      </c>
      <c r="D2417" t="s">
        <v>386</v>
      </c>
      <c r="E2417">
        <v>1020853</v>
      </c>
      <c r="F2417" t="s">
        <v>262</v>
      </c>
      <c r="G2417" s="9">
        <v>44995</v>
      </c>
      <c r="H2417" s="7">
        <v>20000</v>
      </c>
      <c r="I2417" s="7"/>
      <c r="J2417" s="7"/>
      <c r="K2417" s="7"/>
      <c r="L2417" s="10">
        <v>5.1420118343195256</v>
      </c>
      <c r="M2417" s="9">
        <v>45000</v>
      </c>
      <c r="N2417" s="10">
        <v>7.5</v>
      </c>
      <c r="O2417" s="9">
        <v>45007</v>
      </c>
      <c r="P2417">
        <v>8</v>
      </c>
      <c r="Q2417" s="11" t="s">
        <v>49</v>
      </c>
      <c r="R2417" s="7">
        <v>20000</v>
      </c>
      <c r="S2417" s="7"/>
      <c r="T2417" s="7"/>
      <c r="U2417" s="7"/>
      <c r="V2417" s="10">
        <v>7.1420118343195256</v>
      </c>
      <c r="W2417" s="9">
        <v>45002</v>
      </c>
      <c r="X2417" s="10">
        <v>9.5</v>
      </c>
      <c r="Y2417" s="9">
        <v>45007</v>
      </c>
      <c r="Z2417">
        <v>8</v>
      </c>
      <c r="AA2417" s="11" t="s">
        <v>49</v>
      </c>
    </row>
    <row r="2418" spans="2:27" x14ac:dyDescent="0.2">
      <c r="B2418" t="s">
        <v>394</v>
      </c>
      <c r="C2418">
        <v>40361415</v>
      </c>
      <c r="D2418" t="s">
        <v>485</v>
      </c>
      <c r="E2418">
        <v>1023433</v>
      </c>
      <c r="F2418" t="s">
        <v>490</v>
      </c>
      <c r="G2418" s="9">
        <v>44984</v>
      </c>
      <c r="H2418" s="7"/>
      <c r="I2418" s="7"/>
      <c r="J2418" s="7"/>
      <c r="K2418" s="7"/>
      <c r="L2418" s="10"/>
      <c r="N2418" s="10"/>
      <c r="Q2418" s="11"/>
      <c r="R2418" s="7"/>
      <c r="S2418" s="7"/>
      <c r="T2418" s="7"/>
      <c r="U2418" s="7"/>
      <c r="V2418" s="10"/>
      <c r="X2418" s="10"/>
      <c r="AA2418" s="11"/>
    </row>
    <row r="2419" spans="2:27" x14ac:dyDescent="0.2">
      <c r="B2419" t="s">
        <v>394</v>
      </c>
      <c r="C2419">
        <v>40361415</v>
      </c>
      <c r="D2419" t="s">
        <v>485</v>
      </c>
      <c r="E2419">
        <v>1023433</v>
      </c>
      <c r="F2419" t="s">
        <v>490</v>
      </c>
      <c r="G2419" s="9">
        <v>44984</v>
      </c>
      <c r="H2419" s="7"/>
      <c r="I2419" s="7"/>
      <c r="J2419" s="7"/>
      <c r="K2419" s="7"/>
      <c r="L2419" s="10"/>
      <c r="N2419" s="10"/>
      <c r="Q2419" s="11"/>
      <c r="R2419" s="7"/>
      <c r="S2419" s="7"/>
      <c r="T2419" s="7"/>
      <c r="U2419" s="7"/>
      <c r="V2419" s="10"/>
      <c r="X2419" s="10"/>
      <c r="AA2419" s="11"/>
    </row>
    <row r="2420" spans="2:27" x14ac:dyDescent="0.2">
      <c r="B2420" t="s">
        <v>394</v>
      </c>
      <c r="C2420">
        <v>40361265</v>
      </c>
      <c r="D2420" t="s">
        <v>485</v>
      </c>
      <c r="E2420">
        <v>1012208</v>
      </c>
      <c r="F2420" t="s">
        <v>641</v>
      </c>
      <c r="G2420" s="9">
        <v>44983</v>
      </c>
      <c r="H2420" s="7"/>
      <c r="I2420" s="7"/>
      <c r="J2420" s="7"/>
      <c r="K2420" s="7"/>
      <c r="L2420" s="10"/>
      <c r="N2420" s="10"/>
      <c r="Q2420" s="11"/>
      <c r="R2420" s="7"/>
      <c r="S2420" s="7"/>
      <c r="T2420" s="7"/>
      <c r="U2420" s="7"/>
      <c r="V2420" s="10"/>
      <c r="X2420" s="10"/>
      <c r="AA2420" s="11"/>
    </row>
    <row r="2421" spans="2:27" x14ac:dyDescent="0.2">
      <c r="B2421" t="s">
        <v>394</v>
      </c>
      <c r="C2421">
        <v>40361264</v>
      </c>
      <c r="D2421" t="s">
        <v>485</v>
      </c>
      <c r="E2421">
        <v>1030817</v>
      </c>
      <c r="F2421" t="s">
        <v>504</v>
      </c>
      <c r="G2421" s="9">
        <v>44983</v>
      </c>
      <c r="H2421" s="7"/>
      <c r="I2421" s="7"/>
      <c r="J2421" s="7"/>
      <c r="K2421" s="7"/>
      <c r="L2421" s="10"/>
      <c r="N2421" s="10"/>
      <c r="Q2421" s="11"/>
      <c r="R2421" s="7"/>
      <c r="S2421" s="7"/>
      <c r="T2421" s="7"/>
      <c r="U2421" s="7"/>
      <c r="V2421" s="10"/>
      <c r="X2421" s="10"/>
      <c r="AA2421" s="11"/>
    </row>
    <row r="2422" spans="2:27" x14ac:dyDescent="0.2">
      <c r="B2422" t="s">
        <v>394</v>
      </c>
      <c r="C2422">
        <v>40361259</v>
      </c>
      <c r="D2422" t="s">
        <v>485</v>
      </c>
      <c r="E2422">
        <v>1021101</v>
      </c>
      <c r="F2422" t="s">
        <v>619</v>
      </c>
      <c r="G2422" s="9">
        <v>44977</v>
      </c>
      <c r="H2422" s="7"/>
      <c r="I2422" s="7"/>
      <c r="J2422" s="7"/>
      <c r="K2422" s="7"/>
      <c r="L2422" s="10"/>
      <c r="N2422" s="10"/>
      <c r="Q2422" s="11"/>
      <c r="R2422" s="7"/>
      <c r="S2422" s="7"/>
      <c r="T2422" s="7"/>
      <c r="U2422" s="7"/>
      <c r="V2422" s="10"/>
      <c r="X2422" s="10"/>
      <c r="AA2422" s="11"/>
    </row>
    <row r="2423" spans="2:27" x14ac:dyDescent="0.2">
      <c r="B2423" t="s">
        <v>394</v>
      </c>
      <c r="C2423">
        <v>40361259</v>
      </c>
      <c r="D2423" t="s">
        <v>485</v>
      </c>
      <c r="E2423">
        <v>1021101</v>
      </c>
      <c r="F2423" t="s">
        <v>619</v>
      </c>
      <c r="G2423" s="9">
        <v>44977</v>
      </c>
      <c r="H2423" s="7"/>
      <c r="I2423" s="7"/>
      <c r="J2423" s="7"/>
      <c r="K2423" s="7"/>
      <c r="L2423" s="10"/>
      <c r="N2423" s="10"/>
      <c r="Q2423" s="11"/>
      <c r="R2423" s="7"/>
      <c r="S2423" s="7"/>
      <c r="T2423" s="7"/>
      <c r="U2423" s="7"/>
      <c r="V2423" s="10"/>
      <c r="X2423" s="10"/>
      <c r="AA2423" s="11"/>
    </row>
    <row r="2424" spans="2:27" ht="16" x14ac:dyDescent="0.2">
      <c r="B2424" t="s">
        <v>35</v>
      </c>
      <c r="C2424">
        <v>40361242</v>
      </c>
      <c r="D2424" t="s">
        <v>409</v>
      </c>
      <c r="E2424">
        <v>1012521</v>
      </c>
      <c r="F2424" t="s">
        <v>114</v>
      </c>
      <c r="G2424" s="9">
        <v>45014</v>
      </c>
      <c r="H2424" s="7"/>
      <c r="I2424" s="7">
        <v>18143.68</v>
      </c>
      <c r="J2424" s="7"/>
      <c r="K2424" s="7"/>
      <c r="L2424" s="10">
        <v>7.5</v>
      </c>
      <c r="M2424" s="9">
        <v>45021</v>
      </c>
      <c r="N2424" s="10">
        <v>9.5</v>
      </c>
      <c r="O2424" s="9">
        <v>45030</v>
      </c>
      <c r="P2424">
        <v>13</v>
      </c>
      <c r="Q2424" s="11" t="s">
        <v>49</v>
      </c>
      <c r="R2424" s="7"/>
      <c r="S2424" s="7">
        <v>18143.68</v>
      </c>
      <c r="T2424" s="7"/>
      <c r="U2424" s="7"/>
      <c r="V2424" s="10">
        <v>9.5</v>
      </c>
      <c r="W2424" s="9">
        <v>45023</v>
      </c>
      <c r="X2424" s="10">
        <v>11.5</v>
      </c>
      <c r="Y2424" s="9">
        <v>45030</v>
      </c>
      <c r="Z2424">
        <v>13</v>
      </c>
      <c r="AA2424" s="11" t="s">
        <v>49</v>
      </c>
    </row>
    <row r="2425" spans="2:27" ht="16" x14ac:dyDescent="0.2">
      <c r="B2425" t="s">
        <v>35</v>
      </c>
      <c r="C2425">
        <v>40361230</v>
      </c>
      <c r="D2425" t="s">
        <v>409</v>
      </c>
      <c r="E2425">
        <v>1012111</v>
      </c>
      <c r="F2425" t="s">
        <v>137</v>
      </c>
      <c r="G2425" s="9">
        <v>45007</v>
      </c>
      <c r="H2425" s="7"/>
      <c r="I2425" s="7">
        <v>9979.0239999999994</v>
      </c>
      <c r="J2425" s="7"/>
      <c r="K2425" s="7"/>
      <c r="L2425" s="10">
        <v>7.5</v>
      </c>
      <c r="M2425" s="9">
        <v>45014</v>
      </c>
      <c r="N2425" s="10">
        <v>9.5</v>
      </c>
      <c r="O2425" s="9">
        <v>45023</v>
      </c>
      <c r="P2425">
        <v>19</v>
      </c>
      <c r="Q2425" s="11" t="s">
        <v>49</v>
      </c>
      <c r="R2425" s="7"/>
      <c r="S2425" s="7">
        <v>9979.0239999999994</v>
      </c>
      <c r="T2425" s="7"/>
      <c r="U2425" s="7"/>
      <c r="V2425" s="10">
        <v>9.5</v>
      </c>
      <c r="W2425" s="9">
        <v>45016</v>
      </c>
      <c r="X2425" s="10">
        <v>11.5</v>
      </c>
      <c r="Y2425" s="9">
        <v>45023</v>
      </c>
      <c r="Z2425">
        <v>19</v>
      </c>
      <c r="AA2425" s="11" t="s">
        <v>49</v>
      </c>
    </row>
    <row r="2426" spans="2:27" ht="16" x14ac:dyDescent="0.2">
      <c r="B2426" t="s">
        <v>35</v>
      </c>
      <c r="C2426">
        <v>40361230</v>
      </c>
      <c r="D2426" t="s">
        <v>409</v>
      </c>
      <c r="E2426">
        <v>1012107</v>
      </c>
      <c r="F2426" t="s">
        <v>215</v>
      </c>
      <c r="G2426" s="9">
        <v>45007</v>
      </c>
      <c r="H2426" s="7"/>
      <c r="I2426" s="7">
        <v>9979.0239999999994</v>
      </c>
      <c r="J2426" s="7"/>
      <c r="K2426" s="7"/>
      <c r="L2426" s="10">
        <v>7.5</v>
      </c>
      <c r="M2426" s="9">
        <v>45014</v>
      </c>
      <c r="N2426" s="10">
        <v>9.5</v>
      </c>
      <c r="O2426" s="9">
        <v>45023</v>
      </c>
      <c r="P2426">
        <v>19</v>
      </c>
      <c r="Q2426" s="11" t="s">
        <v>49</v>
      </c>
      <c r="R2426" s="7"/>
      <c r="S2426" s="7">
        <v>9979.0239999999994</v>
      </c>
      <c r="T2426" s="7"/>
      <c r="U2426" s="7"/>
      <c r="V2426" s="10">
        <v>9.5</v>
      </c>
      <c r="W2426" s="9">
        <v>45016</v>
      </c>
      <c r="X2426" s="10">
        <v>11.5</v>
      </c>
      <c r="Y2426" s="9">
        <v>45023</v>
      </c>
      <c r="Z2426">
        <v>19</v>
      </c>
      <c r="AA2426" s="11" t="s">
        <v>49</v>
      </c>
    </row>
    <row r="2427" spans="2:27" x14ac:dyDescent="0.2">
      <c r="B2427" t="s">
        <v>394</v>
      </c>
      <c r="C2427">
        <v>40361222</v>
      </c>
      <c r="D2427" t="s">
        <v>485</v>
      </c>
      <c r="E2427">
        <v>1021105</v>
      </c>
      <c r="F2427" t="s">
        <v>499</v>
      </c>
      <c r="G2427" s="9">
        <v>44983</v>
      </c>
      <c r="H2427" s="7"/>
      <c r="I2427" s="7"/>
      <c r="J2427" s="7"/>
      <c r="K2427" s="7"/>
      <c r="L2427" s="10"/>
      <c r="N2427" s="10"/>
      <c r="Q2427" s="11"/>
      <c r="R2427" s="7"/>
      <c r="S2427" s="7"/>
      <c r="T2427" s="7"/>
      <c r="U2427" s="7"/>
      <c r="V2427" s="10"/>
      <c r="X2427" s="10"/>
      <c r="AA2427" s="11"/>
    </row>
    <row r="2428" spans="2:27" ht="16" x14ac:dyDescent="0.2">
      <c r="B2428" t="s">
        <v>35</v>
      </c>
      <c r="C2428">
        <v>40361212</v>
      </c>
      <c r="D2428" t="s">
        <v>409</v>
      </c>
      <c r="E2428">
        <v>1012165</v>
      </c>
      <c r="F2428" t="s">
        <v>61</v>
      </c>
      <c r="G2428" s="9">
        <v>45013</v>
      </c>
      <c r="H2428" s="7"/>
      <c r="I2428" s="7">
        <v>19958.047999999999</v>
      </c>
      <c r="J2428" s="7"/>
      <c r="K2428" s="7"/>
      <c r="L2428" s="10">
        <v>7.5</v>
      </c>
      <c r="M2428" s="9">
        <v>45020</v>
      </c>
      <c r="N2428" s="10">
        <v>9.5</v>
      </c>
      <c r="O2428" s="9">
        <v>45029</v>
      </c>
      <c r="P2428">
        <v>14</v>
      </c>
      <c r="Q2428" s="11" t="s">
        <v>49</v>
      </c>
      <c r="R2428" s="7"/>
      <c r="S2428" s="7">
        <v>19958.047999999999</v>
      </c>
      <c r="T2428" s="7"/>
      <c r="U2428" s="7"/>
      <c r="V2428" s="10">
        <v>9.5</v>
      </c>
      <c r="W2428" s="9">
        <v>45022</v>
      </c>
      <c r="X2428" s="10">
        <v>11.5</v>
      </c>
      <c r="Y2428" s="9">
        <v>45029</v>
      </c>
      <c r="Z2428">
        <v>14</v>
      </c>
      <c r="AA2428" s="11" t="s">
        <v>49</v>
      </c>
    </row>
    <row r="2429" spans="2:27" ht="16" x14ac:dyDescent="0.2">
      <c r="B2429" t="s">
        <v>35</v>
      </c>
      <c r="C2429">
        <v>40361211</v>
      </c>
      <c r="D2429" t="s">
        <v>409</v>
      </c>
      <c r="E2429">
        <v>1012165</v>
      </c>
      <c r="F2429" t="s">
        <v>61</v>
      </c>
      <c r="G2429" s="9">
        <v>45015</v>
      </c>
      <c r="H2429" s="7"/>
      <c r="I2429" s="7">
        <v>19958.047999999999</v>
      </c>
      <c r="J2429" s="7"/>
      <c r="K2429" s="7"/>
      <c r="L2429" s="10">
        <v>7.5</v>
      </c>
      <c r="M2429" s="9">
        <v>45022</v>
      </c>
      <c r="N2429" s="10">
        <v>9.5</v>
      </c>
      <c r="O2429" s="9">
        <v>45031</v>
      </c>
      <c r="P2429">
        <v>12</v>
      </c>
      <c r="Q2429" s="11" t="s">
        <v>49</v>
      </c>
      <c r="R2429" s="7"/>
      <c r="S2429" s="7">
        <v>19958.047999999999</v>
      </c>
      <c r="T2429" s="7"/>
      <c r="U2429" s="7"/>
      <c r="V2429" s="10">
        <v>9.5</v>
      </c>
      <c r="W2429" s="9">
        <v>45024</v>
      </c>
      <c r="X2429" s="10">
        <v>11.5</v>
      </c>
      <c r="Y2429" s="9">
        <v>45031</v>
      </c>
      <c r="Z2429">
        <v>12</v>
      </c>
      <c r="AA2429" s="11" t="s">
        <v>49</v>
      </c>
    </row>
    <row r="2430" spans="2:27" ht="16" x14ac:dyDescent="0.2">
      <c r="B2430" t="s">
        <v>35</v>
      </c>
      <c r="C2430">
        <v>40361209</v>
      </c>
      <c r="D2430" t="s">
        <v>409</v>
      </c>
      <c r="E2430">
        <v>1012165</v>
      </c>
      <c r="F2430" t="s">
        <v>61</v>
      </c>
      <c r="G2430" s="9">
        <v>44989</v>
      </c>
      <c r="H2430" s="7">
        <v>19958.047999999999</v>
      </c>
      <c r="I2430" s="7"/>
      <c r="J2430" s="7"/>
      <c r="K2430" s="7"/>
      <c r="L2430" s="10">
        <v>7.5</v>
      </c>
      <c r="M2430" s="9">
        <v>44996</v>
      </c>
      <c r="N2430" s="10">
        <v>9.5</v>
      </c>
      <c r="O2430" s="9">
        <v>45005</v>
      </c>
      <c r="P2430">
        <v>10</v>
      </c>
      <c r="Q2430" s="11" t="s">
        <v>49</v>
      </c>
      <c r="R2430" s="7">
        <v>19958.047999999999</v>
      </c>
      <c r="S2430" s="7"/>
      <c r="T2430" s="7"/>
      <c r="U2430" s="7"/>
      <c r="V2430" s="10">
        <v>9.5</v>
      </c>
      <c r="W2430" s="9">
        <v>44998</v>
      </c>
      <c r="X2430" s="10">
        <v>11.5</v>
      </c>
      <c r="Y2430" s="9">
        <v>45005</v>
      </c>
      <c r="Z2430">
        <v>10</v>
      </c>
      <c r="AA2430" s="11" t="s">
        <v>49</v>
      </c>
    </row>
    <row r="2431" spans="2:27" ht="16" x14ac:dyDescent="0.2">
      <c r="B2431" t="s">
        <v>35</v>
      </c>
      <c r="C2431">
        <v>40361208</v>
      </c>
      <c r="D2431" t="s">
        <v>409</v>
      </c>
      <c r="E2431">
        <v>1012161</v>
      </c>
      <c r="F2431" t="s">
        <v>101</v>
      </c>
      <c r="G2431" s="9">
        <v>45005</v>
      </c>
      <c r="H2431" s="7"/>
      <c r="I2431" s="7">
        <v>19958.047999999999</v>
      </c>
      <c r="J2431" s="7"/>
      <c r="K2431" s="7"/>
      <c r="L2431" s="10">
        <v>7.5</v>
      </c>
      <c r="M2431" s="9">
        <v>45012</v>
      </c>
      <c r="N2431" s="10">
        <v>9.5</v>
      </c>
      <c r="O2431" s="9">
        <v>45021</v>
      </c>
      <c r="P2431">
        <v>21</v>
      </c>
      <c r="Q2431" s="11" t="s">
        <v>49</v>
      </c>
      <c r="R2431" s="7"/>
      <c r="S2431" s="7">
        <v>19958.047999999999</v>
      </c>
      <c r="T2431" s="7"/>
      <c r="U2431" s="7"/>
      <c r="V2431" s="10">
        <v>9.5</v>
      </c>
      <c r="W2431" s="9">
        <v>45014</v>
      </c>
      <c r="X2431" s="10">
        <v>11.5</v>
      </c>
      <c r="Y2431" s="9">
        <v>45021</v>
      </c>
      <c r="Z2431">
        <v>21</v>
      </c>
      <c r="AA2431" s="11" t="s">
        <v>49</v>
      </c>
    </row>
    <row r="2432" spans="2:27" ht="16" x14ac:dyDescent="0.2">
      <c r="B2432" t="s">
        <v>35</v>
      </c>
      <c r="C2432">
        <v>40361207</v>
      </c>
      <c r="D2432" t="s">
        <v>409</v>
      </c>
      <c r="E2432">
        <v>1012161</v>
      </c>
      <c r="F2432" t="s">
        <v>101</v>
      </c>
      <c r="G2432" s="9">
        <v>44997</v>
      </c>
      <c r="H2432" s="7">
        <v>19958.047999999999</v>
      </c>
      <c r="I2432" s="7"/>
      <c r="J2432" s="7"/>
      <c r="K2432" s="7"/>
      <c r="L2432" s="10">
        <v>7.5</v>
      </c>
      <c r="M2432" s="9">
        <v>45004</v>
      </c>
      <c r="N2432" s="10">
        <v>9.5</v>
      </c>
      <c r="O2432" s="9">
        <v>45013</v>
      </c>
      <c r="P2432">
        <v>3</v>
      </c>
      <c r="Q2432" s="11" t="s">
        <v>49</v>
      </c>
      <c r="R2432" s="7">
        <v>19958.047999999999</v>
      </c>
      <c r="S2432" s="7"/>
      <c r="T2432" s="7"/>
      <c r="U2432" s="7"/>
      <c r="V2432" s="10">
        <v>9.5</v>
      </c>
      <c r="W2432" s="9">
        <v>45006</v>
      </c>
      <c r="X2432" s="10">
        <v>11.5</v>
      </c>
      <c r="Y2432" s="9">
        <v>45013</v>
      </c>
      <c r="Z2432">
        <v>3</v>
      </c>
      <c r="AA2432" s="11" t="s">
        <v>49</v>
      </c>
    </row>
    <row r="2433" spans="2:27" ht="16" x14ac:dyDescent="0.2">
      <c r="B2433" t="s">
        <v>35</v>
      </c>
      <c r="C2433">
        <v>40361200</v>
      </c>
      <c r="D2433" t="s">
        <v>409</v>
      </c>
      <c r="E2433">
        <v>1012159</v>
      </c>
      <c r="F2433" t="s">
        <v>88</v>
      </c>
      <c r="G2433" s="9">
        <v>45014</v>
      </c>
      <c r="H2433" s="7"/>
      <c r="I2433" s="7">
        <v>19958.047999999999</v>
      </c>
      <c r="J2433" s="7"/>
      <c r="K2433" s="7"/>
      <c r="L2433" s="10">
        <v>7.5</v>
      </c>
      <c r="M2433" s="9">
        <v>45021</v>
      </c>
      <c r="N2433" s="10">
        <v>9.5</v>
      </c>
      <c r="O2433" s="9">
        <v>45030</v>
      </c>
      <c r="P2433">
        <v>13</v>
      </c>
      <c r="Q2433" s="11" t="s">
        <v>49</v>
      </c>
      <c r="R2433" s="7"/>
      <c r="S2433" s="7">
        <v>19958.047999999999</v>
      </c>
      <c r="T2433" s="7"/>
      <c r="U2433" s="7"/>
      <c r="V2433" s="10">
        <v>9.5</v>
      </c>
      <c r="W2433" s="9">
        <v>45023</v>
      </c>
      <c r="X2433" s="10">
        <v>11.5</v>
      </c>
      <c r="Y2433" s="9">
        <v>45030</v>
      </c>
      <c r="Z2433">
        <v>13</v>
      </c>
      <c r="AA2433" s="11" t="s">
        <v>49</v>
      </c>
    </row>
    <row r="2434" spans="2:27" ht="16" x14ac:dyDescent="0.2">
      <c r="B2434" t="s">
        <v>35</v>
      </c>
      <c r="C2434">
        <v>40361199</v>
      </c>
      <c r="D2434" t="s">
        <v>409</v>
      </c>
      <c r="E2434">
        <v>1012159</v>
      </c>
      <c r="F2434" t="s">
        <v>88</v>
      </c>
      <c r="G2434" s="9">
        <v>45013</v>
      </c>
      <c r="H2434" s="7"/>
      <c r="I2434" s="7">
        <v>19958.047999999999</v>
      </c>
      <c r="J2434" s="7"/>
      <c r="K2434" s="7"/>
      <c r="L2434" s="10">
        <v>7.5</v>
      </c>
      <c r="M2434" s="9">
        <v>45020</v>
      </c>
      <c r="N2434" s="10">
        <v>9.5</v>
      </c>
      <c r="O2434" s="9">
        <v>45029</v>
      </c>
      <c r="P2434">
        <v>14</v>
      </c>
      <c r="Q2434" s="11" t="s">
        <v>49</v>
      </c>
      <c r="R2434" s="7"/>
      <c r="S2434" s="7">
        <v>19958.047999999999</v>
      </c>
      <c r="T2434" s="7"/>
      <c r="U2434" s="7"/>
      <c r="V2434" s="10">
        <v>9.5</v>
      </c>
      <c r="W2434" s="9">
        <v>45022</v>
      </c>
      <c r="X2434" s="10">
        <v>11.5</v>
      </c>
      <c r="Y2434" s="9">
        <v>45029</v>
      </c>
      <c r="Z2434">
        <v>14</v>
      </c>
      <c r="AA2434" s="11" t="s">
        <v>49</v>
      </c>
    </row>
    <row r="2435" spans="2:27" ht="16" x14ac:dyDescent="0.2">
      <c r="B2435" t="s">
        <v>35</v>
      </c>
      <c r="C2435">
        <v>40361198</v>
      </c>
      <c r="D2435" t="s">
        <v>409</v>
      </c>
      <c r="E2435">
        <v>1012159</v>
      </c>
      <c r="F2435" t="s">
        <v>88</v>
      </c>
      <c r="G2435" s="9">
        <v>45004</v>
      </c>
      <c r="H2435" s="7"/>
      <c r="I2435" s="7">
        <v>19958.047999999999</v>
      </c>
      <c r="J2435" s="7"/>
      <c r="K2435" s="7"/>
      <c r="L2435" s="10">
        <v>7.5</v>
      </c>
      <c r="M2435" s="9">
        <v>45011</v>
      </c>
      <c r="N2435" s="10">
        <v>9.5</v>
      </c>
      <c r="O2435" s="9">
        <v>45020</v>
      </c>
      <c r="P2435">
        <v>22</v>
      </c>
      <c r="Q2435" s="11" t="s">
        <v>49</v>
      </c>
      <c r="R2435" s="7"/>
      <c r="S2435" s="7">
        <v>19958.047999999999</v>
      </c>
      <c r="T2435" s="7"/>
      <c r="U2435" s="7"/>
      <c r="V2435" s="10">
        <v>9.5</v>
      </c>
      <c r="W2435" s="9">
        <v>45013</v>
      </c>
      <c r="X2435" s="10">
        <v>11.5</v>
      </c>
      <c r="Y2435" s="9">
        <v>45020</v>
      </c>
      <c r="Z2435">
        <v>22</v>
      </c>
      <c r="AA2435" s="11" t="s">
        <v>49</v>
      </c>
    </row>
    <row r="2436" spans="2:27" ht="16" x14ac:dyDescent="0.2">
      <c r="B2436" t="s">
        <v>35</v>
      </c>
      <c r="C2436">
        <v>40361197</v>
      </c>
      <c r="D2436" t="s">
        <v>409</v>
      </c>
      <c r="E2436">
        <v>1012159</v>
      </c>
      <c r="F2436" t="s">
        <v>88</v>
      </c>
      <c r="G2436" s="9">
        <v>45013</v>
      </c>
      <c r="H2436" s="7"/>
      <c r="I2436" s="7">
        <v>19958.047999999999</v>
      </c>
      <c r="J2436" s="7"/>
      <c r="K2436" s="7"/>
      <c r="L2436" s="10">
        <v>7.5</v>
      </c>
      <c r="M2436" s="9">
        <v>45020</v>
      </c>
      <c r="N2436" s="10">
        <v>9.5</v>
      </c>
      <c r="O2436" s="9">
        <v>45029</v>
      </c>
      <c r="P2436">
        <v>14</v>
      </c>
      <c r="Q2436" s="11" t="s">
        <v>49</v>
      </c>
      <c r="R2436" s="7"/>
      <c r="S2436" s="7">
        <v>19958.047999999999</v>
      </c>
      <c r="T2436" s="7"/>
      <c r="U2436" s="7"/>
      <c r="V2436" s="10">
        <v>9.5</v>
      </c>
      <c r="W2436" s="9">
        <v>45022</v>
      </c>
      <c r="X2436" s="10">
        <v>11.5</v>
      </c>
      <c r="Y2436" s="9">
        <v>45029</v>
      </c>
      <c r="Z2436">
        <v>14</v>
      </c>
      <c r="AA2436" s="11" t="s">
        <v>49</v>
      </c>
    </row>
    <row r="2437" spans="2:27" ht="16" x14ac:dyDescent="0.2">
      <c r="B2437" t="s">
        <v>35</v>
      </c>
      <c r="C2437">
        <v>40361196</v>
      </c>
      <c r="D2437" t="s">
        <v>409</v>
      </c>
      <c r="E2437">
        <v>1012157</v>
      </c>
      <c r="F2437" t="s">
        <v>99</v>
      </c>
      <c r="G2437" s="9">
        <v>45003</v>
      </c>
      <c r="H2437" s="7"/>
      <c r="I2437" s="7">
        <v>19958.047999999999</v>
      </c>
      <c r="J2437" s="7"/>
      <c r="K2437" s="7"/>
      <c r="L2437" s="10">
        <v>7.5</v>
      </c>
      <c r="M2437" s="9">
        <v>45010</v>
      </c>
      <c r="N2437" s="10">
        <v>9.5</v>
      </c>
      <c r="O2437" s="9">
        <v>45019</v>
      </c>
      <c r="P2437">
        <v>23</v>
      </c>
      <c r="Q2437" s="11" t="s">
        <v>49</v>
      </c>
      <c r="R2437" s="7"/>
      <c r="S2437" s="7">
        <v>19958.047999999999</v>
      </c>
      <c r="T2437" s="7"/>
      <c r="U2437" s="7"/>
      <c r="V2437" s="10">
        <v>9.5</v>
      </c>
      <c r="W2437" s="9">
        <v>45012</v>
      </c>
      <c r="X2437" s="10">
        <v>11.5</v>
      </c>
      <c r="Y2437" s="9">
        <v>45019</v>
      </c>
      <c r="Z2437">
        <v>23</v>
      </c>
      <c r="AA2437" s="11" t="s">
        <v>49</v>
      </c>
    </row>
    <row r="2438" spans="2:27" x14ac:dyDescent="0.2">
      <c r="B2438" t="s">
        <v>394</v>
      </c>
      <c r="C2438">
        <v>40361186</v>
      </c>
      <c r="D2438" t="s">
        <v>485</v>
      </c>
      <c r="E2438">
        <v>1011421</v>
      </c>
      <c r="F2438" t="s">
        <v>484</v>
      </c>
      <c r="G2438" s="9">
        <v>44981</v>
      </c>
      <c r="H2438" s="7"/>
      <c r="I2438" s="7"/>
      <c r="J2438" s="7"/>
      <c r="K2438" s="7"/>
      <c r="L2438" s="10"/>
      <c r="N2438" s="10"/>
      <c r="Q2438" s="11"/>
      <c r="R2438" s="7"/>
      <c r="S2438" s="7"/>
      <c r="T2438" s="7"/>
      <c r="U2438" s="7"/>
      <c r="V2438" s="10"/>
      <c r="X2438" s="10"/>
      <c r="AA2438" s="11"/>
    </row>
    <row r="2439" spans="2:27" x14ac:dyDescent="0.2">
      <c r="B2439" t="s">
        <v>394</v>
      </c>
      <c r="C2439">
        <v>40361185</v>
      </c>
      <c r="D2439" t="s">
        <v>485</v>
      </c>
      <c r="E2439">
        <v>1011421</v>
      </c>
      <c r="F2439" t="s">
        <v>484</v>
      </c>
      <c r="G2439" s="9">
        <v>44981</v>
      </c>
      <c r="H2439" s="7"/>
      <c r="I2439" s="7"/>
      <c r="J2439" s="7"/>
      <c r="K2439" s="7"/>
      <c r="L2439" s="10"/>
      <c r="N2439" s="10"/>
      <c r="Q2439" s="11"/>
      <c r="R2439" s="7"/>
      <c r="S2439" s="7"/>
      <c r="T2439" s="7"/>
      <c r="U2439" s="7"/>
      <c r="V2439" s="10"/>
      <c r="X2439" s="10"/>
      <c r="AA2439" s="11"/>
    </row>
    <row r="2440" spans="2:27" x14ac:dyDescent="0.2">
      <c r="B2440" t="s">
        <v>394</v>
      </c>
      <c r="C2440">
        <v>40361184</v>
      </c>
      <c r="D2440" t="s">
        <v>485</v>
      </c>
      <c r="E2440">
        <v>1011421</v>
      </c>
      <c r="F2440" t="s">
        <v>484</v>
      </c>
      <c r="G2440" s="9">
        <v>44981</v>
      </c>
      <c r="H2440" s="7"/>
      <c r="I2440" s="7"/>
      <c r="J2440" s="7"/>
      <c r="K2440" s="7"/>
      <c r="L2440" s="10"/>
      <c r="N2440" s="10"/>
      <c r="Q2440" s="11"/>
      <c r="R2440" s="7"/>
      <c r="S2440" s="7"/>
      <c r="T2440" s="7"/>
      <c r="U2440" s="7"/>
      <c r="V2440" s="10"/>
      <c r="X2440" s="10"/>
      <c r="AA2440" s="11"/>
    </row>
    <row r="2441" spans="2:27" x14ac:dyDescent="0.2">
      <c r="B2441" t="s">
        <v>394</v>
      </c>
      <c r="C2441">
        <v>40361183</v>
      </c>
      <c r="D2441" t="s">
        <v>485</v>
      </c>
      <c r="E2441">
        <v>1011421</v>
      </c>
      <c r="F2441" t="s">
        <v>484</v>
      </c>
      <c r="G2441" s="9">
        <v>44981</v>
      </c>
      <c r="H2441" s="7"/>
      <c r="I2441" s="7"/>
      <c r="J2441" s="7"/>
      <c r="K2441" s="7"/>
      <c r="L2441" s="10"/>
      <c r="N2441" s="10"/>
      <c r="Q2441" s="11"/>
      <c r="R2441" s="7"/>
      <c r="S2441" s="7"/>
      <c r="T2441" s="7"/>
      <c r="U2441" s="7"/>
      <c r="V2441" s="10"/>
      <c r="X2441" s="10"/>
      <c r="AA2441" s="11"/>
    </row>
    <row r="2442" spans="2:27" x14ac:dyDescent="0.2">
      <c r="B2442" t="s">
        <v>394</v>
      </c>
      <c r="C2442">
        <v>40361181</v>
      </c>
      <c r="D2442" t="s">
        <v>485</v>
      </c>
      <c r="E2442">
        <v>1021976</v>
      </c>
      <c r="F2442" t="s">
        <v>512</v>
      </c>
      <c r="G2442" s="9">
        <v>44981</v>
      </c>
      <c r="H2442" s="7"/>
      <c r="I2442" s="7"/>
      <c r="J2442" s="7"/>
      <c r="K2442" s="7"/>
      <c r="L2442" s="10"/>
      <c r="N2442" s="10"/>
      <c r="Q2442" s="11"/>
      <c r="R2442" s="7"/>
      <c r="S2442" s="7"/>
      <c r="T2442" s="7"/>
      <c r="U2442" s="7"/>
      <c r="V2442" s="10"/>
      <c r="X2442" s="10"/>
      <c r="AA2442" s="11"/>
    </row>
    <row r="2443" spans="2:27" x14ac:dyDescent="0.2">
      <c r="B2443" t="s">
        <v>394</v>
      </c>
      <c r="C2443">
        <v>40361181</v>
      </c>
      <c r="D2443" t="s">
        <v>485</v>
      </c>
      <c r="E2443">
        <v>1021976</v>
      </c>
      <c r="F2443" t="s">
        <v>512</v>
      </c>
      <c r="G2443" s="9">
        <v>44981</v>
      </c>
      <c r="H2443" s="7"/>
      <c r="I2443" s="7"/>
      <c r="J2443" s="7"/>
      <c r="K2443" s="7"/>
      <c r="L2443" s="10"/>
      <c r="N2443" s="10"/>
      <c r="Q2443" s="11"/>
      <c r="R2443" s="7"/>
      <c r="S2443" s="7"/>
      <c r="T2443" s="7"/>
      <c r="U2443" s="7"/>
      <c r="V2443" s="10"/>
      <c r="X2443" s="10"/>
      <c r="AA2443" s="11"/>
    </row>
    <row r="2444" spans="2:27" x14ac:dyDescent="0.2">
      <c r="B2444" t="s">
        <v>394</v>
      </c>
      <c r="C2444">
        <v>40361178</v>
      </c>
      <c r="D2444" t="s">
        <v>485</v>
      </c>
      <c r="E2444">
        <v>1020086</v>
      </c>
      <c r="F2444" t="s">
        <v>526</v>
      </c>
      <c r="G2444" s="9">
        <v>44976</v>
      </c>
      <c r="H2444" s="7"/>
      <c r="I2444" s="7"/>
      <c r="J2444" s="7"/>
      <c r="K2444" s="7"/>
      <c r="L2444" s="10"/>
      <c r="N2444" s="10"/>
      <c r="Q2444" s="11"/>
      <c r="R2444" s="7"/>
      <c r="S2444" s="7"/>
      <c r="T2444" s="7"/>
      <c r="U2444" s="7"/>
      <c r="V2444" s="10"/>
      <c r="X2444" s="10"/>
      <c r="AA2444" s="11"/>
    </row>
    <row r="2445" spans="2:27" ht="16" x14ac:dyDescent="0.2">
      <c r="B2445" t="s">
        <v>35</v>
      </c>
      <c r="C2445">
        <v>40361153</v>
      </c>
      <c r="D2445" t="s">
        <v>409</v>
      </c>
      <c r="E2445">
        <v>1012522</v>
      </c>
      <c r="F2445" t="s">
        <v>115</v>
      </c>
      <c r="G2445" s="9">
        <v>45021</v>
      </c>
      <c r="H2445" s="7"/>
      <c r="I2445" s="7">
        <v>18143.68</v>
      </c>
      <c r="J2445" s="7"/>
      <c r="K2445" s="7"/>
      <c r="L2445" s="10">
        <v>7.5</v>
      </c>
      <c r="M2445" s="9">
        <v>45028</v>
      </c>
      <c r="N2445" s="10">
        <v>9.5</v>
      </c>
      <c r="O2445" s="9">
        <v>45037</v>
      </c>
      <c r="P2445">
        <v>7</v>
      </c>
      <c r="Q2445" s="11" t="s">
        <v>49</v>
      </c>
      <c r="R2445" s="7"/>
      <c r="S2445" s="7">
        <v>18143.68</v>
      </c>
      <c r="T2445" s="7"/>
      <c r="U2445" s="7"/>
      <c r="V2445" s="10">
        <v>9.5</v>
      </c>
      <c r="W2445" s="9">
        <v>45030</v>
      </c>
      <c r="X2445" s="10">
        <v>11.5</v>
      </c>
      <c r="Y2445" s="9">
        <v>45037</v>
      </c>
      <c r="Z2445">
        <v>7</v>
      </c>
      <c r="AA2445" s="11" t="s">
        <v>49</v>
      </c>
    </row>
    <row r="2446" spans="2:27" x14ac:dyDescent="0.2">
      <c r="B2446" t="s">
        <v>394</v>
      </c>
      <c r="C2446">
        <v>40361127</v>
      </c>
      <c r="D2446" t="s">
        <v>485</v>
      </c>
      <c r="E2446">
        <v>1012058</v>
      </c>
      <c r="F2446" t="s">
        <v>642</v>
      </c>
      <c r="G2446" s="9">
        <v>44980</v>
      </c>
      <c r="H2446" s="7"/>
      <c r="I2446" s="7"/>
      <c r="J2446" s="7"/>
      <c r="K2446" s="7"/>
      <c r="L2446" s="10"/>
      <c r="N2446" s="10"/>
      <c r="Q2446" s="11"/>
      <c r="R2446" s="7"/>
      <c r="S2446" s="7"/>
      <c r="T2446" s="7"/>
      <c r="U2446" s="7"/>
      <c r="V2446" s="10"/>
      <c r="X2446" s="10"/>
      <c r="AA2446" s="11"/>
    </row>
    <row r="2447" spans="2:27" x14ac:dyDescent="0.2">
      <c r="B2447" t="s">
        <v>394</v>
      </c>
      <c r="C2447">
        <v>40361127</v>
      </c>
      <c r="D2447" t="s">
        <v>485</v>
      </c>
      <c r="E2447">
        <v>1012207</v>
      </c>
      <c r="F2447" t="s">
        <v>633</v>
      </c>
      <c r="G2447" s="9">
        <v>44980</v>
      </c>
      <c r="H2447" s="7"/>
      <c r="I2447" s="7"/>
      <c r="J2447" s="7"/>
      <c r="K2447" s="7"/>
      <c r="L2447" s="10"/>
      <c r="N2447" s="10"/>
      <c r="Q2447" s="11"/>
      <c r="R2447" s="7"/>
      <c r="S2447" s="7"/>
      <c r="T2447" s="7"/>
      <c r="U2447" s="7"/>
      <c r="V2447" s="10"/>
      <c r="X2447" s="10"/>
      <c r="AA2447" s="11"/>
    </row>
    <row r="2448" spans="2:27" x14ac:dyDescent="0.2">
      <c r="B2448" t="s">
        <v>394</v>
      </c>
      <c r="C2448">
        <v>40361126</v>
      </c>
      <c r="D2448" t="s">
        <v>485</v>
      </c>
      <c r="E2448">
        <v>1030816</v>
      </c>
      <c r="F2448" t="s">
        <v>535</v>
      </c>
      <c r="G2448" s="9">
        <v>44989</v>
      </c>
      <c r="H2448" s="7">
        <v>24000.93</v>
      </c>
      <c r="I2448" s="7"/>
      <c r="J2448" s="7"/>
      <c r="K2448" s="7"/>
      <c r="L2448" s="10"/>
      <c r="N2448" s="10"/>
      <c r="Q2448" s="11"/>
      <c r="R2448" s="7">
        <v>24000.93</v>
      </c>
      <c r="S2448" s="7"/>
      <c r="T2448" s="7"/>
      <c r="U2448" s="7"/>
      <c r="V2448" s="10"/>
      <c r="X2448" s="10"/>
      <c r="AA2448" s="11"/>
    </row>
    <row r="2449" spans="2:27" x14ac:dyDescent="0.2">
      <c r="B2449" t="s">
        <v>394</v>
      </c>
      <c r="C2449">
        <v>40361125</v>
      </c>
      <c r="D2449" t="s">
        <v>485</v>
      </c>
      <c r="E2449">
        <v>1030816</v>
      </c>
      <c r="F2449" t="s">
        <v>535</v>
      </c>
      <c r="G2449" s="9">
        <v>44987</v>
      </c>
      <c r="H2449" s="7">
        <v>24006.67</v>
      </c>
      <c r="I2449" s="7"/>
      <c r="J2449" s="7"/>
      <c r="K2449" s="7"/>
      <c r="L2449" s="10"/>
      <c r="N2449" s="10"/>
      <c r="Q2449" s="11"/>
      <c r="R2449" s="7">
        <v>24006.67</v>
      </c>
      <c r="S2449" s="7"/>
      <c r="T2449" s="7"/>
      <c r="U2449" s="7"/>
      <c r="V2449" s="10"/>
      <c r="X2449" s="10"/>
      <c r="AA2449" s="11"/>
    </row>
    <row r="2450" spans="2:27" x14ac:dyDescent="0.2">
      <c r="B2450" t="s">
        <v>394</v>
      </c>
      <c r="C2450">
        <v>40361124</v>
      </c>
      <c r="D2450" t="s">
        <v>485</v>
      </c>
      <c r="E2450">
        <v>1030817</v>
      </c>
      <c r="F2450" t="s">
        <v>504</v>
      </c>
      <c r="G2450" s="9">
        <v>44977</v>
      </c>
      <c r="H2450" s="7"/>
      <c r="I2450" s="7"/>
      <c r="J2450" s="7"/>
      <c r="K2450" s="7"/>
      <c r="L2450" s="10"/>
      <c r="N2450" s="10"/>
      <c r="Q2450" s="11"/>
      <c r="R2450" s="7"/>
      <c r="S2450" s="7"/>
      <c r="T2450" s="7"/>
      <c r="U2450" s="7"/>
      <c r="V2450" s="10"/>
      <c r="X2450" s="10"/>
      <c r="AA2450" s="11"/>
    </row>
    <row r="2451" spans="2:27" x14ac:dyDescent="0.2">
      <c r="B2451" t="s">
        <v>394</v>
      </c>
      <c r="C2451">
        <v>40361123</v>
      </c>
      <c r="D2451" t="s">
        <v>485</v>
      </c>
      <c r="E2451">
        <v>1030817</v>
      </c>
      <c r="F2451" t="s">
        <v>504</v>
      </c>
      <c r="G2451" s="9">
        <v>44977</v>
      </c>
      <c r="H2451" s="7"/>
      <c r="I2451" s="7"/>
      <c r="J2451" s="7"/>
      <c r="K2451" s="7"/>
      <c r="L2451" s="10"/>
      <c r="N2451" s="10"/>
      <c r="Q2451" s="11"/>
      <c r="R2451" s="7"/>
      <c r="S2451" s="7"/>
      <c r="T2451" s="7"/>
      <c r="U2451" s="7"/>
      <c r="V2451" s="10"/>
      <c r="X2451" s="10"/>
      <c r="AA2451" s="11"/>
    </row>
    <row r="2452" spans="2:27" x14ac:dyDescent="0.2">
      <c r="B2452" t="s">
        <v>394</v>
      </c>
      <c r="C2452">
        <v>40361119</v>
      </c>
      <c r="D2452" t="s">
        <v>485</v>
      </c>
      <c r="E2452">
        <v>1020412</v>
      </c>
      <c r="F2452" t="s">
        <v>486</v>
      </c>
      <c r="G2452" s="9">
        <v>44988</v>
      </c>
      <c r="H2452" s="7">
        <v>23938.45</v>
      </c>
      <c r="I2452" s="7"/>
      <c r="J2452" s="7"/>
      <c r="K2452" s="7"/>
      <c r="L2452" s="10"/>
      <c r="N2452" s="10"/>
      <c r="Q2452" s="11"/>
      <c r="R2452" s="7">
        <v>23938.45</v>
      </c>
      <c r="S2452" s="7"/>
      <c r="T2452" s="7"/>
      <c r="U2452" s="7"/>
      <c r="V2452" s="10"/>
      <c r="X2452" s="10"/>
      <c r="AA2452" s="11"/>
    </row>
    <row r="2453" spans="2:27" x14ac:dyDescent="0.2">
      <c r="B2453" t="s">
        <v>394</v>
      </c>
      <c r="C2453">
        <v>40361095</v>
      </c>
      <c r="D2453" t="s">
        <v>485</v>
      </c>
      <c r="E2453">
        <v>1020944</v>
      </c>
      <c r="F2453" t="s">
        <v>498</v>
      </c>
      <c r="G2453" s="9">
        <v>44976</v>
      </c>
      <c r="H2453" s="7"/>
      <c r="I2453" s="7"/>
      <c r="J2453" s="7"/>
      <c r="K2453" s="7"/>
      <c r="L2453" s="10"/>
      <c r="N2453" s="10"/>
      <c r="Q2453" s="11"/>
      <c r="R2453" s="7"/>
      <c r="S2453" s="7"/>
      <c r="T2453" s="7"/>
      <c r="U2453" s="7"/>
      <c r="V2453" s="10"/>
      <c r="X2453" s="10"/>
      <c r="AA2453" s="11"/>
    </row>
    <row r="2454" spans="2:27" x14ac:dyDescent="0.2">
      <c r="B2454" t="s">
        <v>394</v>
      </c>
      <c r="C2454">
        <v>40361056</v>
      </c>
      <c r="D2454" t="s">
        <v>485</v>
      </c>
      <c r="E2454">
        <v>1011421</v>
      </c>
      <c r="F2454" t="s">
        <v>484</v>
      </c>
      <c r="G2454" s="9">
        <v>44981</v>
      </c>
      <c r="H2454" s="7"/>
      <c r="I2454" s="7"/>
      <c r="J2454" s="7"/>
      <c r="K2454" s="7"/>
      <c r="L2454" s="10"/>
      <c r="N2454" s="10"/>
      <c r="Q2454" s="11"/>
      <c r="R2454" s="7"/>
      <c r="S2454" s="7"/>
      <c r="T2454" s="7"/>
      <c r="U2454" s="7"/>
      <c r="V2454" s="10"/>
      <c r="X2454" s="10"/>
      <c r="AA2454" s="11"/>
    </row>
    <row r="2455" spans="2:27" x14ac:dyDescent="0.2">
      <c r="B2455" t="s">
        <v>394</v>
      </c>
      <c r="C2455">
        <v>40361055</v>
      </c>
      <c r="D2455" t="s">
        <v>485</v>
      </c>
      <c r="E2455">
        <v>1011421</v>
      </c>
      <c r="F2455" t="s">
        <v>484</v>
      </c>
      <c r="G2455" s="9">
        <v>44981</v>
      </c>
      <c r="H2455" s="7"/>
      <c r="I2455" s="7"/>
      <c r="J2455" s="7"/>
      <c r="K2455" s="7"/>
      <c r="L2455" s="10"/>
      <c r="N2455" s="10"/>
      <c r="Q2455" s="11"/>
      <c r="R2455" s="7"/>
      <c r="S2455" s="7"/>
      <c r="T2455" s="7"/>
      <c r="U2455" s="7"/>
      <c r="V2455" s="10"/>
      <c r="X2455" s="10"/>
      <c r="AA2455" s="11"/>
    </row>
    <row r="2456" spans="2:27" ht="16" x14ac:dyDescent="0.2">
      <c r="B2456" t="s">
        <v>35</v>
      </c>
      <c r="C2456">
        <v>40360754</v>
      </c>
      <c r="D2456" t="s">
        <v>389</v>
      </c>
      <c r="E2456">
        <v>1021731</v>
      </c>
      <c r="F2456" t="s">
        <v>273</v>
      </c>
      <c r="G2456" s="9">
        <v>45018</v>
      </c>
      <c r="H2456" s="7"/>
      <c r="I2456" s="7">
        <v>24340</v>
      </c>
      <c r="J2456" s="7"/>
      <c r="K2456" s="7"/>
      <c r="L2456" s="10">
        <v>5.5741092456127026</v>
      </c>
      <c r="M2456" s="9">
        <v>45023</v>
      </c>
      <c r="N2456" s="10">
        <v>5.5</v>
      </c>
      <c r="O2456" s="9">
        <v>45028</v>
      </c>
      <c r="P2456">
        <v>15</v>
      </c>
      <c r="Q2456" s="11" t="s">
        <v>49</v>
      </c>
      <c r="R2456" s="7"/>
      <c r="S2456" s="7">
        <v>24340</v>
      </c>
      <c r="T2456" s="7"/>
      <c r="U2456" s="7"/>
      <c r="V2456" s="10">
        <v>7.5741092456127026</v>
      </c>
      <c r="W2456" s="9">
        <v>45025</v>
      </c>
      <c r="X2456" s="10">
        <v>7.5</v>
      </c>
      <c r="Y2456" s="9">
        <v>45028</v>
      </c>
      <c r="Z2456">
        <v>15</v>
      </c>
      <c r="AA2456" s="11" t="s">
        <v>49</v>
      </c>
    </row>
    <row r="2457" spans="2:27" x14ac:dyDescent="0.2">
      <c r="B2457" t="s">
        <v>394</v>
      </c>
      <c r="C2457">
        <v>40360610</v>
      </c>
      <c r="D2457" t="s">
        <v>485</v>
      </c>
      <c r="E2457">
        <v>1012719</v>
      </c>
      <c r="F2457" t="s">
        <v>545</v>
      </c>
      <c r="G2457" s="9">
        <v>44973</v>
      </c>
      <c r="H2457" s="7"/>
      <c r="I2457" s="7"/>
      <c r="J2457" s="7"/>
      <c r="K2457" s="7"/>
      <c r="L2457" s="10"/>
      <c r="N2457" s="10"/>
      <c r="Q2457" s="11"/>
      <c r="R2457" s="7"/>
      <c r="S2457" s="7"/>
      <c r="T2457" s="7"/>
      <c r="U2457" s="7"/>
      <c r="V2457" s="10"/>
      <c r="X2457" s="10"/>
      <c r="AA2457" s="11"/>
    </row>
    <row r="2458" spans="2:27" x14ac:dyDescent="0.2">
      <c r="B2458" t="s">
        <v>394</v>
      </c>
      <c r="C2458">
        <v>40360608</v>
      </c>
      <c r="D2458" t="s">
        <v>485</v>
      </c>
      <c r="E2458">
        <v>1012719</v>
      </c>
      <c r="F2458" t="s">
        <v>545</v>
      </c>
      <c r="G2458" s="9">
        <v>44973</v>
      </c>
      <c r="H2458" s="7"/>
      <c r="I2458" s="7"/>
      <c r="J2458" s="7"/>
      <c r="K2458" s="7"/>
      <c r="L2458" s="10"/>
      <c r="N2458" s="10"/>
      <c r="Q2458" s="11"/>
      <c r="R2458" s="7"/>
      <c r="S2458" s="7"/>
      <c r="T2458" s="7"/>
      <c r="U2458" s="7"/>
      <c r="V2458" s="10"/>
      <c r="X2458" s="10"/>
      <c r="AA2458" s="11"/>
    </row>
    <row r="2459" spans="2:27" ht="16" x14ac:dyDescent="0.2">
      <c r="B2459" t="s">
        <v>35</v>
      </c>
      <c r="C2459">
        <v>40360548</v>
      </c>
      <c r="D2459" t="s">
        <v>409</v>
      </c>
      <c r="E2459">
        <v>1012167</v>
      </c>
      <c r="F2459" t="s">
        <v>70</v>
      </c>
      <c r="G2459" s="9">
        <v>45015</v>
      </c>
      <c r="H2459" s="7"/>
      <c r="I2459" s="7">
        <v>19958.047999999999</v>
      </c>
      <c r="J2459" s="7"/>
      <c r="K2459" s="7"/>
      <c r="L2459" s="10">
        <v>7.5</v>
      </c>
      <c r="M2459" s="9">
        <v>45022</v>
      </c>
      <c r="N2459" s="10">
        <v>9.5</v>
      </c>
      <c r="O2459" s="9">
        <v>45031</v>
      </c>
      <c r="P2459">
        <v>12</v>
      </c>
      <c r="Q2459" s="11" t="s">
        <v>49</v>
      </c>
      <c r="R2459" s="7"/>
      <c r="S2459" s="7">
        <v>19958.047999999999</v>
      </c>
      <c r="T2459" s="7"/>
      <c r="U2459" s="7"/>
      <c r="V2459" s="10">
        <v>9.5</v>
      </c>
      <c r="W2459" s="9">
        <v>45024</v>
      </c>
      <c r="X2459" s="10">
        <v>11.5</v>
      </c>
      <c r="Y2459" s="9">
        <v>45031</v>
      </c>
      <c r="Z2459">
        <v>12</v>
      </c>
      <c r="AA2459" s="11" t="s">
        <v>49</v>
      </c>
    </row>
    <row r="2460" spans="2:27" ht="16" x14ac:dyDescent="0.2">
      <c r="B2460" t="s">
        <v>35</v>
      </c>
      <c r="C2460">
        <v>40360545</v>
      </c>
      <c r="D2460" t="s">
        <v>409</v>
      </c>
      <c r="E2460">
        <v>1012167</v>
      </c>
      <c r="F2460" t="s">
        <v>70</v>
      </c>
      <c r="G2460" s="9">
        <v>45013</v>
      </c>
      <c r="H2460" s="7"/>
      <c r="I2460" s="7">
        <v>19958.047999999999</v>
      </c>
      <c r="J2460" s="7"/>
      <c r="K2460" s="7"/>
      <c r="L2460" s="10">
        <v>7.5</v>
      </c>
      <c r="M2460" s="9">
        <v>45020</v>
      </c>
      <c r="N2460" s="10">
        <v>9.5</v>
      </c>
      <c r="O2460" s="9">
        <v>45029</v>
      </c>
      <c r="P2460">
        <v>14</v>
      </c>
      <c r="Q2460" s="11" t="s">
        <v>49</v>
      </c>
      <c r="R2460" s="7"/>
      <c r="S2460" s="7">
        <v>19958.047999999999</v>
      </c>
      <c r="T2460" s="7"/>
      <c r="U2460" s="7"/>
      <c r="V2460" s="10">
        <v>9.5</v>
      </c>
      <c r="W2460" s="9">
        <v>45022</v>
      </c>
      <c r="X2460" s="10">
        <v>11.5</v>
      </c>
      <c r="Y2460" s="9">
        <v>45029</v>
      </c>
      <c r="Z2460">
        <v>14</v>
      </c>
      <c r="AA2460" s="11" t="s">
        <v>49</v>
      </c>
    </row>
    <row r="2461" spans="2:27" ht="16" x14ac:dyDescent="0.2">
      <c r="B2461" t="s">
        <v>35</v>
      </c>
      <c r="C2461">
        <v>40360544</v>
      </c>
      <c r="D2461" t="s">
        <v>409</v>
      </c>
      <c r="E2461">
        <v>1012167</v>
      </c>
      <c r="F2461" t="s">
        <v>70</v>
      </c>
      <c r="G2461" s="9">
        <v>45013</v>
      </c>
      <c r="H2461" s="7"/>
      <c r="I2461" s="7">
        <v>19958.047999999999</v>
      </c>
      <c r="J2461" s="7"/>
      <c r="K2461" s="7"/>
      <c r="L2461" s="10">
        <v>7.5</v>
      </c>
      <c r="M2461" s="9">
        <v>45020</v>
      </c>
      <c r="N2461" s="10">
        <v>9.5</v>
      </c>
      <c r="O2461" s="9">
        <v>45029</v>
      </c>
      <c r="P2461">
        <v>14</v>
      </c>
      <c r="Q2461" s="11" t="s">
        <v>49</v>
      </c>
      <c r="R2461" s="7"/>
      <c r="S2461" s="7">
        <v>19958.047999999999</v>
      </c>
      <c r="T2461" s="7"/>
      <c r="U2461" s="7"/>
      <c r="V2461" s="10">
        <v>9.5</v>
      </c>
      <c r="W2461" s="9">
        <v>45022</v>
      </c>
      <c r="X2461" s="10">
        <v>11.5</v>
      </c>
      <c r="Y2461" s="9">
        <v>45029</v>
      </c>
      <c r="Z2461">
        <v>14</v>
      </c>
      <c r="AA2461" s="11" t="s">
        <v>49</v>
      </c>
    </row>
    <row r="2462" spans="2:27" ht="16" x14ac:dyDescent="0.2">
      <c r="B2462" t="s">
        <v>35</v>
      </c>
      <c r="C2462">
        <v>40360543</v>
      </c>
      <c r="D2462" t="s">
        <v>409</v>
      </c>
      <c r="E2462">
        <v>1012167</v>
      </c>
      <c r="F2462" t="s">
        <v>70</v>
      </c>
      <c r="G2462" s="9">
        <v>45014</v>
      </c>
      <c r="H2462" s="7"/>
      <c r="I2462" s="7">
        <v>19958.047999999999</v>
      </c>
      <c r="J2462" s="7"/>
      <c r="K2462" s="7"/>
      <c r="L2462" s="10">
        <v>7.5</v>
      </c>
      <c r="M2462" s="9">
        <v>45021</v>
      </c>
      <c r="N2462" s="10">
        <v>9.5</v>
      </c>
      <c r="O2462" s="9">
        <v>45030</v>
      </c>
      <c r="P2462">
        <v>13</v>
      </c>
      <c r="Q2462" s="11" t="s">
        <v>49</v>
      </c>
      <c r="R2462" s="7"/>
      <c r="S2462" s="7">
        <v>19958.047999999999</v>
      </c>
      <c r="T2462" s="7"/>
      <c r="U2462" s="7"/>
      <c r="V2462" s="10">
        <v>9.5</v>
      </c>
      <c r="W2462" s="9">
        <v>45023</v>
      </c>
      <c r="X2462" s="10">
        <v>11.5</v>
      </c>
      <c r="Y2462" s="9">
        <v>45030</v>
      </c>
      <c r="Z2462">
        <v>13</v>
      </c>
      <c r="AA2462" s="11" t="s">
        <v>49</v>
      </c>
    </row>
    <row r="2463" spans="2:27" x14ac:dyDescent="0.2">
      <c r="B2463" t="s">
        <v>394</v>
      </c>
      <c r="C2463">
        <v>40360535</v>
      </c>
      <c r="D2463" t="s">
        <v>485</v>
      </c>
      <c r="E2463">
        <v>1030817</v>
      </c>
      <c r="F2463" t="s">
        <v>504</v>
      </c>
      <c r="G2463" s="9">
        <v>44983</v>
      </c>
      <c r="H2463" s="7"/>
      <c r="I2463" s="7"/>
      <c r="J2463" s="7"/>
      <c r="K2463" s="7"/>
      <c r="L2463" s="10"/>
      <c r="N2463" s="10"/>
      <c r="Q2463" s="11"/>
      <c r="R2463" s="7"/>
      <c r="S2463" s="7"/>
      <c r="T2463" s="7"/>
      <c r="U2463" s="7"/>
      <c r="V2463" s="10"/>
      <c r="X2463" s="10"/>
      <c r="AA2463" s="11"/>
    </row>
    <row r="2464" spans="2:27" x14ac:dyDescent="0.2">
      <c r="B2464" t="s">
        <v>394</v>
      </c>
      <c r="C2464">
        <v>40360521</v>
      </c>
      <c r="D2464" t="s">
        <v>485</v>
      </c>
      <c r="E2464">
        <v>1020086</v>
      </c>
      <c r="F2464" t="s">
        <v>526</v>
      </c>
      <c r="G2464" s="9">
        <v>44981</v>
      </c>
      <c r="H2464" s="7"/>
      <c r="I2464" s="7"/>
      <c r="J2464" s="7"/>
      <c r="K2464" s="7"/>
      <c r="L2464" s="10"/>
      <c r="N2464" s="10"/>
      <c r="Q2464" s="11"/>
      <c r="R2464" s="7"/>
      <c r="S2464" s="7"/>
      <c r="T2464" s="7"/>
      <c r="U2464" s="7"/>
      <c r="V2464" s="10"/>
      <c r="X2464" s="10"/>
      <c r="AA2464" s="11"/>
    </row>
    <row r="2465" spans="2:27" x14ac:dyDescent="0.2">
      <c r="B2465" t="s">
        <v>394</v>
      </c>
      <c r="C2465">
        <v>40360521</v>
      </c>
      <c r="D2465" t="s">
        <v>485</v>
      </c>
      <c r="E2465">
        <v>1020086</v>
      </c>
      <c r="F2465" t="s">
        <v>526</v>
      </c>
      <c r="G2465" s="9">
        <v>44981</v>
      </c>
      <c r="H2465" s="7"/>
      <c r="I2465" s="7"/>
      <c r="J2465" s="7"/>
      <c r="K2465" s="7"/>
      <c r="L2465" s="10"/>
      <c r="N2465" s="10"/>
      <c r="Q2465" s="11"/>
      <c r="R2465" s="7"/>
      <c r="S2465" s="7"/>
      <c r="T2465" s="7"/>
      <c r="U2465" s="7"/>
      <c r="V2465" s="10"/>
      <c r="X2465" s="10"/>
      <c r="AA2465" s="11"/>
    </row>
    <row r="2466" spans="2:27" x14ac:dyDescent="0.2">
      <c r="B2466" t="s">
        <v>394</v>
      </c>
      <c r="C2466">
        <v>40360512</v>
      </c>
      <c r="D2466" t="s">
        <v>485</v>
      </c>
      <c r="E2466">
        <v>1020017</v>
      </c>
      <c r="F2466" t="s">
        <v>524</v>
      </c>
      <c r="G2466" s="9">
        <v>44987</v>
      </c>
      <c r="H2466" s="7">
        <v>17368.22</v>
      </c>
      <c r="I2466" s="7"/>
      <c r="J2466" s="7"/>
      <c r="K2466" s="7"/>
      <c r="L2466" s="10"/>
      <c r="N2466" s="10"/>
      <c r="Q2466" s="11"/>
      <c r="R2466" s="7">
        <v>17368.22</v>
      </c>
      <c r="S2466" s="7"/>
      <c r="T2466" s="7"/>
      <c r="U2466" s="7"/>
      <c r="V2466" s="10"/>
      <c r="X2466" s="10"/>
      <c r="AA2466" s="11"/>
    </row>
    <row r="2467" spans="2:27" x14ac:dyDescent="0.2">
      <c r="B2467" t="s">
        <v>394</v>
      </c>
      <c r="C2467">
        <v>40360512</v>
      </c>
      <c r="D2467" t="s">
        <v>485</v>
      </c>
      <c r="E2467">
        <v>1020017</v>
      </c>
      <c r="F2467" t="s">
        <v>524</v>
      </c>
      <c r="G2467" s="9">
        <v>44987</v>
      </c>
      <c r="H2467" s="7">
        <v>24004.63</v>
      </c>
      <c r="I2467" s="7"/>
      <c r="J2467" s="7"/>
      <c r="K2467" s="7"/>
      <c r="L2467" s="10"/>
      <c r="N2467" s="10"/>
      <c r="Q2467" s="11"/>
      <c r="R2467" s="7">
        <v>24004.63</v>
      </c>
      <c r="S2467" s="7"/>
      <c r="T2467" s="7"/>
      <c r="U2467" s="7"/>
      <c r="V2467" s="10"/>
      <c r="X2467" s="10"/>
      <c r="AA2467" s="11"/>
    </row>
    <row r="2468" spans="2:27" x14ac:dyDescent="0.2">
      <c r="B2468" t="s">
        <v>394</v>
      </c>
      <c r="C2468">
        <v>40360498</v>
      </c>
      <c r="D2468" t="s">
        <v>485</v>
      </c>
      <c r="E2468">
        <v>1012782</v>
      </c>
      <c r="F2468" t="s">
        <v>643</v>
      </c>
      <c r="G2468" s="9">
        <v>44983</v>
      </c>
      <c r="H2468" s="7"/>
      <c r="I2468" s="7"/>
      <c r="J2468" s="7"/>
      <c r="K2468" s="7"/>
      <c r="L2468" s="10"/>
      <c r="N2468" s="10"/>
      <c r="Q2468" s="11"/>
      <c r="R2468" s="7"/>
      <c r="S2468" s="7"/>
      <c r="T2468" s="7"/>
      <c r="U2468" s="7"/>
      <c r="V2468" s="10"/>
      <c r="X2468" s="10"/>
      <c r="AA2468" s="11"/>
    </row>
    <row r="2469" spans="2:27" x14ac:dyDescent="0.2">
      <c r="B2469" t="s">
        <v>394</v>
      </c>
      <c r="C2469">
        <v>40360498</v>
      </c>
      <c r="D2469" t="s">
        <v>485</v>
      </c>
      <c r="E2469">
        <v>1011290</v>
      </c>
      <c r="F2469" t="s">
        <v>624</v>
      </c>
      <c r="G2469" s="9">
        <v>44983</v>
      </c>
      <c r="H2469" s="7"/>
      <c r="I2469" s="7"/>
      <c r="J2469" s="7"/>
      <c r="K2469" s="7"/>
      <c r="L2469" s="10"/>
      <c r="N2469" s="10"/>
      <c r="Q2469" s="11"/>
      <c r="R2469" s="7"/>
      <c r="S2469" s="7"/>
      <c r="T2469" s="7"/>
      <c r="U2469" s="7"/>
      <c r="V2469" s="10"/>
      <c r="X2469" s="10"/>
      <c r="AA2469" s="11"/>
    </row>
    <row r="2470" spans="2:27" x14ac:dyDescent="0.2">
      <c r="B2470" t="s">
        <v>394</v>
      </c>
      <c r="C2470">
        <v>40359976</v>
      </c>
      <c r="D2470" t="s">
        <v>485</v>
      </c>
      <c r="E2470">
        <v>1011421</v>
      </c>
      <c r="F2470" t="s">
        <v>484</v>
      </c>
      <c r="G2470" s="9">
        <v>44976</v>
      </c>
      <c r="H2470" s="7"/>
      <c r="I2470" s="7"/>
      <c r="J2470" s="7"/>
      <c r="K2470" s="7"/>
      <c r="L2470" s="10"/>
      <c r="N2470" s="10"/>
      <c r="Q2470" s="11"/>
      <c r="R2470" s="7"/>
      <c r="S2470" s="7"/>
      <c r="T2470" s="7"/>
      <c r="U2470" s="7"/>
      <c r="V2470" s="10"/>
      <c r="X2470" s="10"/>
      <c r="AA2470" s="11"/>
    </row>
    <row r="2471" spans="2:27" x14ac:dyDescent="0.2">
      <c r="B2471" t="s">
        <v>394</v>
      </c>
      <c r="C2471">
        <v>40359975</v>
      </c>
      <c r="D2471" t="s">
        <v>485</v>
      </c>
      <c r="E2471">
        <v>1011421</v>
      </c>
      <c r="F2471" t="s">
        <v>484</v>
      </c>
      <c r="G2471" s="9">
        <v>44976</v>
      </c>
      <c r="H2471" s="7"/>
      <c r="I2471" s="7"/>
      <c r="J2471" s="7"/>
      <c r="K2471" s="7"/>
      <c r="L2471" s="10"/>
      <c r="N2471" s="10"/>
      <c r="Q2471" s="11"/>
      <c r="R2471" s="7"/>
      <c r="S2471" s="7"/>
      <c r="T2471" s="7"/>
      <c r="U2471" s="7"/>
      <c r="V2471" s="10"/>
      <c r="X2471" s="10"/>
      <c r="AA2471" s="11"/>
    </row>
    <row r="2472" spans="2:27" x14ac:dyDescent="0.2">
      <c r="B2472" t="s">
        <v>394</v>
      </c>
      <c r="C2472">
        <v>40359915</v>
      </c>
      <c r="D2472" t="s">
        <v>485</v>
      </c>
      <c r="E2472">
        <v>1021023</v>
      </c>
      <c r="F2472" t="s">
        <v>508</v>
      </c>
      <c r="G2472" s="9">
        <v>44989</v>
      </c>
      <c r="H2472" s="7">
        <v>23995.83</v>
      </c>
      <c r="I2472" s="7"/>
      <c r="J2472" s="7"/>
      <c r="K2472" s="7"/>
      <c r="L2472" s="10"/>
      <c r="N2472" s="10"/>
      <c r="Q2472" s="11"/>
      <c r="R2472" s="7">
        <v>23995.83</v>
      </c>
      <c r="S2472" s="7"/>
      <c r="T2472" s="7"/>
      <c r="U2472" s="7"/>
      <c r="V2472" s="10"/>
      <c r="X2472" s="10"/>
      <c r="AA2472" s="11"/>
    </row>
    <row r="2473" spans="2:27" x14ac:dyDescent="0.2">
      <c r="B2473" t="s">
        <v>394</v>
      </c>
      <c r="C2473">
        <v>40359914</v>
      </c>
      <c r="D2473" t="s">
        <v>485</v>
      </c>
      <c r="E2473">
        <v>1021023</v>
      </c>
      <c r="F2473" t="s">
        <v>508</v>
      </c>
      <c r="G2473" s="9">
        <v>44995</v>
      </c>
      <c r="H2473" s="7">
        <v>20001.93</v>
      </c>
      <c r="I2473" s="7"/>
      <c r="J2473" s="7"/>
      <c r="K2473" s="7"/>
      <c r="L2473" s="10"/>
      <c r="N2473" s="10"/>
      <c r="Q2473" s="11"/>
      <c r="R2473" s="7">
        <v>20001.93</v>
      </c>
      <c r="S2473" s="7"/>
      <c r="T2473" s="7"/>
      <c r="U2473" s="7"/>
      <c r="V2473" s="10"/>
      <c r="X2473" s="10"/>
      <c r="AA2473" s="11"/>
    </row>
    <row r="2474" spans="2:27" x14ac:dyDescent="0.2">
      <c r="B2474" t="s">
        <v>394</v>
      </c>
      <c r="C2474">
        <v>40359914</v>
      </c>
      <c r="D2474" t="s">
        <v>485</v>
      </c>
      <c r="E2474">
        <v>1021023</v>
      </c>
      <c r="F2474" t="s">
        <v>508</v>
      </c>
      <c r="G2474" s="9">
        <v>44995</v>
      </c>
      <c r="H2474" s="7">
        <v>23993.57</v>
      </c>
      <c r="I2474" s="7"/>
      <c r="J2474" s="7"/>
      <c r="K2474" s="7"/>
      <c r="L2474" s="10"/>
      <c r="N2474" s="10"/>
      <c r="Q2474" s="11"/>
      <c r="R2474" s="7">
        <v>23993.57</v>
      </c>
      <c r="S2474" s="7"/>
      <c r="T2474" s="7"/>
      <c r="U2474" s="7"/>
      <c r="V2474" s="10"/>
      <c r="X2474" s="10"/>
      <c r="AA2474" s="11"/>
    </row>
    <row r="2475" spans="2:27" x14ac:dyDescent="0.2">
      <c r="B2475" t="s">
        <v>394</v>
      </c>
      <c r="C2475">
        <v>40359913</v>
      </c>
      <c r="D2475" t="s">
        <v>485</v>
      </c>
      <c r="E2475">
        <v>1021023</v>
      </c>
      <c r="F2475" t="s">
        <v>508</v>
      </c>
      <c r="G2475" s="9">
        <v>44989</v>
      </c>
      <c r="H2475" s="7">
        <v>23903.14</v>
      </c>
      <c r="I2475" s="7"/>
      <c r="J2475" s="7"/>
      <c r="K2475" s="7"/>
      <c r="L2475" s="10"/>
      <c r="N2475" s="10"/>
      <c r="Q2475" s="11"/>
      <c r="R2475" s="7">
        <v>23903.14</v>
      </c>
      <c r="S2475" s="7"/>
      <c r="T2475" s="7"/>
      <c r="U2475" s="7"/>
      <c r="V2475" s="10"/>
      <c r="X2475" s="10"/>
      <c r="AA2475" s="11"/>
    </row>
    <row r="2476" spans="2:27" x14ac:dyDescent="0.2">
      <c r="B2476" t="s">
        <v>394</v>
      </c>
      <c r="C2476">
        <v>40359912</v>
      </c>
      <c r="D2476" t="s">
        <v>485</v>
      </c>
      <c r="E2476">
        <v>1021023</v>
      </c>
      <c r="F2476" t="s">
        <v>508</v>
      </c>
      <c r="G2476" s="9">
        <v>44984</v>
      </c>
      <c r="H2476" s="7"/>
      <c r="I2476" s="7"/>
      <c r="J2476" s="7"/>
      <c r="K2476" s="7"/>
      <c r="L2476" s="10"/>
      <c r="N2476" s="10"/>
      <c r="Q2476" s="11"/>
      <c r="R2476" s="7"/>
      <c r="S2476" s="7"/>
      <c r="T2476" s="7"/>
      <c r="U2476" s="7"/>
      <c r="V2476" s="10"/>
      <c r="X2476" s="10"/>
      <c r="AA2476" s="11"/>
    </row>
    <row r="2477" spans="2:27" x14ac:dyDescent="0.2">
      <c r="B2477" t="s">
        <v>394</v>
      </c>
      <c r="C2477">
        <v>40359470</v>
      </c>
      <c r="D2477" t="s">
        <v>485</v>
      </c>
      <c r="E2477">
        <v>1021078</v>
      </c>
      <c r="F2477" t="s">
        <v>536</v>
      </c>
      <c r="G2477" s="9">
        <v>44987</v>
      </c>
      <c r="H2477" s="7">
        <v>23995</v>
      </c>
      <c r="I2477" s="7"/>
      <c r="J2477" s="7"/>
      <c r="K2477" s="7"/>
      <c r="L2477" s="10"/>
      <c r="N2477" s="10"/>
      <c r="Q2477" s="11"/>
      <c r="R2477" s="7">
        <v>23995</v>
      </c>
      <c r="S2477" s="7"/>
      <c r="T2477" s="7"/>
      <c r="U2477" s="7"/>
      <c r="V2477" s="10"/>
      <c r="X2477" s="10"/>
      <c r="AA2477" s="11"/>
    </row>
    <row r="2478" spans="2:27" x14ac:dyDescent="0.2">
      <c r="B2478" t="s">
        <v>394</v>
      </c>
      <c r="C2478">
        <v>40359463</v>
      </c>
      <c r="D2478" t="s">
        <v>485</v>
      </c>
      <c r="E2478">
        <v>1020339</v>
      </c>
      <c r="F2478" t="s">
        <v>599</v>
      </c>
      <c r="G2478" s="9">
        <v>44980</v>
      </c>
      <c r="H2478" s="7"/>
      <c r="I2478" s="7"/>
      <c r="J2478" s="7"/>
      <c r="K2478" s="7"/>
      <c r="L2478" s="10"/>
      <c r="N2478" s="10"/>
      <c r="Q2478" s="11"/>
      <c r="R2478" s="7"/>
      <c r="S2478" s="7"/>
      <c r="T2478" s="7"/>
      <c r="U2478" s="7"/>
      <c r="V2478" s="10"/>
      <c r="X2478" s="10"/>
      <c r="AA2478" s="11"/>
    </row>
    <row r="2479" spans="2:27" x14ac:dyDescent="0.2">
      <c r="B2479" t="s">
        <v>394</v>
      </c>
      <c r="C2479">
        <v>40359462</v>
      </c>
      <c r="D2479" t="s">
        <v>485</v>
      </c>
      <c r="E2479">
        <v>1020886</v>
      </c>
      <c r="F2479" t="s">
        <v>609</v>
      </c>
      <c r="G2479" s="9">
        <v>44977</v>
      </c>
      <c r="H2479" s="7"/>
      <c r="I2479" s="7"/>
      <c r="J2479" s="7"/>
      <c r="K2479" s="7"/>
      <c r="L2479" s="10"/>
      <c r="N2479" s="10"/>
      <c r="Q2479" s="11"/>
      <c r="R2479" s="7"/>
      <c r="S2479" s="7"/>
      <c r="T2479" s="7"/>
      <c r="U2479" s="7"/>
      <c r="V2479" s="10"/>
      <c r="X2479" s="10"/>
      <c r="AA2479" s="11"/>
    </row>
    <row r="2480" spans="2:27" x14ac:dyDescent="0.2">
      <c r="B2480" t="s">
        <v>394</v>
      </c>
      <c r="C2480">
        <v>40359453</v>
      </c>
      <c r="D2480" t="s">
        <v>485</v>
      </c>
      <c r="E2480">
        <v>1022709</v>
      </c>
      <c r="F2480" t="s">
        <v>493</v>
      </c>
      <c r="G2480" s="9">
        <v>45002</v>
      </c>
      <c r="H2480" s="7">
        <v>23992.18</v>
      </c>
      <c r="I2480" s="7"/>
      <c r="J2480" s="7"/>
      <c r="K2480" s="7"/>
      <c r="L2480" s="10"/>
      <c r="N2480" s="10"/>
      <c r="Q2480" s="11"/>
      <c r="R2480" s="7">
        <v>23992.18</v>
      </c>
      <c r="S2480" s="7"/>
      <c r="T2480" s="7"/>
      <c r="U2480" s="7"/>
      <c r="V2480" s="10"/>
      <c r="X2480" s="10"/>
      <c r="AA2480" s="11"/>
    </row>
    <row r="2481" spans="2:27" x14ac:dyDescent="0.2">
      <c r="B2481" t="s">
        <v>394</v>
      </c>
      <c r="C2481">
        <v>40359452</v>
      </c>
      <c r="D2481" t="s">
        <v>485</v>
      </c>
      <c r="E2481">
        <v>1022709</v>
      </c>
      <c r="F2481" t="s">
        <v>493</v>
      </c>
      <c r="G2481" s="9">
        <v>45001</v>
      </c>
      <c r="H2481" s="7">
        <v>3737.81</v>
      </c>
      <c r="I2481" s="7"/>
      <c r="J2481" s="7"/>
      <c r="K2481" s="7"/>
      <c r="L2481" s="10"/>
      <c r="N2481" s="10"/>
      <c r="Q2481" s="11"/>
      <c r="R2481" s="7">
        <v>3737.81</v>
      </c>
      <c r="S2481" s="7"/>
      <c r="T2481" s="7"/>
      <c r="U2481" s="7"/>
      <c r="V2481" s="10"/>
      <c r="X2481" s="10"/>
      <c r="AA2481" s="11"/>
    </row>
    <row r="2482" spans="2:27" x14ac:dyDescent="0.2">
      <c r="B2482" t="s">
        <v>394</v>
      </c>
      <c r="C2482">
        <v>40359452</v>
      </c>
      <c r="D2482" t="s">
        <v>485</v>
      </c>
      <c r="E2482">
        <v>1022709</v>
      </c>
      <c r="F2482" t="s">
        <v>493</v>
      </c>
      <c r="G2482" s="9">
        <v>45001</v>
      </c>
      <c r="H2482" s="7">
        <v>24903.87</v>
      </c>
      <c r="I2482" s="7"/>
      <c r="J2482" s="7"/>
      <c r="K2482" s="7"/>
      <c r="L2482" s="10"/>
      <c r="N2482" s="10"/>
      <c r="Q2482" s="11"/>
      <c r="R2482" s="7">
        <v>24903.87</v>
      </c>
      <c r="S2482" s="7"/>
      <c r="T2482" s="7"/>
      <c r="U2482" s="7"/>
      <c r="V2482" s="10"/>
      <c r="X2482" s="10"/>
      <c r="AA2482" s="11"/>
    </row>
    <row r="2483" spans="2:27" x14ac:dyDescent="0.2">
      <c r="B2483" t="s">
        <v>394</v>
      </c>
      <c r="C2483">
        <v>40359451</v>
      </c>
      <c r="D2483" t="s">
        <v>485</v>
      </c>
      <c r="E2483">
        <v>1022709</v>
      </c>
      <c r="F2483" t="s">
        <v>493</v>
      </c>
      <c r="G2483" s="9">
        <v>45001</v>
      </c>
      <c r="H2483" s="7">
        <v>23252.880000000001</v>
      </c>
      <c r="I2483" s="7"/>
      <c r="J2483" s="7"/>
      <c r="K2483" s="7"/>
      <c r="L2483" s="10"/>
      <c r="N2483" s="10"/>
      <c r="Q2483" s="11"/>
      <c r="R2483" s="7">
        <v>23252.880000000001</v>
      </c>
      <c r="S2483" s="7"/>
      <c r="T2483" s="7"/>
      <c r="U2483" s="7"/>
      <c r="V2483" s="10"/>
      <c r="X2483" s="10"/>
      <c r="AA2483" s="11"/>
    </row>
    <row r="2484" spans="2:27" x14ac:dyDescent="0.2">
      <c r="B2484" t="s">
        <v>394</v>
      </c>
      <c r="C2484">
        <v>40359450</v>
      </c>
      <c r="D2484" t="s">
        <v>485</v>
      </c>
      <c r="E2484">
        <v>1022709</v>
      </c>
      <c r="F2484" t="s">
        <v>493</v>
      </c>
      <c r="G2484" s="9">
        <v>44995</v>
      </c>
      <c r="H2484" s="7">
        <v>23980.51</v>
      </c>
      <c r="I2484" s="7"/>
      <c r="J2484" s="7"/>
      <c r="K2484" s="7"/>
      <c r="L2484" s="10"/>
      <c r="N2484" s="10"/>
      <c r="Q2484" s="11"/>
      <c r="R2484" s="7">
        <v>23980.51</v>
      </c>
      <c r="S2484" s="7"/>
      <c r="T2484" s="7"/>
      <c r="U2484" s="7"/>
      <c r="V2484" s="10"/>
      <c r="X2484" s="10"/>
      <c r="AA2484" s="11"/>
    </row>
    <row r="2485" spans="2:27" x14ac:dyDescent="0.2">
      <c r="B2485" t="s">
        <v>394</v>
      </c>
      <c r="C2485">
        <v>40359396</v>
      </c>
      <c r="D2485" t="s">
        <v>485</v>
      </c>
      <c r="E2485">
        <v>1012719</v>
      </c>
      <c r="F2485" t="s">
        <v>545</v>
      </c>
      <c r="G2485" s="9">
        <v>44976</v>
      </c>
      <c r="H2485" s="7"/>
      <c r="I2485" s="7"/>
      <c r="J2485" s="7"/>
      <c r="K2485" s="7"/>
      <c r="L2485" s="10"/>
      <c r="N2485" s="10"/>
      <c r="Q2485" s="11"/>
      <c r="R2485" s="7"/>
      <c r="S2485" s="7"/>
      <c r="T2485" s="7"/>
      <c r="U2485" s="7"/>
      <c r="V2485" s="10"/>
      <c r="X2485" s="10"/>
      <c r="AA2485" s="11"/>
    </row>
    <row r="2486" spans="2:27" x14ac:dyDescent="0.2">
      <c r="B2486" t="s">
        <v>394</v>
      </c>
      <c r="C2486">
        <v>40359395</v>
      </c>
      <c r="D2486" t="s">
        <v>485</v>
      </c>
      <c r="E2486">
        <v>1012719</v>
      </c>
      <c r="F2486" t="s">
        <v>545</v>
      </c>
      <c r="G2486" s="9">
        <v>44977</v>
      </c>
      <c r="H2486" s="7"/>
      <c r="I2486" s="7"/>
      <c r="J2486" s="7"/>
      <c r="K2486" s="7"/>
      <c r="L2486" s="10"/>
      <c r="N2486" s="10"/>
      <c r="Q2486" s="11"/>
      <c r="R2486" s="7"/>
      <c r="S2486" s="7"/>
      <c r="T2486" s="7"/>
      <c r="U2486" s="7"/>
      <c r="V2486" s="10"/>
      <c r="X2486" s="10"/>
      <c r="AA2486" s="11"/>
    </row>
    <row r="2487" spans="2:27" x14ac:dyDescent="0.2">
      <c r="B2487" t="s">
        <v>394</v>
      </c>
      <c r="C2487">
        <v>40358849</v>
      </c>
      <c r="D2487" t="s">
        <v>485</v>
      </c>
      <c r="E2487">
        <v>1022150</v>
      </c>
      <c r="F2487" t="s">
        <v>500</v>
      </c>
      <c r="G2487" s="9">
        <v>44991</v>
      </c>
      <c r="H2487" s="7">
        <v>12999.82</v>
      </c>
      <c r="I2487" s="7"/>
      <c r="J2487" s="7"/>
      <c r="K2487" s="7"/>
      <c r="L2487" s="10"/>
      <c r="N2487" s="10"/>
      <c r="Q2487" s="11"/>
      <c r="R2487" s="7">
        <v>12999.82</v>
      </c>
      <c r="S2487" s="7"/>
      <c r="T2487" s="7"/>
      <c r="U2487" s="7"/>
      <c r="V2487" s="10"/>
      <c r="X2487" s="10"/>
      <c r="AA2487" s="11"/>
    </row>
    <row r="2488" spans="2:27" x14ac:dyDescent="0.2">
      <c r="B2488" t="s">
        <v>394</v>
      </c>
      <c r="C2488">
        <v>40358849</v>
      </c>
      <c r="D2488" t="s">
        <v>485</v>
      </c>
      <c r="E2488">
        <v>1022149</v>
      </c>
      <c r="F2488" t="s">
        <v>537</v>
      </c>
      <c r="G2488" s="9">
        <v>44991</v>
      </c>
      <c r="H2488" s="7">
        <v>10979.26</v>
      </c>
      <c r="I2488" s="7"/>
      <c r="J2488" s="7"/>
      <c r="K2488" s="7"/>
      <c r="L2488" s="10"/>
      <c r="N2488" s="10"/>
      <c r="Q2488" s="11"/>
      <c r="R2488" s="7">
        <v>10979.26</v>
      </c>
      <c r="S2488" s="7"/>
      <c r="T2488" s="7"/>
      <c r="U2488" s="7"/>
      <c r="V2488" s="10"/>
      <c r="X2488" s="10"/>
      <c r="AA2488" s="11"/>
    </row>
    <row r="2489" spans="2:27" ht="16" x14ac:dyDescent="0.2">
      <c r="B2489" t="s">
        <v>35</v>
      </c>
      <c r="C2489">
        <v>40358671</v>
      </c>
      <c r="D2489" t="s">
        <v>386</v>
      </c>
      <c r="E2489">
        <v>1022304</v>
      </c>
      <c r="F2489" t="s">
        <v>538</v>
      </c>
      <c r="G2489" s="9">
        <v>44997</v>
      </c>
      <c r="H2489" s="7">
        <v>7563.04</v>
      </c>
      <c r="I2489" s="7"/>
      <c r="J2489" s="7"/>
      <c r="K2489" s="7"/>
      <c r="L2489" s="10">
        <v>5.1420118343195256</v>
      </c>
      <c r="M2489" s="9">
        <v>45002</v>
      </c>
      <c r="N2489" s="10">
        <v>7.5</v>
      </c>
      <c r="O2489" s="9">
        <v>45009</v>
      </c>
      <c r="P2489">
        <v>6</v>
      </c>
      <c r="Q2489" s="11" t="s">
        <v>49</v>
      </c>
      <c r="R2489" s="7">
        <v>7563.04</v>
      </c>
      <c r="S2489" s="7"/>
      <c r="T2489" s="7"/>
      <c r="U2489" s="7"/>
      <c r="V2489" s="10">
        <v>7.1420118343195256</v>
      </c>
      <c r="W2489" s="9">
        <v>45004</v>
      </c>
      <c r="X2489" s="10">
        <v>9.5</v>
      </c>
      <c r="Y2489" s="9">
        <v>45009</v>
      </c>
      <c r="Z2489">
        <v>6</v>
      </c>
      <c r="AA2489" s="11" t="s">
        <v>49</v>
      </c>
    </row>
    <row r="2490" spans="2:27" ht="16" x14ac:dyDescent="0.2">
      <c r="B2490" t="s">
        <v>35</v>
      </c>
      <c r="C2490">
        <v>40358671</v>
      </c>
      <c r="D2490" t="s">
        <v>386</v>
      </c>
      <c r="E2490">
        <v>1022304</v>
      </c>
      <c r="F2490" t="s">
        <v>538</v>
      </c>
      <c r="G2490" s="9">
        <v>44997</v>
      </c>
      <c r="H2490" s="7">
        <v>20007.759999999998</v>
      </c>
      <c r="I2490" s="7"/>
      <c r="J2490" s="7"/>
      <c r="K2490" s="7"/>
      <c r="L2490" s="10">
        <v>5.1420118343195256</v>
      </c>
      <c r="M2490" s="9">
        <v>45002</v>
      </c>
      <c r="N2490" s="10">
        <v>7.5</v>
      </c>
      <c r="O2490" s="9">
        <v>45009</v>
      </c>
      <c r="P2490">
        <v>6</v>
      </c>
      <c r="Q2490" s="11" t="s">
        <v>49</v>
      </c>
      <c r="R2490" s="7">
        <v>20007.759999999998</v>
      </c>
      <c r="S2490" s="7"/>
      <c r="T2490" s="7"/>
      <c r="U2490" s="7"/>
      <c r="V2490" s="10">
        <v>7.1420118343195256</v>
      </c>
      <c r="W2490" s="9">
        <v>45004</v>
      </c>
      <c r="X2490" s="10">
        <v>9.5</v>
      </c>
      <c r="Y2490" s="9">
        <v>45009</v>
      </c>
      <c r="Z2490">
        <v>6</v>
      </c>
      <c r="AA2490" s="11" t="s">
        <v>49</v>
      </c>
    </row>
    <row r="2491" spans="2:27" ht="16" x14ac:dyDescent="0.2">
      <c r="B2491" t="s">
        <v>35</v>
      </c>
      <c r="C2491">
        <v>40358667</v>
      </c>
      <c r="D2491" t="s">
        <v>409</v>
      </c>
      <c r="E2491">
        <v>1012522</v>
      </c>
      <c r="F2491" t="s">
        <v>115</v>
      </c>
      <c r="G2491" s="9">
        <v>44997</v>
      </c>
      <c r="H2491" s="7">
        <v>18143.68</v>
      </c>
      <c r="I2491" s="7"/>
      <c r="J2491" s="7"/>
      <c r="K2491" s="7"/>
      <c r="L2491" s="10">
        <v>7.5</v>
      </c>
      <c r="M2491" s="9">
        <v>45004</v>
      </c>
      <c r="N2491" s="10">
        <v>9.5</v>
      </c>
      <c r="O2491" s="9">
        <v>45013</v>
      </c>
      <c r="P2491">
        <v>3</v>
      </c>
      <c r="Q2491" s="11" t="s">
        <v>49</v>
      </c>
      <c r="R2491" s="7">
        <v>18143.68</v>
      </c>
      <c r="S2491" s="7"/>
      <c r="T2491" s="7"/>
      <c r="U2491" s="7"/>
      <c r="V2491" s="10">
        <v>9.5</v>
      </c>
      <c r="W2491" s="9">
        <v>45006</v>
      </c>
      <c r="X2491" s="10">
        <v>11.5</v>
      </c>
      <c r="Y2491" s="9">
        <v>45013</v>
      </c>
      <c r="Z2491">
        <v>3</v>
      </c>
      <c r="AA2491" s="11" t="s">
        <v>49</v>
      </c>
    </row>
    <row r="2492" spans="2:27" ht="16" x14ac:dyDescent="0.2">
      <c r="B2492" t="s">
        <v>35</v>
      </c>
      <c r="C2492">
        <v>40358666</v>
      </c>
      <c r="D2492" t="s">
        <v>409</v>
      </c>
      <c r="E2492">
        <v>1012522</v>
      </c>
      <c r="F2492" t="s">
        <v>115</v>
      </c>
      <c r="G2492" s="9">
        <v>44996</v>
      </c>
      <c r="H2492" s="7">
        <v>18143.68</v>
      </c>
      <c r="I2492" s="7"/>
      <c r="J2492" s="7"/>
      <c r="K2492" s="7"/>
      <c r="L2492" s="10">
        <v>7.5</v>
      </c>
      <c r="M2492" s="9">
        <v>45003</v>
      </c>
      <c r="N2492" s="10">
        <v>9.5</v>
      </c>
      <c r="O2492" s="9">
        <v>45012</v>
      </c>
      <c r="P2492">
        <v>4</v>
      </c>
      <c r="Q2492" s="11" t="s">
        <v>49</v>
      </c>
      <c r="R2492" s="7">
        <v>18143.68</v>
      </c>
      <c r="S2492" s="7"/>
      <c r="T2492" s="7"/>
      <c r="U2492" s="7"/>
      <c r="V2492" s="10">
        <v>9.5</v>
      </c>
      <c r="W2492" s="9">
        <v>45005</v>
      </c>
      <c r="X2492" s="10">
        <v>11.5</v>
      </c>
      <c r="Y2492" s="9">
        <v>45012</v>
      </c>
      <c r="Z2492">
        <v>4</v>
      </c>
      <c r="AA2492" s="11" t="s">
        <v>49</v>
      </c>
    </row>
    <row r="2493" spans="2:27" ht="16" x14ac:dyDescent="0.2">
      <c r="B2493" t="s">
        <v>35</v>
      </c>
      <c r="C2493">
        <v>40358662</v>
      </c>
      <c r="D2493" t="s">
        <v>391</v>
      </c>
      <c r="E2493">
        <v>1022767</v>
      </c>
      <c r="F2493" t="s">
        <v>465</v>
      </c>
      <c r="G2493" s="9">
        <v>45005</v>
      </c>
      <c r="H2493" s="7"/>
      <c r="I2493" s="7">
        <v>24000</v>
      </c>
      <c r="J2493" s="7"/>
      <c r="K2493" s="7"/>
      <c r="L2493" s="10">
        <v>4.830303030303031</v>
      </c>
      <c r="M2493" s="9">
        <v>45009</v>
      </c>
      <c r="N2493" s="10">
        <v>15</v>
      </c>
      <c r="O2493" s="9">
        <v>45024</v>
      </c>
      <c r="P2493">
        <v>18</v>
      </c>
      <c r="Q2493" s="11" t="s">
        <v>49</v>
      </c>
      <c r="R2493" s="7"/>
      <c r="S2493" s="7">
        <v>24000</v>
      </c>
      <c r="T2493" s="7"/>
      <c r="U2493" s="7"/>
      <c r="V2493" s="10">
        <v>6.830303030303031</v>
      </c>
      <c r="W2493" s="9">
        <v>45011</v>
      </c>
      <c r="X2493" s="10">
        <v>17</v>
      </c>
      <c r="Y2493" s="9">
        <v>45024</v>
      </c>
      <c r="Z2493">
        <v>18</v>
      </c>
      <c r="AA2493" s="11" t="s">
        <v>49</v>
      </c>
    </row>
    <row r="2494" spans="2:27" ht="16" x14ac:dyDescent="0.2">
      <c r="B2494" t="s">
        <v>35</v>
      </c>
      <c r="C2494">
        <v>40358658</v>
      </c>
      <c r="D2494" t="s">
        <v>391</v>
      </c>
      <c r="E2494">
        <v>1021931</v>
      </c>
      <c r="F2494" t="s">
        <v>189</v>
      </c>
      <c r="G2494" s="9">
        <v>45018</v>
      </c>
      <c r="H2494" s="7"/>
      <c r="I2494" s="7">
        <v>2005.52</v>
      </c>
      <c r="J2494" s="7"/>
      <c r="K2494" s="7"/>
      <c r="L2494" s="10">
        <v>4.830303030303031</v>
      </c>
      <c r="M2494" s="9">
        <v>45022</v>
      </c>
      <c r="N2494" s="10">
        <v>15</v>
      </c>
      <c r="O2494" s="9">
        <v>45037</v>
      </c>
      <c r="P2494">
        <v>7</v>
      </c>
      <c r="Q2494" s="11" t="s">
        <v>49</v>
      </c>
      <c r="R2494" s="7"/>
      <c r="S2494" s="7">
        <v>2005.52</v>
      </c>
      <c r="T2494" s="7"/>
      <c r="U2494" s="7"/>
      <c r="V2494" s="10">
        <v>6.830303030303031</v>
      </c>
      <c r="W2494" s="9">
        <v>45024</v>
      </c>
      <c r="X2494" s="10">
        <v>17</v>
      </c>
      <c r="Y2494" s="9">
        <v>45037</v>
      </c>
      <c r="Z2494">
        <v>7</v>
      </c>
      <c r="AA2494" s="11" t="s">
        <v>49</v>
      </c>
    </row>
    <row r="2495" spans="2:27" ht="16" x14ac:dyDescent="0.2">
      <c r="B2495" t="s">
        <v>35</v>
      </c>
      <c r="C2495">
        <v>40358657</v>
      </c>
      <c r="D2495" t="s">
        <v>391</v>
      </c>
      <c r="E2495">
        <v>1022413</v>
      </c>
      <c r="F2495" t="s">
        <v>434</v>
      </c>
      <c r="G2495" s="9">
        <v>45018</v>
      </c>
      <c r="H2495" s="7"/>
      <c r="I2495" s="7">
        <v>3000</v>
      </c>
      <c r="J2495" s="7"/>
      <c r="K2495" s="7"/>
      <c r="L2495" s="10">
        <v>4.830303030303031</v>
      </c>
      <c r="M2495" s="9">
        <v>45022</v>
      </c>
      <c r="N2495" s="10">
        <v>15</v>
      </c>
      <c r="O2495" s="9">
        <v>45037</v>
      </c>
      <c r="P2495">
        <v>7</v>
      </c>
      <c r="Q2495" s="11" t="s">
        <v>49</v>
      </c>
      <c r="R2495" s="7"/>
      <c r="S2495" s="7">
        <v>3000</v>
      </c>
      <c r="T2495" s="7"/>
      <c r="U2495" s="7"/>
      <c r="V2495" s="10">
        <v>6.830303030303031</v>
      </c>
      <c r="W2495" s="9">
        <v>45024</v>
      </c>
      <c r="X2495" s="10">
        <v>17</v>
      </c>
      <c r="Y2495" s="9">
        <v>45037</v>
      </c>
      <c r="Z2495">
        <v>7</v>
      </c>
      <c r="AA2495" s="11" t="s">
        <v>49</v>
      </c>
    </row>
    <row r="2496" spans="2:27" ht="16" x14ac:dyDescent="0.2">
      <c r="B2496" t="s">
        <v>35</v>
      </c>
      <c r="C2496">
        <v>40358656</v>
      </c>
      <c r="D2496" t="s">
        <v>391</v>
      </c>
      <c r="E2496">
        <v>1023123</v>
      </c>
      <c r="F2496" t="s">
        <v>345</v>
      </c>
      <c r="G2496" s="9">
        <v>45018</v>
      </c>
      <c r="H2496" s="7"/>
      <c r="I2496" s="7">
        <v>2006.02</v>
      </c>
      <c r="J2496" s="7"/>
      <c r="K2496" s="7"/>
      <c r="L2496" s="10">
        <v>4.830303030303031</v>
      </c>
      <c r="M2496" s="9">
        <v>45022</v>
      </c>
      <c r="N2496" s="10">
        <v>15</v>
      </c>
      <c r="O2496" s="9">
        <v>45037</v>
      </c>
      <c r="P2496">
        <v>7</v>
      </c>
      <c r="Q2496" s="11" t="s">
        <v>49</v>
      </c>
      <c r="R2496" s="7"/>
      <c r="S2496" s="7">
        <v>2006.02</v>
      </c>
      <c r="T2496" s="7"/>
      <c r="U2496" s="7"/>
      <c r="V2496" s="10">
        <v>6.830303030303031</v>
      </c>
      <c r="W2496" s="9">
        <v>45024</v>
      </c>
      <c r="X2496" s="10">
        <v>17</v>
      </c>
      <c r="Y2496" s="9">
        <v>45037</v>
      </c>
      <c r="Z2496">
        <v>7</v>
      </c>
      <c r="AA2496" s="11" t="s">
        <v>49</v>
      </c>
    </row>
    <row r="2497" spans="2:27" ht="16" x14ac:dyDescent="0.2">
      <c r="B2497" t="s">
        <v>35</v>
      </c>
      <c r="C2497">
        <v>40358656</v>
      </c>
      <c r="D2497" t="s">
        <v>391</v>
      </c>
      <c r="E2497">
        <v>1022975</v>
      </c>
      <c r="F2497" t="s">
        <v>433</v>
      </c>
      <c r="G2497" s="9">
        <v>45018</v>
      </c>
      <c r="H2497" s="7"/>
      <c r="I2497" s="7">
        <v>3000</v>
      </c>
      <c r="J2497" s="7"/>
      <c r="K2497" s="7"/>
      <c r="L2497" s="10">
        <v>4.830303030303031</v>
      </c>
      <c r="M2497" s="9">
        <v>45022</v>
      </c>
      <c r="N2497" s="10">
        <v>15</v>
      </c>
      <c r="O2497" s="9">
        <v>45037</v>
      </c>
      <c r="P2497">
        <v>7</v>
      </c>
      <c r="Q2497" s="11" t="s">
        <v>49</v>
      </c>
      <c r="R2497" s="7"/>
      <c r="S2497" s="7">
        <v>3000</v>
      </c>
      <c r="T2497" s="7"/>
      <c r="U2497" s="7"/>
      <c r="V2497" s="10">
        <v>6.830303030303031</v>
      </c>
      <c r="W2497" s="9">
        <v>45024</v>
      </c>
      <c r="X2497" s="10">
        <v>17</v>
      </c>
      <c r="Y2497" s="9">
        <v>45037</v>
      </c>
      <c r="Z2497">
        <v>7</v>
      </c>
      <c r="AA2497" s="11" t="s">
        <v>49</v>
      </c>
    </row>
    <row r="2498" spans="2:27" ht="16" x14ac:dyDescent="0.2">
      <c r="B2498" t="s">
        <v>35</v>
      </c>
      <c r="C2498">
        <v>40358656</v>
      </c>
      <c r="D2498" t="s">
        <v>391</v>
      </c>
      <c r="E2498">
        <v>1022865</v>
      </c>
      <c r="F2498" t="s">
        <v>343</v>
      </c>
      <c r="G2498" s="9">
        <v>45018</v>
      </c>
      <c r="H2498" s="7"/>
      <c r="I2498" s="7">
        <v>10016.99</v>
      </c>
      <c r="J2498" s="7"/>
      <c r="K2498" s="7"/>
      <c r="L2498" s="10">
        <v>4.830303030303031</v>
      </c>
      <c r="M2498" s="9">
        <v>45022</v>
      </c>
      <c r="N2498" s="10">
        <v>15</v>
      </c>
      <c r="O2498" s="9">
        <v>45037</v>
      </c>
      <c r="P2498">
        <v>7</v>
      </c>
      <c r="Q2498" s="11" t="s">
        <v>49</v>
      </c>
      <c r="R2498" s="7"/>
      <c r="S2498" s="7">
        <v>10016.99</v>
      </c>
      <c r="T2498" s="7"/>
      <c r="U2498" s="7"/>
      <c r="V2498" s="10">
        <v>6.830303030303031</v>
      </c>
      <c r="W2498" s="9">
        <v>45024</v>
      </c>
      <c r="X2498" s="10">
        <v>17</v>
      </c>
      <c r="Y2498" s="9">
        <v>45037</v>
      </c>
      <c r="Z2498">
        <v>7</v>
      </c>
      <c r="AA2498" s="11" t="s">
        <v>49</v>
      </c>
    </row>
    <row r="2499" spans="2:27" ht="16" x14ac:dyDescent="0.2">
      <c r="B2499" t="s">
        <v>35</v>
      </c>
      <c r="C2499">
        <v>40358656</v>
      </c>
      <c r="D2499" t="s">
        <v>391</v>
      </c>
      <c r="E2499">
        <v>1022398</v>
      </c>
      <c r="F2499" t="s">
        <v>431</v>
      </c>
      <c r="G2499" s="9">
        <v>45018</v>
      </c>
      <c r="H2499" s="7"/>
      <c r="I2499" s="7">
        <v>2009.11</v>
      </c>
      <c r="J2499" s="7"/>
      <c r="K2499" s="7"/>
      <c r="L2499" s="10">
        <v>4.830303030303031</v>
      </c>
      <c r="M2499" s="9">
        <v>45022</v>
      </c>
      <c r="N2499" s="10">
        <v>15</v>
      </c>
      <c r="O2499" s="9">
        <v>45037</v>
      </c>
      <c r="P2499">
        <v>7</v>
      </c>
      <c r="Q2499" s="11" t="s">
        <v>49</v>
      </c>
      <c r="R2499" s="7"/>
      <c r="S2499" s="7">
        <v>2009.11</v>
      </c>
      <c r="T2499" s="7"/>
      <c r="U2499" s="7"/>
      <c r="V2499" s="10">
        <v>6.830303030303031</v>
      </c>
      <c r="W2499" s="9">
        <v>45024</v>
      </c>
      <c r="X2499" s="10">
        <v>17</v>
      </c>
      <c r="Y2499" s="9">
        <v>45037</v>
      </c>
      <c r="Z2499">
        <v>7</v>
      </c>
      <c r="AA2499" s="11" t="s">
        <v>49</v>
      </c>
    </row>
    <row r="2500" spans="2:27" ht="16" x14ac:dyDescent="0.2">
      <c r="B2500" t="s">
        <v>35</v>
      </c>
      <c r="C2500">
        <v>40358647</v>
      </c>
      <c r="D2500" t="s">
        <v>391</v>
      </c>
      <c r="E2500">
        <v>1021931</v>
      </c>
      <c r="F2500" t="s">
        <v>189</v>
      </c>
      <c r="G2500" s="9">
        <v>45018</v>
      </c>
      <c r="H2500" s="7"/>
      <c r="I2500" s="7">
        <v>2003.47</v>
      </c>
      <c r="J2500" s="7"/>
      <c r="K2500" s="7"/>
      <c r="L2500" s="10">
        <v>4.830303030303031</v>
      </c>
      <c r="M2500" s="9">
        <v>45022</v>
      </c>
      <c r="N2500" s="10">
        <v>15</v>
      </c>
      <c r="O2500" s="9">
        <v>45037</v>
      </c>
      <c r="P2500">
        <v>7</v>
      </c>
      <c r="Q2500" s="11" t="s">
        <v>49</v>
      </c>
      <c r="R2500" s="7"/>
      <c r="S2500" s="7">
        <v>2003.47</v>
      </c>
      <c r="T2500" s="7"/>
      <c r="U2500" s="7"/>
      <c r="V2500" s="10">
        <v>6.830303030303031</v>
      </c>
      <c r="W2500" s="9">
        <v>45024</v>
      </c>
      <c r="X2500" s="10">
        <v>17</v>
      </c>
      <c r="Y2500" s="9">
        <v>45037</v>
      </c>
      <c r="Z2500">
        <v>7</v>
      </c>
      <c r="AA2500" s="11" t="s">
        <v>49</v>
      </c>
    </row>
    <row r="2501" spans="2:27" ht="16" x14ac:dyDescent="0.2">
      <c r="B2501" t="s">
        <v>35</v>
      </c>
      <c r="C2501">
        <v>40358646</v>
      </c>
      <c r="D2501" t="s">
        <v>391</v>
      </c>
      <c r="E2501">
        <v>1022413</v>
      </c>
      <c r="F2501" t="s">
        <v>434</v>
      </c>
      <c r="G2501" s="9">
        <v>45018</v>
      </c>
      <c r="H2501" s="7"/>
      <c r="I2501" s="7">
        <v>3008</v>
      </c>
      <c r="J2501" s="7"/>
      <c r="K2501" s="7"/>
      <c r="L2501" s="10">
        <v>4.830303030303031</v>
      </c>
      <c r="M2501" s="9">
        <v>45022</v>
      </c>
      <c r="N2501" s="10">
        <v>15</v>
      </c>
      <c r="O2501" s="9">
        <v>45037</v>
      </c>
      <c r="P2501">
        <v>7</v>
      </c>
      <c r="Q2501" s="11" t="s">
        <v>49</v>
      </c>
      <c r="R2501" s="7"/>
      <c r="S2501" s="7">
        <v>3008</v>
      </c>
      <c r="T2501" s="7"/>
      <c r="U2501" s="7"/>
      <c r="V2501" s="10">
        <v>6.830303030303031</v>
      </c>
      <c r="W2501" s="9">
        <v>45024</v>
      </c>
      <c r="X2501" s="10">
        <v>17</v>
      </c>
      <c r="Y2501" s="9">
        <v>45037</v>
      </c>
      <c r="Z2501">
        <v>7</v>
      </c>
      <c r="AA2501" s="11" t="s">
        <v>49</v>
      </c>
    </row>
    <row r="2502" spans="2:27" ht="16" x14ac:dyDescent="0.2">
      <c r="B2502" t="s">
        <v>35</v>
      </c>
      <c r="C2502">
        <v>40358646</v>
      </c>
      <c r="D2502" t="s">
        <v>391</v>
      </c>
      <c r="E2502">
        <v>1021987</v>
      </c>
      <c r="F2502" t="s">
        <v>435</v>
      </c>
      <c r="G2502" s="9">
        <v>45018</v>
      </c>
      <c r="H2502" s="7"/>
      <c r="I2502" s="7">
        <v>2010</v>
      </c>
      <c r="J2502" s="7"/>
      <c r="K2502" s="7"/>
      <c r="L2502" s="10">
        <v>4.830303030303031</v>
      </c>
      <c r="M2502" s="9">
        <v>45022</v>
      </c>
      <c r="N2502" s="10">
        <v>15</v>
      </c>
      <c r="O2502" s="9">
        <v>45037</v>
      </c>
      <c r="P2502">
        <v>7</v>
      </c>
      <c r="Q2502" s="11" t="s">
        <v>49</v>
      </c>
      <c r="R2502" s="7"/>
      <c r="S2502" s="7">
        <v>2010</v>
      </c>
      <c r="T2502" s="7"/>
      <c r="U2502" s="7"/>
      <c r="V2502" s="10">
        <v>6.830303030303031</v>
      </c>
      <c r="W2502" s="9">
        <v>45024</v>
      </c>
      <c r="X2502" s="10">
        <v>17</v>
      </c>
      <c r="Y2502" s="9">
        <v>45037</v>
      </c>
      <c r="Z2502">
        <v>7</v>
      </c>
      <c r="AA2502" s="11" t="s">
        <v>49</v>
      </c>
    </row>
    <row r="2503" spans="2:27" ht="16" x14ac:dyDescent="0.2">
      <c r="B2503" t="s">
        <v>35</v>
      </c>
      <c r="C2503">
        <v>40358645</v>
      </c>
      <c r="D2503" t="s">
        <v>391</v>
      </c>
      <c r="E2503">
        <v>1022621</v>
      </c>
      <c r="F2503" t="s">
        <v>199</v>
      </c>
      <c r="G2503" s="9">
        <v>45018</v>
      </c>
      <c r="H2503" s="7"/>
      <c r="I2503" s="7">
        <v>3001.01</v>
      </c>
      <c r="J2503" s="7"/>
      <c r="K2503" s="7"/>
      <c r="L2503" s="10">
        <v>4.830303030303031</v>
      </c>
      <c r="M2503" s="9">
        <v>45022</v>
      </c>
      <c r="N2503" s="10">
        <v>15</v>
      </c>
      <c r="O2503" s="9">
        <v>45037</v>
      </c>
      <c r="P2503">
        <v>7</v>
      </c>
      <c r="Q2503" s="11" t="s">
        <v>49</v>
      </c>
      <c r="R2503" s="7"/>
      <c r="S2503" s="7">
        <v>3001.01</v>
      </c>
      <c r="T2503" s="7"/>
      <c r="U2503" s="7"/>
      <c r="V2503" s="10">
        <v>6.830303030303031</v>
      </c>
      <c r="W2503" s="9">
        <v>45024</v>
      </c>
      <c r="X2503" s="10">
        <v>17</v>
      </c>
      <c r="Y2503" s="9">
        <v>45037</v>
      </c>
      <c r="Z2503">
        <v>7</v>
      </c>
      <c r="AA2503" s="11" t="s">
        <v>49</v>
      </c>
    </row>
    <row r="2504" spans="2:27" ht="16" x14ac:dyDescent="0.2">
      <c r="B2504" t="s">
        <v>35</v>
      </c>
      <c r="C2504">
        <v>40358645</v>
      </c>
      <c r="D2504" t="s">
        <v>391</v>
      </c>
      <c r="E2504">
        <v>1022751</v>
      </c>
      <c r="F2504" t="s">
        <v>36</v>
      </c>
      <c r="G2504" s="9">
        <v>45018</v>
      </c>
      <c r="H2504" s="7"/>
      <c r="I2504" s="7">
        <v>2016</v>
      </c>
      <c r="J2504" s="7"/>
      <c r="K2504" s="7"/>
      <c r="L2504" s="10">
        <v>4.830303030303031</v>
      </c>
      <c r="M2504" s="9">
        <v>45022</v>
      </c>
      <c r="N2504" s="10">
        <v>15</v>
      </c>
      <c r="O2504" s="9">
        <v>45037</v>
      </c>
      <c r="P2504">
        <v>7</v>
      </c>
      <c r="Q2504" s="11" t="s">
        <v>49</v>
      </c>
      <c r="R2504" s="7"/>
      <c r="S2504" s="7">
        <v>2016</v>
      </c>
      <c r="T2504" s="7"/>
      <c r="U2504" s="7"/>
      <c r="V2504" s="10">
        <v>6.830303030303031</v>
      </c>
      <c r="W2504" s="9">
        <v>45024</v>
      </c>
      <c r="X2504" s="10">
        <v>17</v>
      </c>
      <c r="Y2504" s="9">
        <v>45037</v>
      </c>
      <c r="Z2504">
        <v>7</v>
      </c>
      <c r="AA2504" s="11" t="s">
        <v>49</v>
      </c>
    </row>
    <row r="2505" spans="2:27" ht="16" x14ac:dyDescent="0.2">
      <c r="B2505" t="s">
        <v>35</v>
      </c>
      <c r="C2505">
        <v>40358645</v>
      </c>
      <c r="D2505" t="s">
        <v>391</v>
      </c>
      <c r="E2505">
        <v>1022863</v>
      </c>
      <c r="F2505" t="s">
        <v>201</v>
      </c>
      <c r="G2505" s="9">
        <v>45018</v>
      </c>
      <c r="H2505" s="7"/>
      <c r="I2505" s="7">
        <v>6034.76</v>
      </c>
      <c r="J2505" s="7"/>
      <c r="K2505" s="7"/>
      <c r="L2505" s="10">
        <v>4.830303030303031</v>
      </c>
      <c r="M2505" s="9">
        <v>45022</v>
      </c>
      <c r="N2505" s="10">
        <v>15</v>
      </c>
      <c r="O2505" s="9">
        <v>45037</v>
      </c>
      <c r="P2505">
        <v>7</v>
      </c>
      <c r="Q2505" s="11" t="s">
        <v>49</v>
      </c>
      <c r="R2505" s="7"/>
      <c r="S2505" s="7">
        <v>6034.76</v>
      </c>
      <c r="T2505" s="7"/>
      <c r="U2505" s="7"/>
      <c r="V2505" s="10">
        <v>6.830303030303031</v>
      </c>
      <c r="W2505" s="9">
        <v>45024</v>
      </c>
      <c r="X2505" s="10">
        <v>17</v>
      </c>
      <c r="Y2505" s="9">
        <v>45037</v>
      </c>
      <c r="Z2505">
        <v>7</v>
      </c>
      <c r="AA2505" s="11" t="s">
        <v>49</v>
      </c>
    </row>
    <row r="2506" spans="2:27" ht="16" x14ac:dyDescent="0.2">
      <c r="B2506" t="s">
        <v>35</v>
      </c>
      <c r="C2506">
        <v>40358645</v>
      </c>
      <c r="D2506" t="s">
        <v>391</v>
      </c>
      <c r="E2506">
        <v>1022865</v>
      </c>
      <c r="F2506" t="s">
        <v>343</v>
      </c>
      <c r="G2506" s="9">
        <v>45018</v>
      </c>
      <c r="H2506" s="7"/>
      <c r="I2506" s="7">
        <v>3999.45</v>
      </c>
      <c r="J2506" s="7"/>
      <c r="K2506" s="7"/>
      <c r="L2506" s="10">
        <v>4.830303030303031</v>
      </c>
      <c r="M2506" s="9">
        <v>45022</v>
      </c>
      <c r="N2506" s="10">
        <v>15</v>
      </c>
      <c r="O2506" s="9">
        <v>45037</v>
      </c>
      <c r="P2506">
        <v>7</v>
      </c>
      <c r="Q2506" s="11" t="s">
        <v>49</v>
      </c>
      <c r="R2506" s="7"/>
      <c r="S2506" s="7">
        <v>3999.45</v>
      </c>
      <c r="T2506" s="7"/>
      <c r="U2506" s="7"/>
      <c r="V2506" s="10">
        <v>6.830303030303031</v>
      </c>
      <c r="W2506" s="9">
        <v>45024</v>
      </c>
      <c r="X2506" s="10">
        <v>17</v>
      </c>
      <c r="Y2506" s="9">
        <v>45037</v>
      </c>
      <c r="Z2506">
        <v>7</v>
      </c>
      <c r="AA2506" s="11" t="s">
        <v>49</v>
      </c>
    </row>
    <row r="2507" spans="2:27" ht="16" x14ac:dyDescent="0.2">
      <c r="B2507" t="s">
        <v>35</v>
      </c>
      <c r="C2507">
        <v>40358645</v>
      </c>
      <c r="D2507" t="s">
        <v>391</v>
      </c>
      <c r="E2507">
        <v>1023269</v>
      </c>
      <c r="F2507" t="s">
        <v>436</v>
      </c>
      <c r="G2507" s="9">
        <v>45018</v>
      </c>
      <c r="H2507" s="7"/>
      <c r="I2507" s="7">
        <v>1997.72</v>
      </c>
      <c r="J2507" s="7"/>
      <c r="K2507" s="7"/>
      <c r="L2507" s="10">
        <v>4.830303030303031</v>
      </c>
      <c r="M2507" s="9">
        <v>45022</v>
      </c>
      <c r="N2507" s="10">
        <v>15</v>
      </c>
      <c r="O2507" s="9">
        <v>45037</v>
      </c>
      <c r="P2507">
        <v>7</v>
      </c>
      <c r="Q2507" s="11" t="s">
        <v>49</v>
      </c>
      <c r="R2507" s="7"/>
      <c r="S2507" s="7">
        <v>1997.72</v>
      </c>
      <c r="T2507" s="7"/>
      <c r="U2507" s="7"/>
      <c r="V2507" s="10">
        <v>6.830303030303031</v>
      </c>
      <c r="W2507" s="9">
        <v>45024</v>
      </c>
      <c r="X2507" s="10">
        <v>17</v>
      </c>
      <c r="Y2507" s="9">
        <v>45037</v>
      </c>
      <c r="Z2507">
        <v>7</v>
      </c>
      <c r="AA2507" s="11" t="s">
        <v>49</v>
      </c>
    </row>
    <row r="2508" spans="2:27" ht="16" x14ac:dyDescent="0.2">
      <c r="B2508" t="s">
        <v>35</v>
      </c>
      <c r="C2508">
        <v>40358623</v>
      </c>
      <c r="D2508" t="s">
        <v>391</v>
      </c>
      <c r="E2508">
        <v>1022866</v>
      </c>
      <c r="F2508" t="s">
        <v>203</v>
      </c>
      <c r="G2508" s="9">
        <v>45022</v>
      </c>
      <c r="H2508" s="7"/>
      <c r="I2508" s="7">
        <v>12011.59</v>
      </c>
      <c r="J2508" s="7"/>
      <c r="K2508" s="7"/>
      <c r="L2508" s="10">
        <v>4.830303030303031</v>
      </c>
      <c r="M2508" s="9">
        <v>45026</v>
      </c>
      <c r="N2508" s="10">
        <v>15</v>
      </c>
      <c r="O2508" s="9">
        <v>45041</v>
      </c>
      <c r="P2508">
        <v>4</v>
      </c>
      <c r="Q2508" s="11" t="s">
        <v>49</v>
      </c>
      <c r="R2508" s="7"/>
      <c r="S2508" s="7">
        <v>12011.59</v>
      </c>
      <c r="T2508" s="7"/>
      <c r="U2508" s="7"/>
      <c r="V2508" s="10">
        <v>6.830303030303031</v>
      </c>
      <c r="W2508" s="9">
        <v>45028</v>
      </c>
      <c r="X2508" s="10">
        <v>17</v>
      </c>
      <c r="Y2508" s="9">
        <v>45041</v>
      </c>
      <c r="Z2508">
        <v>4</v>
      </c>
      <c r="AA2508" s="11" t="s">
        <v>49</v>
      </c>
    </row>
    <row r="2509" spans="2:27" ht="16" x14ac:dyDescent="0.2">
      <c r="B2509" t="s">
        <v>35</v>
      </c>
      <c r="C2509">
        <v>40358623</v>
      </c>
      <c r="D2509" t="s">
        <v>391</v>
      </c>
      <c r="E2509">
        <v>1022864</v>
      </c>
      <c r="F2509" t="s">
        <v>41</v>
      </c>
      <c r="G2509" s="9">
        <v>45022</v>
      </c>
      <c r="H2509" s="7"/>
      <c r="I2509" s="7">
        <v>3008.68</v>
      </c>
      <c r="J2509" s="7"/>
      <c r="K2509" s="7"/>
      <c r="L2509" s="10">
        <v>4.830303030303031</v>
      </c>
      <c r="M2509" s="9">
        <v>45026</v>
      </c>
      <c r="N2509" s="10">
        <v>15</v>
      </c>
      <c r="O2509" s="9">
        <v>45041</v>
      </c>
      <c r="P2509">
        <v>4</v>
      </c>
      <c r="Q2509" s="11" t="s">
        <v>49</v>
      </c>
      <c r="R2509" s="7"/>
      <c r="S2509" s="7">
        <v>3008.68</v>
      </c>
      <c r="T2509" s="7"/>
      <c r="U2509" s="7"/>
      <c r="V2509" s="10">
        <v>6.830303030303031</v>
      </c>
      <c r="W2509" s="9">
        <v>45028</v>
      </c>
      <c r="X2509" s="10">
        <v>17</v>
      </c>
      <c r="Y2509" s="9">
        <v>45041</v>
      </c>
      <c r="Z2509">
        <v>4</v>
      </c>
      <c r="AA2509" s="11" t="s">
        <v>49</v>
      </c>
    </row>
    <row r="2510" spans="2:27" ht="16" x14ac:dyDescent="0.2">
      <c r="B2510" t="s">
        <v>35</v>
      </c>
      <c r="C2510">
        <v>40358623</v>
      </c>
      <c r="D2510" t="s">
        <v>391</v>
      </c>
      <c r="E2510">
        <v>1022751</v>
      </c>
      <c r="F2510" t="s">
        <v>36</v>
      </c>
      <c r="G2510" s="9">
        <v>45022</v>
      </c>
      <c r="H2510" s="7"/>
      <c r="I2510" s="7">
        <v>7000</v>
      </c>
      <c r="J2510" s="7"/>
      <c r="K2510" s="7"/>
      <c r="L2510" s="10">
        <v>4.830303030303031</v>
      </c>
      <c r="M2510" s="9">
        <v>45026</v>
      </c>
      <c r="N2510" s="10">
        <v>15</v>
      </c>
      <c r="O2510" s="9">
        <v>45041</v>
      </c>
      <c r="P2510">
        <v>4</v>
      </c>
      <c r="Q2510" s="11" t="s">
        <v>49</v>
      </c>
      <c r="R2510" s="7"/>
      <c r="S2510" s="7">
        <v>7000</v>
      </c>
      <c r="T2510" s="7"/>
      <c r="U2510" s="7"/>
      <c r="V2510" s="10">
        <v>6.830303030303031</v>
      </c>
      <c r="W2510" s="9">
        <v>45028</v>
      </c>
      <c r="X2510" s="10">
        <v>17</v>
      </c>
      <c r="Y2510" s="9">
        <v>45041</v>
      </c>
      <c r="Z2510">
        <v>4</v>
      </c>
      <c r="AA2510" s="11" t="s">
        <v>49</v>
      </c>
    </row>
    <row r="2511" spans="2:27" ht="16" x14ac:dyDescent="0.2">
      <c r="B2511" t="s">
        <v>35</v>
      </c>
      <c r="C2511">
        <v>40358623</v>
      </c>
      <c r="D2511" t="s">
        <v>391</v>
      </c>
      <c r="E2511">
        <v>1021921</v>
      </c>
      <c r="F2511" t="s">
        <v>184</v>
      </c>
      <c r="G2511" s="9">
        <v>45022</v>
      </c>
      <c r="H2511" s="7"/>
      <c r="I2511" s="7">
        <v>2012.19</v>
      </c>
      <c r="J2511" s="7"/>
      <c r="K2511" s="7"/>
      <c r="L2511" s="10">
        <v>4.830303030303031</v>
      </c>
      <c r="M2511" s="9">
        <v>45026</v>
      </c>
      <c r="N2511" s="10">
        <v>15</v>
      </c>
      <c r="O2511" s="9">
        <v>45041</v>
      </c>
      <c r="P2511">
        <v>4</v>
      </c>
      <c r="Q2511" s="11" t="s">
        <v>49</v>
      </c>
      <c r="R2511" s="7"/>
      <c r="S2511" s="7">
        <v>2012.19</v>
      </c>
      <c r="T2511" s="7"/>
      <c r="U2511" s="7"/>
      <c r="V2511" s="10">
        <v>6.830303030303031</v>
      </c>
      <c r="W2511" s="9">
        <v>45028</v>
      </c>
      <c r="X2511" s="10">
        <v>17</v>
      </c>
      <c r="Y2511" s="9">
        <v>45041</v>
      </c>
      <c r="Z2511">
        <v>4</v>
      </c>
      <c r="AA2511" s="11" t="s">
        <v>49</v>
      </c>
    </row>
    <row r="2512" spans="2:27" ht="16" x14ac:dyDescent="0.2">
      <c r="B2512" t="s">
        <v>35</v>
      </c>
      <c r="C2512">
        <v>40357959</v>
      </c>
      <c r="D2512" t="s">
        <v>409</v>
      </c>
      <c r="E2512">
        <v>1012520</v>
      </c>
      <c r="F2512" t="s">
        <v>113</v>
      </c>
      <c r="G2512" s="9">
        <v>45012</v>
      </c>
      <c r="H2512" s="7"/>
      <c r="I2512" s="7">
        <v>18143.68</v>
      </c>
      <c r="J2512" s="7"/>
      <c r="K2512" s="7"/>
      <c r="L2512" s="10">
        <v>7.5</v>
      </c>
      <c r="M2512" s="9">
        <v>45019</v>
      </c>
      <c r="N2512" s="10">
        <v>9.5</v>
      </c>
      <c r="O2512" s="9">
        <v>45028</v>
      </c>
      <c r="P2512">
        <v>15</v>
      </c>
      <c r="Q2512" s="11" t="s">
        <v>49</v>
      </c>
      <c r="R2512" s="7"/>
      <c r="S2512" s="7">
        <v>18143.68</v>
      </c>
      <c r="T2512" s="7"/>
      <c r="U2512" s="7"/>
      <c r="V2512" s="10">
        <v>9.5</v>
      </c>
      <c r="W2512" s="9">
        <v>45021</v>
      </c>
      <c r="X2512" s="10">
        <v>11.5</v>
      </c>
      <c r="Y2512" s="9">
        <v>45028</v>
      </c>
      <c r="Z2512">
        <v>15</v>
      </c>
      <c r="AA2512" s="11" t="s">
        <v>49</v>
      </c>
    </row>
    <row r="2513" spans="2:27" ht="16" x14ac:dyDescent="0.2">
      <c r="B2513" t="s">
        <v>35</v>
      </c>
      <c r="C2513">
        <v>40357957</v>
      </c>
      <c r="D2513" t="s">
        <v>409</v>
      </c>
      <c r="E2513">
        <v>1012520</v>
      </c>
      <c r="F2513" t="s">
        <v>113</v>
      </c>
      <c r="G2513" s="9">
        <v>45007</v>
      </c>
      <c r="H2513" s="7"/>
      <c r="I2513" s="7">
        <v>19958.047999999999</v>
      </c>
      <c r="J2513" s="7"/>
      <c r="K2513" s="7"/>
      <c r="L2513" s="10">
        <v>7.5</v>
      </c>
      <c r="M2513" s="9">
        <v>45014</v>
      </c>
      <c r="N2513" s="10">
        <v>9.5</v>
      </c>
      <c r="O2513" s="9">
        <v>45023</v>
      </c>
      <c r="P2513">
        <v>19</v>
      </c>
      <c r="Q2513" s="11" t="s">
        <v>49</v>
      </c>
      <c r="R2513" s="7"/>
      <c r="S2513" s="7">
        <v>19958.047999999999</v>
      </c>
      <c r="T2513" s="7"/>
      <c r="U2513" s="7"/>
      <c r="V2513" s="10">
        <v>9.5</v>
      </c>
      <c r="W2513" s="9">
        <v>45016</v>
      </c>
      <c r="X2513" s="10">
        <v>11.5</v>
      </c>
      <c r="Y2513" s="9">
        <v>45023</v>
      </c>
      <c r="Z2513">
        <v>19</v>
      </c>
      <c r="AA2513" s="11" t="s">
        <v>49</v>
      </c>
    </row>
    <row r="2514" spans="2:27" ht="16" x14ac:dyDescent="0.2">
      <c r="B2514" t="s">
        <v>35</v>
      </c>
      <c r="C2514">
        <v>40357950</v>
      </c>
      <c r="D2514" t="s">
        <v>409</v>
      </c>
      <c r="E2514">
        <v>1012167</v>
      </c>
      <c r="F2514" t="s">
        <v>70</v>
      </c>
      <c r="G2514" s="9">
        <v>45013</v>
      </c>
      <c r="H2514" s="7"/>
      <c r="I2514" s="7">
        <v>19958.047999999999</v>
      </c>
      <c r="J2514" s="7"/>
      <c r="K2514" s="7"/>
      <c r="L2514" s="10">
        <v>7.5</v>
      </c>
      <c r="M2514" s="9">
        <v>45020</v>
      </c>
      <c r="N2514" s="10">
        <v>9.5</v>
      </c>
      <c r="O2514" s="9">
        <v>45029</v>
      </c>
      <c r="P2514">
        <v>14</v>
      </c>
      <c r="Q2514" s="11" t="s">
        <v>49</v>
      </c>
      <c r="R2514" s="7"/>
      <c r="S2514" s="7">
        <v>19958.047999999999</v>
      </c>
      <c r="T2514" s="7"/>
      <c r="U2514" s="7"/>
      <c r="V2514" s="10">
        <v>9.5</v>
      </c>
      <c r="W2514" s="9">
        <v>45022</v>
      </c>
      <c r="X2514" s="10">
        <v>11.5</v>
      </c>
      <c r="Y2514" s="9">
        <v>45029</v>
      </c>
      <c r="Z2514">
        <v>14</v>
      </c>
      <c r="AA2514" s="11" t="s">
        <v>49</v>
      </c>
    </row>
    <row r="2515" spans="2:27" ht="16" x14ac:dyDescent="0.2">
      <c r="B2515" t="s">
        <v>35</v>
      </c>
      <c r="C2515">
        <v>40357903</v>
      </c>
      <c r="D2515" t="s">
        <v>409</v>
      </c>
      <c r="E2515">
        <v>1030785</v>
      </c>
      <c r="F2515" t="s">
        <v>365</v>
      </c>
      <c r="G2515" s="9">
        <v>45013</v>
      </c>
      <c r="H2515" s="7"/>
      <c r="I2515" s="7">
        <v>178.6109218</v>
      </c>
      <c r="J2515" s="7"/>
      <c r="K2515" s="7"/>
      <c r="L2515" s="10">
        <v>7.5</v>
      </c>
      <c r="M2515" s="9">
        <v>45020</v>
      </c>
      <c r="N2515" s="10">
        <v>9.5</v>
      </c>
      <c r="O2515" s="9">
        <v>45029</v>
      </c>
      <c r="P2515">
        <v>14</v>
      </c>
      <c r="Q2515" s="11" t="s">
        <v>49</v>
      </c>
      <c r="R2515" s="7"/>
      <c r="S2515" s="7">
        <v>178.6109218</v>
      </c>
      <c r="T2515" s="7"/>
      <c r="U2515" s="7"/>
      <c r="V2515" s="10">
        <v>9.5</v>
      </c>
      <c r="W2515" s="9">
        <v>45022</v>
      </c>
      <c r="X2515" s="10">
        <v>11.5</v>
      </c>
      <c r="Y2515" s="9">
        <v>45029</v>
      </c>
      <c r="Z2515">
        <v>14</v>
      </c>
      <c r="AA2515" s="11" t="s">
        <v>49</v>
      </c>
    </row>
    <row r="2516" spans="2:27" ht="16" x14ac:dyDescent="0.2">
      <c r="B2516" t="s">
        <v>35</v>
      </c>
      <c r="C2516">
        <v>40357903</v>
      </c>
      <c r="D2516" t="s">
        <v>409</v>
      </c>
      <c r="E2516">
        <v>1030366</v>
      </c>
      <c r="F2516" t="s">
        <v>353</v>
      </c>
      <c r="G2516" s="9">
        <v>45013</v>
      </c>
      <c r="H2516" s="7"/>
      <c r="I2516" s="7">
        <v>8251.2331049999993</v>
      </c>
      <c r="J2516" s="7"/>
      <c r="K2516" s="7"/>
      <c r="L2516" s="10">
        <v>7.5</v>
      </c>
      <c r="M2516" s="9">
        <v>45020</v>
      </c>
      <c r="N2516" s="10">
        <v>9.5</v>
      </c>
      <c r="O2516" s="9">
        <v>45029</v>
      </c>
      <c r="P2516">
        <v>14</v>
      </c>
      <c r="Q2516" s="11" t="s">
        <v>49</v>
      </c>
      <c r="R2516" s="7"/>
      <c r="S2516" s="7">
        <v>8251.2331049999993</v>
      </c>
      <c r="T2516" s="7"/>
      <c r="U2516" s="7"/>
      <c r="V2516" s="10">
        <v>9.5</v>
      </c>
      <c r="W2516" s="9">
        <v>45022</v>
      </c>
      <c r="X2516" s="10">
        <v>11.5</v>
      </c>
      <c r="Y2516" s="9">
        <v>45029</v>
      </c>
      <c r="Z2516">
        <v>14</v>
      </c>
      <c r="AA2516" s="11" t="s">
        <v>49</v>
      </c>
    </row>
    <row r="2517" spans="2:27" ht="16" x14ac:dyDescent="0.2">
      <c r="B2517" t="s">
        <v>35</v>
      </c>
      <c r="C2517">
        <v>40357903</v>
      </c>
      <c r="D2517" t="s">
        <v>409</v>
      </c>
      <c r="E2517">
        <v>1030360</v>
      </c>
      <c r="F2517" t="s">
        <v>351</v>
      </c>
      <c r="G2517" s="9">
        <v>45013</v>
      </c>
      <c r="H2517" s="7"/>
      <c r="I2517" s="7">
        <v>3082.1803199999999</v>
      </c>
      <c r="J2517" s="7"/>
      <c r="K2517" s="7"/>
      <c r="L2517" s="10">
        <v>7.5</v>
      </c>
      <c r="M2517" s="9">
        <v>45020</v>
      </c>
      <c r="N2517" s="10">
        <v>9.5</v>
      </c>
      <c r="O2517" s="9">
        <v>45029</v>
      </c>
      <c r="P2517">
        <v>14</v>
      </c>
      <c r="Q2517" s="11" t="s">
        <v>49</v>
      </c>
      <c r="R2517" s="7"/>
      <c r="S2517" s="7">
        <v>3082.1803199999999</v>
      </c>
      <c r="T2517" s="7"/>
      <c r="U2517" s="7"/>
      <c r="V2517" s="10">
        <v>9.5</v>
      </c>
      <c r="W2517" s="9">
        <v>45022</v>
      </c>
      <c r="X2517" s="10">
        <v>11.5</v>
      </c>
      <c r="Y2517" s="9">
        <v>45029</v>
      </c>
      <c r="Z2517">
        <v>14</v>
      </c>
      <c r="AA2517" s="11" t="s">
        <v>49</v>
      </c>
    </row>
    <row r="2518" spans="2:27" ht="16" x14ac:dyDescent="0.2">
      <c r="B2518" t="s">
        <v>35</v>
      </c>
      <c r="C2518">
        <v>40357903</v>
      </c>
      <c r="D2518" t="s">
        <v>409</v>
      </c>
      <c r="E2518">
        <v>1030321</v>
      </c>
      <c r="F2518" t="s">
        <v>349</v>
      </c>
      <c r="G2518" s="9">
        <v>45013</v>
      </c>
      <c r="H2518" s="7"/>
      <c r="I2518" s="7">
        <v>8149.056971</v>
      </c>
      <c r="J2518" s="7"/>
      <c r="K2518" s="7"/>
      <c r="L2518" s="10">
        <v>7.5</v>
      </c>
      <c r="M2518" s="9">
        <v>45020</v>
      </c>
      <c r="N2518" s="10">
        <v>9.5</v>
      </c>
      <c r="O2518" s="9">
        <v>45029</v>
      </c>
      <c r="P2518">
        <v>14</v>
      </c>
      <c r="Q2518" s="11" t="s">
        <v>49</v>
      </c>
      <c r="R2518" s="7"/>
      <c r="S2518" s="7">
        <v>8149.056971</v>
      </c>
      <c r="T2518" s="7"/>
      <c r="U2518" s="7"/>
      <c r="V2518" s="10">
        <v>9.5</v>
      </c>
      <c r="W2518" s="9">
        <v>45022</v>
      </c>
      <c r="X2518" s="10">
        <v>11.5</v>
      </c>
      <c r="Y2518" s="9">
        <v>45029</v>
      </c>
      <c r="Z2518">
        <v>14</v>
      </c>
      <c r="AA2518" s="11" t="s">
        <v>49</v>
      </c>
    </row>
    <row r="2519" spans="2:27" ht="16" x14ac:dyDescent="0.2">
      <c r="B2519" t="s">
        <v>35</v>
      </c>
      <c r="C2519">
        <v>40357901</v>
      </c>
      <c r="D2519" t="s">
        <v>409</v>
      </c>
      <c r="E2519">
        <v>1030452</v>
      </c>
      <c r="F2519" t="s">
        <v>77</v>
      </c>
      <c r="G2519" s="9">
        <v>45006</v>
      </c>
      <c r="H2519" s="7"/>
      <c r="I2519" s="7">
        <v>12800.7654</v>
      </c>
      <c r="J2519" s="7"/>
      <c r="K2519" s="7"/>
      <c r="L2519" s="10">
        <v>7.5</v>
      </c>
      <c r="M2519" s="9">
        <v>45013</v>
      </c>
      <c r="N2519" s="10">
        <v>9.5</v>
      </c>
      <c r="O2519" s="9">
        <v>45022</v>
      </c>
      <c r="P2519">
        <v>20</v>
      </c>
      <c r="Q2519" s="11" t="s">
        <v>49</v>
      </c>
      <c r="R2519" s="7"/>
      <c r="S2519" s="7">
        <v>12800.7654</v>
      </c>
      <c r="T2519" s="7"/>
      <c r="U2519" s="7"/>
      <c r="V2519" s="10">
        <v>9.5</v>
      </c>
      <c r="W2519" s="9">
        <v>45015</v>
      </c>
      <c r="X2519" s="10">
        <v>11.5</v>
      </c>
      <c r="Y2519" s="9">
        <v>45022</v>
      </c>
      <c r="Z2519">
        <v>20</v>
      </c>
      <c r="AA2519" s="11" t="s">
        <v>49</v>
      </c>
    </row>
    <row r="2520" spans="2:27" ht="16" x14ac:dyDescent="0.2">
      <c r="B2520" t="s">
        <v>35</v>
      </c>
      <c r="C2520">
        <v>40357901</v>
      </c>
      <c r="D2520" t="s">
        <v>409</v>
      </c>
      <c r="E2520">
        <v>1030461</v>
      </c>
      <c r="F2520" t="s">
        <v>128</v>
      </c>
      <c r="G2520" s="9">
        <v>45006</v>
      </c>
      <c r="H2520" s="7"/>
      <c r="I2520" s="7">
        <v>7995.7428749999999</v>
      </c>
      <c r="J2520" s="7"/>
      <c r="K2520" s="7"/>
      <c r="L2520" s="10">
        <v>7.5</v>
      </c>
      <c r="M2520" s="9">
        <v>45013</v>
      </c>
      <c r="N2520" s="10">
        <v>9.5</v>
      </c>
      <c r="O2520" s="9">
        <v>45022</v>
      </c>
      <c r="P2520">
        <v>20</v>
      </c>
      <c r="Q2520" s="11" t="s">
        <v>49</v>
      </c>
      <c r="R2520" s="7"/>
      <c r="S2520" s="7">
        <v>7995.7428749999999</v>
      </c>
      <c r="T2520" s="7"/>
      <c r="U2520" s="7"/>
      <c r="V2520" s="10">
        <v>9.5</v>
      </c>
      <c r="W2520" s="9">
        <v>45015</v>
      </c>
      <c r="X2520" s="10">
        <v>11.5</v>
      </c>
      <c r="Y2520" s="9">
        <v>45022</v>
      </c>
      <c r="Z2520">
        <v>20</v>
      </c>
      <c r="AA2520" s="11" t="s">
        <v>49</v>
      </c>
    </row>
    <row r="2521" spans="2:27" ht="16" x14ac:dyDescent="0.2">
      <c r="B2521" t="s">
        <v>35</v>
      </c>
      <c r="C2521">
        <v>40357899</v>
      </c>
      <c r="D2521" t="s">
        <v>409</v>
      </c>
      <c r="E2521">
        <v>1030424</v>
      </c>
      <c r="F2521" t="s">
        <v>359</v>
      </c>
      <c r="G2521" s="9">
        <v>45006</v>
      </c>
      <c r="H2521" s="7"/>
      <c r="I2521" s="7">
        <v>21580.800599999999</v>
      </c>
      <c r="J2521" s="7"/>
      <c r="K2521" s="7"/>
      <c r="L2521" s="10">
        <v>7.5</v>
      </c>
      <c r="M2521" s="9">
        <v>45013</v>
      </c>
      <c r="N2521" s="10">
        <v>9.5</v>
      </c>
      <c r="O2521" s="9">
        <v>45022</v>
      </c>
      <c r="P2521">
        <v>20</v>
      </c>
      <c r="Q2521" s="11" t="s">
        <v>49</v>
      </c>
      <c r="R2521" s="7"/>
      <c r="S2521" s="7">
        <v>21580.800599999999</v>
      </c>
      <c r="T2521" s="7"/>
      <c r="U2521" s="7"/>
      <c r="V2521" s="10">
        <v>9.5</v>
      </c>
      <c r="W2521" s="9">
        <v>45015</v>
      </c>
      <c r="X2521" s="10">
        <v>11.5</v>
      </c>
      <c r="Y2521" s="9">
        <v>45022</v>
      </c>
      <c r="Z2521">
        <v>20</v>
      </c>
      <c r="AA2521" s="11" t="s">
        <v>49</v>
      </c>
    </row>
    <row r="2522" spans="2:27" ht="16" x14ac:dyDescent="0.2">
      <c r="B2522" t="s">
        <v>35</v>
      </c>
      <c r="C2522">
        <v>40357660</v>
      </c>
      <c r="D2522" t="s">
        <v>386</v>
      </c>
      <c r="E2522">
        <v>1023422</v>
      </c>
      <c r="F2522" t="s">
        <v>539</v>
      </c>
      <c r="G2522" s="9">
        <v>45022</v>
      </c>
      <c r="H2522" s="7"/>
      <c r="I2522" s="7">
        <v>15498.81818</v>
      </c>
      <c r="J2522" s="7"/>
      <c r="K2522" s="7"/>
      <c r="L2522" s="10">
        <v>5.1420118343195256</v>
      </c>
      <c r="M2522" s="9">
        <v>45027</v>
      </c>
      <c r="N2522" s="10">
        <v>7.5</v>
      </c>
      <c r="O2522" s="9">
        <v>45034</v>
      </c>
      <c r="P2522">
        <v>9</v>
      </c>
      <c r="Q2522" s="11" t="s">
        <v>49</v>
      </c>
      <c r="R2522" s="7"/>
      <c r="S2522" s="7">
        <v>15498.81818</v>
      </c>
      <c r="T2522" s="7"/>
      <c r="U2522" s="7"/>
      <c r="V2522" s="10">
        <v>7.1420118343195256</v>
      </c>
      <c r="W2522" s="9">
        <v>45029</v>
      </c>
      <c r="X2522" s="10">
        <v>9.5</v>
      </c>
      <c r="Y2522" s="9">
        <v>45034</v>
      </c>
      <c r="Z2522">
        <v>9</v>
      </c>
      <c r="AA2522" s="11" t="s">
        <v>49</v>
      </c>
    </row>
    <row r="2523" spans="2:27" ht="16" x14ac:dyDescent="0.2">
      <c r="B2523" t="s">
        <v>35</v>
      </c>
      <c r="C2523">
        <v>40357633</v>
      </c>
      <c r="D2523" t="s">
        <v>389</v>
      </c>
      <c r="E2523">
        <v>1030683</v>
      </c>
      <c r="F2523" t="s">
        <v>379</v>
      </c>
      <c r="G2523" s="9">
        <v>45013</v>
      </c>
      <c r="H2523" s="7"/>
      <c r="I2523" s="7">
        <v>19020</v>
      </c>
      <c r="J2523" s="7"/>
      <c r="K2523" s="7"/>
      <c r="L2523" s="10">
        <v>5.5741092456127026</v>
      </c>
      <c r="M2523" s="9">
        <v>45018</v>
      </c>
      <c r="N2523" s="10">
        <v>5.5</v>
      </c>
      <c r="O2523" s="9">
        <v>45023</v>
      </c>
      <c r="P2523">
        <v>19</v>
      </c>
      <c r="Q2523" s="11" t="s">
        <v>49</v>
      </c>
      <c r="R2523" s="7"/>
      <c r="S2523" s="7">
        <v>19020</v>
      </c>
      <c r="T2523" s="7"/>
      <c r="U2523" s="7"/>
      <c r="V2523" s="10">
        <v>7.5741092456127026</v>
      </c>
      <c r="W2523" s="9">
        <v>45020</v>
      </c>
      <c r="X2523" s="10">
        <v>7.5</v>
      </c>
      <c r="Y2523" s="9">
        <v>45023</v>
      </c>
      <c r="Z2523">
        <v>19</v>
      </c>
      <c r="AA2523" s="11" t="s">
        <v>49</v>
      </c>
    </row>
    <row r="2524" spans="2:27" ht="16" x14ac:dyDescent="0.2">
      <c r="B2524" t="s">
        <v>35</v>
      </c>
      <c r="C2524">
        <v>40357633</v>
      </c>
      <c r="D2524" t="s">
        <v>389</v>
      </c>
      <c r="E2524">
        <v>1030791</v>
      </c>
      <c r="F2524" t="s">
        <v>212</v>
      </c>
      <c r="G2524" s="9">
        <v>45013</v>
      </c>
      <c r="H2524" s="7"/>
      <c r="I2524" s="7">
        <v>4980</v>
      </c>
      <c r="J2524" s="7"/>
      <c r="K2524" s="7"/>
      <c r="L2524" s="10">
        <v>5.5741092456127026</v>
      </c>
      <c r="M2524" s="9">
        <v>45018</v>
      </c>
      <c r="N2524" s="10">
        <v>5.5</v>
      </c>
      <c r="O2524" s="9">
        <v>45023</v>
      </c>
      <c r="P2524">
        <v>19</v>
      </c>
      <c r="Q2524" s="11" t="s">
        <v>49</v>
      </c>
      <c r="R2524" s="7"/>
      <c r="S2524" s="7">
        <v>4980</v>
      </c>
      <c r="T2524" s="7"/>
      <c r="U2524" s="7"/>
      <c r="V2524" s="10">
        <v>7.5741092456127026</v>
      </c>
      <c r="W2524" s="9">
        <v>45020</v>
      </c>
      <c r="X2524" s="10">
        <v>7.5</v>
      </c>
      <c r="Y2524" s="9">
        <v>45023</v>
      </c>
      <c r="Z2524">
        <v>19</v>
      </c>
      <c r="AA2524" s="11" t="s">
        <v>49</v>
      </c>
    </row>
    <row r="2525" spans="2:27" ht="16" x14ac:dyDescent="0.2">
      <c r="B2525" t="s">
        <v>35</v>
      </c>
      <c r="C2525">
        <v>40357572</v>
      </c>
      <c r="D2525" t="s">
        <v>389</v>
      </c>
      <c r="E2525">
        <v>1022373</v>
      </c>
      <c r="F2525" t="s">
        <v>302</v>
      </c>
      <c r="G2525" s="9">
        <v>45012</v>
      </c>
      <c r="H2525" s="7"/>
      <c r="I2525" s="7">
        <v>19477.64</v>
      </c>
      <c r="J2525" s="7"/>
      <c r="K2525" s="7"/>
      <c r="L2525" s="10">
        <v>5.5741092456127026</v>
      </c>
      <c r="M2525" s="9">
        <v>45017</v>
      </c>
      <c r="N2525" s="10">
        <v>5.5</v>
      </c>
      <c r="O2525" s="9">
        <v>45022</v>
      </c>
      <c r="P2525">
        <v>20</v>
      </c>
      <c r="Q2525" s="11" t="s">
        <v>49</v>
      </c>
      <c r="R2525" s="7"/>
      <c r="S2525" s="7">
        <v>19477.64</v>
      </c>
      <c r="T2525" s="7"/>
      <c r="U2525" s="7"/>
      <c r="V2525" s="10">
        <v>7.5741092456127026</v>
      </c>
      <c r="W2525" s="9">
        <v>45019</v>
      </c>
      <c r="X2525" s="10">
        <v>7.5</v>
      </c>
      <c r="Y2525" s="9">
        <v>45022</v>
      </c>
      <c r="Z2525">
        <v>20</v>
      </c>
      <c r="AA2525" s="11" t="s">
        <v>49</v>
      </c>
    </row>
    <row r="2526" spans="2:27" ht="16" x14ac:dyDescent="0.2">
      <c r="B2526" t="s">
        <v>35</v>
      </c>
      <c r="C2526">
        <v>40357572</v>
      </c>
      <c r="D2526" t="s">
        <v>389</v>
      </c>
      <c r="E2526">
        <v>1022373</v>
      </c>
      <c r="F2526" t="s">
        <v>302</v>
      </c>
      <c r="G2526" s="9">
        <v>45012</v>
      </c>
      <c r="H2526" s="7"/>
      <c r="I2526" s="7">
        <v>25019.43</v>
      </c>
      <c r="J2526" s="7"/>
      <c r="K2526" s="7"/>
      <c r="L2526" s="10">
        <v>5.5741092456127026</v>
      </c>
      <c r="M2526" s="9">
        <v>45017</v>
      </c>
      <c r="N2526" s="10">
        <v>5.5</v>
      </c>
      <c r="O2526" s="9">
        <v>45022</v>
      </c>
      <c r="P2526">
        <v>20</v>
      </c>
      <c r="Q2526" s="11" t="s">
        <v>49</v>
      </c>
      <c r="R2526" s="7"/>
      <c r="S2526" s="7">
        <v>25019.43</v>
      </c>
      <c r="T2526" s="7"/>
      <c r="U2526" s="7"/>
      <c r="V2526" s="10">
        <v>7.5741092456127026</v>
      </c>
      <c r="W2526" s="9">
        <v>45019</v>
      </c>
      <c r="X2526" s="10">
        <v>7.5</v>
      </c>
      <c r="Y2526" s="9">
        <v>45022</v>
      </c>
      <c r="Z2526">
        <v>20</v>
      </c>
      <c r="AA2526" s="11" t="s">
        <v>49</v>
      </c>
    </row>
    <row r="2527" spans="2:27" ht="16" x14ac:dyDescent="0.2">
      <c r="B2527" t="s">
        <v>35</v>
      </c>
      <c r="C2527">
        <v>40357494</v>
      </c>
      <c r="D2527" t="s">
        <v>389</v>
      </c>
      <c r="E2527">
        <v>1022417</v>
      </c>
      <c r="F2527" t="s">
        <v>173</v>
      </c>
      <c r="G2527" s="9">
        <v>45013</v>
      </c>
      <c r="H2527" s="7"/>
      <c r="I2527" s="7">
        <v>24340</v>
      </c>
      <c r="J2527" s="7"/>
      <c r="K2527" s="7"/>
      <c r="L2527" s="10">
        <v>5.5741092456127026</v>
      </c>
      <c r="M2527" s="9">
        <v>45018</v>
      </c>
      <c r="N2527" s="10">
        <v>5.5</v>
      </c>
      <c r="O2527" s="9">
        <v>45023</v>
      </c>
      <c r="P2527">
        <v>19</v>
      </c>
      <c r="Q2527" s="11" t="s">
        <v>49</v>
      </c>
      <c r="R2527" s="7"/>
      <c r="S2527" s="7">
        <v>24340</v>
      </c>
      <c r="T2527" s="7"/>
      <c r="U2527" s="7"/>
      <c r="V2527" s="10">
        <v>7.5741092456127026</v>
      </c>
      <c r="W2527" s="9">
        <v>45020</v>
      </c>
      <c r="X2527" s="10">
        <v>7.5</v>
      </c>
      <c r="Y2527" s="9">
        <v>45023</v>
      </c>
      <c r="Z2527">
        <v>19</v>
      </c>
      <c r="AA2527" s="11" t="s">
        <v>49</v>
      </c>
    </row>
    <row r="2528" spans="2:27" ht="16" x14ac:dyDescent="0.2">
      <c r="B2528" t="s">
        <v>35</v>
      </c>
      <c r="C2528">
        <v>40357373</v>
      </c>
      <c r="D2528" t="s">
        <v>389</v>
      </c>
      <c r="E2528">
        <v>1022748</v>
      </c>
      <c r="F2528" t="s">
        <v>444</v>
      </c>
      <c r="G2528" s="9">
        <v>45018</v>
      </c>
      <c r="H2528" s="7"/>
      <c r="I2528" s="7">
        <v>23990</v>
      </c>
      <c r="J2528" s="7"/>
      <c r="K2528" s="7"/>
      <c r="L2528" s="10">
        <v>5.5741092456127026</v>
      </c>
      <c r="M2528" s="9">
        <v>45023</v>
      </c>
      <c r="N2528" s="10">
        <v>5.5</v>
      </c>
      <c r="O2528" s="9">
        <v>45028</v>
      </c>
      <c r="P2528">
        <v>15</v>
      </c>
      <c r="Q2528" s="11" t="s">
        <v>49</v>
      </c>
      <c r="R2528" s="7"/>
      <c r="S2528" s="7">
        <v>23990</v>
      </c>
      <c r="T2528" s="7"/>
      <c r="U2528" s="7"/>
      <c r="V2528" s="10">
        <v>7.5741092456127026</v>
      </c>
      <c r="W2528" s="9">
        <v>45025</v>
      </c>
      <c r="X2528" s="10">
        <v>7.5</v>
      </c>
      <c r="Y2528" s="9">
        <v>45028</v>
      </c>
      <c r="Z2528">
        <v>15</v>
      </c>
      <c r="AA2528" s="11" t="s">
        <v>49</v>
      </c>
    </row>
    <row r="2529" spans="2:27" ht="16" x14ac:dyDescent="0.2">
      <c r="B2529" t="s">
        <v>35</v>
      </c>
      <c r="C2529">
        <v>40357372</v>
      </c>
      <c r="D2529" t="s">
        <v>389</v>
      </c>
      <c r="E2529">
        <v>1022748</v>
      </c>
      <c r="F2529" t="s">
        <v>444</v>
      </c>
      <c r="G2529" s="9">
        <v>45018</v>
      </c>
      <c r="H2529" s="7"/>
      <c r="I2529" s="7">
        <v>23920</v>
      </c>
      <c r="J2529" s="7"/>
      <c r="K2529" s="7"/>
      <c r="L2529" s="10">
        <v>5.5741092456127026</v>
      </c>
      <c r="M2529" s="9">
        <v>45023</v>
      </c>
      <c r="N2529" s="10">
        <v>5.5</v>
      </c>
      <c r="O2529" s="9">
        <v>45028</v>
      </c>
      <c r="P2529">
        <v>15</v>
      </c>
      <c r="Q2529" s="11" t="s">
        <v>49</v>
      </c>
      <c r="R2529" s="7"/>
      <c r="S2529" s="7">
        <v>23920</v>
      </c>
      <c r="T2529" s="7"/>
      <c r="U2529" s="7"/>
      <c r="V2529" s="10">
        <v>7.5741092456127026</v>
      </c>
      <c r="W2529" s="9">
        <v>45025</v>
      </c>
      <c r="X2529" s="10">
        <v>7.5</v>
      </c>
      <c r="Y2529" s="9">
        <v>45028</v>
      </c>
      <c r="Z2529">
        <v>15</v>
      </c>
      <c r="AA2529" s="11" t="s">
        <v>49</v>
      </c>
    </row>
    <row r="2530" spans="2:27" ht="16" x14ac:dyDescent="0.2">
      <c r="B2530" t="s">
        <v>35</v>
      </c>
      <c r="C2530">
        <v>40357343</v>
      </c>
      <c r="D2530" t="s">
        <v>389</v>
      </c>
      <c r="E2530">
        <v>1022099</v>
      </c>
      <c r="F2530" t="s">
        <v>294</v>
      </c>
      <c r="G2530" s="9">
        <v>45000</v>
      </c>
      <c r="H2530" s="7">
        <v>24030</v>
      </c>
      <c r="I2530" s="7"/>
      <c r="J2530" s="7"/>
      <c r="K2530" s="7"/>
      <c r="L2530" s="10">
        <v>5.5741092456127026</v>
      </c>
      <c r="M2530" s="9">
        <v>45005</v>
      </c>
      <c r="N2530" s="10">
        <v>5.5</v>
      </c>
      <c r="O2530" s="9">
        <v>45010</v>
      </c>
      <c r="P2530">
        <v>5</v>
      </c>
      <c r="Q2530" s="11" t="s">
        <v>49</v>
      </c>
      <c r="R2530" s="7">
        <v>24030</v>
      </c>
      <c r="S2530" s="7"/>
      <c r="T2530" s="7"/>
      <c r="U2530" s="7"/>
      <c r="V2530" s="10">
        <v>7.5741092456127026</v>
      </c>
      <c r="W2530" s="9">
        <v>45007</v>
      </c>
      <c r="X2530" s="10">
        <v>7.5</v>
      </c>
      <c r="Y2530" s="9">
        <v>45010</v>
      </c>
      <c r="Z2530">
        <v>5</v>
      </c>
      <c r="AA2530" s="11" t="s">
        <v>49</v>
      </c>
    </row>
    <row r="2531" spans="2:27" ht="16" x14ac:dyDescent="0.2">
      <c r="B2531" t="s">
        <v>35</v>
      </c>
      <c r="C2531">
        <v>40357310</v>
      </c>
      <c r="D2531" t="s">
        <v>389</v>
      </c>
      <c r="E2531">
        <v>1022379</v>
      </c>
      <c r="F2531" t="s">
        <v>306</v>
      </c>
      <c r="G2531" s="9">
        <v>45018</v>
      </c>
      <c r="H2531" s="7"/>
      <c r="I2531" s="7">
        <v>24316.53</v>
      </c>
      <c r="J2531" s="7"/>
      <c r="K2531" s="7"/>
      <c r="L2531" s="10">
        <v>5.5741092456127026</v>
      </c>
      <c r="M2531" s="9">
        <v>45023</v>
      </c>
      <c r="N2531" s="10">
        <v>5.5</v>
      </c>
      <c r="O2531" s="9">
        <v>45028</v>
      </c>
      <c r="P2531">
        <v>15</v>
      </c>
      <c r="Q2531" s="11" t="s">
        <v>49</v>
      </c>
      <c r="R2531" s="7"/>
      <c r="S2531" s="7">
        <v>24316.53</v>
      </c>
      <c r="T2531" s="7"/>
      <c r="U2531" s="7"/>
      <c r="V2531" s="10">
        <v>7.5741092456127026</v>
      </c>
      <c r="W2531" s="9">
        <v>45025</v>
      </c>
      <c r="X2531" s="10">
        <v>7.5</v>
      </c>
      <c r="Y2531" s="9">
        <v>45028</v>
      </c>
      <c r="Z2531">
        <v>15</v>
      </c>
      <c r="AA2531" s="11" t="s">
        <v>49</v>
      </c>
    </row>
    <row r="2532" spans="2:27" ht="16" x14ac:dyDescent="0.2">
      <c r="B2532" t="s">
        <v>35</v>
      </c>
      <c r="C2532">
        <v>40357297</v>
      </c>
      <c r="D2532" t="s">
        <v>389</v>
      </c>
      <c r="E2532">
        <v>1022568</v>
      </c>
      <c r="F2532" t="s">
        <v>310</v>
      </c>
      <c r="G2532" s="9">
        <v>45012</v>
      </c>
      <c r="H2532" s="7"/>
      <c r="I2532" s="7">
        <v>24014.46</v>
      </c>
      <c r="J2532" s="7"/>
      <c r="K2532" s="7"/>
      <c r="L2532" s="10">
        <v>5.5741092456127026</v>
      </c>
      <c r="M2532" s="9">
        <v>45017</v>
      </c>
      <c r="N2532" s="10">
        <v>5.5</v>
      </c>
      <c r="O2532" s="9">
        <v>45022</v>
      </c>
      <c r="P2532">
        <v>20</v>
      </c>
      <c r="Q2532" s="11" t="s">
        <v>49</v>
      </c>
      <c r="R2532" s="7"/>
      <c r="S2532" s="7">
        <v>24014.46</v>
      </c>
      <c r="T2532" s="7"/>
      <c r="U2532" s="7"/>
      <c r="V2532" s="10">
        <v>7.5741092456127026</v>
      </c>
      <c r="W2532" s="9">
        <v>45019</v>
      </c>
      <c r="X2532" s="10">
        <v>7.5</v>
      </c>
      <c r="Y2532" s="9">
        <v>45022</v>
      </c>
      <c r="Z2532">
        <v>20</v>
      </c>
      <c r="AA2532" s="11" t="s">
        <v>49</v>
      </c>
    </row>
    <row r="2533" spans="2:27" ht="16" x14ac:dyDescent="0.2">
      <c r="B2533" t="s">
        <v>35</v>
      </c>
      <c r="C2533">
        <v>40357267</v>
      </c>
      <c r="D2533" t="s">
        <v>389</v>
      </c>
      <c r="E2533">
        <v>1012525</v>
      </c>
      <c r="F2533" t="s">
        <v>243</v>
      </c>
      <c r="G2533" s="9">
        <v>45011</v>
      </c>
      <c r="H2533" s="7"/>
      <c r="I2533" s="7">
        <v>24000</v>
      </c>
      <c r="J2533" s="7"/>
      <c r="K2533" s="7"/>
      <c r="L2533" s="10">
        <v>5.5741092456127026</v>
      </c>
      <c r="M2533" s="9">
        <v>45016</v>
      </c>
      <c r="N2533" s="10">
        <v>5.5</v>
      </c>
      <c r="O2533" s="9">
        <v>45021</v>
      </c>
      <c r="P2533">
        <v>21</v>
      </c>
      <c r="Q2533" s="11" t="s">
        <v>49</v>
      </c>
      <c r="R2533" s="7"/>
      <c r="S2533" s="7">
        <v>24000</v>
      </c>
      <c r="T2533" s="7"/>
      <c r="U2533" s="7"/>
      <c r="V2533" s="10">
        <v>7.5741092456127026</v>
      </c>
      <c r="W2533" s="9">
        <v>45018</v>
      </c>
      <c r="X2533" s="10">
        <v>7.5</v>
      </c>
      <c r="Y2533" s="9">
        <v>45021</v>
      </c>
      <c r="Z2533">
        <v>21</v>
      </c>
      <c r="AA2533" s="11" t="s">
        <v>49</v>
      </c>
    </row>
    <row r="2534" spans="2:27" ht="16" x14ac:dyDescent="0.2">
      <c r="B2534" t="s">
        <v>35</v>
      </c>
      <c r="C2534">
        <v>40357169</v>
      </c>
      <c r="D2534" t="s">
        <v>386</v>
      </c>
      <c r="E2534">
        <v>1011906</v>
      </c>
      <c r="F2534" t="s">
        <v>540</v>
      </c>
      <c r="G2534" s="9">
        <v>44988</v>
      </c>
      <c r="H2534" s="7">
        <v>21000</v>
      </c>
      <c r="I2534" s="7"/>
      <c r="J2534" s="7"/>
      <c r="K2534" s="7"/>
      <c r="L2534" s="10">
        <v>5.1420118343195256</v>
      </c>
      <c r="M2534" s="9">
        <v>44993</v>
      </c>
      <c r="N2534" s="10">
        <v>7.5</v>
      </c>
      <c r="O2534" s="9">
        <v>45000</v>
      </c>
      <c r="P2534">
        <v>14</v>
      </c>
      <c r="Q2534" s="11" t="s">
        <v>49</v>
      </c>
      <c r="R2534" s="7">
        <v>21000</v>
      </c>
      <c r="S2534" s="7"/>
      <c r="T2534" s="7"/>
      <c r="U2534" s="7"/>
      <c r="V2534" s="10">
        <v>7.1420118343195256</v>
      </c>
      <c r="W2534" s="9">
        <v>44995</v>
      </c>
      <c r="X2534" s="10">
        <v>9.5</v>
      </c>
      <c r="Y2534" s="9">
        <v>45000</v>
      </c>
      <c r="Z2534">
        <v>14</v>
      </c>
      <c r="AA2534" s="11" t="s">
        <v>49</v>
      </c>
    </row>
    <row r="2535" spans="2:27" x14ac:dyDescent="0.2">
      <c r="B2535" t="s">
        <v>394</v>
      </c>
      <c r="C2535">
        <v>40357126</v>
      </c>
      <c r="D2535" t="s">
        <v>396</v>
      </c>
      <c r="E2535">
        <v>1021664</v>
      </c>
      <c r="F2535" t="s">
        <v>452</v>
      </c>
      <c r="G2535" s="9">
        <v>45010</v>
      </c>
      <c r="H2535" s="7">
        <v>16992.41</v>
      </c>
      <c r="I2535" s="7"/>
      <c r="J2535" s="7"/>
      <c r="K2535" s="7"/>
      <c r="L2535" s="10"/>
      <c r="N2535" s="10"/>
      <c r="Q2535" s="11"/>
      <c r="R2535" s="7">
        <v>16992.41</v>
      </c>
      <c r="S2535" s="7"/>
      <c r="T2535" s="7"/>
      <c r="U2535" s="7"/>
      <c r="V2535" s="10"/>
      <c r="X2535" s="10"/>
      <c r="AA2535" s="11"/>
    </row>
    <row r="2536" spans="2:27" x14ac:dyDescent="0.2">
      <c r="B2536" t="s">
        <v>394</v>
      </c>
      <c r="C2536">
        <v>40357126</v>
      </c>
      <c r="D2536" t="s">
        <v>396</v>
      </c>
      <c r="E2536">
        <v>1022985</v>
      </c>
      <c r="F2536" t="s">
        <v>541</v>
      </c>
      <c r="G2536" s="9">
        <v>45010</v>
      </c>
      <c r="H2536" s="7">
        <v>4947.0600000000004</v>
      </c>
      <c r="I2536" s="7"/>
      <c r="J2536" s="7"/>
      <c r="K2536" s="7"/>
      <c r="L2536" s="10"/>
      <c r="N2536" s="10"/>
      <c r="Q2536" s="11"/>
      <c r="R2536" s="7">
        <v>4947.0600000000004</v>
      </c>
      <c r="S2536" s="7"/>
      <c r="T2536" s="7"/>
      <c r="U2536" s="7"/>
      <c r="V2536" s="10"/>
      <c r="X2536" s="10"/>
      <c r="AA2536" s="11"/>
    </row>
    <row r="2537" spans="2:27" x14ac:dyDescent="0.2">
      <c r="B2537" t="s">
        <v>394</v>
      </c>
      <c r="C2537">
        <v>40357124</v>
      </c>
      <c r="D2537" t="s">
        <v>396</v>
      </c>
      <c r="E2537">
        <v>1021665</v>
      </c>
      <c r="F2537" t="s">
        <v>453</v>
      </c>
      <c r="G2537" s="9">
        <v>45016</v>
      </c>
      <c r="H2537" s="7">
        <v>4006.75</v>
      </c>
      <c r="I2537" s="7"/>
      <c r="J2537" s="7"/>
      <c r="K2537" s="7"/>
      <c r="L2537" s="10"/>
      <c r="N2537" s="10"/>
      <c r="Q2537" s="11"/>
      <c r="R2537" s="7">
        <v>4006.75</v>
      </c>
      <c r="S2537" s="7"/>
      <c r="T2537" s="7"/>
      <c r="U2537" s="7"/>
      <c r="V2537" s="10"/>
      <c r="X2537" s="10"/>
      <c r="AA2537" s="11"/>
    </row>
    <row r="2538" spans="2:27" x14ac:dyDescent="0.2">
      <c r="B2538" t="s">
        <v>394</v>
      </c>
      <c r="C2538">
        <v>40357124</v>
      </c>
      <c r="D2538" t="s">
        <v>396</v>
      </c>
      <c r="E2538">
        <v>1021665</v>
      </c>
      <c r="F2538" t="s">
        <v>453</v>
      </c>
      <c r="G2538" s="9">
        <v>45016</v>
      </c>
      <c r="H2538" s="7">
        <v>22007.43</v>
      </c>
      <c r="I2538" s="7"/>
      <c r="J2538" s="7"/>
      <c r="K2538" s="7"/>
      <c r="L2538" s="10"/>
      <c r="N2538" s="10"/>
      <c r="Q2538" s="11"/>
      <c r="R2538" s="7">
        <v>22007.43</v>
      </c>
      <c r="S2538" s="7"/>
      <c r="T2538" s="7"/>
      <c r="U2538" s="7"/>
      <c r="V2538" s="10"/>
      <c r="X2538" s="10"/>
      <c r="AA2538" s="11"/>
    </row>
    <row r="2539" spans="2:27" x14ac:dyDescent="0.2">
      <c r="B2539" t="s">
        <v>394</v>
      </c>
      <c r="C2539">
        <v>40357121</v>
      </c>
      <c r="D2539" t="s">
        <v>396</v>
      </c>
      <c r="E2539">
        <v>1021665</v>
      </c>
      <c r="F2539" t="s">
        <v>453</v>
      </c>
      <c r="G2539" s="9">
        <v>45008</v>
      </c>
      <c r="H2539" s="7">
        <v>22115.63</v>
      </c>
      <c r="I2539" s="7"/>
      <c r="J2539" s="7"/>
      <c r="K2539" s="7"/>
      <c r="L2539" s="10"/>
      <c r="N2539" s="10"/>
      <c r="Q2539" s="11"/>
      <c r="R2539" s="7">
        <v>22115.63</v>
      </c>
      <c r="S2539" s="7"/>
      <c r="T2539" s="7"/>
      <c r="U2539" s="7"/>
      <c r="V2539" s="10"/>
      <c r="X2539" s="10"/>
      <c r="AA2539" s="11"/>
    </row>
    <row r="2540" spans="2:27" ht="16" x14ac:dyDescent="0.2">
      <c r="B2540" t="s">
        <v>35</v>
      </c>
      <c r="C2540">
        <v>40357103</v>
      </c>
      <c r="D2540" t="s">
        <v>409</v>
      </c>
      <c r="E2540">
        <v>1030424</v>
      </c>
      <c r="F2540" t="s">
        <v>359</v>
      </c>
      <c r="G2540" s="9">
        <v>45014</v>
      </c>
      <c r="H2540" s="7"/>
      <c r="I2540" s="7">
        <v>23315.20033</v>
      </c>
      <c r="J2540" s="7"/>
      <c r="K2540" s="7"/>
      <c r="L2540" s="10">
        <v>7.5</v>
      </c>
      <c r="M2540" s="9">
        <v>45021</v>
      </c>
      <c r="N2540" s="10">
        <v>9.5</v>
      </c>
      <c r="O2540" s="9">
        <v>45030</v>
      </c>
      <c r="P2540">
        <v>13</v>
      </c>
      <c r="Q2540" s="11" t="s">
        <v>49</v>
      </c>
      <c r="R2540" s="7"/>
      <c r="S2540" s="7">
        <v>23315.20033</v>
      </c>
      <c r="T2540" s="7"/>
      <c r="U2540" s="7"/>
      <c r="V2540" s="10">
        <v>9.5</v>
      </c>
      <c r="W2540" s="9">
        <v>45023</v>
      </c>
      <c r="X2540" s="10">
        <v>11.5</v>
      </c>
      <c r="Y2540" s="9">
        <v>45030</v>
      </c>
      <c r="Z2540">
        <v>13</v>
      </c>
      <c r="AA2540" s="11" t="s">
        <v>49</v>
      </c>
    </row>
    <row r="2541" spans="2:27" ht="16" x14ac:dyDescent="0.2">
      <c r="B2541" t="s">
        <v>35</v>
      </c>
      <c r="C2541">
        <v>40357073</v>
      </c>
      <c r="D2541" t="s">
        <v>409</v>
      </c>
      <c r="E2541">
        <v>1012165</v>
      </c>
      <c r="F2541" t="s">
        <v>61</v>
      </c>
      <c r="G2541" s="9">
        <v>44989</v>
      </c>
      <c r="H2541" s="7">
        <v>3991.6095999999998</v>
      </c>
      <c r="I2541" s="7"/>
      <c r="J2541" s="7"/>
      <c r="K2541" s="7"/>
      <c r="L2541" s="10">
        <v>7.5</v>
      </c>
      <c r="M2541" s="9">
        <v>44996</v>
      </c>
      <c r="N2541" s="10">
        <v>9.5</v>
      </c>
      <c r="O2541" s="9">
        <v>45005</v>
      </c>
      <c r="P2541">
        <v>10</v>
      </c>
      <c r="Q2541" s="11" t="s">
        <v>49</v>
      </c>
      <c r="R2541" s="7">
        <v>3991.6095999999998</v>
      </c>
      <c r="S2541" s="7"/>
      <c r="T2541" s="7"/>
      <c r="U2541" s="7"/>
      <c r="V2541" s="10">
        <v>9.5</v>
      </c>
      <c r="W2541" s="9">
        <v>44998</v>
      </c>
      <c r="X2541" s="10">
        <v>11.5</v>
      </c>
      <c r="Y2541" s="9">
        <v>45005</v>
      </c>
      <c r="Z2541">
        <v>10</v>
      </c>
      <c r="AA2541" s="11" t="s">
        <v>49</v>
      </c>
    </row>
    <row r="2542" spans="2:27" ht="16" x14ac:dyDescent="0.2">
      <c r="B2542" t="s">
        <v>35</v>
      </c>
      <c r="C2542">
        <v>40357073</v>
      </c>
      <c r="D2542" t="s">
        <v>409</v>
      </c>
      <c r="E2542">
        <v>1012159</v>
      </c>
      <c r="F2542" t="s">
        <v>88</v>
      </c>
      <c r="G2542" s="9">
        <v>44989</v>
      </c>
      <c r="H2542" s="7">
        <v>15966.438399999999</v>
      </c>
      <c r="I2542" s="7"/>
      <c r="J2542" s="7"/>
      <c r="K2542" s="7"/>
      <c r="L2542" s="10">
        <v>7.5</v>
      </c>
      <c r="M2542" s="9">
        <v>44996</v>
      </c>
      <c r="N2542" s="10">
        <v>9.5</v>
      </c>
      <c r="O2542" s="9">
        <v>45005</v>
      </c>
      <c r="P2542">
        <v>10</v>
      </c>
      <c r="Q2542" s="11" t="s">
        <v>49</v>
      </c>
      <c r="R2542" s="7">
        <v>15966.438399999999</v>
      </c>
      <c r="S2542" s="7"/>
      <c r="T2542" s="7"/>
      <c r="U2542" s="7"/>
      <c r="V2542" s="10">
        <v>9.5</v>
      </c>
      <c r="W2542" s="9">
        <v>44998</v>
      </c>
      <c r="X2542" s="10">
        <v>11.5</v>
      </c>
      <c r="Y2542" s="9">
        <v>45005</v>
      </c>
      <c r="Z2542">
        <v>10</v>
      </c>
      <c r="AA2542" s="11" t="s">
        <v>49</v>
      </c>
    </row>
    <row r="2543" spans="2:27" ht="16" x14ac:dyDescent="0.2">
      <c r="B2543" t="s">
        <v>35</v>
      </c>
      <c r="C2543">
        <v>40357066</v>
      </c>
      <c r="D2543" t="s">
        <v>409</v>
      </c>
      <c r="E2543">
        <v>1012108</v>
      </c>
      <c r="F2543" t="s">
        <v>57</v>
      </c>
      <c r="G2543" s="9">
        <v>45013</v>
      </c>
      <c r="H2543" s="7"/>
      <c r="I2543" s="7">
        <v>18143.68</v>
      </c>
      <c r="J2543" s="7"/>
      <c r="K2543" s="7"/>
      <c r="L2543" s="10">
        <v>7.5</v>
      </c>
      <c r="M2543" s="9">
        <v>45020</v>
      </c>
      <c r="N2543" s="10">
        <v>9.5</v>
      </c>
      <c r="O2543" s="9">
        <v>45029</v>
      </c>
      <c r="P2543">
        <v>14</v>
      </c>
      <c r="Q2543" s="11" t="s">
        <v>49</v>
      </c>
      <c r="R2543" s="7"/>
      <c r="S2543" s="7">
        <v>18143.68</v>
      </c>
      <c r="T2543" s="7"/>
      <c r="U2543" s="7"/>
      <c r="V2543" s="10">
        <v>9.5</v>
      </c>
      <c r="W2543" s="9">
        <v>45022</v>
      </c>
      <c r="X2543" s="10">
        <v>11.5</v>
      </c>
      <c r="Y2543" s="9">
        <v>45029</v>
      </c>
      <c r="Z2543">
        <v>14</v>
      </c>
      <c r="AA2543" s="11" t="s">
        <v>49</v>
      </c>
    </row>
    <row r="2544" spans="2:27" ht="16" x14ac:dyDescent="0.2">
      <c r="B2544" t="s">
        <v>35</v>
      </c>
      <c r="C2544">
        <v>40356950</v>
      </c>
      <c r="D2544" t="s">
        <v>386</v>
      </c>
      <c r="E2544">
        <v>1030265</v>
      </c>
      <c r="F2544" t="s">
        <v>367</v>
      </c>
      <c r="G2544" s="9">
        <v>44995</v>
      </c>
      <c r="H2544" s="7">
        <v>21600</v>
      </c>
      <c r="I2544" s="7"/>
      <c r="J2544" s="7"/>
      <c r="K2544" s="7"/>
      <c r="L2544" s="10">
        <v>5.1420118343195256</v>
      </c>
      <c r="M2544" s="9">
        <v>45000</v>
      </c>
      <c r="N2544" s="10">
        <v>7.5</v>
      </c>
      <c r="O2544" s="9">
        <v>45007</v>
      </c>
      <c r="P2544">
        <v>8</v>
      </c>
      <c r="Q2544" s="11" t="s">
        <v>49</v>
      </c>
      <c r="R2544" s="7">
        <v>21600</v>
      </c>
      <c r="S2544" s="7"/>
      <c r="T2544" s="7"/>
      <c r="U2544" s="7"/>
      <c r="V2544" s="10">
        <v>7.1420118343195256</v>
      </c>
      <c r="W2544" s="9">
        <v>45002</v>
      </c>
      <c r="X2544" s="10">
        <v>9.5</v>
      </c>
      <c r="Y2544" s="9">
        <v>45007</v>
      </c>
      <c r="Z2544">
        <v>8</v>
      </c>
      <c r="AA2544" s="11" t="s">
        <v>49</v>
      </c>
    </row>
    <row r="2545" spans="2:27" ht="16" x14ac:dyDescent="0.2">
      <c r="B2545" t="s">
        <v>35</v>
      </c>
      <c r="C2545">
        <v>40356945</v>
      </c>
      <c r="D2545" t="s">
        <v>386</v>
      </c>
      <c r="E2545">
        <v>1012432</v>
      </c>
      <c r="F2545" t="s">
        <v>454</v>
      </c>
      <c r="G2545" s="9">
        <v>44988</v>
      </c>
      <c r="H2545" s="7">
        <v>21600</v>
      </c>
      <c r="I2545" s="7"/>
      <c r="J2545" s="7"/>
      <c r="K2545" s="7"/>
      <c r="L2545" s="10">
        <v>5.1420118343195256</v>
      </c>
      <c r="M2545" s="9">
        <v>44993</v>
      </c>
      <c r="N2545" s="10">
        <v>7.5</v>
      </c>
      <c r="O2545" s="9">
        <v>45000</v>
      </c>
      <c r="P2545">
        <v>14</v>
      </c>
      <c r="Q2545" s="11" t="s">
        <v>49</v>
      </c>
      <c r="R2545" s="7">
        <v>21600</v>
      </c>
      <c r="S2545" s="7"/>
      <c r="T2545" s="7"/>
      <c r="U2545" s="7"/>
      <c r="V2545" s="10">
        <v>7.1420118343195256</v>
      </c>
      <c r="W2545" s="9">
        <v>44995</v>
      </c>
      <c r="X2545" s="10">
        <v>9.5</v>
      </c>
      <c r="Y2545" s="9">
        <v>45000</v>
      </c>
      <c r="Z2545">
        <v>14</v>
      </c>
      <c r="AA2545" s="11" t="s">
        <v>49</v>
      </c>
    </row>
    <row r="2546" spans="2:27" ht="16" x14ac:dyDescent="0.2">
      <c r="B2546" t="s">
        <v>35</v>
      </c>
      <c r="C2546">
        <v>40356944</v>
      </c>
      <c r="D2546" t="s">
        <v>386</v>
      </c>
      <c r="E2546">
        <v>1012432</v>
      </c>
      <c r="F2546" t="s">
        <v>454</v>
      </c>
      <c r="G2546" s="9">
        <v>44988</v>
      </c>
      <c r="H2546" s="7">
        <v>21600</v>
      </c>
      <c r="I2546" s="7"/>
      <c r="J2546" s="7"/>
      <c r="K2546" s="7"/>
      <c r="L2546" s="10">
        <v>5.1420118343195256</v>
      </c>
      <c r="M2546" s="9">
        <v>44993</v>
      </c>
      <c r="N2546" s="10">
        <v>7.5</v>
      </c>
      <c r="O2546" s="9">
        <v>45000</v>
      </c>
      <c r="P2546">
        <v>14</v>
      </c>
      <c r="Q2546" s="11" t="s">
        <v>49</v>
      </c>
      <c r="R2546" s="7">
        <v>21600</v>
      </c>
      <c r="S2546" s="7"/>
      <c r="T2546" s="7"/>
      <c r="U2546" s="7"/>
      <c r="V2546" s="10">
        <v>7.1420118343195256</v>
      </c>
      <c r="W2546" s="9">
        <v>44995</v>
      </c>
      <c r="X2546" s="10">
        <v>9.5</v>
      </c>
      <c r="Y2546" s="9">
        <v>45000</v>
      </c>
      <c r="Z2546">
        <v>14</v>
      </c>
      <c r="AA2546" s="11" t="s">
        <v>49</v>
      </c>
    </row>
    <row r="2547" spans="2:27" ht="16" x14ac:dyDescent="0.2">
      <c r="B2547" t="s">
        <v>35</v>
      </c>
      <c r="C2547">
        <v>40356930</v>
      </c>
      <c r="D2547" t="s">
        <v>386</v>
      </c>
      <c r="E2547">
        <v>1011748</v>
      </c>
      <c r="F2547" t="s">
        <v>225</v>
      </c>
      <c r="G2547" s="9">
        <v>45004</v>
      </c>
      <c r="H2547" s="7">
        <v>22800</v>
      </c>
      <c r="I2547" s="7"/>
      <c r="J2547" s="7"/>
      <c r="K2547" s="7"/>
      <c r="L2547" s="10">
        <v>5.1420118343195256</v>
      </c>
      <c r="M2547" s="9">
        <v>45009</v>
      </c>
      <c r="N2547" s="10">
        <v>7.5</v>
      </c>
      <c r="O2547" s="9">
        <v>45016</v>
      </c>
      <c r="P2547">
        <v>0</v>
      </c>
      <c r="Q2547" s="11" t="s">
        <v>598</v>
      </c>
      <c r="R2547" s="7">
        <v>22800</v>
      </c>
      <c r="S2547" s="7"/>
      <c r="T2547" s="7"/>
      <c r="U2547" s="7"/>
      <c r="V2547" s="10">
        <v>7.1420118343195256</v>
      </c>
      <c r="W2547" s="9">
        <v>45011</v>
      </c>
      <c r="X2547" s="10">
        <v>9.5</v>
      </c>
      <c r="Y2547" s="9">
        <v>45016</v>
      </c>
      <c r="Z2547">
        <v>0</v>
      </c>
      <c r="AA2547" s="11" t="s">
        <v>598</v>
      </c>
    </row>
    <row r="2548" spans="2:27" ht="16" x14ac:dyDescent="0.2">
      <c r="B2548" t="s">
        <v>35</v>
      </c>
      <c r="C2548">
        <v>40356929</v>
      </c>
      <c r="D2548" t="s">
        <v>386</v>
      </c>
      <c r="E2548">
        <v>1011748</v>
      </c>
      <c r="F2548" t="s">
        <v>225</v>
      </c>
      <c r="G2548" s="9">
        <v>44997</v>
      </c>
      <c r="H2548" s="7">
        <v>22800</v>
      </c>
      <c r="I2548" s="7"/>
      <c r="J2548" s="7"/>
      <c r="K2548" s="7"/>
      <c r="L2548" s="10">
        <v>5.1420118343195256</v>
      </c>
      <c r="M2548" s="9">
        <v>45002</v>
      </c>
      <c r="N2548" s="10">
        <v>7.5</v>
      </c>
      <c r="O2548" s="9">
        <v>45009</v>
      </c>
      <c r="P2548">
        <v>6</v>
      </c>
      <c r="Q2548" s="11" t="s">
        <v>49</v>
      </c>
      <c r="R2548" s="7">
        <v>22800</v>
      </c>
      <c r="S2548" s="7"/>
      <c r="T2548" s="7"/>
      <c r="U2548" s="7"/>
      <c r="V2548" s="10">
        <v>7.1420118343195256</v>
      </c>
      <c r="W2548" s="9">
        <v>45004</v>
      </c>
      <c r="X2548" s="10">
        <v>9.5</v>
      </c>
      <c r="Y2548" s="9">
        <v>45009</v>
      </c>
      <c r="Z2548">
        <v>6</v>
      </c>
      <c r="AA2548" s="11" t="s">
        <v>49</v>
      </c>
    </row>
    <row r="2549" spans="2:27" x14ac:dyDescent="0.2">
      <c r="B2549" t="s">
        <v>394</v>
      </c>
      <c r="C2549">
        <v>40356426</v>
      </c>
      <c r="D2549" t="s">
        <v>485</v>
      </c>
      <c r="E2549">
        <v>1020886</v>
      </c>
      <c r="F2549" t="s">
        <v>609</v>
      </c>
      <c r="G2549" s="9">
        <v>44973</v>
      </c>
      <c r="H2549" s="7"/>
      <c r="I2549" s="7"/>
      <c r="J2549" s="7"/>
      <c r="K2549" s="7"/>
      <c r="L2549" s="10"/>
      <c r="N2549" s="10"/>
      <c r="Q2549" s="11"/>
      <c r="R2549" s="7"/>
      <c r="S2549" s="7"/>
      <c r="T2549" s="7"/>
      <c r="U2549" s="7"/>
      <c r="V2549" s="10"/>
      <c r="X2549" s="10"/>
      <c r="AA2549" s="11"/>
    </row>
    <row r="2550" spans="2:27" x14ac:dyDescent="0.2">
      <c r="B2550" t="s">
        <v>394</v>
      </c>
      <c r="C2550">
        <v>40356316</v>
      </c>
      <c r="D2550" t="s">
        <v>396</v>
      </c>
      <c r="E2550">
        <v>1012612</v>
      </c>
      <c r="F2550" t="s">
        <v>429</v>
      </c>
      <c r="G2550" s="9">
        <v>45029</v>
      </c>
      <c r="H2550" s="7"/>
      <c r="I2550" s="7">
        <v>24615.94</v>
      </c>
      <c r="J2550" s="7"/>
      <c r="K2550" s="7"/>
      <c r="L2550" s="10"/>
      <c r="N2550" s="10"/>
      <c r="Q2550" s="11"/>
      <c r="R2550" s="7"/>
      <c r="S2550" s="7">
        <v>24615.94</v>
      </c>
      <c r="T2550" s="7"/>
      <c r="U2550" s="7"/>
      <c r="V2550" s="10"/>
      <c r="X2550" s="10"/>
      <c r="AA2550" s="11"/>
    </row>
    <row r="2551" spans="2:27" x14ac:dyDescent="0.2">
      <c r="B2551" t="s">
        <v>394</v>
      </c>
      <c r="C2551">
        <v>40356314</v>
      </c>
      <c r="D2551" t="s">
        <v>396</v>
      </c>
      <c r="E2551">
        <v>1012612</v>
      </c>
      <c r="F2551" t="s">
        <v>429</v>
      </c>
      <c r="G2551" s="9">
        <v>45035</v>
      </c>
      <c r="H2551" s="7"/>
      <c r="I2551" s="7">
        <v>24986.720000000001</v>
      </c>
      <c r="J2551" s="7"/>
      <c r="K2551" s="7"/>
      <c r="L2551" s="10"/>
      <c r="N2551" s="10"/>
      <c r="Q2551" s="11"/>
      <c r="R2551" s="7"/>
      <c r="S2551" s="7">
        <v>24986.720000000001</v>
      </c>
      <c r="T2551" s="7"/>
      <c r="U2551" s="7"/>
      <c r="V2551" s="10"/>
      <c r="X2551" s="10"/>
      <c r="AA2551" s="11"/>
    </row>
    <row r="2552" spans="2:27" x14ac:dyDescent="0.2">
      <c r="B2552" t="s">
        <v>394</v>
      </c>
      <c r="C2552">
        <v>40356313</v>
      </c>
      <c r="D2552" t="s">
        <v>396</v>
      </c>
      <c r="E2552">
        <v>1012612</v>
      </c>
      <c r="F2552" t="s">
        <v>429</v>
      </c>
      <c r="G2552" s="9">
        <v>45035</v>
      </c>
      <c r="H2552" s="7"/>
      <c r="I2552" s="7">
        <v>24984.76</v>
      </c>
      <c r="J2552" s="7"/>
      <c r="K2552" s="7"/>
      <c r="L2552" s="10"/>
      <c r="N2552" s="10"/>
      <c r="Q2552" s="11"/>
      <c r="R2552" s="7"/>
      <c r="S2552" s="7">
        <v>24984.76</v>
      </c>
      <c r="T2552" s="7"/>
      <c r="U2552" s="7"/>
      <c r="V2552" s="10"/>
      <c r="X2552" s="10"/>
      <c r="AA2552" s="11"/>
    </row>
    <row r="2553" spans="2:27" x14ac:dyDescent="0.2">
      <c r="B2553" t="s">
        <v>394</v>
      </c>
      <c r="C2553">
        <v>40356312</v>
      </c>
      <c r="D2553" t="s">
        <v>396</v>
      </c>
      <c r="E2553">
        <v>1012612</v>
      </c>
      <c r="F2553" t="s">
        <v>429</v>
      </c>
      <c r="G2553" s="9">
        <v>45035</v>
      </c>
      <c r="H2553" s="7"/>
      <c r="I2553" s="7">
        <v>24997.22</v>
      </c>
      <c r="J2553" s="7"/>
      <c r="K2553" s="7"/>
      <c r="L2553" s="10"/>
      <c r="N2553" s="10"/>
      <c r="Q2553" s="11"/>
      <c r="R2553" s="7"/>
      <c r="S2553" s="7">
        <v>24997.22</v>
      </c>
      <c r="T2553" s="7"/>
      <c r="U2553" s="7"/>
      <c r="V2553" s="10"/>
      <c r="X2553" s="10"/>
      <c r="AA2553" s="11"/>
    </row>
    <row r="2554" spans="2:27" x14ac:dyDescent="0.2">
      <c r="B2554" t="s">
        <v>394</v>
      </c>
      <c r="C2554">
        <v>40356311</v>
      </c>
      <c r="D2554" t="s">
        <v>396</v>
      </c>
      <c r="E2554">
        <v>1012612</v>
      </c>
      <c r="F2554" t="s">
        <v>429</v>
      </c>
      <c r="G2554" s="9">
        <v>45027</v>
      </c>
      <c r="H2554" s="7"/>
      <c r="I2554" s="7">
        <v>24989.14</v>
      </c>
      <c r="J2554" s="7"/>
      <c r="K2554" s="7"/>
      <c r="L2554" s="10"/>
      <c r="N2554" s="10"/>
      <c r="Q2554" s="11"/>
      <c r="R2554" s="7"/>
      <c r="S2554" s="7">
        <v>24989.14</v>
      </c>
      <c r="T2554" s="7"/>
      <c r="U2554" s="7"/>
      <c r="V2554" s="10"/>
      <c r="X2554" s="10"/>
      <c r="AA2554" s="11"/>
    </row>
    <row r="2555" spans="2:27" x14ac:dyDescent="0.2">
      <c r="B2555" t="s">
        <v>394</v>
      </c>
      <c r="C2555">
        <v>40356310</v>
      </c>
      <c r="D2555" t="s">
        <v>396</v>
      </c>
      <c r="E2555">
        <v>1012612</v>
      </c>
      <c r="F2555" t="s">
        <v>429</v>
      </c>
      <c r="G2555" s="9">
        <v>45027</v>
      </c>
      <c r="H2555" s="7"/>
      <c r="I2555" s="7">
        <v>24992.9</v>
      </c>
      <c r="J2555" s="7"/>
      <c r="K2555" s="7"/>
      <c r="L2555" s="10"/>
      <c r="N2555" s="10"/>
      <c r="Q2555" s="11"/>
      <c r="R2555" s="7"/>
      <c r="S2555" s="7">
        <v>24992.9</v>
      </c>
      <c r="T2555" s="7"/>
      <c r="U2555" s="7"/>
      <c r="V2555" s="10"/>
      <c r="X2555" s="10"/>
      <c r="AA2555" s="11"/>
    </row>
    <row r="2556" spans="2:27" x14ac:dyDescent="0.2">
      <c r="B2556" t="s">
        <v>394</v>
      </c>
      <c r="C2556">
        <v>40356309</v>
      </c>
      <c r="D2556" t="s">
        <v>396</v>
      </c>
      <c r="E2556">
        <v>1012612</v>
      </c>
      <c r="F2556" t="s">
        <v>429</v>
      </c>
      <c r="G2556" s="9">
        <v>45027</v>
      </c>
      <c r="H2556" s="7"/>
      <c r="I2556" s="7">
        <v>24999.439999999999</v>
      </c>
      <c r="J2556" s="7"/>
      <c r="K2556" s="7"/>
      <c r="L2556" s="10"/>
      <c r="N2556" s="10"/>
      <c r="Q2556" s="11"/>
      <c r="R2556" s="7"/>
      <c r="S2556" s="7">
        <v>24999.439999999999</v>
      </c>
      <c r="T2556" s="7"/>
      <c r="U2556" s="7"/>
      <c r="V2556" s="10"/>
      <c r="X2556" s="10"/>
      <c r="AA2556" s="11"/>
    </row>
    <row r="2557" spans="2:27" x14ac:dyDescent="0.2">
      <c r="B2557" t="s">
        <v>394</v>
      </c>
      <c r="C2557">
        <v>40356308</v>
      </c>
      <c r="D2557" t="s">
        <v>396</v>
      </c>
      <c r="E2557">
        <v>1012612</v>
      </c>
      <c r="F2557" t="s">
        <v>429</v>
      </c>
      <c r="G2557" s="9">
        <v>45027</v>
      </c>
      <c r="H2557" s="7"/>
      <c r="I2557" s="7">
        <v>24991.48</v>
      </c>
      <c r="J2557" s="7"/>
      <c r="K2557" s="7"/>
      <c r="L2557" s="10"/>
      <c r="N2557" s="10"/>
      <c r="Q2557" s="11"/>
      <c r="R2557" s="7"/>
      <c r="S2557" s="7">
        <v>24991.48</v>
      </c>
      <c r="T2557" s="7"/>
      <c r="U2557" s="7"/>
      <c r="V2557" s="10"/>
      <c r="X2557" s="10"/>
      <c r="AA2557" s="11"/>
    </row>
    <row r="2558" spans="2:27" x14ac:dyDescent="0.2">
      <c r="B2558" t="s">
        <v>394</v>
      </c>
      <c r="C2558">
        <v>40356307</v>
      </c>
      <c r="D2558" t="s">
        <v>396</v>
      </c>
      <c r="E2558">
        <v>1012612</v>
      </c>
      <c r="F2558" t="s">
        <v>429</v>
      </c>
      <c r="G2558" s="9">
        <v>45027</v>
      </c>
      <c r="H2558" s="7"/>
      <c r="I2558" s="7">
        <v>24844.86</v>
      </c>
      <c r="J2558" s="7"/>
      <c r="K2558" s="7"/>
      <c r="L2558" s="10"/>
      <c r="N2558" s="10"/>
      <c r="Q2558" s="11"/>
      <c r="R2558" s="7"/>
      <c r="S2558" s="7">
        <v>24844.86</v>
      </c>
      <c r="T2558" s="7"/>
      <c r="U2558" s="7"/>
      <c r="V2558" s="10"/>
      <c r="X2558" s="10"/>
      <c r="AA2558" s="11"/>
    </row>
    <row r="2559" spans="2:27" x14ac:dyDescent="0.2">
      <c r="B2559" t="s">
        <v>394</v>
      </c>
      <c r="C2559">
        <v>40356228</v>
      </c>
      <c r="D2559" t="s">
        <v>396</v>
      </c>
      <c r="E2559">
        <v>1022930</v>
      </c>
      <c r="F2559" t="s">
        <v>456</v>
      </c>
      <c r="G2559" s="9">
        <v>45021</v>
      </c>
      <c r="H2559" s="7"/>
      <c r="I2559" s="7">
        <v>22020.3</v>
      </c>
      <c r="J2559" s="7"/>
      <c r="K2559" s="7"/>
      <c r="L2559" s="10"/>
      <c r="N2559" s="10"/>
      <c r="Q2559" s="11"/>
      <c r="R2559" s="7"/>
      <c r="S2559" s="7">
        <v>22020.3</v>
      </c>
      <c r="T2559" s="7"/>
      <c r="U2559" s="7"/>
      <c r="V2559" s="10"/>
      <c r="X2559" s="10"/>
      <c r="AA2559" s="11"/>
    </row>
    <row r="2560" spans="2:27" x14ac:dyDescent="0.2">
      <c r="B2560" t="s">
        <v>394</v>
      </c>
      <c r="C2560">
        <v>40356227</v>
      </c>
      <c r="D2560" t="s">
        <v>396</v>
      </c>
      <c r="E2560">
        <v>1022930</v>
      </c>
      <c r="F2560" t="s">
        <v>456</v>
      </c>
      <c r="G2560" s="9">
        <v>45010</v>
      </c>
      <c r="H2560" s="7">
        <v>22001.360000000001</v>
      </c>
      <c r="I2560" s="7"/>
      <c r="J2560" s="7"/>
      <c r="K2560" s="7"/>
      <c r="L2560" s="10"/>
      <c r="N2560" s="10"/>
      <c r="Q2560" s="11"/>
      <c r="R2560" s="7">
        <v>22001.360000000001</v>
      </c>
      <c r="S2560" s="7"/>
      <c r="T2560" s="7"/>
      <c r="U2560" s="7"/>
      <c r="V2560" s="10"/>
      <c r="X2560" s="10"/>
      <c r="AA2560" s="11"/>
    </row>
    <row r="2561" spans="2:27" x14ac:dyDescent="0.2">
      <c r="B2561" t="s">
        <v>394</v>
      </c>
      <c r="C2561">
        <v>40356151</v>
      </c>
      <c r="D2561" t="s">
        <v>485</v>
      </c>
      <c r="E2561">
        <v>1021976</v>
      </c>
      <c r="F2561" t="s">
        <v>512</v>
      </c>
      <c r="G2561" s="9">
        <v>44989</v>
      </c>
      <c r="H2561" s="7">
        <v>24002.3</v>
      </c>
      <c r="I2561" s="7"/>
      <c r="J2561" s="7"/>
      <c r="K2561" s="7"/>
      <c r="L2561" s="10"/>
      <c r="N2561" s="10"/>
      <c r="Q2561" s="11"/>
      <c r="R2561" s="7">
        <v>24002.3</v>
      </c>
      <c r="S2561" s="7"/>
      <c r="T2561" s="7"/>
      <c r="U2561" s="7"/>
      <c r="V2561" s="10"/>
      <c r="X2561" s="10"/>
      <c r="AA2561" s="11"/>
    </row>
    <row r="2562" spans="2:27" x14ac:dyDescent="0.2">
      <c r="B2562" t="s">
        <v>394</v>
      </c>
      <c r="C2562">
        <v>40355764</v>
      </c>
      <c r="D2562" t="s">
        <v>485</v>
      </c>
      <c r="E2562">
        <v>1022786</v>
      </c>
      <c r="F2562" t="s">
        <v>542</v>
      </c>
      <c r="G2562" s="9">
        <v>45002</v>
      </c>
      <c r="H2562" s="7">
        <v>13988.18182</v>
      </c>
      <c r="I2562" s="7"/>
      <c r="J2562" s="7"/>
      <c r="K2562" s="7"/>
      <c r="L2562" s="10"/>
      <c r="N2562" s="10"/>
      <c r="Q2562" s="11"/>
      <c r="R2562" s="7">
        <v>13988.18182</v>
      </c>
      <c r="S2562" s="7"/>
      <c r="T2562" s="7"/>
      <c r="U2562" s="7"/>
      <c r="V2562" s="10"/>
      <c r="X2562" s="10"/>
      <c r="AA2562" s="11"/>
    </row>
    <row r="2563" spans="2:27" ht="16" x14ac:dyDescent="0.2">
      <c r="B2563" t="s">
        <v>35</v>
      </c>
      <c r="C2563">
        <v>40355656</v>
      </c>
      <c r="D2563" t="s">
        <v>386</v>
      </c>
      <c r="E2563">
        <v>1011749</v>
      </c>
      <c r="F2563" t="s">
        <v>543</v>
      </c>
      <c r="G2563" s="9">
        <v>44988</v>
      </c>
      <c r="H2563" s="7">
        <v>21600</v>
      </c>
      <c r="I2563" s="7"/>
      <c r="J2563" s="7"/>
      <c r="K2563" s="7"/>
      <c r="L2563" s="10">
        <v>5.1420118343195256</v>
      </c>
      <c r="M2563" s="9">
        <v>44993</v>
      </c>
      <c r="N2563" s="10">
        <v>7.5</v>
      </c>
      <c r="O2563" s="9">
        <v>45000</v>
      </c>
      <c r="P2563">
        <v>14</v>
      </c>
      <c r="Q2563" s="11" t="s">
        <v>49</v>
      </c>
      <c r="R2563" s="7">
        <v>21600</v>
      </c>
      <c r="S2563" s="7"/>
      <c r="T2563" s="7"/>
      <c r="U2563" s="7"/>
      <c r="V2563" s="10">
        <v>7.1420118343195256</v>
      </c>
      <c r="W2563" s="9">
        <v>44995</v>
      </c>
      <c r="X2563" s="10">
        <v>9.5</v>
      </c>
      <c r="Y2563" s="9">
        <v>45000</v>
      </c>
      <c r="Z2563">
        <v>14</v>
      </c>
      <c r="AA2563" s="11" t="s">
        <v>49</v>
      </c>
    </row>
    <row r="2564" spans="2:27" ht="16" x14ac:dyDescent="0.2">
      <c r="B2564" t="s">
        <v>35</v>
      </c>
      <c r="C2564">
        <v>40355655</v>
      </c>
      <c r="D2564" t="s">
        <v>386</v>
      </c>
      <c r="E2564">
        <v>1011749</v>
      </c>
      <c r="F2564" t="s">
        <v>543</v>
      </c>
      <c r="G2564" s="9">
        <v>44988</v>
      </c>
      <c r="H2564" s="7">
        <v>21600</v>
      </c>
      <c r="I2564" s="7"/>
      <c r="J2564" s="7"/>
      <c r="K2564" s="7"/>
      <c r="L2564" s="10">
        <v>5.1420118343195256</v>
      </c>
      <c r="M2564" s="9">
        <v>44993</v>
      </c>
      <c r="N2564" s="10">
        <v>7.5</v>
      </c>
      <c r="O2564" s="9">
        <v>45000</v>
      </c>
      <c r="P2564">
        <v>14</v>
      </c>
      <c r="Q2564" s="11" t="s">
        <v>49</v>
      </c>
      <c r="R2564" s="7">
        <v>21600</v>
      </c>
      <c r="S2564" s="7"/>
      <c r="T2564" s="7"/>
      <c r="U2564" s="7"/>
      <c r="V2564" s="10">
        <v>7.1420118343195256</v>
      </c>
      <c r="W2564" s="9">
        <v>44995</v>
      </c>
      <c r="X2564" s="10">
        <v>9.5</v>
      </c>
      <c r="Y2564" s="9">
        <v>45000</v>
      </c>
      <c r="Z2564">
        <v>14</v>
      </c>
      <c r="AA2564" s="11" t="s">
        <v>49</v>
      </c>
    </row>
    <row r="2565" spans="2:27" ht="16" x14ac:dyDescent="0.2">
      <c r="B2565" t="s">
        <v>35</v>
      </c>
      <c r="C2565">
        <v>40355654</v>
      </c>
      <c r="D2565" t="s">
        <v>386</v>
      </c>
      <c r="E2565">
        <v>1011749</v>
      </c>
      <c r="F2565" t="s">
        <v>543</v>
      </c>
      <c r="G2565" s="9">
        <v>44988</v>
      </c>
      <c r="H2565" s="7">
        <v>21600</v>
      </c>
      <c r="I2565" s="7"/>
      <c r="J2565" s="7"/>
      <c r="K2565" s="7"/>
      <c r="L2565" s="10">
        <v>5.1420118343195256</v>
      </c>
      <c r="M2565" s="9">
        <v>44993</v>
      </c>
      <c r="N2565" s="10">
        <v>7.5</v>
      </c>
      <c r="O2565" s="9">
        <v>45000</v>
      </c>
      <c r="P2565">
        <v>14</v>
      </c>
      <c r="Q2565" s="11" t="s">
        <v>49</v>
      </c>
      <c r="R2565" s="7">
        <v>21600</v>
      </c>
      <c r="S2565" s="7"/>
      <c r="T2565" s="7"/>
      <c r="U2565" s="7"/>
      <c r="V2565" s="10">
        <v>7.1420118343195256</v>
      </c>
      <c r="W2565" s="9">
        <v>44995</v>
      </c>
      <c r="X2565" s="10">
        <v>9.5</v>
      </c>
      <c r="Y2565" s="9">
        <v>45000</v>
      </c>
      <c r="Z2565">
        <v>14</v>
      </c>
      <c r="AA2565" s="11" t="s">
        <v>49</v>
      </c>
    </row>
    <row r="2566" spans="2:27" ht="16" x14ac:dyDescent="0.2">
      <c r="B2566" t="s">
        <v>35</v>
      </c>
      <c r="C2566">
        <v>40355393</v>
      </c>
      <c r="D2566" t="s">
        <v>386</v>
      </c>
      <c r="E2566">
        <v>1030711</v>
      </c>
      <c r="F2566" t="s">
        <v>544</v>
      </c>
      <c r="G2566" s="9">
        <v>45002</v>
      </c>
      <c r="H2566" s="7">
        <v>21000</v>
      </c>
      <c r="I2566" s="7"/>
      <c r="J2566" s="7"/>
      <c r="K2566" s="7"/>
      <c r="L2566" s="10">
        <v>5.1420118343195256</v>
      </c>
      <c r="M2566" s="9">
        <v>45007</v>
      </c>
      <c r="N2566" s="10">
        <v>7.5</v>
      </c>
      <c r="O2566" s="9">
        <v>45014</v>
      </c>
      <c r="P2566">
        <v>2</v>
      </c>
      <c r="Q2566" s="11" t="s">
        <v>598</v>
      </c>
      <c r="R2566" s="7">
        <v>21000</v>
      </c>
      <c r="S2566" s="7"/>
      <c r="T2566" s="7"/>
      <c r="U2566" s="7"/>
      <c r="V2566" s="10">
        <v>7.1420118343195256</v>
      </c>
      <c r="W2566" s="9">
        <v>45009</v>
      </c>
      <c r="X2566" s="10">
        <v>9.5</v>
      </c>
      <c r="Y2566" s="9">
        <v>45014</v>
      </c>
      <c r="Z2566">
        <v>2</v>
      </c>
      <c r="AA2566" s="11" t="s">
        <v>598</v>
      </c>
    </row>
    <row r="2567" spans="2:27" x14ac:dyDescent="0.2">
      <c r="B2567" t="s">
        <v>394</v>
      </c>
      <c r="C2567">
        <v>40355366</v>
      </c>
      <c r="D2567" t="s">
        <v>485</v>
      </c>
      <c r="E2567">
        <v>1011421</v>
      </c>
      <c r="F2567" t="s">
        <v>484</v>
      </c>
      <c r="G2567" s="9">
        <v>44996</v>
      </c>
      <c r="H2567" s="7">
        <v>23994.99</v>
      </c>
      <c r="I2567" s="7"/>
      <c r="J2567" s="7"/>
      <c r="K2567" s="7"/>
      <c r="L2567" s="10"/>
      <c r="N2567" s="10"/>
      <c r="Q2567" s="11"/>
      <c r="R2567" s="7">
        <v>23994.99</v>
      </c>
      <c r="S2567" s="7"/>
      <c r="T2567" s="7"/>
      <c r="U2567" s="7"/>
      <c r="V2567" s="10"/>
      <c r="X2567" s="10"/>
      <c r="AA2567" s="11"/>
    </row>
    <row r="2568" spans="2:27" x14ac:dyDescent="0.2">
      <c r="B2568" t="s">
        <v>394</v>
      </c>
      <c r="C2568">
        <v>40355365</v>
      </c>
      <c r="D2568" t="s">
        <v>485</v>
      </c>
      <c r="E2568">
        <v>1011421</v>
      </c>
      <c r="F2568" t="s">
        <v>484</v>
      </c>
      <c r="G2568" s="9">
        <v>44996</v>
      </c>
      <c r="H2568" s="7">
        <v>23985.08</v>
      </c>
      <c r="I2568" s="7"/>
      <c r="J2568" s="7"/>
      <c r="K2568" s="7"/>
      <c r="L2568" s="10"/>
      <c r="N2568" s="10"/>
      <c r="Q2568" s="11"/>
      <c r="R2568" s="7">
        <v>23985.08</v>
      </c>
      <c r="S2568" s="7"/>
      <c r="T2568" s="7"/>
      <c r="U2568" s="7"/>
      <c r="V2568" s="10"/>
      <c r="X2568" s="10"/>
      <c r="AA2568" s="11"/>
    </row>
    <row r="2569" spans="2:27" x14ac:dyDescent="0.2">
      <c r="B2569" t="s">
        <v>394</v>
      </c>
      <c r="C2569">
        <v>40355363</v>
      </c>
      <c r="D2569" t="s">
        <v>485</v>
      </c>
      <c r="E2569">
        <v>1011421</v>
      </c>
      <c r="F2569" t="s">
        <v>484</v>
      </c>
      <c r="G2569" s="9">
        <v>44988</v>
      </c>
      <c r="H2569" s="7">
        <v>23983.93</v>
      </c>
      <c r="I2569" s="7"/>
      <c r="J2569" s="7"/>
      <c r="K2569" s="7"/>
      <c r="L2569" s="10"/>
      <c r="N2569" s="10"/>
      <c r="Q2569" s="11"/>
      <c r="R2569" s="7">
        <v>23983.93</v>
      </c>
      <c r="S2569" s="7"/>
      <c r="T2569" s="7"/>
      <c r="U2569" s="7"/>
      <c r="V2569" s="10"/>
      <c r="X2569" s="10"/>
      <c r="AA2569" s="11"/>
    </row>
    <row r="2570" spans="2:27" x14ac:dyDescent="0.2">
      <c r="B2570" t="s">
        <v>394</v>
      </c>
      <c r="C2570">
        <v>40355362</v>
      </c>
      <c r="D2570" t="s">
        <v>485</v>
      </c>
      <c r="E2570">
        <v>1011421</v>
      </c>
      <c r="F2570" t="s">
        <v>484</v>
      </c>
      <c r="G2570" s="9">
        <v>44988</v>
      </c>
      <c r="H2570" s="7">
        <v>23991.279999999999</v>
      </c>
      <c r="I2570" s="7"/>
      <c r="J2570" s="7"/>
      <c r="K2570" s="7"/>
      <c r="L2570" s="10"/>
      <c r="N2570" s="10"/>
      <c r="Q2570" s="11"/>
      <c r="R2570" s="7">
        <v>23991.279999999999</v>
      </c>
      <c r="S2570" s="7"/>
      <c r="T2570" s="7"/>
      <c r="U2570" s="7"/>
      <c r="V2570" s="10"/>
      <c r="X2570" s="10"/>
      <c r="AA2570" s="11"/>
    </row>
    <row r="2571" spans="2:27" x14ac:dyDescent="0.2">
      <c r="B2571" t="s">
        <v>394</v>
      </c>
      <c r="C2571">
        <v>40355361</v>
      </c>
      <c r="D2571" t="s">
        <v>485</v>
      </c>
      <c r="E2571">
        <v>1011421</v>
      </c>
      <c r="F2571" t="s">
        <v>484</v>
      </c>
      <c r="G2571" s="9">
        <v>44989</v>
      </c>
      <c r="H2571" s="7">
        <v>23995.98</v>
      </c>
      <c r="I2571" s="7"/>
      <c r="J2571" s="7"/>
      <c r="K2571" s="7"/>
      <c r="L2571" s="10"/>
      <c r="N2571" s="10"/>
      <c r="Q2571" s="11"/>
      <c r="R2571" s="7">
        <v>23995.98</v>
      </c>
      <c r="S2571" s="7"/>
      <c r="T2571" s="7"/>
      <c r="U2571" s="7"/>
      <c r="V2571" s="10"/>
      <c r="X2571" s="10"/>
      <c r="AA2571" s="11"/>
    </row>
    <row r="2572" spans="2:27" x14ac:dyDescent="0.2">
      <c r="B2572" t="s">
        <v>394</v>
      </c>
      <c r="C2572">
        <v>40355360</v>
      </c>
      <c r="D2572" t="s">
        <v>485</v>
      </c>
      <c r="E2572">
        <v>1011421</v>
      </c>
      <c r="F2572" t="s">
        <v>484</v>
      </c>
      <c r="G2572" s="9">
        <v>44989</v>
      </c>
      <c r="H2572" s="7">
        <v>23985.33</v>
      </c>
      <c r="I2572" s="7"/>
      <c r="J2572" s="7"/>
      <c r="K2572" s="7"/>
      <c r="L2572" s="10"/>
      <c r="N2572" s="10"/>
      <c r="Q2572" s="11"/>
      <c r="R2572" s="7">
        <v>23985.33</v>
      </c>
      <c r="S2572" s="7"/>
      <c r="T2572" s="7"/>
      <c r="U2572" s="7"/>
      <c r="V2572" s="10"/>
      <c r="X2572" s="10"/>
      <c r="AA2572" s="11"/>
    </row>
    <row r="2573" spans="2:27" x14ac:dyDescent="0.2">
      <c r="B2573" t="s">
        <v>394</v>
      </c>
      <c r="C2573">
        <v>40355359</v>
      </c>
      <c r="D2573" t="s">
        <v>485</v>
      </c>
      <c r="E2573">
        <v>1011421</v>
      </c>
      <c r="F2573" t="s">
        <v>484</v>
      </c>
      <c r="G2573" s="9">
        <v>44976</v>
      </c>
      <c r="H2573" s="7"/>
      <c r="I2573" s="7"/>
      <c r="J2573" s="7"/>
      <c r="K2573" s="7"/>
      <c r="L2573" s="10"/>
      <c r="N2573" s="10"/>
      <c r="Q2573" s="11"/>
      <c r="R2573" s="7"/>
      <c r="S2573" s="7"/>
      <c r="T2573" s="7"/>
      <c r="U2573" s="7"/>
      <c r="V2573" s="10"/>
      <c r="X2573" s="10"/>
      <c r="AA2573" s="11"/>
    </row>
    <row r="2574" spans="2:27" x14ac:dyDescent="0.2">
      <c r="B2574" t="s">
        <v>394</v>
      </c>
      <c r="C2574">
        <v>40355287</v>
      </c>
      <c r="D2574" t="s">
        <v>485</v>
      </c>
      <c r="E2574">
        <v>1012719</v>
      </c>
      <c r="F2574" t="s">
        <v>545</v>
      </c>
      <c r="G2574" s="9">
        <v>44987</v>
      </c>
      <c r="H2574" s="7">
        <v>24005.62</v>
      </c>
      <c r="I2574" s="7"/>
      <c r="J2574" s="7"/>
      <c r="K2574" s="7"/>
      <c r="L2574" s="10"/>
      <c r="N2574" s="10"/>
      <c r="Q2574" s="11"/>
      <c r="R2574" s="7">
        <v>24005.62</v>
      </c>
      <c r="S2574" s="7"/>
      <c r="T2574" s="7"/>
      <c r="U2574" s="7"/>
      <c r="V2574" s="10"/>
      <c r="X2574" s="10"/>
      <c r="AA2574" s="11"/>
    </row>
    <row r="2575" spans="2:27" x14ac:dyDescent="0.2">
      <c r="B2575" t="s">
        <v>394</v>
      </c>
      <c r="C2575">
        <v>40355286</v>
      </c>
      <c r="D2575" t="s">
        <v>485</v>
      </c>
      <c r="E2575">
        <v>1012719</v>
      </c>
      <c r="F2575" t="s">
        <v>545</v>
      </c>
      <c r="G2575" s="9">
        <v>44987</v>
      </c>
      <c r="H2575" s="7">
        <v>24008.01</v>
      </c>
      <c r="I2575" s="7"/>
      <c r="J2575" s="7"/>
      <c r="K2575" s="7"/>
      <c r="L2575" s="10"/>
      <c r="N2575" s="10"/>
      <c r="Q2575" s="11"/>
      <c r="R2575" s="7">
        <v>24008.01</v>
      </c>
      <c r="S2575" s="7"/>
      <c r="T2575" s="7"/>
      <c r="U2575" s="7"/>
      <c r="V2575" s="10"/>
      <c r="X2575" s="10"/>
      <c r="AA2575" s="11"/>
    </row>
    <row r="2576" spans="2:27" x14ac:dyDescent="0.2">
      <c r="B2576" t="s">
        <v>394</v>
      </c>
      <c r="C2576">
        <v>40355285</v>
      </c>
      <c r="D2576" t="s">
        <v>485</v>
      </c>
      <c r="E2576">
        <v>1012719</v>
      </c>
      <c r="F2576" t="s">
        <v>545</v>
      </c>
      <c r="G2576" s="9">
        <v>44983</v>
      </c>
      <c r="H2576" s="7"/>
      <c r="I2576" s="7"/>
      <c r="J2576" s="7"/>
      <c r="K2576" s="7"/>
      <c r="L2576" s="10"/>
      <c r="N2576" s="10"/>
      <c r="Q2576" s="11"/>
      <c r="R2576" s="7"/>
      <c r="S2576" s="7"/>
      <c r="T2576" s="7"/>
      <c r="U2576" s="7"/>
      <c r="V2576" s="10"/>
      <c r="X2576" s="10"/>
      <c r="AA2576" s="11"/>
    </row>
    <row r="2577" spans="2:27" x14ac:dyDescent="0.2">
      <c r="B2577" t="s">
        <v>394</v>
      </c>
      <c r="C2577">
        <v>40355284</v>
      </c>
      <c r="D2577" t="s">
        <v>485</v>
      </c>
      <c r="E2577">
        <v>1012719</v>
      </c>
      <c r="F2577" t="s">
        <v>545</v>
      </c>
      <c r="G2577" s="9">
        <v>44983</v>
      </c>
      <c r="H2577" s="7"/>
      <c r="I2577" s="7"/>
      <c r="J2577" s="7"/>
      <c r="K2577" s="7"/>
      <c r="L2577" s="10"/>
      <c r="N2577" s="10"/>
      <c r="Q2577" s="11"/>
      <c r="R2577" s="7"/>
      <c r="S2577" s="7"/>
      <c r="T2577" s="7"/>
      <c r="U2577" s="7"/>
      <c r="V2577" s="10"/>
      <c r="X2577" s="10"/>
      <c r="AA2577" s="11"/>
    </row>
    <row r="2578" spans="2:27" x14ac:dyDescent="0.2">
      <c r="B2578" t="s">
        <v>394</v>
      </c>
      <c r="C2578">
        <v>40355283</v>
      </c>
      <c r="D2578" t="s">
        <v>485</v>
      </c>
      <c r="E2578">
        <v>1012719</v>
      </c>
      <c r="F2578" t="s">
        <v>545</v>
      </c>
      <c r="G2578" s="9">
        <v>44980</v>
      </c>
      <c r="H2578" s="7"/>
      <c r="I2578" s="7"/>
      <c r="J2578" s="7"/>
      <c r="K2578" s="7"/>
      <c r="L2578" s="10"/>
      <c r="N2578" s="10"/>
      <c r="Q2578" s="11"/>
      <c r="R2578" s="7"/>
      <c r="S2578" s="7"/>
      <c r="T2578" s="7"/>
      <c r="U2578" s="7"/>
      <c r="V2578" s="10"/>
      <c r="X2578" s="10"/>
      <c r="AA2578" s="11"/>
    </row>
    <row r="2579" spans="2:27" x14ac:dyDescent="0.2">
      <c r="B2579" t="s">
        <v>394</v>
      </c>
      <c r="C2579">
        <v>40355258</v>
      </c>
      <c r="D2579" t="s">
        <v>485</v>
      </c>
      <c r="E2579">
        <v>1022709</v>
      </c>
      <c r="F2579" t="s">
        <v>493</v>
      </c>
      <c r="G2579" s="9">
        <v>44993</v>
      </c>
      <c r="H2579" s="7">
        <v>24196.27</v>
      </c>
      <c r="I2579" s="7"/>
      <c r="J2579" s="7"/>
      <c r="K2579" s="7"/>
      <c r="L2579" s="10"/>
      <c r="N2579" s="10"/>
      <c r="Q2579" s="11"/>
      <c r="R2579" s="7">
        <v>24196.27</v>
      </c>
      <c r="S2579" s="7"/>
      <c r="T2579" s="7"/>
      <c r="U2579" s="7"/>
      <c r="V2579" s="10"/>
      <c r="X2579" s="10"/>
      <c r="AA2579" s="11"/>
    </row>
    <row r="2580" spans="2:27" x14ac:dyDescent="0.2">
      <c r="B2580" t="s">
        <v>394</v>
      </c>
      <c r="C2580">
        <v>40355257</v>
      </c>
      <c r="D2580" t="s">
        <v>485</v>
      </c>
      <c r="E2580">
        <v>1022709</v>
      </c>
      <c r="F2580" t="s">
        <v>493</v>
      </c>
      <c r="G2580" s="9">
        <v>44985</v>
      </c>
      <c r="H2580" s="7"/>
      <c r="I2580" s="7"/>
      <c r="J2580" s="7"/>
      <c r="K2580" s="7"/>
      <c r="L2580" s="10"/>
      <c r="N2580" s="10"/>
      <c r="Q2580" s="11"/>
      <c r="R2580" s="7"/>
      <c r="S2580" s="7"/>
      <c r="T2580" s="7"/>
      <c r="U2580" s="7"/>
      <c r="V2580" s="10"/>
      <c r="X2580" s="10"/>
      <c r="AA2580" s="11"/>
    </row>
    <row r="2581" spans="2:27" ht="16" x14ac:dyDescent="0.2">
      <c r="B2581" t="s">
        <v>35</v>
      </c>
      <c r="C2581">
        <v>40354643</v>
      </c>
      <c r="D2581" t="s">
        <v>391</v>
      </c>
      <c r="E2581">
        <v>1021931</v>
      </c>
      <c r="F2581" t="s">
        <v>189</v>
      </c>
      <c r="G2581" s="9">
        <v>45005</v>
      </c>
      <c r="H2581" s="7"/>
      <c r="I2581" s="7">
        <v>1992.46</v>
      </c>
      <c r="J2581" s="7"/>
      <c r="K2581" s="7"/>
      <c r="L2581" s="10">
        <v>4.830303030303031</v>
      </c>
      <c r="M2581" s="9">
        <v>45009</v>
      </c>
      <c r="N2581" s="10">
        <v>15</v>
      </c>
      <c r="O2581" s="9">
        <v>45024</v>
      </c>
      <c r="P2581">
        <v>18</v>
      </c>
      <c r="Q2581" s="11" t="s">
        <v>49</v>
      </c>
      <c r="R2581" s="7"/>
      <c r="S2581" s="7">
        <v>1992.46</v>
      </c>
      <c r="T2581" s="7"/>
      <c r="U2581" s="7"/>
      <c r="V2581" s="10">
        <v>6.830303030303031</v>
      </c>
      <c r="W2581" s="9">
        <v>45011</v>
      </c>
      <c r="X2581" s="10">
        <v>17</v>
      </c>
      <c r="Y2581" s="9">
        <v>45024</v>
      </c>
      <c r="Z2581">
        <v>18</v>
      </c>
      <c r="AA2581" s="11" t="s">
        <v>49</v>
      </c>
    </row>
    <row r="2582" spans="2:27" ht="16" x14ac:dyDescent="0.2">
      <c r="B2582" t="s">
        <v>35</v>
      </c>
      <c r="C2582">
        <v>40354642</v>
      </c>
      <c r="D2582" t="s">
        <v>391</v>
      </c>
      <c r="E2582">
        <v>1022975</v>
      </c>
      <c r="F2582" t="s">
        <v>433</v>
      </c>
      <c r="G2582" s="9">
        <v>45005</v>
      </c>
      <c r="H2582" s="7"/>
      <c r="I2582" s="7">
        <v>4100</v>
      </c>
      <c r="J2582" s="7"/>
      <c r="K2582" s="7"/>
      <c r="L2582" s="10">
        <v>4.830303030303031</v>
      </c>
      <c r="M2582" s="9">
        <v>45009</v>
      </c>
      <c r="N2582" s="10">
        <v>15</v>
      </c>
      <c r="O2582" s="9">
        <v>45024</v>
      </c>
      <c r="P2582">
        <v>18</v>
      </c>
      <c r="Q2582" s="11" t="s">
        <v>49</v>
      </c>
      <c r="R2582" s="7"/>
      <c r="S2582" s="7">
        <v>4100</v>
      </c>
      <c r="T2582" s="7"/>
      <c r="U2582" s="7"/>
      <c r="V2582" s="10">
        <v>6.830303030303031</v>
      </c>
      <c r="W2582" s="9">
        <v>45011</v>
      </c>
      <c r="X2582" s="10">
        <v>17</v>
      </c>
      <c r="Y2582" s="9">
        <v>45024</v>
      </c>
      <c r="Z2582">
        <v>18</v>
      </c>
      <c r="AA2582" s="11" t="s">
        <v>49</v>
      </c>
    </row>
    <row r="2583" spans="2:27" ht="16" x14ac:dyDescent="0.2">
      <c r="B2583" t="s">
        <v>35</v>
      </c>
      <c r="C2583">
        <v>40354642</v>
      </c>
      <c r="D2583" t="s">
        <v>391</v>
      </c>
      <c r="E2583">
        <v>1022866</v>
      </c>
      <c r="F2583" t="s">
        <v>203</v>
      </c>
      <c r="G2583" s="9">
        <v>45005</v>
      </c>
      <c r="H2583" s="7"/>
      <c r="I2583" s="7">
        <v>4031.37</v>
      </c>
      <c r="J2583" s="7"/>
      <c r="K2583" s="7"/>
      <c r="L2583" s="10">
        <v>4.830303030303031</v>
      </c>
      <c r="M2583" s="9">
        <v>45009</v>
      </c>
      <c r="N2583" s="10">
        <v>15</v>
      </c>
      <c r="O2583" s="9">
        <v>45024</v>
      </c>
      <c r="P2583">
        <v>18</v>
      </c>
      <c r="Q2583" s="11" t="s">
        <v>49</v>
      </c>
      <c r="R2583" s="7"/>
      <c r="S2583" s="7">
        <v>4031.37</v>
      </c>
      <c r="T2583" s="7"/>
      <c r="U2583" s="7"/>
      <c r="V2583" s="10">
        <v>6.830303030303031</v>
      </c>
      <c r="W2583" s="9">
        <v>45011</v>
      </c>
      <c r="X2583" s="10">
        <v>17</v>
      </c>
      <c r="Y2583" s="9">
        <v>45024</v>
      </c>
      <c r="Z2583">
        <v>18</v>
      </c>
      <c r="AA2583" s="11" t="s">
        <v>49</v>
      </c>
    </row>
    <row r="2584" spans="2:27" ht="16" x14ac:dyDescent="0.2">
      <c r="B2584" t="s">
        <v>35</v>
      </c>
      <c r="C2584">
        <v>40354642</v>
      </c>
      <c r="D2584" t="s">
        <v>391</v>
      </c>
      <c r="E2584">
        <v>1022863</v>
      </c>
      <c r="F2584" t="s">
        <v>201</v>
      </c>
      <c r="G2584" s="9">
        <v>45005</v>
      </c>
      <c r="H2584" s="7"/>
      <c r="I2584" s="7">
        <v>4883.45</v>
      </c>
      <c r="J2584" s="7"/>
      <c r="K2584" s="7"/>
      <c r="L2584" s="10">
        <v>4.830303030303031</v>
      </c>
      <c r="M2584" s="9">
        <v>45009</v>
      </c>
      <c r="N2584" s="10">
        <v>15</v>
      </c>
      <c r="O2584" s="9">
        <v>45024</v>
      </c>
      <c r="P2584">
        <v>18</v>
      </c>
      <c r="Q2584" s="11" t="s">
        <v>49</v>
      </c>
      <c r="R2584" s="7"/>
      <c r="S2584" s="7">
        <v>4883.45</v>
      </c>
      <c r="T2584" s="7"/>
      <c r="U2584" s="7"/>
      <c r="V2584" s="10">
        <v>6.830303030303031</v>
      </c>
      <c r="W2584" s="9">
        <v>45011</v>
      </c>
      <c r="X2584" s="10">
        <v>17</v>
      </c>
      <c r="Y2584" s="9">
        <v>45024</v>
      </c>
      <c r="Z2584">
        <v>18</v>
      </c>
      <c r="AA2584" s="11" t="s">
        <v>49</v>
      </c>
    </row>
    <row r="2585" spans="2:27" ht="16" x14ac:dyDescent="0.2">
      <c r="B2585" t="s">
        <v>35</v>
      </c>
      <c r="C2585">
        <v>40354642</v>
      </c>
      <c r="D2585" t="s">
        <v>391</v>
      </c>
      <c r="E2585">
        <v>1022621</v>
      </c>
      <c r="F2585" t="s">
        <v>199</v>
      </c>
      <c r="G2585" s="9">
        <v>45005</v>
      </c>
      <c r="H2585" s="7"/>
      <c r="I2585" s="7">
        <v>4004.4</v>
      </c>
      <c r="J2585" s="7"/>
      <c r="K2585" s="7"/>
      <c r="L2585" s="10">
        <v>4.830303030303031</v>
      </c>
      <c r="M2585" s="9">
        <v>45009</v>
      </c>
      <c r="N2585" s="10">
        <v>15</v>
      </c>
      <c r="O2585" s="9">
        <v>45024</v>
      </c>
      <c r="P2585">
        <v>18</v>
      </c>
      <c r="Q2585" s="11" t="s">
        <v>49</v>
      </c>
      <c r="R2585" s="7"/>
      <c r="S2585" s="7">
        <v>4004.4</v>
      </c>
      <c r="T2585" s="7"/>
      <c r="U2585" s="7"/>
      <c r="V2585" s="10">
        <v>6.830303030303031</v>
      </c>
      <c r="W2585" s="9">
        <v>45011</v>
      </c>
      <c r="X2585" s="10">
        <v>17</v>
      </c>
      <c r="Y2585" s="9">
        <v>45024</v>
      </c>
      <c r="Z2585">
        <v>18</v>
      </c>
      <c r="AA2585" s="11" t="s">
        <v>49</v>
      </c>
    </row>
    <row r="2586" spans="2:27" ht="16" x14ac:dyDescent="0.2">
      <c r="B2586" t="s">
        <v>35</v>
      </c>
      <c r="C2586">
        <v>40354642</v>
      </c>
      <c r="D2586" t="s">
        <v>391</v>
      </c>
      <c r="E2586">
        <v>1021924</v>
      </c>
      <c r="F2586" t="s">
        <v>187</v>
      </c>
      <c r="G2586" s="9">
        <v>45005</v>
      </c>
      <c r="H2586" s="7"/>
      <c r="I2586" s="7">
        <v>4981.71</v>
      </c>
      <c r="J2586" s="7"/>
      <c r="K2586" s="7"/>
      <c r="L2586" s="10">
        <v>4.830303030303031</v>
      </c>
      <c r="M2586" s="9">
        <v>45009</v>
      </c>
      <c r="N2586" s="10">
        <v>15</v>
      </c>
      <c r="O2586" s="9">
        <v>45024</v>
      </c>
      <c r="P2586">
        <v>18</v>
      </c>
      <c r="Q2586" s="11" t="s">
        <v>49</v>
      </c>
      <c r="R2586" s="7"/>
      <c r="S2586" s="7">
        <v>4981.71</v>
      </c>
      <c r="T2586" s="7"/>
      <c r="U2586" s="7"/>
      <c r="V2586" s="10">
        <v>6.830303030303031</v>
      </c>
      <c r="W2586" s="9">
        <v>45011</v>
      </c>
      <c r="X2586" s="10">
        <v>17</v>
      </c>
      <c r="Y2586" s="9">
        <v>45024</v>
      </c>
      <c r="Z2586">
        <v>18</v>
      </c>
      <c r="AA2586" s="11" t="s">
        <v>49</v>
      </c>
    </row>
    <row r="2587" spans="2:27" ht="16" x14ac:dyDescent="0.2">
      <c r="B2587" t="s">
        <v>35</v>
      </c>
      <c r="C2587">
        <v>40354638</v>
      </c>
      <c r="D2587" t="s">
        <v>391</v>
      </c>
      <c r="E2587">
        <v>1022866</v>
      </c>
      <c r="F2587" t="s">
        <v>203</v>
      </c>
      <c r="G2587" s="9">
        <v>45022</v>
      </c>
      <c r="H2587" s="7"/>
      <c r="I2587" s="7">
        <v>6027.46</v>
      </c>
      <c r="J2587" s="7"/>
      <c r="K2587" s="7"/>
      <c r="L2587" s="10">
        <v>4.830303030303031</v>
      </c>
      <c r="M2587" s="9">
        <v>45026</v>
      </c>
      <c r="N2587" s="10">
        <v>15</v>
      </c>
      <c r="O2587" s="9">
        <v>45041</v>
      </c>
      <c r="P2587">
        <v>4</v>
      </c>
      <c r="Q2587" s="11" t="s">
        <v>49</v>
      </c>
      <c r="R2587" s="7"/>
      <c r="S2587" s="7">
        <v>6027.46</v>
      </c>
      <c r="T2587" s="7"/>
      <c r="U2587" s="7"/>
      <c r="V2587" s="10">
        <v>6.830303030303031</v>
      </c>
      <c r="W2587" s="9">
        <v>45028</v>
      </c>
      <c r="X2587" s="10">
        <v>17</v>
      </c>
      <c r="Y2587" s="9">
        <v>45041</v>
      </c>
      <c r="Z2587">
        <v>4</v>
      </c>
      <c r="AA2587" s="11" t="s">
        <v>49</v>
      </c>
    </row>
    <row r="2588" spans="2:27" ht="16" x14ac:dyDescent="0.2">
      <c r="B2588" t="s">
        <v>35</v>
      </c>
      <c r="C2588">
        <v>40354638</v>
      </c>
      <c r="D2588" t="s">
        <v>391</v>
      </c>
      <c r="E2588">
        <v>1022864</v>
      </c>
      <c r="F2588" t="s">
        <v>41</v>
      </c>
      <c r="G2588" s="9">
        <v>45022</v>
      </c>
      <c r="H2588" s="7"/>
      <c r="I2588" s="7">
        <v>10304.120000000001</v>
      </c>
      <c r="J2588" s="7"/>
      <c r="K2588" s="7"/>
      <c r="L2588" s="10">
        <v>4.830303030303031</v>
      </c>
      <c r="M2588" s="9">
        <v>45026</v>
      </c>
      <c r="N2588" s="10">
        <v>15</v>
      </c>
      <c r="O2588" s="9">
        <v>45041</v>
      </c>
      <c r="P2588">
        <v>4</v>
      </c>
      <c r="Q2588" s="11" t="s">
        <v>49</v>
      </c>
      <c r="R2588" s="7"/>
      <c r="S2588" s="7">
        <v>10304.120000000001</v>
      </c>
      <c r="T2588" s="7"/>
      <c r="U2588" s="7"/>
      <c r="V2588" s="10">
        <v>6.830303030303031</v>
      </c>
      <c r="W2588" s="9">
        <v>45028</v>
      </c>
      <c r="X2588" s="10">
        <v>17</v>
      </c>
      <c r="Y2588" s="9">
        <v>45041</v>
      </c>
      <c r="Z2588">
        <v>4</v>
      </c>
      <c r="AA2588" s="11" t="s">
        <v>49</v>
      </c>
    </row>
    <row r="2589" spans="2:27" ht="16" x14ac:dyDescent="0.2">
      <c r="B2589" t="s">
        <v>35</v>
      </c>
      <c r="C2589">
        <v>40354638</v>
      </c>
      <c r="D2589" t="s">
        <v>391</v>
      </c>
      <c r="E2589">
        <v>1022751</v>
      </c>
      <c r="F2589" t="s">
        <v>36</v>
      </c>
      <c r="G2589" s="9">
        <v>45022</v>
      </c>
      <c r="H2589" s="7"/>
      <c r="I2589" s="7">
        <v>5012</v>
      </c>
      <c r="J2589" s="7"/>
      <c r="K2589" s="7"/>
      <c r="L2589" s="10">
        <v>4.830303030303031</v>
      </c>
      <c r="M2589" s="9">
        <v>45026</v>
      </c>
      <c r="N2589" s="10">
        <v>15</v>
      </c>
      <c r="O2589" s="9">
        <v>45041</v>
      </c>
      <c r="P2589">
        <v>4</v>
      </c>
      <c r="Q2589" s="11" t="s">
        <v>49</v>
      </c>
      <c r="R2589" s="7"/>
      <c r="S2589" s="7">
        <v>5012</v>
      </c>
      <c r="T2589" s="7"/>
      <c r="U2589" s="7"/>
      <c r="V2589" s="10">
        <v>6.830303030303031</v>
      </c>
      <c r="W2589" s="9">
        <v>45028</v>
      </c>
      <c r="X2589" s="10">
        <v>17</v>
      </c>
      <c r="Y2589" s="9">
        <v>45041</v>
      </c>
      <c r="Z2589">
        <v>4</v>
      </c>
      <c r="AA2589" s="11" t="s">
        <v>49</v>
      </c>
    </row>
    <row r="2590" spans="2:27" ht="16" x14ac:dyDescent="0.2">
      <c r="B2590" t="s">
        <v>35</v>
      </c>
      <c r="C2590">
        <v>40354638</v>
      </c>
      <c r="D2590" t="s">
        <v>391</v>
      </c>
      <c r="E2590">
        <v>1022293</v>
      </c>
      <c r="F2590" t="s">
        <v>339</v>
      </c>
      <c r="G2590" s="9">
        <v>45022</v>
      </c>
      <c r="H2590" s="7"/>
      <c r="I2590" s="7">
        <v>1000</v>
      </c>
      <c r="J2590" s="7"/>
      <c r="K2590" s="7"/>
      <c r="L2590" s="10">
        <v>4.830303030303031</v>
      </c>
      <c r="M2590" s="9">
        <v>45026</v>
      </c>
      <c r="N2590" s="10">
        <v>15</v>
      </c>
      <c r="O2590" s="9">
        <v>45041</v>
      </c>
      <c r="P2590">
        <v>4</v>
      </c>
      <c r="Q2590" s="11" t="s">
        <v>49</v>
      </c>
      <c r="R2590" s="7"/>
      <c r="S2590" s="7">
        <v>1000</v>
      </c>
      <c r="T2590" s="7"/>
      <c r="U2590" s="7"/>
      <c r="V2590" s="10">
        <v>6.830303030303031</v>
      </c>
      <c r="W2590" s="9">
        <v>45028</v>
      </c>
      <c r="X2590" s="10">
        <v>17</v>
      </c>
      <c r="Y2590" s="9">
        <v>45041</v>
      </c>
      <c r="Z2590">
        <v>4</v>
      </c>
      <c r="AA2590" s="11" t="s">
        <v>49</v>
      </c>
    </row>
    <row r="2591" spans="2:27" ht="16" x14ac:dyDescent="0.2">
      <c r="B2591" t="s">
        <v>35</v>
      </c>
      <c r="C2591">
        <v>40354638</v>
      </c>
      <c r="D2591" t="s">
        <v>391</v>
      </c>
      <c r="E2591">
        <v>1021921</v>
      </c>
      <c r="F2591" t="s">
        <v>184</v>
      </c>
      <c r="G2591" s="9">
        <v>45022</v>
      </c>
      <c r="H2591" s="7"/>
      <c r="I2591" s="7">
        <v>1501.77</v>
      </c>
      <c r="J2591" s="7"/>
      <c r="K2591" s="7"/>
      <c r="L2591" s="10">
        <v>4.830303030303031</v>
      </c>
      <c r="M2591" s="9">
        <v>45026</v>
      </c>
      <c r="N2591" s="10">
        <v>15</v>
      </c>
      <c r="O2591" s="9">
        <v>45041</v>
      </c>
      <c r="P2591">
        <v>4</v>
      </c>
      <c r="Q2591" s="11" t="s">
        <v>49</v>
      </c>
      <c r="R2591" s="7"/>
      <c r="S2591" s="7">
        <v>1501.77</v>
      </c>
      <c r="T2591" s="7"/>
      <c r="U2591" s="7"/>
      <c r="V2591" s="10">
        <v>6.830303030303031</v>
      </c>
      <c r="W2591" s="9">
        <v>45028</v>
      </c>
      <c r="X2591" s="10">
        <v>17</v>
      </c>
      <c r="Y2591" s="9">
        <v>45041</v>
      </c>
      <c r="Z2591">
        <v>4</v>
      </c>
      <c r="AA2591" s="11" t="s">
        <v>49</v>
      </c>
    </row>
    <row r="2592" spans="2:27" ht="16" x14ac:dyDescent="0.2">
      <c r="B2592" t="s">
        <v>35</v>
      </c>
      <c r="C2592">
        <v>40354634</v>
      </c>
      <c r="D2592" t="s">
        <v>391</v>
      </c>
      <c r="E2592">
        <v>1021931</v>
      </c>
      <c r="F2592" t="s">
        <v>189</v>
      </c>
      <c r="G2592" s="9">
        <v>45005</v>
      </c>
      <c r="H2592" s="7"/>
      <c r="I2592" s="7">
        <v>2001.57</v>
      </c>
      <c r="J2592" s="7"/>
      <c r="K2592" s="7"/>
      <c r="L2592" s="10">
        <v>4.830303030303031</v>
      </c>
      <c r="M2592" s="9">
        <v>45009</v>
      </c>
      <c r="N2592" s="10">
        <v>15</v>
      </c>
      <c r="O2592" s="9">
        <v>45024</v>
      </c>
      <c r="P2592">
        <v>18</v>
      </c>
      <c r="Q2592" s="11" t="s">
        <v>49</v>
      </c>
      <c r="R2592" s="7"/>
      <c r="S2592" s="7">
        <v>2001.57</v>
      </c>
      <c r="T2592" s="7"/>
      <c r="U2592" s="7"/>
      <c r="V2592" s="10">
        <v>6.830303030303031</v>
      </c>
      <c r="W2592" s="9">
        <v>45011</v>
      </c>
      <c r="X2592" s="10">
        <v>17</v>
      </c>
      <c r="Y2592" s="9">
        <v>45024</v>
      </c>
      <c r="Z2592">
        <v>18</v>
      </c>
      <c r="AA2592" s="11" t="s">
        <v>49</v>
      </c>
    </row>
    <row r="2593" spans="2:27" ht="16" x14ac:dyDescent="0.2">
      <c r="B2593" t="s">
        <v>35</v>
      </c>
      <c r="C2593">
        <v>40354633</v>
      </c>
      <c r="D2593" t="s">
        <v>391</v>
      </c>
      <c r="E2593">
        <v>1022975</v>
      </c>
      <c r="F2593" t="s">
        <v>433</v>
      </c>
      <c r="G2593" s="9">
        <v>45005</v>
      </c>
      <c r="H2593" s="7"/>
      <c r="I2593" s="7">
        <v>5000</v>
      </c>
      <c r="J2593" s="7"/>
      <c r="K2593" s="7"/>
      <c r="L2593" s="10">
        <v>4.830303030303031</v>
      </c>
      <c r="M2593" s="9">
        <v>45009</v>
      </c>
      <c r="N2593" s="10">
        <v>15</v>
      </c>
      <c r="O2593" s="9">
        <v>45024</v>
      </c>
      <c r="P2593">
        <v>18</v>
      </c>
      <c r="Q2593" s="11" t="s">
        <v>49</v>
      </c>
      <c r="R2593" s="7"/>
      <c r="S2593" s="7">
        <v>5000</v>
      </c>
      <c r="T2593" s="7"/>
      <c r="U2593" s="7"/>
      <c r="V2593" s="10">
        <v>6.830303030303031</v>
      </c>
      <c r="W2593" s="9">
        <v>45011</v>
      </c>
      <c r="X2593" s="10">
        <v>17</v>
      </c>
      <c r="Y2593" s="9">
        <v>45024</v>
      </c>
      <c r="Z2593">
        <v>18</v>
      </c>
      <c r="AA2593" s="11" t="s">
        <v>49</v>
      </c>
    </row>
    <row r="2594" spans="2:27" ht="16" x14ac:dyDescent="0.2">
      <c r="B2594" t="s">
        <v>35</v>
      </c>
      <c r="C2594">
        <v>40354633</v>
      </c>
      <c r="D2594" t="s">
        <v>391</v>
      </c>
      <c r="E2594">
        <v>1022865</v>
      </c>
      <c r="F2594" t="s">
        <v>343</v>
      </c>
      <c r="G2594" s="9">
        <v>45005</v>
      </c>
      <c r="H2594" s="7"/>
      <c r="I2594" s="7">
        <v>5003.71</v>
      </c>
      <c r="J2594" s="7"/>
      <c r="K2594" s="7"/>
      <c r="L2594" s="10">
        <v>4.830303030303031</v>
      </c>
      <c r="M2594" s="9">
        <v>45009</v>
      </c>
      <c r="N2594" s="10">
        <v>15</v>
      </c>
      <c r="O2594" s="9">
        <v>45024</v>
      </c>
      <c r="P2594">
        <v>18</v>
      </c>
      <c r="Q2594" s="11" t="s">
        <v>49</v>
      </c>
      <c r="R2594" s="7"/>
      <c r="S2594" s="7">
        <v>5003.71</v>
      </c>
      <c r="T2594" s="7"/>
      <c r="U2594" s="7"/>
      <c r="V2594" s="10">
        <v>6.830303030303031</v>
      </c>
      <c r="W2594" s="9">
        <v>45011</v>
      </c>
      <c r="X2594" s="10">
        <v>17</v>
      </c>
      <c r="Y2594" s="9">
        <v>45024</v>
      </c>
      <c r="Z2594">
        <v>18</v>
      </c>
      <c r="AA2594" s="11" t="s">
        <v>49</v>
      </c>
    </row>
    <row r="2595" spans="2:27" ht="16" x14ac:dyDescent="0.2">
      <c r="B2595" t="s">
        <v>35</v>
      </c>
      <c r="C2595">
        <v>40354633</v>
      </c>
      <c r="D2595" t="s">
        <v>391</v>
      </c>
      <c r="E2595">
        <v>1022863</v>
      </c>
      <c r="F2595" t="s">
        <v>201</v>
      </c>
      <c r="G2595" s="9">
        <v>45005</v>
      </c>
      <c r="H2595" s="7"/>
      <c r="I2595" s="7">
        <v>3005.39</v>
      </c>
      <c r="J2595" s="7"/>
      <c r="K2595" s="7"/>
      <c r="L2595" s="10">
        <v>4.830303030303031</v>
      </c>
      <c r="M2595" s="9">
        <v>45009</v>
      </c>
      <c r="N2595" s="10">
        <v>15</v>
      </c>
      <c r="O2595" s="9">
        <v>45024</v>
      </c>
      <c r="P2595">
        <v>18</v>
      </c>
      <c r="Q2595" s="11" t="s">
        <v>49</v>
      </c>
      <c r="R2595" s="7"/>
      <c r="S2595" s="7">
        <v>3005.39</v>
      </c>
      <c r="T2595" s="7"/>
      <c r="U2595" s="7"/>
      <c r="V2595" s="10">
        <v>6.830303030303031</v>
      </c>
      <c r="W2595" s="9">
        <v>45011</v>
      </c>
      <c r="X2595" s="10">
        <v>17</v>
      </c>
      <c r="Y2595" s="9">
        <v>45024</v>
      </c>
      <c r="Z2595">
        <v>18</v>
      </c>
      <c r="AA2595" s="11" t="s">
        <v>49</v>
      </c>
    </row>
    <row r="2596" spans="2:27" ht="16" x14ac:dyDescent="0.2">
      <c r="B2596" t="s">
        <v>35</v>
      </c>
      <c r="C2596">
        <v>40354633</v>
      </c>
      <c r="D2596" t="s">
        <v>391</v>
      </c>
      <c r="E2596">
        <v>1022621</v>
      </c>
      <c r="F2596" t="s">
        <v>199</v>
      </c>
      <c r="G2596" s="9">
        <v>45005</v>
      </c>
      <c r="H2596" s="7"/>
      <c r="I2596" s="7">
        <v>4012.78</v>
      </c>
      <c r="J2596" s="7"/>
      <c r="K2596" s="7"/>
      <c r="L2596" s="10">
        <v>4.830303030303031</v>
      </c>
      <c r="M2596" s="9">
        <v>45009</v>
      </c>
      <c r="N2596" s="10">
        <v>15</v>
      </c>
      <c r="O2596" s="9">
        <v>45024</v>
      </c>
      <c r="P2596">
        <v>18</v>
      </c>
      <c r="Q2596" s="11" t="s">
        <v>49</v>
      </c>
      <c r="R2596" s="7"/>
      <c r="S2596" s="7">
        <v>4012.78</v>
      </c>
      <c r="T2596" s="7"/>
      <c r="U2596" s="7"/>
      <c r="V2596" s="10">
        <v>6.830303030303031</v>
      </c>
      <c r="W2596" s="9">
        <v>45011</v>
      </c>
      <c r="X2596" s="10">
        <v>17</v>
      </c>
      <c r="Y2596" s="9">
        <v>45024</v>
      </c>
      <c r="Z2596">
        <v>18</v>
      </c>
      <c r="AA2596" s="11" t="s">
        <v>49</v>
      </c>
    </row>
    <row r="2597" spans="2:27" ht="16" x14ac:dyDescent="0.2">
      <c r="B2597" t="s">
        <v>35</v>
      </c>
      <c r="C2597">
        <v>40354633</v>
      </c>
      <c r="D2597" t="s">
        <v>391</v>
      </c>
      <c r="E2597">
        <v>1021924</v>
      </c>
      <c r="F2597" t="s">
        <v>187</v>
      </c>
      <c r="G2597" s="9">
        <v>45005</v>
      </c>
      <c r="H2597" s="7"/>
      <c r="I2597" s="7">
        <v>5037.13</v>
      </c>
      <c r="J2597" s="7"/>
      <c r="K2597" s="7"/>
      <c r="L2597" s="10">
        <v>4.830303030303031</v>
      </c>
      <c r="M2597" s="9">
        <v>45009</v>
      </c>
      <c r="N2597" s="10">
        <v>15</v>
      </c>
      <c r="O2597" s="9">
        <v>45024</v>
      </c>
      <c r="P2597">
        <v>18</v>
      </c>
      <c r="Q2597" s="11" t="s">
        <v>49</v>
      </c>
      <c r="R2597" s="7"/>
      <c r="S2597" s="7">
        <v>5037.13</v>
      </c>
      <c r="T2597" s="7"/>
      <c r="U2597" s="7"/>
      <c r="V2597" s="10">
        <v>6.830303030303031</v>
      </c>
      <c r="W2597" s="9">
        <v>45011</v>
      </c>
      <c r="X2597" s="10">
        <v>17</v>
      </c>
      <c r="Y2597" s="9">
        <v>45024</v>
      </c>
      <c r="Z2597">
        <v>18</v>
      </c>
      <c r="AA2597" s="11" t="s">
        <v>49</v>
      </c>
    </row>
    <row r="2598" spans="2:27" ht="16" x14ac:dyDescent="0.2">
      <c r="B2598" t="s">
        <v>35</v>
      </c>
      <c r="C2598">
        <v>40354630</v>
      </c>
      <c r="D2598" t="s">
        <v>391</v>
      </c>
      <c r="E2598">
        <v>1021931</v>
      </c>
      <c r="F2598" t="s">
        <v>189</v>
      </c>
      <c r="G2598" s="9">
        <v>45018</v>
      </c>
      <c r="H2598" s="7"/>
      <c r="I2598" s="7">
        <v>1982.64</v>
      </c>
      <c r="J2598" s="7"/>
      <c r="K2598" s="7"/>
      <c r="L2598" s="10">
        <v>4.830303030303031</v>
      </c>
      <c r="M2598" s="9">
        <v>45022</v>
      </c>
      <c r="N2598" s="10">
        <v>15</v>
      </c>
      <c r="O2598" s="9">
        <v>45037</v>
      </c>
      <c r="P2598">
        <v>7</v>
      </c>
      <c r="Q2598" s="11" t="s">
        <v>49</v>
      </c>
      <c r="R2598" s="7"/>
      <c r="S2598" s="7">
        <v>1982.64</v>
      </c>
      <c r="T2598" s="7"/>
      <c r="U2598" s="7"/>
      <c r="V2598" s="10">
        <v>6.830303030303031</v>
      </c>
      <c r="W2598" s="9">
        <v>45024</v>
      </c>
      <c r="X2598" s="10">
        <v>17</v>
      </c>
      <c r="Y2598" s="9">
        <v>45037</v>
      </c>
      <c r="Z2598">
        <v>7</v>
      </c>
      <c r="AA2598" s="11" t="s">
        <v>49</v>
      </c>
    </row>
    <row r="2599" spans="2:27" ht="16" x14ac:dyDescent="0.2">
      <c r="B2599" t="s">
        <v>35</v>
      </c>
      <c r="C2599">
        <v>40354629</v>
      </c>
      <c r="D2599" t="s">
        <v>391</v>
      </c>
      <c r="E2599">
        <v>1021925</v>
      </c>
      <c r="F2599" t="s">
        <v>432</v>
      </c>
      <c r="G2599" s="9">
        <v>45018</v>
      </c>
      <c r="H2599" s="7"/>
      <c r="I2599" s="7">
        <v>6010.02</v>
      </c>
      <c r="J2599" s="7"/>
      <c r="K2599" s="7"/>
      <c r="L2599" s="10">
        <v>4.830303030303031</v>
      </c>
      <c r="M2599" s="9">
        <v>45022</v>
      </c>
      <c r="N2599" s="10">
        <v>15</v>
      </c>
      <c r="O2599" s="9">
        <v>45037</v>
      </c>
      <c r="P2599">
        <v>7</v>
      </c>
      <c r="Q2599" s="11" t="s">
        <v>49</v>
      </c>
      <c r="R2599" s="7"/>
      <c r="S2599" s="7">
        <v>6010.02</v>
      </c>
      <c r="T2599" s="7"/>
      <c r="U2599" s="7"/>
      <c r="V2599" s="10">
        <v>6.830303030303031</v>
      </c>
      <c r="W2599" s="9">
        <v>45024</v>
      </c>
      <c r="X2599" s="10">
        <v>17</v>
      </c>
      <c r="Y2599" s="9">
        <v>45037</v>
      </c>
      <c r="Z2599">
        <v>7</v>
      </c>
      <c r="AA2599" s="11" t="s">
        <v>49</v>
      </c>
    </row>
    <row r="2600" spans="2:27" ht="16" x14ac:dyDescent="0.2">
      <c r="B2600" t="s">
        <v>35</v>
      </c>
      <c r="C2600">
        <v>40354629</v>
      </c>
      <c r="D2600" t="s">
        <v>391</v>
      </c>
      <c r="E2600">
        <v>1022398</v>
      </c>
      <c r="F2600" t="s">
        <v>431</v>
      </c>
      <c r="G2600" s="9">
        <v>45018</v>
      </c>
      <c r="H2600" s="7"/>
      <c r="I2600" s="7">
        <v>6005.74</v>
      </c>
      <c r="J2600" s="7"/>
      <c r="K2600" s="7"/>
      <c r="L2600" s="10">
        <v>4.830303030303031</v>
      </c>
      <c r="M2600" s="9">
        <v>45022</v>
      </c>
      <c r="N2600" s="10">
        <v>15</v>
      </c>
      <c r="O2600" s="9">
        <v>45037</v>
      </c>
      <c r="P2600">
        <v>7</v>
      </c>
      <c r="Q2600" s="11" t="s">
        <v>49</v>
      </c>
      <c r="R2600" s="7"/>
      <c r="S2600" s="7">
        <v>6005.74</v>
      </c>
      <c r="T2600" s="7"/>
      <c r="U2600" s="7"/>
      <c r="V2600" s="10">
        <v>6.830303030303031</v>
      </c>
      <c r="W2600" s="9">
        <v>45024</v>
      </c>
      <c r="X2600" s="10">
        <v>17</v>
      </c>
      <c r="Y2600" s="9">
        <v>45037</v>
      </c>
      <c r="Z2600">
        <v>7</v>
      </c>
      <c r="AA2600" s="11" t="s">
        <v>49</v>
      </c>
    </row>
    <row r="2601" spans="2:27" ht="16" x14ac:dyDescent="0.2">
      <c r="B2601" t="s">
        <v>35</v>
      </c>
      <c r="C2601">
        <v>40354629</v>
      </c>
      <c r="D2601" t="s">
        <v>391</v>
      </c>
      <c r="E2601">
        <v>1022863</v>
      </c>
      <c r="F2601" t="s">
        <v>201</v>
      </c>
      <c r="G2601" s="9">
        <v>45018</v>
      </c>
      <c r="H2601" s="7"/>
      <c r="I2601" s="7">
        <v>6001.88</v>
      </c>
      <c r="J2601" s="7"/>
      <c r="K2601" s="7"/>
      <c r="L2601" s="10">
        <v>4.830303030303031</v>
      </c>
      <c r="M2601" s="9">
        <v>45022</v>
      </c>
      <c r="N2601" s="10">
        <v>15</v>
      </c>
      <c r="O2601" s="9">
        <v>45037</v>
      </c>
      <c r="P2601">
        <v>7</v>
      </c>
      <c r="Q2601" s="11" t="s">
        <v>49</v>
      </c>
      <c r="R2601" s="7"/>
      <c r="S2601" s="7">
        <v>6001.88</v>
      </c>
      <c r="T2601" s="7"/>
      <c r="U2601" s="7"/>
      <c r="V2601" s="10">
        <v>6.830303030303031</v>
      </c>
      <c r="W2601" s="9">
        <v>45024</v>
      </c>
      <c r="X2601" s="10">
        <v>17</v>
      </c>
      <c r="Y2601" s="9">
        <v>45037</v>
      </c>
      <c r="Z2601">
        <v>7</v>
      </c>
      <c r="AA2601" s="11" t="s">
        <v>49</v>
      </c>
    </row>
    <row r="2602" spans="2:27" ht="16" x14ac:dyDescent="0.2">
      <c r="B2602" t="s">
        <v>35</v>
      </c>
      <c r="C2602">
        <v>40354629</v>
      </c>
      <c r="D2602" t="s">
        <v>391</v>
      </c>
      <c r="E2602">
        <v>1022865</v>
      </c>
      <c r="F2602" t="s">
        <v>343</v>
      </c>
      <c r="G2602" s="9">
        <v>45018</v>
      </c>
      <c r="H2602" s="7"/>
      <c r="I2602" s="7">
        <v>4010.59</v>
      </c>
      <c r="J2602" s="7"/>
      <c r="K2602" s="7"/>
      <c r="L2602" s="10">
        <v>4.830303030303031</v>
      </c>
      <c r="M2602" s="9">
        <v>45022</v>
      </c>
      <c r="N2602" s="10">
        <v>15</v>
      </c>
      <c r="O2602" s="9">
        <v>45037</v>
      </c>
      <c r="P2602">
        <v>7</v>
      </c>
      <c r="Q2602" s="11" t="s">
        <v>49</v>
      </c>
      <c r="R2602" s="7"/>
      <c r="S2602" s="7">
        <v>4010.59</v>
      </c>
      <c r="T2602" s="7"/>
      <c r="U2602" s="7"/>
      <c r="V2602" s="10">
        <v>6.830303030303031</v>
      </c>
      <c r="W2602" s="9">
        <v>45024</v>
      </c>
      <c r="X2602" s="10">
        <v>17</v>
      </c>
      <c r="Y2602" s="9">
        <v>45037</v>
      </c>
      <c r="Z2602">
        <v>7</v>
      </c>
      <c r="AA2602" s="11" t="s">
        <v>49</v>
      </c>
    </row>
    <row r="2603" spans="2:27" ht="16" x14ac:dyDescent="0.2">
      <c r="B2603" t="s">
        <v>35</v>
      </c>
      <c r="C2603">
        <v>40354628</v>
      </c>
      <c r="D2603" t="s">
        <v>391</v>
      </c>
      <c r="E2603">
        <v>1021931</v>
      </c>
      <c r="F2603" t="s">
        <v>189</v>
      </c>
      <c r="G2603" s="9">
        <v>45012</v>
      </c>
      <c r="H2603" s="7"/>
      <c r="I2603" s="7">
        <v>1201.0999999999999</v>
      </c>
      <c r="J2603" s="7"/>
      <c r="K2603" s="7"/>
      <c r="L2603" s="10">
        <v>4.830303030303031</v>
      </c>
      <c r="M2603" s="9">
        <v>45016</v>
      </c>
      <c r="N2603" s="10">
        <v>15</v>
      </c>
      <c r="O2603" s="9">
        <v>45031</v>
      </c>
      <c r="P2603">
        <v>12</v>
      </c>
      <c r="Q2603" s="11" t="s">
        <v>49</v>
      </c>
      <c r="R2603" s="7"/>
      <c r="S2603" s="7">
        <v>1201.0999999999999</v>
      </c>
      <c r="T2603" s="7"/>
      <c r="U2603" s="7"/>
      <c r="V2603" s="10">
        <v>6.830303030303031</v>
      </c>
      <c r="W2603" s="9">
        <v>45018</v>
      </c>
      <c r="X2603" s="10">
        <v>17</v>
      </c>
      <c r="Y2603" s="9">
        <v>45031</v>
      </c>
      <c r="Z2603">
        <v>12</v>
      </c>
      <c r="AA2603" s="11" t="s">
        <v>49</v>
      </c>
    </row>
    <row r="2604" spans="2:27" ht="16" x14ac:dyDescent="0.2">
      <c r="B2604" t="s">
        <v>35</v>
      </c>
      <c r="C2604">
        <v>40354628</v>
      </c>
      <c r="D2604" t="s">
        <v>391</v>
      </c>
      <c r="E2604">
        <v>1021931</v>
      </c>
      <c r="F2604" t="s">
        <v>189</v>
      </c>
      <c r="G2604" s="9">
        <v>45012</v>
      </c>
      <c r="H2604" s="7"/>
      <c r="I2604" s="7">
        <v>2015.46</v>
      </c>
      <c r="J2604" s="7"/>
      <c r="K2604" s="7"/>
      <c r="L2604" s="10">
        <v>4.830303030303031</v>
      </c>
      <c r="M2604" s="9">
        <v>45016</v>
      </c>
      <c r="N2604" s="10">
        <v>15</v>
      </c>
      <c r="O2604" s="9">
        <v>45031</v>
      </c>
      <c r="P2604">
        <v>12</v>
      </c>
      <c r="Q2604" s="11" t="s">
        <v>49</v>
      </c>
      <c r="R2604" s="7"/>
      <c r="S2604" s="7">
        <v>2015.46</v>
      </c>
      <c r="T2604" s="7"/>
      <c r="U2604" s="7"/>
      <c r="V2604" s="10">
        <v>6.830303030303031</v>
      </c>
      <c r="W2604" s="9">
        <v>45018</v>
      </c>
      <c r="X2604" s="10">
        <v>17</v>
      </c>
      <c r="Y2604" s="9">
        <v>45031</v>
      </c>
      <c r="Z2604">
        <v>12</v>
      </c>
      <c r="AA2604" s="11" t="s">
        <v>49</v>
      </c>
    </row>
    <row r="2605" spans="2:27" ht="16" x14ac:dyDescent="0.2">
      <c r="B2605" t="s">
        <v>35</v>
      </c>
      <c r="C2605">
        <v>40354627</v>
      </c>
      <c r="D2605" t="s">
        <v>391</v>
      </c>
      <c r="E2605">
        <v>1022398</v>
      </c>
      <c r="F2605" t="s">
        <v>431</v>
      </c>
      <c r="G2605" s="9">
        <v>45012</v>
      </c>
      <c r="H2605" s="7"/>
      <c r="I2605" s="7">
        <v>5538.6</v>
      </c>
      <c r="J2605" s="7"/>
      <c r="K2605" s="7"/>
      <c r="L2605" s="10">
        <v>4.830303030303031</v>
      </c>
      <c r="M2605" s="9">
        <v>45016</v>
      </c>
      <c r="N2605" s="10">
        <v>15</v>
      </c>
      <c r="O2605" s="9">
        <v>45031</v>
      </c>
      <c r="P2605">
        <v>12</v>
      </c>
      <c r="Q2605" s="11" t="s">
        <v>49</v>
      </c>
      <c r="R2605" s="7"/>
      <c r="S2605" s="7">
        <v>5538.6</v>
      </c>
      <c r="T2605" s="7"/>
      <c r="U2605" s="7"/>
      <c r="V2605" s="10">
        <v>6.830303030303031</v>
      </c>
      <c r="W2605" s="9">
        <v>45018</v>
      </c>
      <c r="X2605" s="10">
        <v>17</v>
      </c>
      <c r="Y2605" s="9">
        <v>45031</v>
      </c>
      <c r="Z2605">
        <v>12</v>
      </c>
      <c r="AA2605" s="11" t="s">
        <v>49</v>
      </c>
    </row>
    <row r="2606" spans="2:27" ht="16" x14ac:dyDescent="0.2">
      <c r="B2606" t="s">
        <v>35</v>
      </c>
      <c r="C2606">
        <v>40354627</v>
      </c>
      <c r="D2606" t="s">
        <v>391</v>
      </c>
      <c r="E2606">
        <v>1022865</v>
      </c>
      <c r="F2606" t="s">
        <v>343</v>
      </c>
      <c r="G2606" s="9">
        <v>45012</v>
      </c>
      <c r="H2606" s="7"/>
      <c r="I2606" s="7">
        <v>4016.81</v>
      </c>
      <c r="J2606" s="7"/>
      <c r="K2606" s="7"/>
      <c r="L2606" s="10">
        <v>4.830303030303031</v>
      </c>
      <c r="M2606" s="9">
        <v>45016</v>
      </c>
      <c r="N2606" s="10">
        <v>15</v>
      </c>
      <c r="O2606" s="9">
        <v>45031</v>
      </c>
      <c r="P2606">
        <v>12</v>
      </c>
      <c r="Q2606" s="11" t="s">
        <v>49</v>
      </c>
      <c r="R2606" s="7"/>
      <c r="S2606" s="7">
        <v>4016.81</v>
      </c>
      <c r="T2606" s="7"/>
      <c r="U2606" s="7"/>
      <c r="V2606" s="10">
        <v>6.830303030303031</v>
      </c>
      <c r="W2606" s="9">
        <v>45018</v>
      </c>
      <c r="X2606" s="10">
        <v>17</v>
      </c>
      <c r="Y2606" s="9">
        <v>45031</v>
      </c>
      <c r="Z2606">
        <v>12</v>
      </c>
      <c r="AA2606" s="11" t="s">
        <v>49</v>
      </c>
    </row>
    <row r="2607" spans="2:27" ht="16" x14ac:dyDescent="0.2">
      <c r="B2607" t="s">
        <v>35</v>
      </c>
      <c r="C2607">
        <v>40354627</v>
      </c>
      <c r="D2607" t="s">
        <v>391</v>
      </c>
      <c r="E2607">
        <v>1022863</v>
      </c>
      <c r="F2607" t="s">
        <v>201</v>
      </c>
      <c r="G2607" s="9">
        <v>45012</v>
      </c>
      <c r="H2607" s="7"/>
      <c r="I2607" s="7">
        <v>5916.57</v>
      </c>
      <c r="J2607" s="7"/>
      <c r="K2607" s="7"/>
      <c r="L2607" s="10">
        <v>4.830303030303031</v>
      </c>
      <c r="M2607" s="9">
        <v>45016</v>
      </c>
      <c r="N2607" s="10">
        <v>15</v>
      </c>
      <c r="O2607" s="9">
        <v>45031</v>
      </c>
      <c r="P2607">
        <v>12</v>
      </c>
      <c r="Q2607" s="11" t="s">
        <v>49</v>
      </c>
      <c r="R2607" s="7"/>
      <c r="S2607" s="7">
        <v>5916.57</v>
      </c>
      <c r="T2607" s="7"/>
      <c r="U2607" s="7"/>
      <c r="V2607" s="10">
        <v>6.830303030303031</v>
      </c>
      <c r="W2607" s="9">
        <v>45018</v>
      </c>
      <c r="X2607" s="10">
        <v>17</v>
      </c>
      <c r="Y2607" s="9">
        <v>45031</v>
      </c>
      <c r="Z2607">
        <v>12</v>
      </c>
      <c r="AA2607" s="11" t="s">
        <v>49</v>
      </c>
    </row>
    <row r="2608" spans="2:27" ht="16" x14ac:dyDescent="0.2">
      <c r="B2608" t="s">
        <v>35</v>
      </c>
      <c r="C2608">
        <v>40354627</v>
      </c>
      <c r="D2608" t="s">
        <v>391</v>
      </c>
      <c r="E2608">
        <v>1022398</v>
      </c>
      <c r="F2608" t="s">
        <v>431</v>
      </c>
      <c r="G2608" s="9">
        <v>45012</v>
      </c>
      <c r="H2608" s="7"/>
      <c r="I2608" s="7">
        <v>6017.63</v>
      </c>
      <c r="J2608" s="7"/>
      <c r="K2608" s="7"/>
      <c r="L2608" s="10">
        <v>4.830303030303031</v>
      </c>
      <c r="M2608" s="9">
        <v>45016</v>
      </c>
      <c r="N2608" s="10">
        <v>15</v>
      </c>
      <c r="O2608" s="9">
        <v>45031</v>
      </c>
      <c r="P2608">
        <v>12</v>
      </c>
      <c r="Q2608" s="11" t="s">
        <v>49</v>
      </c>
      <c r="R2608" s="7"/>
      <c r="S2608" s="7">
        <v>6017.63</v>
      </c>
      <c r="T2608" s="7"/>
      <c r="U2608" s="7"/>
      <c r="V2608" s="10">
        <v>6.830303030303031</v>
      </c>
      <c r="W2608" s="9">
        <v>45018</v>
      </c>
      <c r="X2608" s="10">
        <v>17</v>
      </c>
      <c r="Y2608" s="9">
        <v>45031</v>
      </c>
      <c r="Z2608">
        <v>12</v>
      </c>
      <c r="AA2608" s="11" t="s">
        <v>49</v>
      </c>
    </row>
    <row r="2609" spans="2:27" ht="16" x14ac:dyDescent="0.2">
      <c r="B2609" t="s">
        <v>35</v>
      </c>
      <c r="C2609">
        <v>40354627</v>
      </c>
      <c r="D2609" t="s">
        <v>391</v>
      </c>
      <c r="E2609">
        <v>1021925</v>
      </c>
      <c r="F2609" t="s">
        <v>432</v>
      </c>
      <c r="G2609" s="9">
        <v>45012</v>
      </c>
      <c r="H2609" s="7"/>
      <c r="I2609" s="7">
        <v>6010.29</v>
      </c>
      <c r="J2609" s="7"/>
      <c r="K2609" s="7"/>
      <c r="L2609" s="10">
        <v>4.830303030303031</v>
      </c>
      <c r="M2609" s="9">
        <v>45016</v>
      </c>
      <c r="N2609" s="10">
        <v>15</v>
      </c>
      <c r="O2609" s="9">
        <v>45031</v>
      </c>
      <c r="P2609">
        <v>12</v>
      </c>
      <c r="Q2609" s="11" t="s">
        <v>49</v>
      </c>
      <c r="R2609" s="7"/>
      <c r="S2609" s="7">
        <v>6010.29</v>
      </c>
      <c r="T2609" s="7"/>
      <c r="U2609" s="7"/>
      <c r="V2609" s="10">
        <v>6.830303030303031</v>
      </c>
      <c r="W2609" s="9">
        <v>45018</v>
      </c>
      <c r="X2609" s="10">
        <v>17</v>
      </c>
      <c r="Y2609" s="9">
        <v>45031</v>
      </c>
      <c r="Z2609">
        <v>12</v>
      </c>
      <c r="AA2609" s="11" t="s">
        <v>49</v>
      </c>
    </row>
    <row r="2610" spans="2:27" x14ac:dyDescent="0.2">
      <c r="B2610" t="s">
        <v>394</v>
      </c>
      <c r="C2610">
        <v>40354607</v>
      </c>
      <c r="D2610" t="s">
        <v>485</v>
      </c>
      <c r="E2610">
        <v>1030802</v>
      </c>
      <c r="F2610" t="s">
        <v>546</v>
      </c>
      <c r="G2610" s="9">
        <v>44989</v>
      </c>
      <c r="H2610" s="7">
        <v>1999.05</v>
      </c>
      <c r="I2610" s="7"/>
      <c r="J2610" s="7"/>
      <c r="K2610" s="7"/>
      <c r="L2610" s="10"/>
      <c r="N2610" s="10"/>
      <c r="Q2610" s="11"/>
      <c r="R2610" s="7">
        <v>1999.05</v>
      </c>
      <c r="S2610" s="7"/>
      <c r="T2610" s="7"/>
      <c r="U2610" s="7"/>
      <c r="V2610" s="10"/>
      <c r="X2610" s="10"/>
      <c r="AA2610" s="11"/>
    </row>
    <row r="2611" spans="2:27" x14ac:dyDescent="0.2">
      <c r="B2611" t="s">
        <v>394</v>
      </c>
      <c r="C2611">
        <v>40354606</v>
      </c>
      <c r="D2611" t="s">
        <v>485</v>
      </c>
      <c r="E2611">
        <v>1020848</v>
      </c>
      <c r="F2611" t="s">
        <v>503</v>
      </c>
      <c r="G2611" s="9">
        <v>44989</v>
      </c>
      <c r="H2611" s="7">
        <v>15521.37</v>
      </c>
      <c r="I2611" s="7"/>
      <c r="J2611" s="7"/>
      <c r="K2611" s="7"/>
      <c r="L2611" s="10"/>
      <c r="N2611" s="10"/>
      <c r="Q2611" s="11"/>
      <c r="R2611" s="7">
        <v>15521.37</v>
      </c>
      <c r="S2611" s="7"/>
      <c r="T2611" s="7"/>
      <c r="U2611" s="7"/>
      <c r="V2611" s="10"/>
      <c r="X2611" s="10"/>
      <c r="AA2611" s="11"/>
    </row>
    <row r="2612" spans="2:27" x14ac:dyDescent="0.2">
      <c r="B2612" t="s">
        <v>394</v>
      </c>
      <c r="C2612">
        <v>40354606</v>
      </c>
      <c r="D2612" t="s">
        <v>485</v>
      </c>
      <c r="E2612">
        <v>1023372</v>
      </c>
      <c r="F2612" t="s">
        <v>547</v>
      </c>
      <c r="G2612" s="9">
        <v>44989</v>
      </c>
      <c r="H2612" s="7">
        <v>6469.15</v>
      </c>
      <c r="I2612" s="7"/>
      <c r="J2612" s="7"/>
      <c r="K2612" s="7"/>
      <c r="L2612" s="10"/>
      <c r="N2612" s="10"/>
      <c r="Q2612" s="11"/>
      <c r="R2612" s="7">
        <v>6469.15</v>
      </c>
      <c r="S2612" s="7"/>
      <c r="T2612" s="7"/>
      <c r="U2612" s="7"/>
      <c r="V2612" s="10"/>
      <c r="X2612" s="10"/>
      <c r="AA2612" s="11"/>
    </row>
    <row r="2613" spans="2:27" x14ac:dyDescent="0.2">
      <c r="B2613" t="s">
        <v>394</v>
      </c>
      <c r="C2613">
        <v>40354443</v>
      </c>
      <c r="D2613" t="s">
        <v>396</v>
      </c>
      <c r="E2613">
        <v>1012612</v>
      </c>
      <c r="F2613" t="s">
        <v>429</v>
      </c>
      <c r="G2613" s="9">
        <v>45029</v>
      </c>
      <c r="H2613" s="7"/>
      <c r="I2613" s="7">
        <v>24467.3</v>
      </c>
      <c r="J2613" s="7"/>
      <c r="K2613" s="7"/>
      <c r="L2613" s="10"/>
      <c r="N2613" s="10"/>
      <c r="Q2613" s="11"/>
      <c r="R2613" s="7"/>
      <c r="S2613" s="7">
        <v>24467.3</v>
      </c>
      <c r="T2613" s="7"/>
      <c r="U2613" s="7"/>
      <c r="V2613" s="10"/>
      <c r="X2613" s="10"/>
      <c r="AA2613" s="11"/>
    </row>
    <row r="2614" spans="2:27" x14ac:dyDescent="0.2">
      <c r="B2614" t="s">
        <v>394</v>
      </c>
      <c r="C2614">
        <v>40354442</v>
      </c>
      <c r="D2614" t="s">
        <v>396</v>
      </c>
      <c r="E2614">
        <v>1012612</v>
      </c>
      <c r="F2614" t="s">
        <v>429</v>
      </c>
      <c r="G2614" s="9">
        <v>45029</v>
      </c>
      <c r="H2614" s="7"/>
      <c r="I2614" s="7">
        <v>24429.96</v>
      </c>
      <c r="J2614" s="7"/>
      <c r="K2614" s="7"/>
      <c r="L2614" s="10"/>
      <c r="N2614" s="10"/>
      <c r="Q2614" s="11"/>
      <c r="R2614" s="7"/>
      <c r="S2614" s="7">
        <v>24429.96</v>
      </c>
      <c r="T2614" s="7"/>
      <c r="U2614" s="7"/>
      <c r="V2614" s="10"/>
      <c r="X2614" s="10"/>
      <c r="AA2614" s="11"/>
    </row>
    <row r="2615" spans="2:27" x14ac:dyDescent="0.2">
      <c r="B2615" t="s">
        <v>394</v>
      </c>
      <c r="C2615">
        <v>40354303</v>
      </c>
      <c r="D2615" t="s">
        <v>485</v>
      </c>
      <c r="E2615">
        <v>1012744</v>
      </c>
      <c r="F2615" t="s">
        <v>567</v>
      </c>
      <c r="G2615" s="9">
        <v>44977</v>
      </c>
      <c r="H2615" s="7"/>
      <c r="I2615" s="7"/>
      <c r="J2615" s="7"/>
      <c r="K2615" s="7"/>
      <c r="L2615" s="10"/>
      <c r="N2615" s="10"/>
      <c r="Q2615" s="11"/>
      <c r="R2615" s="7"/>
      <c r="S2615" s="7"/>
      <c r="T2615" s="7"/>
      <c r="U2615" s="7"/>
      <c r="V2615" s="10"/>
      <c r="X2615" s="10"/>
      <c r="AA2615" s="11"/>
    </row>
    <row r="2616" spans="2:27" x14ac:dyDescent="0.2">
      <c r="B2616" t="s">
        <v>394</v>
      </c>
      <c r="C2616">
        <v>40354301</v>
      </c>
      <c r="D2616" t="s">
        <v>485</v>
      </c>
      <c r="E2616">
        <v>1021187</v>
      </c>
      <c r="F2616" t="s">
        <v>617</v>
      </c>
      <c r="G2616" s="9">
        <v>44983</v>
      </c>
      <c r="H2616" s="7"/>
      <c r="I2616" s="7"/>
      <c r="J2616" s="7"/>
      <c r="K2616" s="7"/>
      <c r="L2616" s="10"/>
      <c r="N2616" s="10"/>
      <c r="Q2616" s="11"/>
      <c r="R2616" s="7"/>
      <c r="S2616" s="7"/>
      <c r="T2616" s="7"/>
      <c r="U2616" s="7"/>
      <c r="V2616" s="10"/>
      <c r="X2616" s="10"/>
      <c r="AA2616" s="11"/>
    </row>
    <row r="2617" spans="2:27" ht="16" x14ac:dyDescent="0.2">
      <c r="B2617" t="s">
        <v>35</v>
      </c>
      <c r="C2617">
        <v>40353821</v>
      </c>
      <c r="D2617" t="s">
        <v>409</v>
      </c>
      <c r="E2617">
        <v>1100570</v>
      </c>
      <c r="F2617" t="s">
        <v>104</v>
      </c>
      <c r="G2617" s="9">
        <v>44985</v>
      </c>
      <c r="H2617" s="7">
        <v>4283.2692559999996</v>
      </c>
      <c r="I2617" s="7"/>
      <c r="J2617" s="7"/>
      <c r="K2617" s="7"/>
      <c r="L2617" s="10">
        <v>7.5</v>
      </c>
      <c r="M2617" s="9">
        <v>44992</v>
      </c>
      <c r="N2617" s="10">
        <v>9.5</v>
      </c>
      <c r="O2617" s="9">
        <v>45001</v>
      </c>
      <c r="P2617">
        <v>13</v>
      </c>
      <c r="Q2617" s="11" t="s">
        <v>49</v>
      </c>
      <c r="R2617" s="7">
        <v>4283.2692559999996</v>
      </c>
      <c r="S2617" s="7"/>
      <c r="T2617" s="7"/>
      <c r="U2617" s="7"/>
      <c r="V2617" s="10">
        <v>9.5</v>
      </c>
      <c r="W2617" s="9">
        <v>44994</v>
      </c>
      <c r="X2617" s="10">
        <v>11.5</v>
      </c>
      <c r="Y2617" s="9">
        <v>45001</v>
      </c>
      <c r="Z2617">
        <v>13</v>
      </c>
      <c r="AA2617" s="11" t="s">
        <v>49</v>
      </c>
    </row>
    <row r="2618" spans="2:27" ht="16" x14ac:dyDescent="0.2">
      <c r="B2618" t="s">
        <v>35</v>
      </c>
      <c r="C2618">
        <v>40353821</v>
      </c>
      <c r="D2618" t="s">
        <v>409</v>
      </c>
      <c r="E2618">
        <v>1100572</v>
      </c>
      <c r="F2618" t="s">
        <v>472</v>
      </c>
      <c r="G2618" s="9">
        <v>44985</v>
      </c>
      <c r="H2618" s="7">
        <v>4283.2692559999996</v>
      </c>
      <c r="I2618" s="7"/>
      <c r="J2618" s="7"/>
      <c r="K2618" s="7"/>
      <c r="L2618" s="10">
        <v>7.5</v>
      </c>
      <c r="M2618" s="9">
        <v>44992</v>
      </c>
      <c r="N2618" s="10">
        <v>9.5</v>
      </c>
      <c r="O2618" s="9">
        <v>45001</v>
      </c>
      <c r="P2618">
        <v>13</v>
      </c>
      <c r="Q2618" s="11" t="s">
        <v>49</v>
      </c>
      <c r="R2618" s="7">
        <v>4283.2692559999996</v>
      </c>
      <c r="S2618" s="7"/>
      <c r="T2618" s="7"/>
      <c r="U2618" s="7"/>
      <c r="V2618" s="10">
        <v>9.5</v>
      </c>
      <c r="W2618" s="9">
        <v>44994</v>
      </c>
      <c r="X2618" s="10">
        <v>11.5</v>
      </c>
      <c r="Y2618" s="9">
        <v>45001</v>
      </c>
      <c r="Z2618">
        <v>13</v>
      </c>
      <c r="AA2618" s="11" t="s">
        <v>49</v>
      </c>
    </row>
    <row r="2619" spans="2:27" ht="16" x14ac:dyDescent="0.2">
      <c r="B2619" t="s">
        <v>35</v>
      </c>
      <c r="C2619">
        <v>40353821</v>
      </c>
      <c r="D2619" t="s">
        <v>409</v>
      </c>
      <c r="E2619">
        <v>1100573</v>
      </c>
      <c r="F2619" t="s">
        <v>135</v>
      </c>
      <c r="G2619" s="9">
        <v>44985</v>
      </c>
      <c r="H2619" s="7">
        <v>3671.3736479999998</v>
      </c>
      <c r="I2619" s="7"/>
      <c r="J2619" s="7"/>
      <c r="K2619" s="7"/>
      <c r="L2619" s="10">
        <v>7.5</v>
      </c>
      <c r="M2619" s="9">
        <v>44992</v>
      </c>
      <c r="N2619" s="10">
        <v>9.5</v>
      </c>
      <c r="O2619" s="9">
        <v>45001</v>
      </c>
      <c r="P2619">
        <v>13</v>
      </c>
      <c r="Q2619" s="11" t="s">
        <v>49</v>
      </c>
      <c r="R2619" s="7">
        <v>3671.3736479999998</v>
      </c>
      <c r="S2619" s="7"/>
      <c r="T2619" s="7"/>
      <c r="U2619" s="7"/>
      <c r="V2619" s="10">
        <v>9.5</v>
      </c>
      <c r="W2619" s="9">
        <v>44994</v>
      </c>
      <c r="X2619" s="10">
        <v>11.5</v>
      </c>
      <c r="Y2619" s="9">
        <v>45001</v>
      </c>
      <c r="Z2619">
        <v>13</v>
      </c>
      <c r="AA2619" s="11" t="s">
        <v>49</v>
      </c>
    </row>
    <row r="2620" spans="2:27" ht="16" x14ac:dyDescent="0.2">
      <c r="B2620" t="s">
        <v>35</v>
      </c>
      <c r="C2620">
        <v>40353821</v>
      </c>
      <c r="D2620" t="s">
        <v>409</v>
      </c>
      <c r="E2620">
        <v>1100574</v>
      </c>
      <c r="F2620" t="s">
        <v>383</v>
      </c>
      <c r="G2620" s="9">
        <v>44985</v>
      </c>
      <c r="H2620" s="7">
        <v>1223.7912160000001</v>
      </c>
      <c r="I2620" s="7"/>
      <c r="J2620" s="7"/>
      <c r="K2620" s="7"/>
      <c r="L2620" s="10">
        <v>7.5</v>
      </c>
      <c r="M2620" s="9">
        <v>44992</v>
      </c>
      <c r="N2620" s="10">
        <v>9.5</v>
      </c>
      <c r="O2620" s="9">
        <v>45001</v>
      </c>
      <c r="P2620">
        <v>13</v>
      </c>
      <c r="Q2620" s="11" t="s">
        <v>49</v>
      </c>
      <c r="R2620" s="7">
        <v>1223.7912160000001</v>
      </c>
      <c r="S2620" s="7"/>
      <c r="T2620" s="7"/>
      <c r="U2620" s="7"/>
      <c r="V2620" s="10">
        <v>9.5</v>
      </c>
      <c r="W2620" s="9">
        <v>44994</v>
      </c>
      <c r="X2620" s="10">
        <v>11.5</v>
      </c>
      <c r="Y2620" s="9">
        <v>45001</v>
      </c>
      <c r="Z2620">
        <v>13</v>
      </c>
      <c r="AA2620" s="11" t="s">
        <v>49</v>
      </c>
    </row>
    <row r="2621" spans="2:27" ht="16" x14ac:dyDescent="0.2">
      <c r="B2621" t="s">
        <v>35</v>
      </c>
      <c r="C2621">
        <v>40353770</v>
      </c>
      <c r="D2621" t="s">
        <v>409</v>
      </c>
      <c r="E2621">
        <v>1030424</v>
      </c>
      <c r="F2621" t="s">
        <v>359</v>
      </c>
      <c r="G2621" s="9">
        <v>44999</v>
      </c>
      <c r="H2621" s="7">
        <v>22619.644209999999</v>
      </c>
      <c r="I2621" s="7"/>
      <c r="J2621" s="7"/>
      <c r="K2621" s="7"/>
      <c r="L2621" s="10">
        <v>7.5</v>
      </c>
      <c r="M2621" s="9">
        <v>45006</v>
      </c>
      <c r="N2621" s="10">
        <v>9.5</v>
      </c>
      <c r="O2621" s="9">
        <v>45015</v>
      </c>
      <c r="P2621">
        <v>1</v>
      </c>
      <c r="Q2621" s="11" t="s">
        <v>598</v>
      </c>
      <c r="R2621" s="7">
        <v>22619.644209999999</v>
      </c>
      <c r="S2621" s="7"/>
      <c r="T2621" s="7"/>
      <c r="U2621" s="7"/>
      <c r="V2621" s="10">
        <v>9.5</v>
      </c>
      <c r="W2621" s="9">
        <v>45008</v>
      </c>
      <c r="X2621" s="10">
        <v>11.5</v>
      </c>
      <c r="Y2621" s="9">
        <v>45015</v>
      </c>
      <c r="Z2621">
        <v>1</v>
      </c>
      <c r="AA2621" s="11" t="s">
        <v>598</v>
      </c>
    </row>
    <row r="2622" spans="2:27" x14ac:dyDescent="0.2">
      <c r="B2622" t="s">
        <v>394</v>
      </c>
      <c r="C2622">
        <v>40353135</v>
      </c>
      <c r="D2622" t="s">
        <v>485</v>
      </c>
      <c r="E2622">
        <v>1011421</v>
      </c>
      <c r="F2622" t="s">
        <v>484</v>
      </c>
      <c r="G2622" s="9">
        <v>44995</v>
      </c>
      <c r="H2622" s="7">
        <v>23992.639999999999</v>
      </c>
      <c r="I2622" s="7"/>
      <c r="J2622" s="7"/>
      <c r="K2622" s="7"/>
      <c r="L2622" s="10"/>
      <c r="N2622" s="10"/>
      <c r="Q2622" s="11"/>
      <c r="R2622" s="7">
        <v>23992.639999999999</v>
      </c>
      <c r="S2622" s="7"/>
      <c r="T2622" s="7"/>
      <c r="U2622" s="7"/>
      <c r="V2622" s="10"/>
      <c r="X2622" s="10"/>
      <c r="AA2622" s="11"/>
    </row>
    <row r="2623" spans="2:27" x14ac:dyDescent="0.2">
      <c r="B2623" t="s">
        <v>394</v>
      </c>
      <c r="C2623">
        <v>40353134</v>
      </c>
      <c r="D2623" t="s">
        <v>485</v>
      </c>
      <c r="E2623">
        <v>1011421</v>
      </c>
      <c r="F2623" t="s">
        <v>484</v>
      </c>
      <c r="G2623" s="9">
        <v>44998</v>
      </c>
      <c r="H2623" s="7">
        <v>23991.73</v>
      </c>
      <c r="I2623" s="7"/>
      <c r="J2623" s="7"/>
      <c r="K2623" s="7"/>
      <c r="L2623" s="10"/>
      <c r="N2623" s="10"/>
      <c r="Q2623" s="11"/>
      <c r="R2623" s="7">
        <v>23991.73</v>
      </c>
      <c r="S2623" s="7"/>
      <c r="T2623" s="7"/>
      <c r="U2623" s="7"/>
      <c r="V2623" s="10"/>
      <c r="X2623" s="10"/>
      <c r="AA2623" s="11"/>
    </row>
    <row r="2624" spans="2:27" x14ac:dyDescent="0.2">
      <c r="B2624" t="s">
        <v>394</v>
      </c>
      <c r="C2624">
        <v>40353133</v>
      </c>
      <c r="D2624" t="s">
        <v>485</v>
      </c>
      <c r="E2624">
        <v>1011421</v>
      </c>
      <c r="F2624" t="s">
        <v>484</v>
      </c>
      <c r="G2624" s="9">
        <v>44998</v>
      </c>
      <c r="H2624" s="7">
        <v>23996.560000000001</v>
      </c>
      <c r="I2624" s="7"/>
      <c r="J2624" s="7"/>
      <c r="K2624" s="7"/>
      <c r="L2624" s="10"/>
      <c r="N2624" s="10"/>
      <c r="Q2624" s="11"/>
      <c r="R2624" s="7">
        <v>23996.560000000001</v>
      </c>
      <c r="S2624" s="7"/>
      <c r="T2624" s="7"/>
      <c r="U2624" s="7"/>
      <c r="V2624" s="10"/>
      <c r="X2624" s="10"/>
      <c r="AA2624" s="11"/>
    </row>
    <row r="2625" spans="2:27" x14ac:dyDescent="0.2">
      <c r="B2625" t="s">
        <v>394</v>
      </c>
      <c r="C2625">
        <v>40353132</v>
      </c>
      <c r="D2625" t="s">
        <v>485</v>
      </c>
      <c r="E2625">
        <v>1011421</v>
      </c>
      <c r="F2625" t="s">
        <v>484</v>
      </c>
      <c r="G2625" s="9">
        <v>44995</v>
      </c>
      <c r="H2625" s="7">
        <v>23992.05</v>
      </c>
      <c r="I2625" s="7"/>
      <c r="J2625" s="7"/>
      <c r="K2625" s="7"/>
      <c r="L2625" s="10"/>
      <c r="N2625" s="10"/>
      <c r="Q2625" s="11"/>
      <c r="R2625" s="7">
        <v>23992.05</v>
      </c>
      <c r="S2625" s="7"/>
      <c r="T2625" s="7"/>
      <c r="U2625" s="7"/>
      <c r="V2625" s="10"/>
      <c r="X2625" s="10"/>
      <c r="AA2625" s="11"/>
    </row>
    <row r="2626" spans="2:27" x14ac:dyDescent="0.2">
      <c r="B2626" t="s">
        <v>394</v>
      </c>
      <c r="C2626">
        <v>40353131</v>
      </c>
      <c r="D2626" t="s">
        <v>485</v>
      </c>
      <c r="E2626">
        <v>1011421</v>
      </c>
      <c r="F2626" t="s">
        <v>484</v>
      </c>
      <c r="G2626" s="9">
        <v>44995</v>
      </c>
      <c r="H2626" s="7">
        <v>23998.46</v>
      </c>
      <c r="I2626" s="7"/>
      <c r="J2626" s="7"/>
      <c r="K2626" s="7"/>
      <c r="L2626" s="10"/>
      <c r="N2626" s="10"/>
      <c r="Q2626" s="11"/>
      <c r="R2626" s="7">
        <v>23998.46</v>
      </c>
      <c r="S2626" s="7"/>
      <c r="T2626" s="7"/>
      <c r="U2626" s="7"/>
      <c r="V2626" s="10"/>
      <c r="X2626" s="10"/>
      <c r="AA2626" s="11"/>
    </row>
    <row r="2627" spans="2:27" x14ac:dyDescent="0.2">
      <c r="B2627" t="s">
        <v>394</v>
      </c>
      <c r="C2627">
        <v>40353130</v>
      </c>
      <c r="D2627" t="s">
        <v>485</v>
      </c>
      <c r="E2627">
        <v>1011421</v>
      </c>
      <c r="F2627" t="s">
        <v>484</v>
      </c>
      <c r="G2627" s="9">
        <v>44995</v>
      </c>
      <c r="H2627" s="7">
        <v>23985.81</v>
      </c>
      <c r="I2627" s="7"/>
      <c r="J2627" s="7"/>
      <c r="K2627" s="7"/>
      <c r="L2627" s="10"/>
      <c r="N2627" s="10"/>
      <c r="Q2627" s="11"/>
      <c r="R2627" s="7">
        <v>23985.81</v>
      </c>
      <c r="S2627" s="7"/>
      <c r="T2627" s="7"/>
      <c r="U2627" s="7"/>
      <c r="V2627" s="10"/>
      <c r="X2627" s="10"/>
      <c r="AA2627" s="11"/>
    </row>
    <row r="2628" spans="2:27" x14ac:dyDescent="0.2">
      <c r="B2628" t="s">
        <v>394</v>
      </c>
      <c r="C2628">
        <v>40353129</v>
      </c>
      <c r="D2628" t="s">
        <v>485</v>
      </c>
      <c r="E2628">
        <v>1011421</v>
      </c>
      <c r="F2628" t="s">
        <v>484</v>
      </c>
      <c r="G2628" s="9">
        <v>44995</v>
      </c>
      <c r="H2628" s="7">
        <v>23984.48</v>
      </c>
      <c r="I2628" s="7"/>
      <c r="J2628" s="7"/>
      <c r="K2628" s="7"/>
      <c r="L2628" s="10"/>
      <c r="N2628" s="10"/>
      <c r="Q2628" s="11"/>
      <c r="R2628" s="7">
        <v>23984.48</v>
      </c>
      <c r="S2628" s="7"/>
      <c r="T2628" s="7"/>
      <c r="U2628" s="7"/>
      <c r="V2628" s="10"/>
      <c r="X2628" s="10"/>
      <c r="AA2628" s="11"/>
    </row>
    <row r="2629" spans="2:27" x14ac:dyDescent="0.2">
      <c r="B2629" t="s">
        <v>394</v>
      </c>
      <c r="C2629">
        <v>40353128</v>
      </c>
      <c r="D2629" t="s">
        <v>485</v>
      </c>
      <c r="E2629">
        <v>1011421</v>
      </c>
      <c r="F2629" t="s">
        <v>484</v>
      </c>
      <c r="G2629" s="9">
        <v>44989</v>
      </c>
      <c r="H2629" s="7">
        <v>23992.69</v>
      </c>
      <c r="I2629" s="7"/>
      <c r="J2629" s="7"/>
      <c r="K2629" s="7"/>
      <c r="L2629" s="10"/>
      <c r="N2629" s="10"/>
      <c r="Q2629" s="11"/>
      <c r="R2629" s="7">
        <v>23992.69</v>
      </c>
      <c r="S2629" s="7"/>
      <c r="T2629" s="7"/>
      <c r="U2629" s="7"/>
      <c r="V2629" s="10"/>
      <c r="X2629" s="10"/>
      <c r="AA2629" s="11"/>
    </row>
    <row r="2630" spans="2:27" x14ac:dyDescent="0.2">
      <c r="B2630" t="s">
        <v>394</v>
      </c>
      <c r="C2630">
        <v>40353127</v>
      </c>
      <c r="D2630" t="s">
        <v>485</v>
      </c>
      <c r="E2630">
        <v>1011421</v>
      </c>
      <c r="F2630" t="s">
        <v>484</v>
      </c>
      <c r="G2630" s="9">
        <v>44988</v>
      </c>
      <c r="H2630" s="7">
        <v>23983.78</v>
      </c>
      <c r="I2630" s="7"/>
      <c r="J2630" s="7"/>
      <c r="K2630" s="7"/>
      <c r="L2630" s="10"/>
      <c r="N2630" s="10"/>
      <c r="Q2630" s="11"/>
      <c r="R2630" s="7">
        <v>23983.78</v>
      </c>
      <c r="S2630" s="7"/>
      <c r="T2630" s="7"/>
      <c r="U2630" s="7"/>
      <c r="V2630" s="10"/>
      <c r="X2630" s="10"/>
      <c r="AA2630" s="11"/>
    </row>
    <row r="2631" spans="2:27" x14ac:dyDescent="0.2">
      <c r="B2631" t="s">
        <v>394</v>
      </c>
      <c r="C2631">
        <v>40353126</v>
      </c>
      <c r="D2631" t="s">
        <v>485</v>
      </c>
      <c r="E2631">
        <v>1011421</v>
      </c>
      <c r="F2631" t="s">
        <v>484</v>
      </c>
      <c r="G2631" s="9">
        <v>44988</v>
      </c>
      <c r="H2631" s="7">
        <v>23616.47</v>
      </c>
      <c r="I2631" s="7"/>
      <c r="J2631" s="7"/>
      <c r="K2631" s="7"/>
      <c r="L2631" s="10"/>
      <c r="N2631" s="10"/>
      <c r="Q2631" s="11"/>
      <c r="R2631" s="7">
        <v>23616.47</v>
      </c>
      <c r="S2631" s="7"/>
      <c r="T2631" s="7"/>
      <c r="U2631" s="7"/>
      <c r="V2631" s="10"/>
      <c r="X2631" s="10"/>
      <c r="AA2631" s="11"/>
    </row>
    <row r="2632" spans="2:27" x14ac:dyDescent="0.2">
      <c r="B2632" t="s">
        <v>394</v>
      </c>
      <c r="C2632">
        <v>40353125</v>
      </c>
      <c r="D2632" t="s">
        <v>485</v>
      </c>
      <c r="E2632">
        <v>1011421</v>
      </c>
      <c r="F2632" t="s">
        <v>484</v>
      </c>
      <c r="G2632" s="9">
        <v>44984</v>
      </c>
      <c r="H2632" s="7"/>
      <c r="I2632" s="7"/>
      <c r="J2632" s="7"/>
      <c r="K2632" s="7"/>
      <c r="L2632" s="10"/>
      <c r="N2632" s="10"/>
      <c r="Q2632" s="11"/>
      <c r="R2632" s="7"/>
      <c r="S2632" s="7"/>
      <c r="T2632" s="7"/>
      <c r="U2632" s="7"/>
      <c r="V2632" s="10"/>
      <c r="X2632" s="10"/>
      <c r="AA2632" s="11"/>
    </row>
    <row r="2633" spans="2:27" x14ac:dyDescent="0.2">
      <c r="B2633" t="s">
        <v>394</v>
      </c>
      <c r="C2633">
        <v>40353124</v>
      </c>
      <c r="D2633" t="s">
        <v>485</v>
      </c>
      <c r="E2633">
        <v>1011421</v>
      </c>
      <c r="F2633" t="s">
        <v>484</v>
      </c>
      <c r="G2633" s="9">
        <v>44988</v>
      </c>
      <c r="H2633" s="7">
        <v>23994.06</v>
      </c>
      <c r="I2633" s="7"/>
      <c r="J2633" s="7"/>
      <c r="K2633" s="7"/>
      <c r="L2633" s="10"/>
      <c r="N2633" s="10"/>
      <c r="Q2633" s="11"/>
      <c r="R2633" s="7">
        <v>23994.06</v>
      </c>
      <c r="S2633" s="7"/>
      <c r="T2633" s="7"/>
      <c r="U2633" s="7"/>
      <c r="V2633" s="10"/>
      <c r="X2633" s="10"/>
      <c r="AA2633" s="11"/>
    </row>
    <row r="2634" spans="2:27" x14ac:dyDescent="0.2">
      <c r="B2634" t="s">
        <v>394</v>
      </c>
      <c r="C2634">
        <v>40353123</v>
      </c>
      <c r="D2634" t="s">
        <v>485</v>
      </c>
      <c r="E2634">
        <v>1011421</v>
      </c>
      <c r="F2634" t="s">
        <v>484</v>
      </c>
      <c r="G2634" s="9">
        <v>44984</v>
      </c>
      <c r="H2634" s="7"/>
      <c r="I2634" s="7"/>
      <c r="J2634" s="7"/>
      <c r="K2634" s="7"/>
      <c r="L2634" s="10"/>
      <c r="N2634" s="10"/>
      <c r="Q2634" s="11"/>
      <c r="R2634" s="7"/>
      <c r="S2634" s="7"/>
      <c r="T2634" s="7"/>
      <c r="U2634" s="7"/>
      <c r="V2634" s="10"/>
      <c r="X2634" s="10"/>
      <c r="AA2634" s="11"/>
    </row>
    <row r="2635" spans="2:27" x14ac:dyDescent="0.2">
      <c r="B2635" t="s">
        <v>394</v>
      </c>
      <c r="C2635">
        <v>40353122</v>
      </c>
      <c r="D2635" t="s">
        <v>485</v>
      </c>
      <c r="E2635">
        <v>1011421</v>
      </c>
      <c r="F2635" t="s">
        <v>484</v>
      </c>
      <c r="G2635" s="9">
        <v>44984</v>
      </c>
      <c r="H2635" s="7"/>
      <c r="I2635" s="7"/>
      <c r="J2635" s="7"/>
      <c r="K2635" s="7"/>
      <c r="L2635" s="10"/>
      <c r="N2635" s="10"/>
      <c r="Q2635" s="11"/>
      <c r="R2635" s="7"/>
      <c r="S2635" s="7"/>
      <c r="T2635" s="7"/>
      <c r="U2635" s="7"/>
      <c r="V2635" s="10"/>
      <c r="X2635" s="10"/>
      <c r="AA2635" s="11"/>
    </row>
    <row r="2636" spans="2:27" x14ac:dyDescent="0.2">
      <c r="B2636" t="s">
        <v>394</v>
      </c>
      <c r="C2636">
        <v>40353121</v>
      </c>
      <c r="D2636" t="s">
        <v>485</v>
      </c>
      <c r="E2636">
        <v>1011421</v>
      </c>
      <c r="F2636" t="s">
        <v>484</v>
      </c>
      <c r="G2636" s="9">
        <v>44984</v>
      </c>
      <c r="H2636" s="7"/>
      <c r="I2636" s="7"/>
      <c r="J2636" s="7"/>
      <c r="K2636" s="7"/>
      <c r="L2636" s="10"/>
      <c r="N2636" s="10"/>
      <c r="Q2636" s="11"/>
      <c r="R2636" s="7"/>
      <c r="S2636" s="7"/>
      <c r="T2636" s="7"/>
      <c r="U2636" s="7"/>
      <c r="V2636" s="10"/>
      <c r="X2636" s="10"/>
      <c r="AA2636" s="11"/>
    </row>
    <row r="2637" spans="2:27" x14ac:dyDescent="0.2">
      <c r="B2637" t="s">
        <v>394</v>
      </c>
      <c r="C2637">
        <v>40353120</v>
      </c>
      <c r="D2637" t="s">
        <v>485</v>
      </c>
      <c r="E2637">
        <v>1011421</v>
      </c>
      <c r="F2637" t="s">
        <v>484</v>
      </c>
      <c r="G2637" s="9">
        <v>44989</v>
      </c>
      <c r="H2637" s="7">
        <v>23990.67</v>
      </c>
      <c r="I2637" s="7"/>
      <c r="J2637" s="7"/>
      <c r="K2637" s="7"/>
      <c r="L2637" s="10"/>
      <c r="N2637" s="10"/>
      <c r="Q2637" s="11"/>
      <c r="R2637" s="7">
        <v>23990.67</v>
      </c>
      <c r="S2637" s="7"/>
      <c r="T2637" s="7"/>
      <c r="U2637" s="7"/>
      <c r="V2637" s="10"/>
      <c r="X2637" s="10"/>
      <c r="AA2637" s="11"/>
    </row>
    <row r="2638" spans="2:27" x14ac:dyDescent="0.2">
      <c r="B2638" t="s">
        <v>394</v>
      </c>
      <c r="C2638">
        <v>40353119</v>
      </c>
      <c r="D2638" t="s">
        <v>485</v>
      </c>
      <c r="E2638">
        <v>1011421</v>
      </c>
      <c r="F2638" t="s">
        <v>484</v>
      </c>
      <c r="G2638" s="9">
        <v>44981</v>
      </c>
      <c r="H2638" s="7"/>
      <c r="I2638" s="7"/>
      <c r="J2638" s="7"/>
      <c r="K2638" s="7"/>
      <c r="L2638" s="10"/>
      <c r="N2638" s="10"/>
      <c r="Q2638" s="11"/>
      <c r="R2638" s="7"/>
      <c r="S2638" s="7"/>
      <c r="T2638" s="7"/>
      <c r="U2638" s="7"/>
      <c r="V2638" s="10"/>
      <c r="X2638" s="10"/>
      <c r="AA2638" s="11"/>
    </row>
    <row r="2639" spans="2:27" x14ac:dyDescent="0.2">
      <c r="B2639" t="s">
        <v>394</v>
      </c>
      <c r="C2639">
        <v>40353118</v>
      </c>
      <c r="D2639" t="s">
        <v>485</v>
      </c>
      <c r="E2639">
        <v>1011421</v>
      </c>
      <c r="F2639" t="s">
        <v>484</v>
      </c>
      <c r="G2639" s="9">
        <v>44981</v>
      </c>
      <c r="H2639" s="7"/>
      <c r="I2639" s="7"/>
      <c r="J2639" s="7"/>
      <c r="K2639" s="7"/>
      <c r="L2639" s="10"/>
      <c r="N2639" s="10"/>
      <c r="Q2639" s="11"/>
      <c r="R2639" s="7"/>
      <c r="S2639" s="7"/>
      <c r="T2639" s="7"/>
      <c r="U2639" s="7"/>
      <c r="V2639" s="10"/>
      <c r="X2639" s="10"/>
      <c r="AA2639" s="11"/>
    </row>
    <row r="2640" spans="2:27" x14ac:dyDescent="0.2">
      <c r="B2640" t="s">
        <v>394</v>
      </c>
      <c r="C2640">
        <v>40353117</v>
      </c>
      <c r="D2640" t="s">
        <v>485</v>
      </c>
      <c r="E2640">
        <v>1011421</v>
      </c>
      <c r="F2640" t="s">
        <v>484</v>
      </c>
      <c r="G2640" s="9">
        <v>44981</v>
      </c>
      <c r="H2640" s="7"/>
      <c r="I2640" s="7"/>
      <c r="J2640" s="7"/>
      <c r="K2640" s="7"/>
      <c r="L2640" s="10"/>
      <c r="N2640" s="10"/>
      <c r="Q2640" s="11"/>
      <c r="R2640" s="7"/>
      <c r="S2640" s="7"/>
      <c r="T2640" s="7"/>
      <c r="U2640" s="7"/>
      <c r="V2640" s="10"/>
      <c r="X2640" s="10"/>
      <c r="AA2640" s="11"/>
    </row>
    <row r="2641" spans="2:27" x14ac:dyDescent="0.2">
      <c r="B2641" t="s">
        <v>394</v>
      </c>
      <c r="C2641">
        <v>40353116</v>
      </c>
      <c r="D2641" t="s">
        <v>485</v>
      </c>
      <c r="E2641">
        <v>1011421</v>
      </c>
      <c r="F2641" t="s">
        <v>484</v>
      </c>
      <c r="G2641" s="9">
        <v>44976</v>
      </c>
      <c r="H2641" s="7"/>
      <c r="I2641" s="7"/>
      <c r="J2641" s="7"/>
      <c r="K2641" s="7"/>
      <c r="L2641" s="10"/>
      <c r="N2641" s="10"/>
      <c r="Q2641" s="11"/>
      <c r="R2641" s="7"/>
      <c r="S2641" s="7"/>
      <c r="T2641" s="7"/>
      <c r="U2641" s="7"/>
      <c r="V2641" s="10"/>
      <c r="X2641" s="10"/>
      <c r="AA2641" s="11"/>
    </row>
    <row r="2642" spans="2:27" x14ac:dyDescent="0.2">
      <c r="B2642" t="s">
        <v>394</v>
      </c>
      <c r="C2642">
        <v>40352718</v>
      </c>
      <c r="D2642" t="s">
        <v>396</v>
      </c>
      <c r="E2642">
        <v>1012612</v>
      </c>
      <c r="F2642" t="s">
        <v>429</v>
      </c>
      <c r="G2642" s="9">
        <v>45028</v>
      </c>
      <c r="H2642" s="7"/>
      <c r="I2642" s="7">
        <v>24012.66</v>
      </c>
      <c r="J2642" s="7"/>
      <c r="K2642" s="7"/>
      <c r="L2642" s="10"/>
      <c r="N2642" s="10"/>
      <c r="Q2642" s="11"/>
      <c r="R2642" s="7"/>
      <c r="S2642" s="7">
        <v>24012.66</v>
      </c>
      <c r="T2642" s="7"/>
      <c r="U2642" s="7"/>
      <c r="V2642" s="10"/>
      <c r="X2642" s="10"/>
      <c r="AA2642" s="11"/>
    </row>
    <row r="2643" spans="2:27" x14ac:dyDescent="0.2">
      <c r="B2643" t="s">
        <v>394</v>
      </c>
      <c r="C2643">
        <v>40352717</v>
      </c>
      <c r="D2643" t="s">
        <v>396</v>
      </c>
      <c r="E2643">
        <v>1012612</v>
      </c>
      <c r="F2643" t="s">
        <v>429</v>
      </c>
      <c r="G2643" s="9">
        <v>45028</v>
      </c>
      <c r="H2643" s="7"/>
      <c r="I2643" s="7">
        <v>24996.86</v>
      </c>
      <c r="J2643" s="7"/>
      <c r="K2643" s="7"/>
      <c r="L2643" s="10"/>
      <c r="N2643" s="10"/>
      <c r="Q2643" s="11"/>
      <c r="R2643" s="7"/>
      <c r="S2643" s="7">
        <v>24996.86</v>
      </c>
      <c r="T2643" s="7"/>
      <c r="U2643" s="7"/>
      <c r="V2643" s="10"/>
      <c r="X2643" s="10"/>
      <c r="AA2643" s="11"/>
    </row>
    <row r="2644" spans="2:27" x14ac:dyDescent="0.2">
      <c r="B2644" t="s">
        <v>394</v>
      </c>
      <c r="C2644">
        <v>40352440</v>
      </c>
      <c r="D2644" t="s">
        <v>485</v>
      </c>
      <c r="E2644">
        <v>1011421</v>
      </c>
      <c r="F2644" t="s">
        <v>484</v>
      </c>
      <c r="G2644" s="9">
        <v>44976</v>
      </c>
      <c r="H2644" s="7"/>
      <c r="I2644" s="7"/>
      <c r="J2644" s="7"/>
      <c r="K2644" s="7"/>
      <c r="L2644" s="10"/>
      <c r="N2644" s="10"/>
      <c r="Q2644" s="11"/>
      <c r="R2644" s="7"/>
      <c r="S2644" s="7"/>
      <c r="T2644" s="7"/>
      <c r="U2644" s="7"/>
      <c r="V2644" s="10"/>
      <c r="X2644" s="10"/>
      <c r="AA2644" s="11"/>
    </row>
    <row r="2645" spans="2:27" x14ac:dyDescent="0.2">
      <c r="B2645" t="s">
        <v>394</v>
      </c>
      <c r="C2645">
        <v>40352357</v>
      </c>
      <c r="D2645" t="s">
        <v>485</v>
      </c>
      <c r="E2645">
        <v>1012719</v>
      </c>
      <c r="F2645" t="s">
        <v>545</v>
      </c>
      <c r="G2645" s="9">
        <v>44968</v>
      </c>
      <c r="H2645" s="7"/>
      <c r="I2645" s="7"/>
      <c r="J2645" s="7"/>
      <c r="K2645" s="7"/>
      <c r="L2645" s="10"/>
      <c r="N2645" s="10"/>
      <c r="Q2645" s="11"/>
      <c r="R2645" s="7"/>
      <c r="S2645" s="7"/>
      <c r="T2645" s="7"/>
      <c r="U2645" s="7"/>
      <c r="V2645" s="10"/>
      <c r="X2645" s="10"/>
      <c r="AA2645" s="11"/>
    </row>
    <row r="2646" spans="2:27" x14ac:dyDescent="0.2">
      <c r="B2646" t="s">
        <v>394</v>
      </c>
      <c r="C2646">
        <v>40352356</v>
      </c>
      <c r="D2646" t="s">
        <v>485</v>
      </c>
      <c r="E2646">
        <v>1012719</v>
      </c>
      <c r="F2646" t="s">
        <v>545</v>
      </c>
      <c r="G2646" s="9">
        <v>44968</v>
      </c>
      <c r="H2646" s="7"/>
      <c r="I2646" s="7"/>
      <c r="J2646" s="7"/>
      <c r="K2646" s="7"/>
      <c r="L2646" s="10"/>
      <c r="N2646" s="10"/>
      <c r="Q2646" s="11"/>
      <c r="R2646" s="7"/>
      <c r="S2646" s="7"/>
      <c r="T2646" s="7"/>
      <c r="U2646" s="7"/>
      <c r="V2646" s="10"/>
      <c r="X2646" s="10"/>
      <c r="AA2646" s="11"/>
    </row>
    <row r="2647" spans="2:27" x14ac:dyDescent="0.2">
      <c r="B2647" t="s">
        <v>394</v>
      </c>
      <c r="C2647">
        <v>40351731</v>
      </c>
      <c r="D2647" t="s">
        <v>485</v>
      </c>
      <c r="E2647">
        <v>1021039</v>
      </c>
      <c r="F2647" t="s">
        <v>635</v>
      </c>
      <c r="G2647" s="9">
        <v>44983</v>
      </c>
      <c r="H2647" s="7"/>
      <c r="I2647" s="7"/>
      <c r="J2647" s="7"/>
      <c r="K2647" s="7"/>
      <c r="L2647" s="10"/>
      <c r="N2647" s="10"/>
      <c r="Q2647" s="11"/>
      <c r="R2647" s="7"/>
      <c r="S2647" s="7"/>
      <c r="T2647" s="7"/>
      <c r="U2647" s="7"/>
      <c r="V2647" s="10"/>
      <c r="X2647" s="10"/>
      <c r="AA2647" s="11"/>
    </row>
    <row r="2648" spans="2:27" x14ac:dyDescent="0.2">
      <c r="B2648" t="s">
        <v>394</v>
      </c>
      <c r="C2648">
        <v>40351731</v>
      </c>
      <c r="D2648" t="s">
        <v>485</v>
      </c>
      <c r="E2648">
        <v>1021039</v>
      </c>
      <c r="F2648" t="s">
        <v>635</v>
      </c>
      <c r="G2648" s="9">
        <v>44983</v>
      </c>
      <c r="H2648" s="7"/>
      <c r="I2648" s="7"/>
      <c r="J2648" s="7"/>
      <c r="K2648" s="7"/>
      <c r="L2648" s="10"/>
      <c r="N2648" s="10"/>
      <c r="Q2648" s="11"/>
      <c r="R2648" s="7"/>
      <c r="S2648" s="7"/>
      <c r="T2648" s="7"/>
      <c r="U2648" s="7"/>
      <c r="V2648" s="10"/>
      <c r="X2648" s="10"/>
      <c r="AA2648" s="11"/>
    </row>
    <row r="2649" spans="2:27" ht="16" x14ac:dyDescent="0.2">
      <c r="B2649" t="s">
        <v>35</v>
      </c>
      <c r="C2649">
        <v>40348991</v>
      </c>
      <c r="D2649" t="s">
        <v>391</v>
      </c>
      <c r="E2649">
        <v>1021944</v>
      </c>
      <c r="F2649" t="s">
        <v>192</v>
      </c>
      <c r="G2649" s="9">
        <v>45005</v>
      </c>
      <c r="H2649" s="7"/>
      <c r="I2649" s="7">
        <v>1000</v>
      </c>
      <c r="J2649" s="7"/>
      <c r="K2649" s="7"/>
      <c r="L2649" s="10">
        <v>4.830303030303031</v>
      </c>
      <c r="M2649" s="9">
        <v>45009</v>
      </c>
      <c r="N2649" s="10">
        <v>15</v>
      </c>
      <c r="O2649" s="9">
        <v>45024</v>
      </c>
      <c r="P2649">
        <v>18</v>
      </c>
      <c r="Q2649" s="11" t="s">
        <v>49</v>
      </c>
      <c r="R2649" s="7"/>
      <c r="S2649" s="7">
        <v>1000</v>
      </c>
      <c r="T2649" s="7"/>
      <c r="U2649" s="7"/>
      <c r="V2649" s="10">
        <v>6.830303030303031</v>
      </c>
      <c r="W2649" s="9">
        <v>45011</v>
      </c>
      <c r="X2649" s="10">
        <v>17</v>
      </c>
      <c r="Y2649" s="9">
        <v>45024</v>
      </c>
      <c r="Z2649">
        <v>18</v>
      </c>
      <c r="AA2649" s="11" t="s">
        <v>49</v>
      </c>
    </row>
    <row r="2650" spans="2:27" ht="16" x14ac:dyDescent="0.2">
      <c r="B2650" t="s">
        <v>35</v>
      </c>
      <c r="C2650">
        <v>40348990</v>
      </c>
      <c r="D2650" t="s">
        <v>391</v>
      </c>
      <c r="E2650">
        <v>1021925</v>
      </c>
      <c r="F2650" t="s">
        <v>432</v>
      </c>
      <c r="G2650" s="9">
        <v>45005</v>
      </c>
      <c r="H2650" s="7"/>
      <c r="I2650" s="7">
        <v>3987.08</v>
      </c>
      <c r="J2650" s="7"/>
      <c r="K2650" s="7"/>
      <c r="L2650" s="10">
        <v>4.830303030303031</v>
      </c>
      <c r="M2650" s="9">
        <v>45009</v>
      </c>
      <c r="N2650" s="10">
        <v>15</v>
      </c>
      <c r="O2650" s="9">
        <v>45024</v>
      </c>
      <c r="P2650">
        <v>18</v>
      </c>
      <c r="Q2650" s="11" t="s">
        <v>49</v>
      </c>
      <c r="R2650" s="7"/>
      <c r="S2650" s="7">
        <v>3987.08</v>
      </c>
      <c r="T2650" s="7"/>
      <c r="U2650" s="7"/>
      <c r="V2650" s="10">
        <v>6.830303030303031</v>
      </c>
      <c r="W2650" s="9">
        <v>45011</v>
      </c>
      <c r="X2650" s="10">
        <v>17</v>
      </c>
      <c r="Y2650" s="9">
        <v>45024</v>
      </c>
      <c r="Z2650">
        <v>18</v>
      </c>
      <c r="AA2650" s="11" t="s">
        <v>49</v>
      </c>
    </row>
    <row r="2651" spans="2:27" ht="16" x14ac:dyDescent="0.2">
      <c r="B2651" t="s">
        <v>35</v>
      </c>
      <c r="C2651">
        <v>40348990</v>
      </c>
      <c r="D2651" t="s">
        <v>391</v>
      </c>
      <c r="E2651">
        <v>1022142</v>
      </c>
      <c r="F2651" t="s">
        <v>390</v>
      </c>
      <c r="G2651" s="9">
        <v>45005</v>
      </c>
      <c r="H2651" s="7"/>
      <c r="I2651" s="7">
        <v>5014</v>
      </c>
      <c r="J2651" s="7"/>
      <c r="K2651" s="7"/>
      <c r="L2651" s="10">
        <v>4.830303030303031</v>
      </c>
      <c r="M2651" s="9">
        <v>45009</v>
      </c>
      <c r="N2651" s="10">
        <v>15</v>
      </c>
      <c r="O2651" s="9">
        <v>45024</v>
      </c>
      <c r="P2651">
        <v>18</v>
      </c>
      <c r="Q2651" s="11" t="s">
        <v>49</v>
      </c>
      <c r="R2651" s="7"/>
      <c r="S2651" s="7">
        <v>5014</v>
      </c>
      <c r="T2651" s="7"/>
      <c r="U2651" s="7"/>
      <c r="V2651" s="10">
        <v>6.830303030303031</v>
      </c>
      <c r="W2651" s="9">
        <v>45011</v>
      </c>
      <c r="X2651" s="10">
        <v>17</v>
      </c>
      <c r="Y2651" s="9">
        <v>45024</v>
      </c>
      <c r="Z2651">
        <v>18</v>
      </c>
      <c r="AA2651" s="11" t="s">
        <v>49</v>
      </c>
    </row>
    <row r="2652" spans="2:27" ht="16" x14ac:dyDescent="0.2">
      <c r="B2652" t="s">
        <v>35</v>
      </c>
      <c r="C2652">
        <v>40348990</v>
      </c>
      <c r="D2652" t="s">
        <v>391</v>
      </c>
      <c r="E2652">
        <v>1022293</v>
      </c>
      <c r="F2652" t="s">
        <v>339</v>
      </c>
      <c r="G2652" s="9">
        <v>45005</v>
      </c>
      <c r="H2652" s="7"/>
      <c r="I2652" s="7">
        <v>1000</v>
      </c>
      <c r="J2652" s="7"/>
      <c r="K2652" s="7"/>
      <c r="L2652" s="10">
        <v>4.830303030303031</v>
      </c>
      <c r="M2652" s="9">
        <v>45009</v>
      </c>
      <c r="N2652" s="10">
        <v>15</v>
      </c>
      <c r="O2652" s="9">
        <v>45024</v>
      </c>
      <c r="P2652">
        <v>18</v>
      </c>
      <c r="Q2652" s="11" t="s">
        <v>49</v>
      </c>
      <c r="R2652" s="7"/>
      <c r="S2652" s="7">
        <v>1000</v>
      </c>
      <c r="T2652" s="7"/>
      <c r="U2652" s="7"/>
      <c r="V2652" s="10">
        <v>6.830303030303031</v>
      </c>
      <c r="W2652" s="9">
        <v>45011</v>
      </c>
      <c r="X2652" s="10">
        <v>17</v>
      </c>
      <c r="Y2652" s="9">
        <v>45024</v>
      </c>
      <c r="Z2652">
        <v>18</v>
      </c>
      <c r="AA2652" s="11" t="s">
        <v>49</v>
      </c>
    </row>
    <row r="2653" spans="2:27" ht="16" x14ac:dyDescent="0.2">
      <c r="B2653" t="s">
        <v>35</v>
      </c>
      <c r="C2653">
        <v>40348990</v>
      </c>
      <c r="D2653" t="s">
        <v>391</v>
      </c>
      <c r="E2653">
        <v>1022863</v>
      </c>
      <c r="F2653" t="s">
        <v>201</v>
      </c>
      <c r="G2653" s="9">
        <v>45005</v>
      </c>
      <c r="H2653" s="7"/>
      <c r="I2653" s="7">
        <v>6005.66</v>
      </c>
      <c r="J2653" s="7"/>
      <c r="K2653" s="7"/>
      <c r="L2653" s="10">
        <v>4.830303030303031</v>
      </c>
      <c r="M2653" s="9">
        <v>45009</v>
      </c>
      <c r="N2653" s="10">
        <v>15</v>
      </c>
      <c r="O2653" s="9">
        <v>45024</v>
      </c>
      <c r="P2653">
        <v>18</v>
      </c>
      <c r="Q2653" s="11" t="s">
        <v>49</v>
      </c>
      <c r="R2653" s="7"/>
      <c r="S2653" s="7">
        <v>6005.66</v>
      </c>
      <c r="T2653" s="7"/>
      <c r="U2653" s="7"/>
      <c r="V2653" s="10">
        <v>6.830303030303031</v>
      </c>
      <c r="W2653" s="9">
        <v>45011</v>
      </c>
      <c r="X2653" s="10">
        <v>17</v>
      </c>
      <c r="Y2653" s="9">
        <v>45024</v>
      </c>
      <c r="Z2653">
        <v>18</v>
      </c>
      <c r="AA2653" s="11" t="s">
        <v>49</v>
      </c>
    </row>
    <row r="2654" spans="2:27" ht="16" x14ac:dyDescent="0.2">
      <c r="B2654" t="s">
        <v>35</v>
      </c>
      <c r="C2654">
        <v>40348990</v>
      </c>
      <c r="D2654" t="s">
        <v>391</v>
      </c>
      <c r="E2654">
        <v>1022866</v>
      </c>
      <c r="F2654" t="s">
        <v>203</v>
      </c>
      <c r="G2654" s="9">
        <v>45005</v>
      </c>
      <c r="H2654" s="7"/>
      <c r="I2654" s="7">
        <v>6996.94</v>
      </c>
      <c r="J2654" s="7"/>
      <c r="K2654" s="7"/>
      <c r="L2654" s="10">
        <v>4.830303030303031</v>
      </c>
      <c r="M2654" s="9">
        <v>45009</v>
      </c>
      <c r="N2654" s="10">
        <v>15</v>
      </c>
      <c r="O2654" s="9">
        <v>45024</v>
      </c>
      <c r="P2654">
        <v>18</v>
      </c>
      <c r="Q2654" s="11" t="s">
        <v>49</v>
      </c>
      <c r="R2654" s="7"/>
      <c r="S2654" s="7">
        <v>6996.94</v>
      </c>
      <c r="T2654" s="7"/>
      <c r="U2654" s="7"/>
      <c r="V2654" s="10">
        <v>6.830303030303031</v>
      </c>
      <c r="W2654" s="9">
        <v>45011</v>
      </c>
      <c r="X2654" s="10">
        <v>17</v>
      </c>
      <c r="Y2654" s="9">
        <v>45024</v>
      </c>
      <c r="Z2654">
        <v>18</v>
      </c>
      <c r="AA2654" s="11" t="s">
        <v>49</v>
      </c>
    </row>
    <row r="2655" spans="2:27" ht="16" x14ac:dyDescent="0.2">
      <c r="B2655" t="s">
        <v>35</v>
      </c>
      <c r="C2655">
        <v>40348989</v>
      </c>
      <c r="D2655" t="s">
        <v>391</v>
      </c>
      <c r="E2655">
        <v>1022866</v>
      </c>
      <c r="F2655" t="s">
        <v>203</v>
      </c>
      <c r="G2655" s="9">
        <v>45005</v>
      </c>
      <c r="H2655" s="7"/>
      <c r="I2655" s="7">
        <v>4004.74</v>
      </c>
      <c r="J2655" s="7"/>
      <c r="K2655" s="7"/>
      <c r="L2655" s="10">
        <v>4.830303030303031</v>
      </c>
      <c r="M2655" s="9">
        <v>45009</v>
      </c>
      <c r="N2655" s="10">
        <v>15</v>
      </c>
      <c r="O2655" s="9">
        <v>45024</v>
      </c>
      <c r="P2655">
        <v>18</v>
      </c>
      <c r="Q2655" s="11" t="s">
        <v>49</v>
      </c>
      <c r="R2655" s="7"/>
      <c r="S2655" s="7">
        <v>4004.74</v>
      </c>
      <c r="T2655" s="7"/>
      <c r="U2655" s="7"/>
      <c r="V2655" s="10">
        <v>6.830303030303031</v>
      </c>
      <c r="W2655" s="9">
        <v>45011</v>
      </c>
      <c r="X2655" s="10">
        <v>17</v>
      </c>
      <c r="Y2655" s="9">
        <v>45024</v>
      </c>
      <c r="Z2655">
        <v>18</v>
      </c>
      <c r="AA2655" s="11" t="s">
        <v>49</v>
      </c>
    </row>
    <row r="2656" spans="2:27" ht="16" x14ac:dyDescent="0.2">
      <c r="B2656" t="s">
        <v>35</v>
      </c>
      <c r="C2656">
        <v>40348989</v>
      </c>
      <c r="D2656" t="s">
        <v>391</v>
      </c>
      <c r="E2656">
        <v>1022863</v>
      </c>
      <c r="F2656" t="s">
        <v>201</v>
      </c>
      <c r="G2656" s="9">
        <v>45005</v>
      </c>
      <c r="H2656" s="7"/>
      <c r="I2656" s="7">
        <v>8053.15</v>
      </c>
      <c r="J2656" s="7"/>
      <c r="K2656" s="7"/>
      <c r="L2656" s="10">
        <v>4.830303030303031</v>
      </c>
      <c r="M2656" s="9">
        <v>45009</v>
      </c>
      <c r="N2656" s="10">
        <v>15</v>
      </c>
      <c r="O2656" s="9">
        <v>45024</v>
      </c>
      <c r="P2656">
        <v>18</v>
      </c>
      <c r="Q2656" s="11" t="s">
        <v>49</v>
      </c>
      <c r="R2656" s="7"/>
      <c r="S2656" s="7">
        <v>8053.15</v>
      </c>
      <c r="T2656" s="7"/>
      <c r="U2656" s="7"/>
      <c r="V2656" s="10">
        <v>6.830303030303031</v>
      </c>
      <c r="W2656" s="9">
        <v>45011</v>
      </c>
      <c r="X2656" s="10">
        <v>17</v>
      </c>
      <c r="Y2656" s="9">
        <v>45024</v>
      </c>
      <c r="Z2656">
        <v>18</v>
      </c>
      <c r="AA2656" s="11" t="s">
        <v>49</v>
      </c>
    </row>
    <row r="2657" spans="2:27" ht="16" x14ac:dyDescent="0.2">
      <c r="B2657" t="s">
        <v>35</v>
      </c>
      <c r="C2657">
        <v>40348989</v>
      </c>
      <c r="D2657" t="s">
        <v>391</v>
      </c>
      <c r="E2657">
        <v>1022141</v>
      </c>
      <c r="F2657" t="s">
        <v>126</v>
      </c>
      <c r="G2657" s="9">
        <v>45005</v>
      </c>
      <c r="H2657" s="7"/>
      <c r="I2657" s="7">
        <v>6043.57</v>
      </c>
      <c r="J2657" s="7"/>
      <c r="K2657" s="7"/>
      <c r="L2657" s="10">
        <v>4.830303030303031</v>
      </c>
      <c r="M2657" s="9">
        <v>45009</v>
      </c>
      <c r="N2657" s="10">
        <v>15</v>
      </c>
      <c r="O2657" s="9">
        <v>45024</v>
      </c>
      <c r="P2657">
        <v>18</v>
      </c>
      <c r="Q2657" s="11" t="s">
        <v>49</v>
      </c>
      <c r="R2657" s="7"/>
      <c r="S2657" s="7">
        <v>6043.57</v>
      </c>
      <c r="T2657" s="7"/>
      <c r="U2657" s="7"/>
      <c r="V2657" s="10">
        <v>6.830303030303031</v>
      </c>
      <c r="W2657" s="9">
        <v>45011</v>
      </c>
      <c r="X2657" s="10">
        <v>17</v>
      </c>
      <c r="Y2657" s="9">
        <v>45024</v>
      </c>
      <c r="Z2657">
        <v>18</v>
      </c>
      <c r="AA2657" s="11" t="s">
        <v>49</v>
      </c>
    </row>
    <row r="2658" spans="2:27" ht="16" x14ac:dyDescent="0.2">
      <c r="B2658" t="s">
        <v>35</v>
      </c>
      <c r="C2658">
        <v>40348989</v>
      </c>
      <c r="D2658" t="s">
        <v>391</v>
      </c>
      <c r="E2658">
        <v>1021929</v>
      </c>
      <c r="F2658" t="s">
        <v>335</v>
      </c>
      <c r="G2658" s="9">
        <v>45005</v>
      </c>
      <c r="H2658" s="7"/>
      <c r="I2658" s="7">
        <v>970</v>
      </c>
      <c r="J2658" s="7"/>
      <c r="K2658" s="7"/>
      <c r="L2658" s="10">
        <v>4.830303030303031</v>
      </c>
      <c r="M2658" s="9">
        <v>45009</v>
      </c>
      <c r="N2658" s="10">
        <v>15</v>
      </c>
      <c r="O2658" s="9">
        <v>45024</v>
      </c>
      <c r="P2658">
        <v>18</v>
      </c>
      <c r="Q2658" s="11" t="s">
        <v>49</v>
      </c>
      <c r="R2658" s="7"/>
      <c r="S2658" s="7">
        <v>970</v>
      </c>
      <c r="T2658" s="7"/>
      <c r="U2658" s="7"/>
      <c r="V2658" s="10">
        <v>6.830303030303031</v>
      </c>
      <c r="W2658" s="9">
        <v>45011</v>
      </c>
      <c r="X2658" s="10">
        <v>17</v>
      </c>
      <c r="Y2658" s="9">
        <v>45024</v>
      </c>
      <c r="Z2658">
        <v>18</v>
      </c>
      <c r="AA2658" s="11" t="s">
        <v>49</v>
      </c>
    </row>
    <row r="2659" spans="2:27" ht="16" x14ac:dyDescent="0.2">
      <c r="B2659" t="s">
        <v>35</v>
      </c>
      <c r="C2659">
        <v>40348989</v>
      </c>
      <c r="D2659" t="s">
        <v>391</v>
      </c>
      <c r="E2659">
        <v>1021924</v>
      </c>
      <c r="F2659" t="s">
        <v>187</v>
      </c>
      <c r="G2659" s="9">
        <v>45005</v>
      </c>
      <c r="H2659" s="7"/>
      <c r="I2659" s="7">
        <v>3001.86</v>
      </c>
      <c r="J2659" s="7"/>
      <c r="K2659" s="7"/>
      <c r="L2659" s="10">
        <v>4.830303030303031</v>
      </c>
      <c r="M2659" s="9">
        <v>45009</v>
      </c>
      <c r="N2659" s="10">
        <v>15</v>
      </c>
      <c r="O2659" s="9">
        <v>45024</v>
      </c>
      <c r="P2659">
        <v>18</v>
      </c>
      <c r="Q2659" s="11" t="s">
        <v>49</v>
      </c>
      <c r="R2659" s="7"/>
      <c r="S2659" s="7">
        <v>3001.86</v>
      </c>
      <c r="T2659" s="7"/>
      <c r="U2659" s="7"/>
      <c r="V2659" s="10">
        <v>6.830303030303031</v>
      </c>
      <c r="W2659" s="9">
        <v>45011</v>
      </c>
      <c r="X2659" s="10">
        <v>17</v>
      </c>
      <c r="Y2659" s="9">
        <v>45024</v>
      </c>
      <c r="Z2659">
        <v>18</v>
      </c>
      <c r="AA2659" s="11" t="s">
        <v>49</v>
      </c>
    </row>
    <row r="2660" spans="2:27" ht="16" x14ac:dyDescent="0.2">
      <c r="B2660" t="s">
        <v>35</v>
      </c>
      <c r="C2660">
        <v>40348984</v>
      </c>
      <c r="D2660" t="s">
        <v>391</v>
      </c>
      <c r="E2660">
        <v>1023265</v>
      </c>
      <c r="F2660" t="s">
        <v>347</v>
      </c>
      <c r="G2660" s="9">
        <v>45012</v>
      </c>
      <c r="H2660" s="7"/>
      <c r="I2660" s="7">
        <v>1999.58</v>
      </c>
      <c r="J2660" s="7"/>
      <c r="K2660" s="7"/>
      <c r="L2660" s="10">
        <v>4.830303030303031</v>
      </c>
      <c r="M2660" s="9">
        <v>45016</v>
      </c>
      <c r="N2660" s="10">
        <v>15</v>
      </c>
      <c r="O2660" s="9">
        <v>45031</v>
      </c>
      <c r="P2660">
        <v>12</v>
      </c>
      <c r="Q2660" s="11" t="s">
        <v>49</v>
      </c>
      <c r="R2660" s="7"/>
      <c r="S2660" s="7">
        <v>1999.58</v>
      </c>
      <c r="T2660" s="7"/>
      <c r="U2660" s="7"/>
      <c r="V2660" s="10">
        <v>6.830303030303031</v>
      </c>
      <c r="W2660" s="9">
        <v>45018</v>
      </c>
      <c r="X2660" s="10">
        <v>17</v>
      </c>
      <c r="Y2660" s="9">
        <v>45031</v>
      </c>
      <c r="Z2660">
        <v>12</v>
      </c>
      <c r="AA2660" s="11" t="s">
        <v>49</v>
      </c>
    </row>
    <row r="2661" spans="2:27" ht="16" x14ac:dyDescent="0.2">
      <c r="B2661" t="s">
        <v>35</v>
      </c>
      <c r="C2661">
        <v>40348983</v>
      </c>
      <c r="D2661" t="s">
        <v>391</v>
      </c>
      <c r="E2661">
        <v>1022863</v>
      </c>
      <c r="F2661" t="s">
        <v>201</v>
      </c>
      <c r="G2661" s="9">
        <v>45012</v>
      </c>
      <c r="H2661" s="7"/>
      <c r="I2661" s="7">
        <v>302.14</v>
      </c>
      <c r="J2661" s="7"/>
      <c r="K2661" s="7"/>
      <c r="L2661" s="10">
        <v>4.830303030303031</v>
      </c>
      <c r="M2661" s="9">
        <v>45016</v>
      </c>
      <c r="N2661" s="10">
        <v>15</v>
      </c>
      <c r="O2661" s="9">
        <v>45031</v>
      </c>
      <c r="P2661">
        <v>12</v>
      </c>
      <c r="Q2661" s="11" t="s">
        <v>49</v>
      </c>
      <c r="R2661" s="7"/>
      <c r="S2661" s="7">
        <v>302.14</v>
      </c>
      <c r="T2661" s="7"/>
      <c r="U2661" s="7"/>
      <c r="V2661" s="10">
        <v>6.830303030303031</v>
      </c>
      <c r="W2661" s="9">
        <v>45018</v>
      </c>
      <c r="X2661" s="10">
        <v>17</v>
      </c>
      <c r="Y2661" s="9">
        <v>45031</v>
      </c>
      <c r="Z2661">
        <v>12</v>
      </c>
      <c r="AA2661" s="11" t="s">
        <v>49</v>
      </c>
    </row>
    <row r="2662" spans="2:27" ht="16" x14ac:dyDescent="0.2">
      <c r="B2662" t="s">
        <v>35</v>
      </c>
      <c r="C2662">
        <v>40348983</v>
      </c>
      <c r="D2662" t="s">
        <v>391</v>
      </c>
      <c r="E2662">
        <v>1021925</v>
      </c>
      <c r="F2662" t="s">
        <v>432</v>
      </c>
      <c r="G2662" s="9">
        <v>45012</v>
      </c>
      <c r="H2662" s="7"/>
      <c r="I2662" s="7">
        <v>8010.63</v>
      </c>
      <c r="J2662" s="7"/>
      <c r="K2662" s="7"/>
      <c r="L2662" s="10">
        <v>4.830303030303031</v>
      </c>
      <c r="M2662" s="9">
        <v>45016</v>
      </c>
      <c r="N2662" s="10">
        <v>15</v>
      </c>
      <c r="O2662" s="9">
        <v>45031</v>
      </c>
      <c r="P2662">
        <v>12</v>
      </c>
      <c r="Q2662" s="11" t="s">
        <v>49</v>
      </c>
      <c r="R2662" s="7"/>
      <c r="S2662" s="7">
        <v>8010.63</v>
      </c>
      <c r="T2662" s="7"/>
      <c r="U2662" s="7"/>
      <c r="V2662" s="10">
        <v>6.830303030303031</v>
      </c>
      <c r="W2662" s="9">
        <v>45018</v>
      </c>
      <c r="X2662" s="10">
        <v>17</v>
      </c>
      <c r="Y2662" s="9">
        <v>45031</v>
      </c>
      <c r="Z2662">
        <v>12</v>
      </c>
      <c r="AA2662" s="11" t="s">
        <v>49</v>
      </c>
    </row>
    <row r="2663" spans="2:27" ht="16" x14ac:dyDescent="0.2">
      <c r="B2663" t="s">
        <v>35</v>
      </c>
      <c r="C2663">
        <v>40348983</v>
      </c>
      <c r="D2663" t="s">
        <v>391</v>
      </c>
      <c r="E2663">
        <v>1022515</v>
      </c>
      <c r="F2663" t="s">
        <v>197</v>
      </c>
      <c r="G2663" s="9">
        <v>45012</v>
      </c>
      <c r="H2663" s="7"/>
      <c r="I2663" s="7">
        <v>2008.9</v>
      </c>
      <c r="J2663" s="7"/>
      <c r="K2663" s="7"/>
      <c r="L2663" s="10">
        <v>4.830303030303031</v>
      </c>
      <c r="M2663" s="9">
        <v>45016</v>
      </c>
      <c r="N2663" s="10">
        <v>15</v>
      </c>
      <c r="O2663" s="9">
        <v>45031</v>
      </c>
      <c r="P2663">
        <v>12</v>
      </c>
      <c r="Q2663" s="11" t="s">
        <v>49</v>
      </c>
      <c r="R2663" s="7"/>
      <c r="S2663" s="7">
        <v>2008.9</v>
      </c>
      <c r="T2663" s="7"/>
      <c r="U2663" s="7"/>
      <c r="V2663" s="10">
        <v>6.830303030303031</v>
      </c>
      <c r="W2663" s="9">
        <v>45018</v>
      </c>
      <c r="X2663" s="10">
        <v>17</v>
      </c>
      <c r="Y2663" s="9">
        <v>45031</v>
      </c>
      <c r="Z2663">
        <v>12</v>
      </c>
      <c r="AA2663" s="11" t="s">
        <v>49</v>
      </c>
    </row>
    <row r="2664" spans="2:27" ht="16" x14ac:dyDescent="0.2">
      <c r="B2664" t="s">
        <v>35</v>
      </c>
      <c r="C2664">
        <v>40348983</v>
      </c>
      <c r="D2664" t="s">
        <v>391</v>
      </c>
      <c r="E2664">
        <v>1022863</v>
      </c>
      <c r="F2664" t="s">
        <v>201</v>
      </c>
      <c r="G2664" s="9">
        <v>45012</v>
      </c>
      <c r="H2664" s="7"/>
      <c r="I2664" s="7">
        <v>5089.4000000000005</v>
      </c>
      <c r="J2664" s="7"/>
      <c r="K2664" s="7"/>
      <c r="L2664" s="10">
        <v>4.830303030303031</v>
      </c>
      <c r="M2664" s="9">
        <v>45016</v>
      </c>
      <c r="N2664" s="10">
        <v>15</v>
      </c>
      <c r="O2664" s="9">
        <v>45031</v>
      </c>
      <c r="P2664">
        <v>12</v>
      </c>
      <c r="Q2664" s="11" t="s">
        <v>49</v>
      </c>
      <c r="R2664" s="7"/>
      <c r="S2664" s="7">
        <v>5089.4000000000005</v>
      </c>
      <c r="T2664" s="7"/>
      <c r="U2664" s="7"/>
      <c r="V2664" s="10">
        <v>6.830303030303031</v>
      </c>
      <c r="W2664" s="9">
        <v>45018</v>
      </c>
      <c r="X2664" s="10">
        <v>17</v>
      </c>
      <c r="Y2664" s="9">
        <v>45031</v>
      </c>
      <c r="Z2664">
        <v>12</v>
      </c>
      <c r="AA2664" s="11" t="s">
        <v>49</v>
      </c>
    </row>
    <row r="2665" spans="2:27" ht="16" x14ac:dyDescent="0.2">
      <c r="B2665" t="s">
        <v>35</v>
      </c>
      <c r="C2665">
        <v>40348983</v>
      </c>
      <c r="D2665" t="s">
        <v>391</v>
      </c>
      <c r="E2665">
        <v>1022864</v>
      </c>
      <c r="F2665" t="s">
        <v>41</v>
      </c>
      <c r="G2665" s="9">
        <v>45012</v>
      </c>
      <c r="H2665" s="7"/>
      <c r="I2665" s="7">
        <v>2009.41</v>
      </c>
      <c r="J2665" s="7"/>
      <c r="K2665" s="7"/>
      <c r="L2665" s="10">
        <v>4.830303030303031</v>
      </c>
      <c r="M2665" s="9">
        <v>45016</v>
      </c>
      <c r="N2665" s="10">
        <v>15</v>
      </c>
      <c r="O2665" s="9">
        <v>45031</v>
      </c>
      <c r="P2665">
        <v>12</v>
      </c>
      <c r="Q2665" s="11" t="s">
        <v>49</v>
      </c>
      <c r="R2665" s="7"/>
      <c r="S2665" s="7">
        <v>2009.41</v>
      </c>
      <c r="T2665" s="7"/>
      <c r="U2665" s="7"/>
      <c r="V2665" s="10">
        <v>6.830303030303031</v>
      </c>
      <c r="W2665" s="9">
        <v>45018</v>
      </c>
      <c r="X2665" s="10">
        <v>17</v>
      </c>
      <c r="Y2665" s="9">
        <v>45031</v>
      </c>
      <c r="Z2665">
        <v>12</v>
      </c>
      <c r="AA2665" s="11" t="s">
        <v>49</v>
      </c>
    </row>
    <row r="2666" spans="2:27" ht="16" x14ac:dyDescent="0.2">
      <c r="B2666" t="s">
        <v>35</v>
      </c>
      <c r="C2666">
        <v>40348983</v>
      </c>
      <c r="D2666" t="s">
        <v>391</v>
      </c>
      <c r="E2666">
        <v>1022865</v>
      </c>
      <c r="F2666" t="s">
        <v>343</v>
      </c>
      <c r="G2666" s="9">
        <v>45012</v>
      </c>
      <c r="H2666" s="7"/>
      <c r="I2666" s="7">
        <v>5008.6899999999996</v>
      </c>
      <c r="J2666" s="7"/>
      <c r="K2666" s="7"/>
      <c r="L2666" s="10">
        <v>4.830303030303031</v>
      </c>
      <c r="M2666" s="9">
        <v>45016</v>
      </c>
      <c r="N2666" s="10">
        <v>15</v>
      </c>
      <c r="O2666" s="9">
        <v>45031</v>
      </c>
      <c r="P2666">
        <v>12</v>
      </c>
      <c r="Q2666" s="11" t="s">
        <v>49</v>
      </c>
      <c r="R2666" s="7"/>
      <c r="S2666" s="7">
        <v>5008.6899999999996</v>
      </c>
      <c r="T2666" s="7"/>
      <c r="U2666" s="7"/>
      <c r="V2666" s="10">
        <v>6.830303030303031</v>
      </c>
      <c r="W2666" s="9">
        <v>45018</v>
      </c>
      <c r="X2666" s="10">
        <v>17</v>
      </c>
      <c r="Y2666" s="9">
        <v>45031</v>
      </c>
      <c r="Z2666">
        <v>12</v>
      </c>
      <c r="AA2666" s="11" t="s">
        <v>49</v>
      </c>
    </row>
    <row r="2667" spans="2:27" x14ac:dyDescent="0.2">
      <c r="B2667" t="s">
        <v>394</v>
      </c>
      <c r="C2667">
        <v>40348936</v>
      </c>
      <c r="D2667" t="s">
        <v>485</v>
      </c>
      <c r="E2667">
        <v>1022218</v>
      </c>
      <c r="F2667" t="s">
        <v>644</v>
      </c>
      <c r="G2667" s="9">
        <v>44977</v>
      </c>
      <c r="H2667" s="7"/>
      <c r="I2667" s="7"/>
      <c r="J2667" s="7"/>
      <c r="K2667" s="7"/>
      <c r="L2667" s="10"/>
      <c r="N2667" s="10"/>
      <c r="Q2667" s="11"/>
      <c r="R2667" s="7"/>
      <c r="S2667" s="7"/>
      <c r="T2667" s="7"/>
      <c r="U2667" s="7"/>
      <c r="V2667" s="10"/>
      <c r="X2667" s="10"/>
      <c r="AA2667" s="11"/>
    </row>
    <row r="2668" spans="2:27" x14ac:dyDescent="0.2">
      <c r="B2668" t="s">
        <v>394</v>
      </c>
      <c r="C2668">
        <v>40348936</v>
      </c>
      <c r="D2668" t="s">
        <v>485</v>
      </c>
      <c r="E2668">
        <v>1022218</v>
      </c>
      <c r="F2668" t="s">
        <v>644</v>
      </c>
      <c r="G2668" s="9">
        <v>44977</v>
      </c>
      <c r="H2668" s="7"/>
      <c r="I2668" s="7"/>
      <c r="J2668" s="7"/>
      <c r="K2668" s="7"/>
      <c r="L2668" s="10"/>
      <c r="N2668" s="10"/>
      <c r="Q2668" s="11"/>
      <c r="R2668" s="7"/>
      <c r="S2668" s="7"/>
      <c r="T2668" s="7"/>
      <c r="U2668" s="7"/>
      <c r="V2668" s="10"/>
      <c r="X2668" s="10"/>
      <c r="AA2668" s="11"/>
    </row>
    <row r="2669" spans="2:27" x14ac:dyDescent="0.2">
      <c r="B2669" t="s">
        <v>394</v>
      </c>
      <c r="C2669">
        <v>40348936</v>
      </c>
      <c r="D2669" t="s">
        <v>485</v>
      </c>
      <c r="E2669">
        <v>1022855</v>
      </c>
      <c r="F2669" t="s">
        <v>632</v>
      </c>
      <c r="G2669" s="9">
        <v>44977</v>
      </c>
      <c r="H2669" s="7"/>
      <c r="I2669" s="7"/>
      <c r="J2669" s="7"/>
      <c r="K2669" s="7"/>
      <c r="L2669" s="10"/>
      <c r="N2669" s="10"/>
      <c r="Q2669" s="11"/>
      <c r="R2669" s="7"/>
      <c r="S2669" s="7"/>
      <c r="T2669" s="7"/>
      <c r="U2669" s="7"/>
      <c r="V2669" s="10"/>
      <c r="X2669" s="10"/>
      <c r="AA2669" s="11"/>
    </row>
    <row r="2670" spans="2:27" x14ac:dyDescent="0.2">
      <c r="B2670" t="s">
        <v>394</v>
      </c>
      <c r="C2670">
        <v>40348362</v>
      </c>
      <c r="D2670" t="s">
        <v>485</v>
      </c>
      <c r="E2670">
        <v>1022047</v>
      </c>
      <c r="F2670" t="s">
        <v>548</v>
      </c>
      <c r="G2670" s="9">
        <v>44990</v>
      </c>
      <c r="H2670" s="7">
        <v>5753.02</v>
      </c>
      <c r="I2670" s="7"/>
      <c r="J2670" s="7"/>
      <c r="K2670" s="7"/>
      <c r="L2670" s="10"/>
      <c r="N2670" s="10"/>
      <c r="Q2670" s="11"/>
      <c r="R2670" s="7">
        <v>5753.02</v>
      </c>
      <c r="S2670" s="7"/>
      <c r="T2670" s="7"/>
      <c r="U2670" s="7"/>
      <c r="V2670" s="10"/>
      <c r="X2670" s="10"/>
      <c r="AA2670" s="11"/>
    </row>
    <row r="2671" spans="2:27" x14ac:dyDescent="0.2">
      <c r="B2671" t="s">
        <v>394</v>
      </c>
      <c r="C2671">
        <v>40348362</v>
      </c>
      <c r="D2671" t="s">
        <v>485</v>
      </c>
      <c r="E2671">
        <v>1023355</v>
      </c>
      <c r="F2671" t="s">
        <v>549</v>
      </c>
      <c r="G2671" s="9">
        <v>44990</v>
      </c>
      <c r="H2671" s="7">
        <v>16478.62</v>
      </c>
      <c r="I2671" s="7"/>
      <c r="J2671" s="7"/>
      <c r="K2671" s="7"/>
      <c r="L2671" s="10"/>
      <c r="N2671" s="10"/>
      <c r="Q2671" s="11"/>
      <c r="R2671" s="7">
        <v>16478.62</v>
      </c>
      <c r="S2671" s="7"/>
      <c r="T2671" s="7"/>
      <c r="U2671" s="7"/>
      <c r="V2671" s="10"/>
      <c r="X2671" s="10"/>
      <c r="AA2671" s="11"/>
    </row>
    <row r="2672" spans="2:27" ht="16" x14ac:dyDescent="0.2">
      <c r="B2672" t="s">
        <v>35</v>
      </c>
      <c r="C2672">
        <v>40347823</v>
      </c>
      <c r="D2672" t="s">
        <v>409</v>
      </c>
      <c r="E2672">
        <v>1100570</v>
      </c>
      <c r="F2672" t="s">
        <v>104</v>
      </c>
      <c r="G2672" s="9">
        <v>45000</v>
      </c>
      <c r="H2672" s="7">
        <v>2447.5824320000002</v>
      </c>
      <c r="I2672" s="7"/>
      <c r="J2672" s="7"/>
      <c r="K2672" s="7"/>
      <c r="L2672" s="10">
        <v>7.5</v>
      </c>
      <c r="M2672" s="9">
        <v>45007</v>
      </c>
      <c r="N2672" s="10">
        <v>9.5</v>
      </c>
      <c r="O2672" s="9">
        <v>45016</v>
      </c>
      <c r="P2672">
        <v>0</v>
      </c>
      <c r="Q2672" s="11" t="s">
        <v>598</v>
      </c>
      <c r="R2672" s="7">
        <v>2447.5824320000002</v>
      </c>
      <c r="S2672" s="7"/>
      <c r="T2672" s="7"/>
      <c r="U2672" s="7"/>
      <c r="V2672" s="10">
        <v>9.5</v>
      </c>
      <c r="W2672" s="9">
        <v>45009</v>
      </c>
      <c r="X2672" s="10">
        <v>11.5</v>
      </c>
      <c r="Y2672" s="9">
        <v>45016</v>
      </c>
      <c r="Z2672">
        <v>0</v>
      </c>
      <c r="AA2672" s="11" t="s">
        <v>598</v>
      </c>
    </row>
    <row r="2673" spans="2:27" ht="16" x14ac:dyDescent="0.2">
      <c r="B2673" t="s">
        <v>35</v>
      </c>
      <c r="C2673">
        <v>40347823</v>
      </c>
      <c r="D2673" t="s">
        <v>409</v>
      </c>
      <c r="E2673">
        <v>1100572</v>
      </c>
      <c r="F2673" t="s">
        <v>472</v>
      </c>
      <c r="G2673" s="9">
        <v>45000</v>
      </c>
      <c r="H2673" s="7">
        <v>3671.3736479999998</v>
      </c>
      <c r="I2673" s="7"/>
      <c r="J2673" s="7"/>
      <c r="K2673" s="7"/>
      <c r="L2673" s="10">
        <v>7.5</v>
      </c>
      <c r="M2673" s="9">
        <v>45007</v>
      </c>
      <c r="N2673" s="10">
        <v>9.5</v>
      </c>
      <c r="O2673" s="9">
        <v>45016</v>
      </c>
      <c r="P2673">
        <v>0</v>
      </c>
      <c r="Q2673" s="11" t="s">
        <v>598</v>
      </c>
      <c r="R2673" s="7">
        <v>3671.3736479999998</v>
      </c>
      <c r="S2673" s="7"/>
      <c r="T2673" s="7"/>
      <c r="U2673" s="7"/>
      <c r="V2673" s="10">
        <v>9.5</v>
      </c>
      <c r="W2673" s="9">
        <v>45009</v>
      </c>
      <c r="X2673" s="10">
        <v>11.5</v>
      </c>
      <c r="Y2673" s="9">
        <v>45016</v>
      </c>
      <c r="Z2673">
        <v>0</v>
      </c>
      <c r="AA2673" s="11" t="s">
        <v>598</v>
      </c>
    </row>
    <row r="2674" spans="2:27" ht="16" x14ac:dyDescent="0.2">
      <c r="B2674" t="s">
        <v>35</v>
      </c>
      <c r="C2674">
        <v>40347823</v>
      </c>
      <c r="D2674" t="s">
        <v>409</v>
      </c>
      <c r="E2674">
        <v>1100573</v>
      </c>
      <c r="F2674" t="s">
        <v>135</v>
      </c>
      <c r="G2674" s="9">
        <v>45000</v>
      </c>
      <c r="H2674" s="7">
        <v>1835.6868239999999</v>
      </c>
      <c r="I2674" s="7"/>
      <c r="J2674" s="7"/>
      <c r="K2674" s="7"/>
      <c r="L2674" s="10">
        <v>7.5</v>
      </c>
      <c r="M2674" s="9">
        <v>45007</v>
      </c>
      <c r="N2674" s="10">
        <v>9.5</v>
      </c>
      <c r="O2674" s="9">
        <v>45016</v>
      </c>
      <c r="P2674">
        <v>0</v>
      </c>
      <c r="Q2674" s="11" t="s">
        <v>598</v>
      </c>
      <c r="R2674" s="7">
        <v>1835.6868239999999</v>
      </c>
      <c r="S2674" s="7"/>
      <c r="T2674" s="7"/>
      <c r="U2674" s="7"/>
      <c r="V2674" s="10">
        <v>9.5</v>
      </c>
      <c r="W2674" s="9">
        <v>45009</v>
      </c>
      <c r="X2674" s="10">
        <v>11.5</v>
      </c>
      <c r="Y2674" s="9">
        <v>45016</v>
      </c>
      <c r="Z2674">
        <v>0</v>
      </c>
      <c r="AA2674" s="11" t="s">
        <v>598</v>
      </c>
    </row>
    <row r="2675" spans="2:27" ht="16" x14ac:dyDescent="0.2">
      <c r="B2675" t="s">
        <v>35</v>
      </c>
      <c r="C2675">
        <v>40347823</v>
      </c>
      <c r="D2675" t="s">
        <v>409</v>
      </c>
      <c r="E2675">
        <v>1100574</v>
      </c>
      <c r="F2675" t="s">
        <v>383</v>
      </c>
      <c r="G2675" s="9">
        <v>45000</v>
      </c>
      <c r="H2675" s="7">
        <v>5507.0604720000001</v>
      </c>
      <c r="I2675" s="7"/>
      <c r="J2675" s="7"/>
      <c r="K2675" s="7"/>
      <c r="L2675" s="10">
        <v>7.5</v>
      </c>
      <c r="M2675" s="9">
        <v>45007</v>
      </c>
      <c r="N2675" s="10">
        <v>9.5</v>
      </c>
      <c r="O2675" s="9">
        <v>45016</v>
      </c>
      <c r="P2675">
        <v>0</v>
      </c>
      <c r="Q2675" s="11" t="s">
        <v>598</v>
      </c>
      <c r="R2675" s="7">
        <v>5507.0604720000001</v>
      </c>
      <c r="S2675" s="7"/>
      <c r="T2675" s="7"/>
      <c r="U2675" s="7"/>
      <c r="V2675" s="10">
        <v>9.5</v>
      </c>
      <c r="W2675" s="9">
        <v>45009</v>
      </c>
      <c r="X2675" s="10">
        <v>11.5</v>
      </c>
      <c r="Y2675" s="9">
        <v>45016</v>
      </c>
      <c r="Z2675">
        <v>0</v>
      </c>
      <c r="AA2675" s="11" t="s">
        <v>598</v>
      </c>
    </row>
    <row r="2676" spans="2:27" ht="16" x14ac:dyDescent="0.2">
      <c r="B2676" t="s">
        <v>35</v>
      </c>
      <c r="C2676">
        <v>40347822</v>
      </c>
      <c r="D2676" t="s">
        <v>409</v>
      </c>
      <c r="E2676">
        <v>1100570</v>
      </c>
      <c r="F2676" t="s">
        <v>104</v>
      </c>
      <c r="G2676" s="9">
        <v>45000</v>
      </c>
      <c r="H2676" s="7">
        <v>2447.5824320000002</v>
      </c>
      <c r="I2676" s="7"/>
      <c r="J2676" s="7"/>
      <c r="K2676" s="7"/>
      <c r="L2676" s="10">
        <v>7.5</v>
      </c>
      <c r="M2676" s="9">
        <v>45007</v>
      </c>
      <c r="N2676" s="10">
        <v>9.5</v>
      </c>
      <c r="O2676" s="9">
        <v>45016</v>
      </c>
      <c r="P2676">
        <v>0</v>
      </c>
      <c r="Q2676" s="11" t="s">
        <v>598</v>
      </c>
      <c r="R2676" s="7">
        <v>2447.5824320000002</v>
      </c>
      <c r="S2676" s="7"/>
      <c r="T2676" s="7"/>
      <c r="U2676" s="7"/>
      <c r="V2676" s="10">
        <v>9.5</v>
      </c>
      <c r="W2676" s="9">
        <v>45009</v>
      </c>
      <c r="X2676" s="10">
        <v>11.5</v>
      </c>
      <c r="Y2676" s="9">
        <v>45016</v>
      </c>
      <c r="Z2676">
        <v>0</v>
      </c>
      <c r="AA2676" s="11" t="s">
        <v>598</v>
      </c>
    </row>
    <row r="2677" spans="2:27" ht="16" x14ac:dyDescent="0.2">
      <c r="B2677" t="s">
        <v>35</v>
      </c>
      <c r="C2677">
        <v>40347822</v>
      </c>
      <c r="D2677" t="s">
        <v>409</v>
      </c>
      <c r="E2677">
        <v>1100572</v>
      </c>
      <c r="F2677" t="s">
        <v>472</v>
      </c>
      <c r="G2677" s="9">
        <v>45000</v>
      </c>
      <c r="H2677" s="7">
        <v>3671.3736479999998</v>
      </c>
      <c r="I2677" s="7"/>
      <c r="J2677" s="7"/>
      <c r="K2677" s="7"/>
      <c r="L2677" s="10">
        <v>7.5</v>
      </c>
      <c r="M2677" s="9">
        <v>45007</v>
      </c>
      <c r="N2677" s="10">
        <v>9.5</v>
      </c>
      <c r="O2677" s="9">
        <v>45016</v>
      </c>
      <c r="P2677">
        <v>0</v>
      </c>
      <c r="Q2677" s="11" t="s">
        <v>598</v>
      </c>
      <c r="R2677" s="7">
        <v>3671.3736479999998</v>
      </c>
      <c r="S2677" s="7"/>
      <c r="T2677" s="7"/>
      <c r="U2677" s="7"/>
      <c r="V2677" s="10">
        <v>9.5</v>
      </c>
      <c r="W2677" s="9">
        <v>45009</v>
      </c>
      <c r="X2677" s="10">
        <v>11.5</v>
      </c>
      <c r="Y2677" s="9">
        <v>45016</v>
      </c>
      <c r="Z2677">
        <v>0</v>
      </c>
      <c r="AA2677" s="11" t="s">
        <v>598</v>
      </c>
    </row>
    <row r="2678" spans="2:27" ht="16" x14ac:dyDescent="0.2">
      <c r="B2678" t="s">
        <v>35</v>
      </c>
      <c r="C2678">
        <v>40347822</v>
      </c>
      <c r="D2678" t="s">
        <v>409</v>
      </c>
      <c r="E2678">
        <v>1100573</v>
      </c>
      <c r="F2678" t="s">
        <v>135</v>
      </c>
      <c r="G2678" s="9">
        <v>45000</v>
      </c>
      <c r="H2678" s="7">
        <v>1835.6868239999999</v>
      </c>
      <c r="I2678" s="7"/>
      <c r="J2678" s="7"/>
      <c r="K2678" s="7"/>
      <c r="L2678" s="10">
        <v>7.5</v>
      </c>
      <c r="M2678" s="9">
        <v>45007</v>
      </c>
      <c r="N2678" s="10">
        <v>9.5</v>
      </c>
      <c r="O2678" s="9">
        <v>45016</v>
      </c>
      <c r="P2678">
        <v>0</v>
      </c>
      <c r="Q2678" s="11" t="s">
        <v>598</v>
      </c>
      <c r="R2678" s="7">
        <v>1835.6868239999999</v>
      </c>
      <c r="S2678" s="7"/>
      <c r="T2678" s="7"/>
      <c r="U2678" s="7"/>
      <c r="V2678" s="10">
        <v>9.5</v>
      </c>
      <c r="W2678" s="9">
        <v>45009</v>
      </c>
      <c r="X2678" s="10">
        <v>11.5</v>
      </c>
      <c r="Y2678" s="9">
        <v>45016</v>
      </c>
      <c r="Z2678">
        <v>0</v>
      </c>
      <c r="AA2678" s="11" t="s">
        <v>598</v>
      </c>
    </row>
    <row r="2679" spans="2:27" ht="16" x14ac:dyDescent="0.2">
      <c r="B2679" t="s">
        <v>35</v>
      </c>
      <c r="C2679">
        <v>40347822</v>
      </c>
      <c r="D2679" t="s">
        <v>409</v>
      </c>
      <c r="E2679">
        <v>1100574</v>
      </c>
      <c r="F2679" t="s">
        <v>383</v>
      </c>
      <c r="G2679" s="9">
        <v>45000</v>
      </c>
      <c r="H2679" s="7">
        <v>5507.0604720000001</v>
      </c>
      <c r="I2679" s="7"/>
      <c r="J2679" s="7"/>
      <c r="K2679" s="7"/>
      <c r="L2679" s="10">
        <v>7.5</v>
      </c>
      <c r="M2679" s="9">
        <v>45007</v>
      </c>
      <c r="N2679" s="10">
        <v>9.5</v>
      </c>
      <c r="O2679" s="9">
        <v>45016</v>
      </c>
      <c r="P2679">
        <v>0</v>
      </c>
      <c r="Q2679" s="11" t="s">
        <v>598</v>
      </c>
      <c r="R2679" s="7">
        <v>5507.0604720000001</v>
      </c>
      <c r="S2679" s="7"/>
      <c r="T2679" s="7"/>
      <c r="U2679" s="7"/>
      <c r="V2679" s="10">
        <v>9.5</v>
      </c>
      <c r="W2679" s="9">
        <v>45009</v>
      </c>
      <c r="X2679" s="10">
        <v>11.5</v>
      </c>
      <c r="Y2679" s="9">
        <v>45016</v>
      </c>
      <c r="Z2679">
        <v>0</v>
      </c>
      <c r="AA2679" s="11" t="s">
        <v>598</v>
      </c>
    </row>
    <row r="2680" spans="2:27" x14ac:dyDescent="0.2">
      <c r="B2680" t="s">
        <v>394</v>
      </c>
      <c r="C2680">
        <v>40347137</v>
      </c>
      <c r="D2680" t="s">
        <v>485</v>
      </c>
      <c r="E2680">
        <v>1022150</v>
      </c>
      <c r="F2680" t="s">
        <v>500</v>
      </c>
      <c r="G2680" s="9">
        <v>44983</v>
      </c>
      <c r="H2680" s="7"/>
      <c r="I2680" s="7"/>
      <c r="J2680" s="7"/>
      <c r="K2680" s="7"/>
      <c r="L2680" s="10"/>
      <c r="N2680" s="10"/>
      <c r="Q2680" s="11"/>
      <c r="R2680" s="7"/>
      <c r="S2680" s="7"/>
      <c r="T2680" s="7"/>
      <c r="U2680" s="7"/>
      <c r="V2680" s="10"/>
      <c r="X2680" s="10"/>
      <c r="AA2680" s="11"/>
    </row>
    <row r="2681" spans="2:27" x14ac:dyDescent="0.2">
      <c r="B2681" t="s">
        <v>394</v>
      </c>
      <c r="C2681">
        <v>40346299</v>
      </c>
      <c r="D2681" t="s">
        <v>396</v>
      </c>
      <c r="E2681">
        <v>1023144</v>
      </c>
      <c r="F2681" t="s">
        <v>407</v>
      </c>
      <c r="G2681" s="9">
        <v>45035</v>
      </c>
      <c r="H2681" s="7"/>
      <c r="I2681" s="7">
        <v>24001.93</v>
      </c>
      <c r="J2681" s="7"/>
      <c r="K2681" s="7"/>
      <c r="L2681" s="10"/>
      <c r="N2681" s="10"/>
      <c r="Q2681" s="11"/>
      <c r="R2681" s="7"/>
      <c r="S2681" s="7">
        <v>24001.93</v>
      </c>
      <c r="T2681" s="7"/>
      <c r="U2681" s="7"/>
      <c r="V2681" s="10"/>
      <c r="X2681" s="10"/>
      <c r="AA2681" s="11"/>
    </row>
    <row r="2682" spans="2:27" ht="16" x14ac:dyDescent="0.2">
      <c r="B2682" t="s">
        <v>35</v>
      </c>
      <c r="C2682">
        <v>40342060</v>
      </c>
      <c r="D2682" t="s">
        <v>423</v>
      </c>
      <c r="E2682">
        <v>1022854</v>
      </c>
      <c r="F2682" t="s">
        <v>550</v>
      </c>
      <c r="G2682" s="9">
        <v>44984</v>
      </c>
      <c r="H2682" s="7">
        <v>22735.81</v>
      </c>
      <c r="I2682" s="7"/>
      <c r="J2682" s="7"/>
      <c r="K2682" s="7"/>
      <c r="L2682" s="10">
        <v>5.4496124031007751</v>
      </c>
      <c r="M2682" s="9">
        <v>44989</v>
      </c>
      <c r="N2682" s="10">
        <v>10</v>
      </c>
      <c r="O2682" s="9">
        <v>44999</v>
      </c>
      <c r="P2682">
        <v>13</v>
      </c>
      <c r="Q2682" s="11" t="s">
        <v>49</v>
      </c>
      <c r="R2682" s="7">
        <v>22735.81</v>
      </c>
      <c r="S2682" s="7"/>
      <c r="T2682" s="7"/>
      <c r="U2682" s="7"/>
      <c r="V2682" s="10">
        <v>7.4496124031007751</v>
      </c>
      <c r="W2682" s="9">
        <v>44991</v>
      </c>
      <c r="X2682" s="10">
        <v>12</v>
      </c>
      <c r="Y2682" s="9">
        <v>44999</v>
      </c>
      <c r="Z2682">
        <v>13</v>
      </c>
      <c r="AA2682" s="11" t="s">
        <v>49</v>
      </c>
    </row>
    <row r="2683" spans="2:27" ht="16" x14ac:dyDescent="0.2">
      <c r="B2683" t="s">
        <v>35</v>
      </c>
      <c r="C2683">
        <v>40342060</v>
      </c>
      <c r="D2683" t="s">
        <v>423</v>
      </c>
      <c r="E2683">
        <v>1022854</v>
      </c>
      <c r="F2683" t="s">
        <v>550</v>
      </c>
      <c r="G2683" s="9">
        <v>44984</v>
      </c>
      <c r="H2683" s="7">
        <v>23761.23</v>
      </c>
      <c r="I2683" s="7"/>
      <c r="J2683" s="7"/>
      <c r="K2683" s="7"/>
      <c r="L2683" s="10">
        <v>5.4496124031007751</v>
      </c>
      <c r="M2683" s="9">
        <v>44989</v>
      </c>
      <c r="N2683" s="10">
        <v>10</v>
      </c>
      <c r="O2683" s="9">
        <v>44999</v>
      </c>
      <c r="P2683">
        <v>13</v>
      </c>
      <c r="Q2683" s="11" t="s">
        <v>49</v>
      </c>
      <c r="R2683" s="7">
        <v>23761.23</v>
      </c>
      <c r="S2683" s="7"/>
      <c r="T2683" s="7"/>
      <c r="U2683" s="7"/>
      <c r="V2683" s="10">
        <v>7.4496124031007751</v>
      </c>
      <c r="W2683" s="9">
        <v>44991</v>
      </c>
      <c r="X2683" s="10">
        <v>12</v>
      </c>
      <c r="Y2683" s="9">
        <v>44999</v>
      </c>
      <c r="Z2683">
        <v>13</v>
      </c>
      <c r="AA2683" s="11" t="s">
        <v>49</v>
      </c>
    </row>
    <row r="2684" spans="2:27" x14ac:dyDescent="0.2">
      <c r="B2684" t="s">
        <v>394</v>
      </c>
      <c r="C2684">
        <v>40340812</v>
      </c>
      <c r="D2684" t="s">
        <v>485</v>
      </c>
      <c r="E2684">
        <v>1022406</v>
      </c>
      <c r="F2684" t="s">
        <v>551</v>
      </c>
      <c r="G2684" s="9">
        <v>44988</v>
      </c>
      <c r="H2684" s="7">
        <v>19975.900000000001</v>
      </c>
      <c r="I2684" s="7"/>
      <c r="J2684" s="7"/>
      <c r="K2684" s="7"/>
      <c r="L2684" s="10"/>
      <c r="N2684" s="10"/>
      <c r="Q2684" s="11"/>
      <c r="R2684" s="7">
        <v>19975.900000000001</v>
      </c>
      <c r="S2684" s="7"/>
      <c r="T2684" s="7"/>
      <c r="U2684" s="7"/>
      <c r="V2684" s="10"/>
      <c r="X2684" s="10"/>
      <c r="AA2684" s="11"/>
    </row>
    <row r="2685" spans="2:27" x14ac:dyDescent="0.2">
      <c r="B2685" t="s">
        <v>394</v>
      </c>
      <c r="C2685">
        <v>40340812</v>
      </c>
      <c r="D2685" t="s">
        <v>485</v>
      </c>
      <c r="E2685">
        <v>1022870</v>
      </c>
      <c r="F2685" t="s">
        <v>552</v>
      </c>
      <c r="G2685" s="9">
        <v>44988</v>
      </c>
      <c r="H2685" s="7">
        <v>3952.76</v>
      </c>
      <c r="I2685" s="7"/>
      <c r="J2685" s="7"/>
      <c r="K2685" s="7"/>
      <c r="L2685" s="10"/>
      <c r="N2685" s="10"/>
      <c r="Q2685" s="11"/>
      <c r="R2685" s="7">
        <v>3952.76</v>
      </c>
      <c r="S2685" s="7"/>
      <c r="T2685" s="7"/>
      <c r="U2685" s="7"/>
      <c r="V2685" s="10"/>
      <c r="X2685" s="10"/>
      <c r="AA2685" s="11"/>
    </row>
    <row r="2686" spans="2:27" ht="16" x14ac:dyDescent="0.2">
      <c r="B2686" t="s">
        <v>35</v>
      </c>
      <c r="C2686">
        <v>40339667</v>
      </c>
      <c r="D2686" t="s">
        <v>389</v>
      </c>
      <c r="E2686">
        <v>1022941</v>
      </c>
      <c r="F2686" t="s">
        <v>392</v>
      </c>
      <c r="G2686" s="9">
        <v>45012</v>
      </c>
      <c r="H2686" s="7"/>
      <c r="I2686" s="7">
        <v>18245</v>
      </c>
      <c r="J2686" s="7"/>
      <c r="K2686" s="7"/>
      <c r="L2686" s="10">
        <v>5.5741092456127026</v>
      </c>
      <c r="M2686" s="9">
        <v>45017</v>
      </c>
      <c r="N2686" s="10">
        <v>5.5</v>
      </c>
      <c r="O2686" s="9">
        <v>45022</v>
      </c>
      <c r="P2686">
        <v>20</v>
      </c>
      <c r="Q2686" s="11" t="s">
        <v>49</v>
      </c>
      <c r="R2686" s="7"/>
      <c r="S2686" s="7">
        <v>18245</v>
      </c>
      <c r="T2686" s="7"/>
      <c r="U2686" s="7"/>
      <c r="V2686" s="10">
        <v>7.5741092456127026</v>
      </c>
      <c r="W2686" s="9">
        <v>45019</v>
      </c>
      <c r="X2686" s="10">
        <v>7.5</v>
      </c>
      <c r="Y2686" s="9">
        <v>45022</v>
      </c>
      <c r="Z2686">
        <v>20</v>
      </c>
      <c r="AA2686" s="11" t="s">
        <v>49</v>
      </c>
    </row>
    <row r="2687" spans="2:27" ht="16" x14ac:dyDescent="0.2">
      <c r="B2687" t="s">
        <v>35</v>
      </c>
      <c r="C2687">
        <v>40339667</v>
      </c>
      <c r="D2687" t="s">
        <v>389</v>
      </c>
      <c r="E2687">
        <v>1023373</v>
      </c>
      <c r="F2687" t="s">
        <v>459</v>
      </c>
      <c r="G2687" s="9">
        <v>45012</v>
      </c>
      <c r="H2687" s="7"/>
      <c r="I2687" s="7">
        <v>2390</v>
      </c>
      <c r="J2687" s="7"/>
      <c r="K2687" s="7"/>
      <c r="L2687" s="10">
        <v>5.5741092456127026</v>
      </c>
      <c r="M2687" s="9">
        <v>45017</v>
      </c>
      <c r="N2687" s="10">
        <v>5.5</v>
      </c>
      <c r="O2687" s="9">
        <v>45022</v>
      </c>
      <c r="P2687">
        <v>20</v>
      </c>
      <c r="Q2687" s="11" t="s">
        <v>49</v>
      </c>
      <c r="R2687" s="7"/>
      <c r="S2687" s="7">
        <v>2390</v>
      </c>
      <c r="T2687" s="7"/>
      <c r="U2687" s="7"/>
      <c r="V2687" s="10">
        <v>7.5741092456127026</v>
      </c>
      <c r="W2687" s="9">
        <v>45019</v>
      </c>
      <c r="X2687" s="10">
        <v>7.5</v>
      </c>
      <c r="Y2687" s="9">
        <v>45022</v>
      </c>
      <c r="Z2687">
        <v>20</v>
      </c>
      <c r="AA2687" s="11" t="s">
        <v>49</v>
      </c>
    </row>
    <row r="2688" spans="2:27" ht="16" x14ac:dyDescent="0.2">
      <c r="B2688" t="s">
        <v>35</v>
      </c>
      <c r="C2688">
        <v>40337871</v>
      </c>
      <c r="D2688" t="s">
        <v>389</v>
      </c>
      <c r="E2688">
        <v>1022082</v>
      </c>
      <c r="F2688" t="s">
        <v>553</v>
      </c>
      <c r="G2688" s="9">
        <v>45005</v>
      </c>
      <c r="H2688" s="7">
        <v>24180</v>
      </c>
      <c r="I2688" s="7"/>
      <c r="J2688" s="7"/>
      <c r="K2688" s="7"/>
      <c r="L2688" s="10">
        <v>5.5741092456127026</v>
      </c>
      <c r="M2688" s="9">
        <v>45010</v>
      </c>
      <c r="N2688" s="10">
        <v>5.5</v>
      </c>
      <c r="O2688" s="9">
        <v>45015</v>
      </c>
      <c r="P2688">
        <v>1</v>
      </c>
      <c r="Q2688" s="11" t="s">
        <v>598</v>
      </c>
      <c r="R2688" s="7">
        <v>24180</v>
      </c>
      <c r="S2688" s="7"/>
      <c r="T2688" s="7"/>
      <c r="U2688" s="7"/>
      <c r="V2688" s="10">
        <v>7.5741092456127026</v>
      </c>
      <c r="W2688" s="9">
        <v>45012</v>
      </c>
      <c r="X2688" s="10">
        <v>7.5</v>
      </c>
      <c r="Y2688" s="9">
        <v>45015</v>
      </c>
      <c r="Z2688">
        <v>1</v>
      </c>
      <c r="AA2688" s="11" t="s">
        <v>598</v>
      </c>
    </row>
    <row r="2689" spans="2:27" ht="16" x14ac:dyDescent="0.2">
      <c r="B2689" t="s">
        <v>35</v>
      </c>
      <c r="C2689">
        <v>40337859</v>
      </c>
      <c r="D2689" t="s">
        <v>389</v>
      </c>
      <c r="E2689">
        <v>1021905</v>
      </c>
      <c r="F2689" t="s">
        <v>554</v>
      </c>
      <c r="G2689" s="9">
        <v>45018</v>
      </c>
      <c r="H2689" s="7"/>
      <c r="I2689" s="7">
        <v>13602.27</v>
      </c>
      <c r="J2689" s="7"/>
      <c r="K2689" s="7"/>
      <c r="L2689" s="10">
        <v>5.5741092456127026</v>
      </c>
      <c r="M2689" s="9">
        <v>45023</v>
      </c>
      <c r="N2689" s="10">
        <v>5.5</v>
      </c>
      <c r="O2689" s="9">
        <v>45028</v>
      </c>
      <c r="P2689">
        <v>15</v>
      </c>
      <c r="Q2689" s="11" t="s">
        <v>49</v>
      </c>
      <c r="R2689" s="7"/>
      <c r="S2689" s="7">
        <v>13602.27</v>
      </c>
      <c r="T2689" s="7"/>
      <c r="U2689" s="7"/>
      <c r="V2689" s="10">
        <v>7.5741092456127026</v>
      </c>
      <c r="W2689" s="9">
        <v>45025</v>
      </c>
      <c r="X2689" s="10">
        <v>7.5</v>
      </c>
      <c r="Y2689" s="9">
        <v>45028</v>
      </c>
      <c r="Z2689">
        <v>15</v>
      </c>
      <c r="AA2689" s="11" t="s">
        <v>49</v>
      </c>
    </row>
    <row r="2690" spans="2:27" ht="16" x14ac:dyDescent="0.2">
      <c r="B2690" t="s">
        <v>35</v>
      </c>
      <c r="C2690">
        <v>40337859</v>
      </c>
      <c r="D2690" t="s">
        <v>389</v>
      </c>
      <c r="E2690">
        <v>1021905</v>
      </c>
      <c r="F2690" t="s">
        <v>554</v>
      </c>
      <c r="G2690" s="9">
        <v>45018</v>
      </c>
      <c r="H2690" s="7"/>
      <c r="I2690" s="7">
        <v>23765.03</v>
      </c>
      <c r="J2690" s="7"/>
      <c r="K2690" s="7"/>
      <c r="L2690" s="10">
        <v>5.5741092456127026</v>
      </c>
      <c r="M2690" s="9">
        <v>45023</v>
      </c>
      <c r="N2690" s="10">
        <v>5.5</v>
      </c>
      <c r="O2690" s="9">
        <v>45028</v>
      </c>
      <c r="P2690">
        <v>15</v>
      </c>
      <c r="Q2690" s="11" t="s">
        <v>49</v>
      </c>
      <c r="R2690" s="7"/>
      <c r="S2690" s="7">
        <v>23765.03</v>
      </c>
      <c r="T2690" s="7"/>
      <c r="U2690" s="7"/>
      <c r="V2690" s="10">
        <v>7.5741092456127026</v>
      </c>
      <c r="W2690" s="9">
        <v>45025</v>
      </c>
      <c r="X2690" s="10">
        <v>7.5</v>
      </c>
      <c r="Y2690" s="9">
        <v>45028</v>
      </c>
      <c r="Z2690">
        <v>15</v>
      </c>
      <c r="AA2690" s="11" t="s">
        <v>49</v>
      </c>
    </row>
    <row r="2691" spans="2:27" ht="16" x14ac:dyDescent="0.2">
      <c r="B2691" t="s">
        <v>35</v>
      </c>
      <c r="C2691">
        <v>40324466</v>
      </c>
      <c r="D2691" t="s">
        <v>391</v>
      </c>
      <c r="E2691">
        <v>1023265</v>
      </c>
      <c r="F2691" t="s">
        <v>347</v>
      </c>
      <c r="G2691" s="9">
        <v>45005</v>
      </c>
      <c r="H2691" s="7"/>
      <c r="I2691" s="7">
        <v>1928.48</v>
      </c>
      <c r="J2691" s="7"/>
      <c r="K2691" s="7"/>
      <c r="L2691" s="10">
        <v>4.830303030303031</v>
      </c>
      <c r="M2691" s="9">
        <v>45009</v>
      </c>
      <c r="N2691" s="10">
        <v>15</v>
      </c>
      <c r="O2691" s="9">
        <v>45024</v>
      </c>
      <c r="P2691">
        <v>18</v>
      </c>
      <c r="Q2691" s="11" t="s">
        <v>49</v>
      </c>
      <c r="R2691" s="7"/>
      <c r="S2691" s="7">
        <v>1928.48</v>
      </c>
      <c r="T2691" s="7"/>
      <c r="U2691" s="7"/>
      <c r="V2691" s="10">
        <v>6.830303030303031</v>
      </c>
      <c r="W2691" s="9">
        <v>45011</v>
      </c>
      <c r="X2691" s="10">
        <v>17</v>
      </c>
      <c r="Y2691" s="9">
        <v>45024</v>
      </c>
      <c r="Z2691">
        <v>18</v>
      </c>
      <c r="AA2691" s="11" t="s">
        <v>49</v>
      </c>
    </row>
    <row r="2692" spans="2:27" x14ac:dyDescent="0.2">
      <c r="B2692" t="s">
        <v>394</v>
      </c>
      <c r="C2692">
        <v>40303322</v>
      </c>
      <c r="D2692" t="s">
        <v>396</v>
      </c>
      <c r="E2692">
        <v>1020904</v>
      </c>
      <c r="F2692" t="s">
        <v>474</v>
      </c>
      <c r="G2692" s="9">
        <v>45010</v>
      </c>
      <c r="H2692" s="7">
        <v>22012.05</v>
      </c>
      <c r="I2692" s="7"/>
      <c r="J2692" s="7"/>
      <c r="K2692" s="7"/>
      <c r="L2692" s="10"/>
      <c r="N2692" s="10"/>
      <c r="Q2692" s="11"/>
      <c r="R2692" s="7">
        <v>22012.05</v>
      </c>
      <c r="S2692" s="7"/>
      <c r="T2692" s="7"/>
      <c r="U2692" s="7"/>
      <c r="V2692" s="10"/>
      <c r="X2692" s="10"/>
      <c r="AA2692" s="11"/>
    </row>
    <row r="2693" spans="2:27" ht="16" x14ac:dyDescent="0.2">
      <c r="B2693" t="s">
        <v>35</v>
      </c>
      <c r="C2693">
        <v>40365513</v>
      </c>
      <c r="D2693" t="s">
        <v>389</v>
      </c>
      <c r="E2693">
        <v>1022851</v>
      </c>
      <c r="F2693" t="s">
        <v>322</v>
      </c>
      <c r="G2693" s="9">
        <v>45011</v>
      </c>
      <c r="H2693" s="7"/>
      <c r="I2693" s="7">
        <v>24165.3</v>
      </c>
      <c r="J2693" s="7"/>
      <c r="K2693" s="7"/>
      <c r="L2693" s="10">
        <v>5.5741092456127026</v>
      </c>
      <c r="M2693" s="9">
        <v>45016</v>
      </c>
      <c r="N2693" s="10">
        <v>5.5</v>
      </c>
      <c r="O2693" s="9">
        <v>45021</v>
      </c>
      <c r="P2693">
        <v>21</v>
      </c>
      <c r="Q2693" s="11" t="s">
        <v>49</v>
      </c>
      <c r="R2693" s="7"/>
      <c r="S2693" s="7">
        <v>24165.3</v>
      </c>
      <c r="T2693" s="7"/>
      <c r="U2693" s="7"/>
      <c r="V2693" s="10">
        <v>7.5741092456127026</v>
      </c>
      <c r="W2693" s="9">
        <v>45018</v>
      </c>
      <c r="X2693" s="10">
        <v>7.5</v>
      </c>
      <c r="Y2693" s="9">
        <v>45021</v>
      </c>
      <c r="Z2693">
        <v>21</v>
      </c>
      <c r="AA2693" s="11" t="s">
        <v>49</v>
      </c>
    </row>
    <row r="2694" spans="2:27" ht="16" x14ac:dyDescent="0.2">
      <c r="B2694" t="s">
        <v>35</v>
      </c>
      <c r="C2694">
        <v>40365504</v>
      </c>
      <c r="D2694" t="s">
        <v>389</v>
      </c>
      <c r="E2694">
        <v>1023373</v>
      </c>
      <c r="F2694" t="s">
        <v>459</v>
      </c>
      <c r="G2694" s="9">
        <v>45007</v>
      </c>
      <c r="H2694" s="7"/>
      <c r="I2694" s="7">
        <v>24210</v>
      </c>
      <c r="J2694" s="7"/>
      <c r="K2694" s="7"/>
      <c r="L2694" s="10">
        <v>5.5741092456127026</v>
      </c>
      <c r="M2694" s="9">
        <v>45012</v>
      </c>
      <c r="N2694" s="10">
        <v>5.5</v>
      </c>
      <c r="O2694" s="9">
        <v>45017</v>
      </c>
      <c r="P2694">
        <v>23</v>
      </c>
      <c r="Q2694" s="11" t="s">
        <v>49</v>
      </c>
      <c r="R2694" s="7"/>
      <c r="S2694" s="7">
        <v>24210</v>
      </c>
      <c r="T2694" s="7"/>
      <c r="U2694" s="7"/>
      <c r="V2694" s="10">
        <v>7.5741092456127026</v>
      </c>
      <c r="W2694" s="9">
        <v>45014</v>
      </c>
      <c r="X2694" s="10">
        <v>7.5</v>
      </c>
      <c r="Y2694" s="9">
        <v>45017</v>
      </c>
      <c r="Z2694">
        <v>23</v>
      </c>
      <c r="AA2694" s="11" t="s">
        <v>49</v>
      </c>
    </row>
    <row r="2695" spans="2:27" ht="16" x14ac:dyDescent="0.2">
      <c r="B2695" t="s">
        <v>35</v>
      </c>
      <c r="C2695">
        <v>40364996</v>
      </c>
      <c r="D2695" t="s">
        <v>423</v>
      </c>
      <c r="E2695">
        <v>1011127</v>
      </c>
      <c r="F2695" t="s">
        <v>228</v>
      </c>
      <c r="G2695" s="9">
        <v>44974</v>
      </c>
      <c r="H2695" s="7">
        <v>21600</v>
      </c>
      <c r="I2695" s="7"/>
      <c r="J2695" s="7"/>
      <c r="K2695" s="7"/>
      <c r="L2695" s="10">
        <v>5.4496124031007751</v>
      </c>
      <c r="M2695" s="9">
        <v>44979</v>
      </c>
      <c r="N2695" s="10">
        <v>10</v>
      </c>
      <c r="O2695" s="9">
        <v>44989</v>
      </c>
      <c r="P2695">
        <v>21</v>
      </c>
      <c r="Q2695" s="11" t="s">
        <v>49</v>
      </c>
      <c r="R2695" s="7">
        <v>21600</v>
      </c>
      <c r="S2695" s="7"/>
      <c r="T2695" s="7"/>
      <c r="U2695" s="7"/>
      <c r="V2695" s="10">
        <v>7.4496124031007751</v>
      </c>
      <c r="W2695" s="9">
        <v>44981</v>
      </c>
      <c r="X2695" s="10">
        <v>12</v>
      </c>
      <c r="Y2695" s="9">
        <v>44989</v>
      </c>
      <c r="Z2695">
        <v>21</v>
      </c>
      <c r="AA2695" s="11" t="s">
        <v>49</v>
      </c>
    </row>
    <row r="2696" spans="2:27" ht="16" x14ac:dyDescent="0.2">
      <c r="B2696" t="s">
        <v>35</v>
      </c>
      <c r="C2696">
        <v>40364995</v>
      </c>
      <c r="D2696" t="s">
        <v>423</v>
      </c>
      <c r="E2696">
        <v>1011127</v>
      </c>
      <c r="F2696" t="s">
        <v>228</v>
      </c>
      <c r="G2696" s="9">
        <v>44974</v>
      </c>
      <c r="H2696" s="7">
        <v>21600</v>
      </c>
      <c r="I2696" s="7"/>
      <c r="J2696" s="7"/>
      <c r="K2696" s="7"/>
      <c r="L2696" s="10">
        <v>5.4496124031007751</v>
      </c>
      <c r="M2696" s="9">
        <v>44979</v>
      </c>
      <c r="N2696" s="10">
        <v>10</v>
      </c>
      <c r="O2696" s="9">
        <v>44989</v>
      </c>
      <c r="P2696">
        <v>21</v>
      </c>
      <c r="Q2696" s="11" t="s">
        <v>49</v>
      </c>
      <c r="R2696" s="7">
        <v>21600</v>
      </c>
      <c r="S2696" s="7"/>
      <c r="T2696" s="7"/>
      <c r="U2696" s="7"/>
      <c r="V2696" s="10">
        <v>7.4496124031007751</v>
      </c>
      <c r="W2696" s="9">
        <v>44981</v>
      </c>
      <c r="X2696" s="10">
        <v>12</v>
      </c>
      <c r="Y2696" s="9">
        <v>44989</v>
      </c>
      <c r="Z2696">
        <v>21</v>
      </c>
      <c r="AA2696" s="11" t="s">
        <v>49</v>
      </c>
    </row>
    <row r="2697" spans="2:27" ht="16" x14ac:dyDescent="0.2">
      <c r="B2697" t="s">
        <v>35</v>
      </c>
      <c r="C2697">
        <v>40364994</v>
      </c>
      <c r="D2697" t="s">
        <v>423</v>
      </c>
      <c r="E2697">
        <v>1011127</v>
      </c>
      <c r="F2697" t="s">
        <v>228</v>
      </c>
      <c r="G2697" s="9">
        <v>44974</v>
      </c>
      <c r="H2697" s="7">
        <v>21600</v>
      </c>
      <c r="I2697" s="7"/>
      <c r="J2697" s="7"/>
      <c r="K2697" s="7"/>
      <c r="L2697" s="10">
        <v>5.4496124031007751</v>
      </c>
      <c r="M2697" s="9">
        <v>44979</v>
      </c>
      <c r="N2697" s="10">
        <v>10</v>
      </c>
      <c r="O2697" s="9">
        <v>44989</v>
      </c>
      <c r="P2697">
        <v>21</v>
      </c>
      <c r="Q2697" s="11" t="s">
        <v>49</v>
      </c>
      <c r="R2697" s="7">
        <v>21600</v>
      </c>
      <c r="S2697" s="7"/>
      <c r="T2697" s="7"/>
      <c r="U2697" s="7"/>
      <c r="V2697" s="10">
        <v>7.4496124031007751</v>
      </c>
      <c r="W2697" s="9">
        <v>44981</v>
      </c>
      <c r="X2697" s="10">
        <v>12</v>
      </c>
      <c r="Y2697" s="9">
        <v>44989</v>
      </c>
      <c r="Z2697">
        <v>21</v>
      </c>
      <c r="AA2697" s="11" t="s">
        <v>49</v>
      </c>
    </row>
    <row r="2698" spans="2:27" ht="16" x14ac:dyDescent="0.2">
      <c r="B2698" t="s">
        <v>35</v>
      </c>
      <c r="C2698">
        <v>40364993</v>
      </c>
      <c r="D2698" t="s">
        <v>423</v>
      </c>
      <c r="E2698">
        <v>1011127</v>
      </c>
      <c r="F2698" t="s">
        <v>228</v>
      </c>
      <c r="G2698" s="9">
        <v>44977</v>
      </c>
      <c r="H2698" s="7">
        <v>21600</v>
      </c>
      <c r="I2698" s="7"/>
      <c r="J2698" s="7"/>
      <c r="K2698" s="7"/>
      <c r="L2698" s="10">
        <v>5.4496124031007751</v>
      </c>
      <c r="M2698" s="9">
        <v>44982</v>
      </c>
      <c r="N2698" s="10">
        <v>10</v>
      </c>
      <c r="O2698" s="9">
        <v>44992</v>
      </c>
      <c r="P2698">
        <v>19</v>
      </c>
      <c r="Q2698" s="11" t="s">
        <v>49</v>
      </c>
      <c r="R2698" s="7">
        <v>21600</v>
      </c>
      <c r="S2698" s="7"/>
      <c r="T2698" s="7"/>
      <c r="U2698" s="7"/>
      <c r="V2698" s="10">
        <v>7.4496124031007751</v>
      </c>
      <c r="W2698" s="9">
        <v>44984</v>
      </c>
      <c r="X2698" s="10">
        <v>12</v>
      </c>
      <c r="Y2698" s="9">
        <v>44992</v>
      </c>
      <c r="Z2698">
        <v>19</v>
      </c>
      <c r="AA2698" s="11" t="s">
        <v>49</v>
      </c>
    </row>
    <row r="2699" spans="2:27" ht="16" x14ac:dyDescent="0.2">
      <c r="B2699" t="s">
        <v>35</v>
      </c>
      <c r="C2699">
        <v>40364992</v>
      </c>
      <c r="D2699" t="s">
        <v>423</v>
      </c>
      <c r="E2699">
        <v>1011127</v>
      </c>
      <c r="F2699" t="s">
        <v>228</v>
      </c>
      <c r="G2699" s="9">
        <v>44981</v>
      </c>
      <c r="H2699" s="7">
        <v>21600</v>
      </c>
      <c r="I2699" s="7"/>
      <c r="J2699" s="7"/>
      <c r="K2699" s="7"/>
      <c r="L2699" s="10">
        <v>5.4496124031007751</v>
      </c>
      <c r="M2699" s="9">
        <v>44986</v>
      </c>
      <c r="N2699" s="10">
        <v>10</v>
      </c>
      <c r="O2699" s="9">
        <v>44996</v>
      </c>
      <c r="P2699">
        <v>15</v>
      </c>
      <c r="Q2699" s="11" t="s">
        <v>49</v>
      </c>
      <c r="R2699" s="7">
        <v>21600</v>
      </c>
      <c r="S2699" s="7"/>
      <c r="T2699" s="7"/>
      <c r="U2699" s="7"/>
      <c r="V2699" s="10">
        <v>7.4496124031007751</v>
      </c>
      <c r="W2699" s="9">
        <v>44988</v>
      </c>
      <c r="X2699" s="10">
        <v>12</v>
      </c>
      <c r="Y2699" s="9">
        <v>44996</v>
      </c>
      <c r="Z2699">
        <v>15</v>
      </c>
      <c r="AA2699" s="11" t="s">
        <v>49</v>
      </c>
    </row>
    <row r="2700" spans="2:27" ht="16" x14ac:dyDescent="0.2">
      <c r="B2700" t="s">
        <v>35</v>
      </c>
      <c r="C2700">
        <v>40364991</v>
      </c>
      <c r="D2700" t="s">
        <v>423</v>
      </c>
      <c r="E2700">
        <v>1011127</v>
      </c>
      <c r="F2700" t="s">
        <v>228</v>
      </c>
      <c r="G2700" s="9">
        <v>44984</v>
      </c>
      <c r="H2700" s="7">
        <v>21600</v>
      </c>
      <c r="I2700" s="7"/>
      <c r="J2700" s="7"/>
      <c r="K2700" s="7"/>
      <c r="L2700" s="10">
        <v>5.4496124031007751</v>
      </c>
      <c r="M2700" s="9">
        <v>44989</v>
      </c>
      <c r="N2700" s="10">
        <v>10</v>
      </c>
      <c r="O2700" s="9">
        <v>44999</v>
      </c>
      <c r="P2700">
        <v>13</v>
      </c>
      <c r="Q2700" s="11" t="s">
        <v>49</v>
      </c>
      <c r="R2700" s="7">
        <v>21600</v>
      </c>
      <c r="S2700" s="7"/>
      <c r="T2700" s="7"/>
      <c r="U2700" s="7"/>
      <c r="V2700" s="10">
        <v>7.4496124031007751</v>
      </c>
      <c r="W2700" s="9">
        <v>44991</v>
      </c>
      <c r="X2700" s="10">
        <v>12</v>
      </c>
      <c r="Y2700" s="9">
        <v>44999</v>
      </c>
      <c r="Z2700">
        <v>13</v>
      </c>
      <c r="AA2700" s="11" t="s">
        <v>49</v>
      </c>
    </row>
    <row r="2701" spans="2:27" ht="16" x14ac:dyDescent="0.2">
      <c r="B2701" t="s">
        <v>35</v>
      </c>
      <c r="C2701">
        <v>40364988</v>
      </c>
      <c r="D2701" t="s">
        <v>423</v>
      </c>
      <c r="E2701">
        <v>1030658</v>
      </c>
      <c r="F2701" t="s">
        <v>371</v>
      </c>
      <c r="G2701" s="9">
        <v>44984</v>
      </c>
      <c r="H2701" s="7">
        <v>24017.360000000001</v>
      </c>
      <c r="I2701" s="7"/>
      <c r="J2701" s="7"/>
      <c r="K2701" s="7"/>
      <c r="L2701" s="10">
        <v>5.4496124031007751</v>
      </c>
      <c r="M2701" s="9">
        <v>44989</v>
      </c>
      <c r="N2701" s="10">
        <v>10</v>
      </c>
      <c r="O2701" s="9">
        <v>44999</v>
      </c>
      <c r="P2701">
        <v>13</v>
      </c>
      <c r="Q2701" s="11" t="s">
        <v>49</v>
      </c>
      <c r="R2701" s="7">
        <v>24017.360000000001</v>
      </c>
      <c r="S2701" s="7"/>
      <c r="T2701" s="7"/>
      <c r="U2701" s="7"/>
      <c r="V2701" s="10">
        <v>7.4496124031007751</v>
      </c>
      <c r="W2701" s="9">
        <v>44991</v>
      </c>
      <c r="X2701" s="10">
        <v>12</v>
      </c>
      <c r="Y2701" s="9">
        <v>44999</v>
      </c>
      <c r="Z2701">
        <v>13</v>
      </c>
      <c r="AA2701" s="11" t="s">
        <v>49</v>
      </c>
    </row>
    <row r="2702" spans="2:27" ht="16" x14ac:dyDescent="0.2">
      <c r="B2702" t="s">
        <v>35</v>
      </c>
      <c r="C2702">
        <v>40364987</v>
      </c>
      <c r="D2702" t="s">
        <v>423</v>
      </c>
      <c r="E2702">
        <v>1030658</v>
      </c>
      <c r="F2702" t="s">
        <v>371</v>
      </c>
      <c r="G2702" s="9">
        <v>44974</v>
      </c>
      <c r="H2702" s="7">
        <v>24017.360000000001</v>
      </c>
      <c r="I2702" s="7"/>
      <c r="J2702" s="7"/>
      <c r="K2702" s="7"/>
      <c r="L2702" s="10">
        <v>5.4496124031007751</v>
      </c>
      <c r="M2702" s="9">
        <v>44979</v>
      </c>
      <c r="N2702" s="10">
        <v>10</v>
      </c>
      <c r="O2702" s="9">
        <v>44989</v>
      </c>
      <c r="P2702">
        <v>21</v>
      </c>
      <c r="Q2702" s="11" t="s">
        <v>49</v>
      </c>
      <c r="R2702" s="7">
        <v>24017.360000000001</v>
      </c>
      <c r="S2702" s="7"/>
      <c r="T2702" s="7"/>
      <c r="U2702" s="7"/>
      <c r="V2702" s="10">
        <v>7.4496124031007751</v>
      </c>
      <c r="W2702" s="9">
        <v>44981</v>
      </c>
      <c r="X2702" s="10">
        <v>12</v>
      </c>
      <c r="Y2702" s="9">
        <v>44989</v>
      </c>
      <c r="Z2702">
        <v>21</v>
      </c>
      <c r="AA2702" s="11" t="s">
        <v>49</v>
      </c>
    </row>
    <row r="2703" spans="2:27" ht="16" x14ac:dyDescent="0.2">
      <c r="B2703" t="s">
        <v>35</v>
      </c>
      <c r="C2703">
        <v>40364400</v>
      </c>
      <c r="D2703" t="s">
        <v>389</v>
      </c>
      <c r="E2703">
        <v>1030506</v>
      </c>
      <c r="F2703" t="s">
        <v>506</v>
      </c>
      <c r="G2703" s="9">
        <v>45007</v>
      </c>
      <c r="H2703" s="7"/>
      <c r="I2703" s="7">
        <v>24000</v>
      </c>
      <c r="J2703" s="7"/>
      <c r="K2703" s="7"/>
      <c r="L2703" s="10">
        <v>5.5741092456127026</v>
      </c>
      <c r="M2703" s="9">
        <v>45012</v>
      </c>
      <c r="N2703" s="10">
        <v>5.5</v>
      </c>
      <c r="O2703" s="9">
        <v>45017</v>
      </c>
      <c r="P2703">
        <v>23</v>
      </c>
      <c r="Q2703" s="11" t="s">
        <v>49</v>
      </c>
      <c r="R2703" s="7"/>
      <c r="S2703" s="7">
        <v>24000</v>
      </c>
      <c r="T2703" s="7"/>
      <c r="U2703" s="7"/>
      <c r="V2703" s="10">
        <v>7.5741092456127026</v>
      </c>
      <c r="W2703" s="9">
        <v>45014</v>
      </c>
      <c r="X2703" s="10">
        <v>7.5</v>
      </c>
      <c r="Y2703" s="9">
        <v>45017</v>
      </c>
      <c r="Z2703">
        <v>23</v>
      </c>
      <c r="AA2703" s="11" t="s">
        <v>49</v>
      </c>
    </row>
    <row r="2704" spans="2:27" ht="16" x14ac:dyDescent="0.2">
      <c r="B2704" t="s">
        <v>35</v>
      </c>
      <c r="C2704">
        <v>40364398</v>
      </c>
      <c r="D2704" t="s">
        <v>389</v>
      </c>
      <c r="E2704">
        <v>1012503</v>
      </c>
      <c r="F2704" t="s">
        <v>448</v>
      </c>
      <c r="G2704" s="9">
        <v>44996</v>
      </c>
      <c r="H2704" s="7">
        <v>24000</v>
      </c>
      <c r="I2704" s="7"/>
      <c r="J2704" s="7"/>
      <c r="K2704" s="7"/>
      <c r="L2704" s="10">
        <v>5.5741092456127026</v>
      </c>
      <c r="M2704" s="9">
        <v>45001</v>
      </c>
      <c r="N2704" s="10">
        <v>5.5</v>
      </c>
      <c r="O2704" s="9">
        <v>45006</v>
      </c>
      <c r="P2704">
        <v>9</v>
      </c>
      <c r="Q2704" s="11" t="s">
        <v>49</v>
      </c>
      <c r="R2704" s="7">
        <v>24000</v>
      </c>
      <c r="S2704" s="7"/>
      <c r="T2704" s="7"/>
      <c r="U2704" s="7"/>
      <c r="V2704" s="10">
        <v>7.5741092456127026</v>
      </c>
      <c r="W2704" s="9">
        <v>45003</v>
      </c>
      <c r="X2704" s="10">
        <v>7.5</v>
      </c>
      <c r="Y2704" s="9">
        <v>45006</v>
      </c>
      <c r="Z2704">
        <v>9</v>
      </c>
      <c r="AA2704" s="11" t="s">
        <v>49</v>
      </c>
    </row>
    <row r="2705" spans="2:27" ht="16" x14ac:dyDescent="0.2">
      <c r="B2705" t="s">
        <v>35</v>
      </c>
      <c r="C2705">
        <v>40364397</v>
      </c>
      <c r="D2705" t="s">
        <v>389</v>
      </c>
      <c r="E2705">
        <v>1012503</v>
      </c>
      <c r="F2705" t="s">
        <v>448</v>
      </c>
      <c r="G2705" s="9">
        <v>44992</v>
      </c>
      <c r="H2705" s="7">
        <v>24000</v>
      </c>
      <c r="I2705" s="7"/>
      <c r="J2705" s="7"/>
      <c r="K2705" s="7"/>
      <c r="L2705" s="10">
        <v>5.5741092456127026</v>
      </c>
      <c r="M2705" s="9">
        <v>44997</v>
      </c>
      <c r="N2705" s="10">
        <v>5.5</v>
      </c>
      <c r="O2705" s="9">
        <v>45002</v>
      </c>
      <c r="P2705">
        <v>12</v>
      </c>
      <c r="Q2705" s="11" t="s">
        <v>49</v>
      </c>
      <c r="R2705" s="7">
        <v>24000</v>
      </c>
      <c r="S2705" s="7"/>
      <c r="T2705" s="7"/>
      <c r="U2705" s="7"/>
      <c r="V2705" s="10">
        <v>7.5741092456127026</v>
      </c>
      <c r="W2705" s="9">
        <v>44999</v>
      </c>
      <c r="X2705" s="10">
        <v>7.5</v>
      </c>
      <c r="Y2705" s="9">
        <v>45002</v>
      </c>
      <c r="Z2705">
        <v>12</v>
      </c>
      <c r="AA2705" s="11" t="s">
        <v>49</v>
      </c>
    </row>
    <row r="2706" spans="2:27" ht="16" x14ac:dyDescent="0.2">
      <c r="B2706" t="s">
        <v>35</v>
      </c>
      <c r="C2706">
        <v>40364396</v>
      </c>
      <c r="D2706" t="s">
        <v>389</v>
      </c>
      <c r="E2706">
        <v>1012503</v>
      </c>
      <c r="F2706" t="s">
        <v>448</v>
      </c>
      <c r="G2706" s="9">
        <v>44992</v>
      </c>
      <c r="H2706" s="7">
        <v>24000</v>
      </c>
      <c r="I2706" s="7"/>
      <c r="J2706" s="7"/>
      <c r="K2706" s="7"/>
      <c r="L2706" s="10">
        <v>5.5741092456127026</v>
      </c>
      <c r="M2706" s="9">
        <v>44997</v>
      </c>
      <c r="N2706" s="10">
        <v>5.5</v>
      </c>
      <c r="O2706" s="9">
        <v>45002</v>
      </c>
      <c r="P2706">
        <v>12</v>
      </c>
      <c r="Q2706" s="11" t="s">
        <v>49</v>
      </c>
      <c r="R2706" s="7">
        <v>24000</v>
      </c>
      <c r="S2706" s="7"/>
      <c r="T2706" s="7"/>
      <c r="U2706" s="7"/>
      <c r="V2706" s="10">
        <v>7.5741092456127026</v>
      </c>
      <c r="W2706" s="9">
        <v>44999</v>
      </c>
      <c r="X2706" s="10">
        <v>7.5</v>
      </c>
      <c r="Y2706" s="9">
        <v>45002</v>
      </c>
      <c r="Z2706">
        <v>12</v>
      </c>
      <c r="AA2706" s="11" t="s">
        <v>49</v>
      </c>
    </row>
    <row r="2707" spans="2:27" ht="16" x14ac:dyDescent="0.2">
      <c r="B2707" t="s">
        <v>35</v>
      </c>
      <c r="C2707">
        <v>40364395</v>
      </c>
      <c r="D2707" t="s">
        <v>389</v>
      </c>
      <c r="E2707">
        <v>1012503</v>
      </c>
      <c r="F2707" t="s">
        <v>448</v>
      </c>
      <c r="G2707" s="9">
        <v>44992</v>
      </c>
      <c r="H2707" s="7">
        <v>24000</v>
      </c>
      <c r="I2707" s="7"/>
      <c r="J2707" s="7"/>
      <c r="K2707" s="7"/>
      <c r="L2707" s="10">
        <v>5.5741092456127026</v>
      </c>
      <c r="M2707" s="9">
        <v>44997</v>
      </c>
      <c r="N2707" s="10">
        <v>5.5</v>
      </c>
      <c r="O2707" s="9">
        <v>45002</v>
      </c>
      <c r="P2707">
        <v>12</v>
      </c>
      <c r="Q2707" s="11" t="s">
        <v>49</v>
      </c>
      <c r="R2707" s="7">
        <v>24000</v>
      </c>
      <c r="S2707" s="7"/>
      <c r="T2707" s="7"/>
      <c r="U2707" s="7"/>
      <c r="V2707" s="10">
        <v>7.5741092456127026</v>
      </c>
      <c r="W2707" s="9">
        <v>44999</v>
      </c>
      <c r="X2707" s="10">
        <v>7.5</v>
      </c>
      <c r="Y2707" s="9">
        <v>45002</v>
      </c>
      <c r="Z2707">
        <v>12</v>
      </c>
      <c r="AA2707" s="11" t="s">
        <v>49</v>
      </c>
    </row>
    <row r="2708" spans="2:27" ht="16" x14ac:dyDescent="0.2">
      <c r="B2708" t="s">
        <v>35</v>
      </c>
      <c r="C2708">
        <v>40364246</v>
      </c>
      <c r="D2708" t="s">
        <v>389</v>
      </c>
      <c r="E2708">
        <v>1022414</v>
      </c>
      <c r="F2708" t="s">
        <v>308</v>
      </c>
      <c r="G2708" s="9">
        <v>45007</v>
      </c>
      <c r="H2708" s="7"/>
      <c r="I2708" s="7">
        <v>24110</v>
      </c>
      <c r="J2708" s="7"/>
      <c r="K2708" s="7"/>
      <c r="L2708" s="10">
        <v>5.5741092456127026</v>
      </c>
      <c r="M2708" s="9">
        <v>45012</v>
      </c>
      <c r="N2708" s="10">
        <v>5.5</v>
      </c>
      <c r="O2708" s="9">
        <v>45017</v>
      </c>
      <c r="P2708">
        <v>23</v>
      </c>
      <c r="Q2708" s="11" t="s">
        <v>49</v>
      </c>
      <c r="R2708" s="7"/>
      <c r="S2708" s="7">
        <v>24110</v>
      </c>
      <c r="T2708" s="7"/>
      <c r="U2708" s="7"/>
      <c r="V2708" s="10">
        <v>7.5741092456127026</v>
      </c>
      <c r="W2708" s="9">
        <v>45014</v>
      </c>
      <c r="X2708" s="10">
        <v>7.5</v>
      </c>
      <c r="Y2708" s="9">
        <v>45017</v>
      </c>
      <c r="Z2708">
        <v>23</v>
      </c>
      <c r="AA2708" s="11" t="s">
        <v>49</v>
      </c>
    </row>
    <row r="2709" spans="2:27" ht="16" x14ac:dyDescent="0.2">
      <c r="B2709" t="s">
        <v>35</v>
      </c>
      <c r="C2709">
        <v>40364241</v>
      </c>
      <c r="D2709" t="s">
        <v>389</v>
      </c>
      <c r="E2709">
        <v>1022099</v>
      </c>
      <c r="F2709" t="s">
        <v>294</v>
      </c>
      <c r="G2709" s="9">
        <v>45007</v>
      </c>
      <c r="H2709" s="7"/>
      <c r="I2709" s="7">
        <v>24282</v>
      </c>
      <c r="J2709" s="7"/>
      <c r="K2709" s="7"/>
      <c r="L2709" s="10">
        <v>5.5741092456127026</v>
      </c>
      <c r="M2709" s="9">
        <v>45012</v>
      </c>
      <c r="N2709" s="10">
        <v>5.5</v>
      </c>
      <c r="O2709" s="9">
        <v>45017</v>
      </c>
      <c r="P2709">
        <v>23</v>
      </c>
      <c r="Q2709" s="11" t="s">
        <v>49</v>
      </c>
      <c r="R2709" s="7"/>
      <c r="S2709" s="7">
        <v>24282</v>
      </c>
      <c r="T2709" s="7"/>
      <c r="U2709" s="7"/>
      <c r="V2709" s="10">
        <v>7.5741092456127026</v>
      </c>
      <c r="W2709" s="9">
        <v>45014</v>
      </c>
      <c r="X2709" s="10">
        <v>7.5</v>
      </c>
      <c r="Y2709" s="9">
        <v>45017</v>
      </c>
      <c r="Z2709">
        <v>23</v>
      </c>
      <c r="AA2709" s="11" t="s">
        <v>49</v>
      </c>
    </row>
    <row r="2710" spans="2:27" ht="16" x14ac:dyDescent="0.2">
      <c r="B2710" t="s">
        <v>35</v>
      </c>
      <c r="C2710">
        <v>40364239</v>
      </c>
      <c r="D2710" t="s">
        <v>389</v>
      </c>
      <c r="E2710">
        <v>1012452</v>
      </c>
      <c r="F2710" t="s">
        <v>419</v>
      </c>
      <c r="G2710" s="9">
        <v>45007</v>
      </c>
      <c r="H2710" s="7"/>
      <c r="I2710" s="7">
        <v>19976</v>
      </c>
      <c r="J2710" s="7"/>
      <c r="K2710" s="7"/>
      <c r="L2710" s="10">
        <v>5.5741092456127026</v>
      </c>
      <c r="M2710" s="9">
        <v>45012</v>
      </c>
      <c r="N2710" s="10">
        <v>5.5</v>
      </c>
      <c r="O2710" s="9">
        <v>45017</v>
      </c>
      <c r="P2710">
        <v>23</v>
      </c>
      <c r="Q2710" s="11" t="s">
        <v>49</v>
      </c>
      <c r="R2710" s="7"/>
      <c r="S2710" s="7">
        <v>19976</v>
      </c>
      <c r="T2710" s="7"/>
      <c r="U2710" s="7"/>
      <c r="V2710" s="10">
        <v>7.5741092456127026</v>
      </c>
      <c r="W2710" s="9">
        <v>45014</v>
      </c>
      <c r="X2710" s="10">
        <v>7.5</v>
      </c>
      <c r="Y2710" s="9">
        <v>45017</v>
      </c>
      <c r="Z2710">
        <v>23</v>
      </c>
      <c r="AA2710" s="11" t="s">
        <v>49</v>
      </c>
    </row>
    <row r="2711" spans="2:27" ht="16" x14ac:dyDescent="0.2">
      <c r="B2711" t="s">
        <v>35</v>
      </c>
      <c r="C2711">
        <v>40364217</v>
      </c>
      <c r="D2711" t="s">
        <v>386</v>
      </c>
      <c r="E2711">
        <v>1012730</v>
      </c>
      <c r="F2711" t="s">
        <v>426</v>
      </c>
      <c r="G2711" s="9">
        <v>44990</v>
      </c>
      <c r="H2711" s="7">
        <v>21727.345000000001</v>
      </c>
      <c r="I2711" s="7"/>
      <c r="J2711" s="7"/>
      <c r="K2711" s="7"/>
      <c r="L2711" s="10">
        <v>5.1420118343195256</v>
      </c>
      <c r="M2711" s="9">
        <v>44995</v>
      </c>
      <c r="N2711" s="10">
        <v>7.5</v>
      </c>
      <c r="O2711" s="9">
        <v>45002</v>
      </c>
      <c r="P2711">
        <v>12</v>
      </c>
      <c r="Q2711" s="11" t="s">
        <v>49</v>
      </c>
      <c r="R2711" s="7">
        <v>21727.345000000001</v>
      </c>
      <c r="S2711" s="7"/>
      <c r="T2711" s="7"/>
      <c r="U2711" s="7"/>
      <c r="V2711" s="10">
        <v>7.1420118343195256</v>
      </c>
      <c r="W2711" s="9">
        <v>44997</v>
      </c>
      <c r="X2711" s="10">
        <v>9.5</v>
      </c>
      <c r="Y2711" s="9">
        <v>45002</v>
      </c>
      <c r="Z2711">
        <v>12</v>
      </c>
      <c r="AA2711" s="11" t="s">
        <v>49</v>
      </c>
    </row>
    <row r="2712" spans="2:27" ht="16" x14ac:dyDescent="0.2">
      <c r="B2712" t="s">
        <v>35</v>
      </c>
      <c r="C2712">
        <v>40364212</v>
      </c>
      <c r="D2712" t="s">
        <v>409</v>
      </c>
      <c r="E2712">
        <v>1021538</v>
      </c>
      <c r="F2712" t="s">
        <v>256</v>
      </c>
      <c r="G2712" s="9">
        <v>44999</v>
      </c>
      <c r="H2712" s="7">
        <v>23998.191940000001</v>
      </c>
      <c r="I2712" s="7"/>
      <c r="J2712" s="7"/>
      <c r="K2712" s="7"/>
      <c r="L2712" s="10">
        <v>7.5</v>
      </c>
      <c r="M2712" s="9">
        <v>45006</v>
      </c>
      <c r="N2712" s="10">
        <v>9.5</v>
      </c>
      <c r="O2712" s="9">
        <v>45015</v>
      </c>
      <c r="P2712">
        <v>1</v>
      </c>
      <c r="Q2712" s="11" t="s">
        <v>598</v>
      </c>
      <c r="R2712" s="7">
        <v>23998.191940000001</v>
      </c>
      <c r="S2712" s="7"/>
      <c r="T2712" s="7"/>
      <c r="U2712" s="7"/>
      <c r="V2712" s="10">
        <v>9.5</v>
      </c>
      <c r="W2712" s="9">
        <v>45008</v>
      </c>
      <c r="X2712" s="10">
        <v>11.5</v>
      </c>
      <c r="Y2712" s="9">
        <v>45015</v>
      </c>
      <c r="Z2712">
        <v>1</v>
      </c>
      <c r="AA2712" s="11" t="s">
        <v>598</v>
      </c>
    </row>
    <row r="2713" spans="2:27" x14ac:dyDescent="0.2">
      <c r="B2713" t="s">
        <v>394</v>
      </c>
      <c r="C2713">
        <v>40364013</v>
      </c>
      <c r="D2713" t="s">
        <v>485</v>
      </c>
      <c r="E2713">
        <v>1022709</v>
      </c>
      <c r="F2713" t="s">
        <v>493</v>
      </c>
      <c r="G2713" s="9">
        <v>44981</v>
      </c>
      <c r="H2713" s="7"/>
      <c r="I2713" s="7"/>
      <c r="J2713" s="7"/>
      <c r="K2713" s="7"/>
      <c r="L2713" s="10"/>
      <c r="N2713" s="10"/>
      <c r="Q2713" s="11"/>
      <c r="R2713" s="7"/>
      <c r="S2713" s="7"/>
      <c r="T2713" s="7"/>
      <c r="U2713" s="7"/>
      <c r="V2713" s="10"/>
      <c r="X2713" s="10"/>
      <c r="AA2713" s="11"/>
    </row>
    <row r="2714" spans="2:27" x14ac:dyDescent="0.2">
      <c r="B2714" t="s">
        <v>394</v>
      </c>
      <c r="C2714">
        <v>40364013</v>
      </c>
      <c r="D2714" t="s">
        <v>485</v>
      </c>
      <c r="E2714">
        <v>1022709</v>
      </c>
      <c r="F2714" t="s">
        <v>493</v>
      </c>
      <c r="G2714" s="9">
        <v>44981</v>
      </c>
      <c r="H2714" s="7"/>
      <c r="I2714" s="7"/>
      <c r="J2714" s="7"/>
      <c r="K2714" s="7"/>
      <c r="L2714" s="10"/>
      <c r="N2714" s="10"/>
      <c r="Q2714" s="11"/>
      <c r="R2714" s="7"/>
      <c r="S2714" s="7"/>
      <c r="T2714" s="7"/>
      <c r="U2714" s="7"/>
      <c r="V2714" s="10"/>
      <c r="X2714" s="10"/>
      <c r="AA2714" s="11"/>
    </row>
    <row r="2715" spans="2:27" x14ac:dyDescent="0.2">
      <c r="B2715" t="s">
        <v>394</v>
      </c>
      <c r="C2715">
        <v>40364004</v>
      </c>
      <c r="D2715" t="s">
        <v>485</v>
      </c>
      <c r="E2715">
        <v>1022389</v>
      </c>
      <c r="F2715" t="s">
        <v>628</v>
      </c>
      <c r="G2715" s="9">
        <v>44969</v>
      </c>
      <c r="H2715" s="7"/>
      <c r="I2715" s="7"/>
      <c r="J2715" s="7"/>
      <c r="K2715" s="7"/>
      <c r="L2715" s="10"/>
      <c r="N2715" s="10"/>
      <c r="Q2715" s="11"/>
      <c r="R2715" s="7"/>
      <c r="S2715" s="7"/>
      <c r="T2715" s="7"/>
      <c r="U2715" s="7"/>
      <c r="V2715" s="10"/>
      <c r="X2715" s="10"/>
      <c r="AA2715" s="11"/>
    </row>
    <row r="2716" spans="2:27" x14ac:dyDescent="0.2">
      <c r="B2716" t="s">
        <v>394</v>
      </c>
      <c r="C2716">
        <v>40364004</v>
      </c>
      <c r="D2716" t="s">
        <v>485</v>
      </c>
      <c r="E2716">
        <v>1020352</v>
      </c>
      <c r="F2716" t="s">
        <v>600</v>
      </c>
      <c r="G2716" s="9">
        <v>44969</v>
      </c>
      <c r="H2716" s="7"/>
      <c r="I2716" s="7"/>
      <c r="J2716" s="7"/>
      <c r="K2716" s="7"/>
      <c r="L2716" s="10"/>
      <c r="N2716" s="10"/>
      <c r="Q2716" s="11"/>
      <c r="R2716" s="7"/>
      <c r="S2716" s="7"/>
      <c r="T2716" s="7"/>
      <c r="U2716" s="7"/>
      <c r="V2716" s="10"/>
      <c r="X2716" s="10"/>
      <c r="AA2716" s="11"/>
    </row>
    <row r="2717" spans="2:27" x14ac:dyDescent="0.2">
      <c r="B2717" t="s">
        <v>394</v>
      </c>
      <c r="C2717">
        <v>40364004</v>
      </c>
      <c r="D2717" t="s">
        <v>485</v>
      </c>
      <c r="E2717">
        <v>1021187</v>
      </c>
      <c r="F2717" t="s">
        <v>617</v>
      </c>
      <c r="G2717" s="9">
        <v>44969</v>
      </c>
      <c r="H2717" s="7"/>
      <c r="I2717" s="7"/>
      <c r="J2717" s="7"/>
      <c r="K2717" s="7"/>
      <c r="L2717" s="10"/>
      <c r="N2717" s="10"/>
      <c r="Q2717" s="11"/>
      <c r="R2717" s="7"/>
      <c r="S2717" s="7"/>
      <c r="T2717" s="7"/>
      <c r="U2717" s="7"/>
      <c r="V2717" s="10"/>
      <c r="X2717" s="10"/>
      <c r="AA2717" s="11"/>
    </row>
    <row r="2718" spans="2:27" x14ac:dyDescent="0.2">
      <c r="B2718" t="s">
        <v>394</v>
      </c>
      <c r="C2718">
        <v>40364004</v>
      </c>
      <c r="D2718" t="s">
        <v>485</v>
      </c>
      <c r="E2718">
        <v>1020352</v>
      </c>
      <c r="F2718" t="s">
        <v>600</v>
      </c>
      <c r="G2718" s="9">
        <v>44969</v>
      </c>
      <c r="H2718" s="7"/>
      <c r="I2718" s="7"/>
      <c r="J2718" s="7"/>
      <c r="K2718" s="7"/>
      <c r="L2718" s="10"/>
      <c r="N2718" s="10"/>
      <c r="Q2718" s="11"/>
      <c r="R2718" s="7"/>
      <c r="S2718" s="7"/>
      <c r="T2718" s="7"/>
      <c r="U2718" s="7"/>
      <c r="V2718" s="10"/>
      <c r="X2718" s="10"/>
      <c r="AA2718" s="11"/>
    </row>
    <row r="2719" spans="2:27" ht="16" x14ac:dyDescent="0.2">
      <c r="B2719" t="s">
        <v>35</v>
      </c>
      <c r="C2719">
        <v>40363905</v>
      </c>
      <c r="D2719" t="s">
        <v>391</v>
      </c>
      <c r="E2719">
        <v>1021931</v>
      </c>
      <c r="F2719" t="s">
        <v>189</v>
      </c>
      <c r="G2719" s="9">
        <v>44998</v>
      </c>
      <c r="H2719" s="7"/>
      <c r="I2719" s="7">
        <v>1990.16</v>
      </c>
      <c r="J2719" s="7"/>
      <c r="K2719" s="7"/>
      <c r="L2719" s="10">
        <v>4.830303030303031</v>
      </c>
      <c r="M2719" s="9">
        <v>45002</v>
      </c>
      <c r="N2719" s="10">
        <v>15</v>
      </c>
      <c r="O2719" s="9">
        <v>45017</v>
      </c>
      <c r="P2719">
        <v>24</v>
      </c>
      <c r="Q2719" s="11" t="s">
        <v>49</v>
      </c>
      <c r="R2719" s="7"/>
      <c r="S2719" s="7">
        <v>1990.16</v>
      </c>
      <c r="T2719" s="7"/>
      <c r="U2719" s="7"/>
      <c r="V2719" s="10">
        <v>6.830303030303031</v>
      </c>
      <c r="W2719" s="9">
        <v>45004</v>
      </c>
      <c r="X2719" s="10">
        <v>17</v>
      </c>
      <c r="Y2719" s="9">
        <v>45017</v>
      </c>
      <c r="Z2719">
        <v>24</v>
      </c>
      <c r="AA2719" s="11" t="s">
        <v>49</v>
      </c>
    </row>
    <row r="2720" spans="2:27" ht="16" x14ac:dyDescent="0.2">
      <c r="B2720" t="s">
        <v>35</v>
      </c>
      <c r="C2720">
        <v>40363904</v>
      </c>
      <c r="D2720" t="s">
        <v>391</v>
      </c>
      <c r="E2720">
        <v>1022866</v>
      </c>
      <c r="F2720" t="s">
        <v>203</v>
      </c>
      <c r="G2720" s="9">
        <v>44998</v>
      </c>
      <c r="H2720" s="7"/>
      <c r="I2720" s="7">
        <v>2006.51</v>
      </c>
      <c r="J2720" s="7"/>
      <c r="K2720" s="7"/>
      <c r="L2720" s="10">
        <v>4.830303030303031</v>
      </c>
      <c r="M2720" s="9">
        <v>45002</v>
      </c>
      <c r="N2720" s="10">
        <v>15</v>
      </c>
      <c r="O2720" s="9">
        <v>45017</v>
      </c>
      <c r="P2720">
        <v>24</v>
      </c>
      <c r="Q2720" s="11" t="s">
        <v>49</v>
      </c>
      <c r="R2720" s="7"/>
      <c r="S2720" s="7">
        <v>2006.51</v>
      </c>
      <c r="T2720" s="7"/>
      <c r="U2720" s="7"/>
      <c r="V2720" s="10">
        <v>6.830303030303031</v>
      </c>
      <c r="W2720" s="9">
        <v>45004</v>
      </c>
      <c r="X2720" s="10">
        <v>17</v>
      </c>
      <c r="Y2720" s="9">
        <v>45017</v>
      </c>
      <c r="Z2720">
        <v>24</v>
      </c>
      <c r="AA2720" s="11" t="s">
        <v>49</v>
      </c>
    </row>
    <row r="2721" spans="2:27" ht="16" x14ac:dyDescent="0.2">
      <c r="B2721" t="s">
        <v>35</v>
      </c>
      <c r="C2721">
        <v>40363904</v>
      </c>
      <c r="D2721" t="s">
        <v>391</v>
      </c>
      <c r="E2721">
        <v>1022865</v>
      </c>
      <c r="F2721" t="s">
        <v>343</v>
      </c>
      <c r="G2721" s="9">
        <v>44998</v>
      </c>
      <c r="H2721" s="7"/>
      <c r="I2721" s="7">
        <v>7999.63</v>
      </c>
      <c r="J2721" s="7"/>
      <c r="K2721" s="7"/>
      <c r="L2721" s="10">
        <v>4.830303030303031</v>
      </c>
      <c r="M2721" s="9">
        <v>45002</v>
      </c>
      <c r="N2721" s="10">
        <v>15</v>
      </c>
      <c r="O2721" s="9">
        <v>45017</v>
      </c>
      <c r="P2721">
        <v>24</v>
      </c>
      <c r="Q2721" s="11" t="s">
        <v>49</v>
      </c>
      <c r="R2721" s="7"/>
      <c r="S2721" s="7">
        <v>7999.63</v>
      </c>
      <c r="T2721" s="7"/>
      <c r="U2721" s="7"/>
      <c r="V2721" s="10">
        <v>6.830303030303031</v>
      </c>
      <c r="W2721" s="9">
        <v>45004</v>
      </c>
      <c r="X2721" s="10">
        <v>17</v>
      </c>
      <c r="Y2721" s="9">
        <v>45017</v>
      </c>
      <c r="Z2721">
        <v>24</v>
      </c>
      <c r="AA2721" s="11" t="s">
        <v>49</v>
      </c>
    </row>
    <row r="2722" spans="2:27" ht="16" x14ac:dyDescent="0.2">
      <c r="B2722" t="s">
        <v>35</v>
      </c>
      <c r="C2722">
        <v>40363904</v>
      </c>
      <c r="D2722" t="s">
        <v>391</v>
      </c>
      <c r="E2722">
        <v>1022398</v>
      </c>
      <c r="F2722" t="s">
        <v>431</v>
      </c>
      <c r="G2722" s="9">
        <v>44998</v>
      </c>
      <c r="H2722" s="7"/>
      <c r="I2722" s="7">
        <v>12014.31</v>
      </c>
      <c r="J2722" s="7"/>
      <c r="K2722" s="7"/>
      <c r="L2722" s="10">
        <v>4.830303030303031</v>
      </c>
      <c r="M2722" s="9">
        <v>45002</v>
      </c>
      <c r="N2722" s="10">
        <v>15</v>
      </c>
      <c r="O2722" s="9">
        <v>45017</v>
      </c>
      <c r="P2722">
        <v>24</v>
      </c>
      <c r="Q2722" s="11" t="s">
        <v>49</v>
      </c>
      <c r="R2722" s="7"/>
      <c r="S2722" s="7">
        <v>12014.31</v>
      </c>
      <c r="T2722" s="7"/>
      <c r="U2722" s="7"/>
      <c r="V2722" s="10">
        <v>6.830303030303031</v>
      </c>
      <c r="W2722" s="9">
        <v>45004</v>
      </c>
      <c r="X2722" s="10">
        <v>17</v>
      </c>
      <c r="Y2722" s="9">
        <v>45017</v>
      </c>
      <c r="Z2722">
        <v>24</v>
      </c>
      <c r="AA2722" s="11" t="s">
        <v>49</v>
      </c>
    </row>
    <row r="2723" spans="2:27" ht="16" x14ac:dyDescent="0.2">
      <c r="B2723" t="s">
        <v>35</v>
      </c>
      <c r="C2723">
        <v>40363611</v>
      </c>
      <c r="D2723" t="s">
        <v>389</v>
      </c>
      <c r="E2723">
        <v>1022414</v>
      </c>
      <c r="F2723" t="s">
        <v>308</v>
      </c>
      <c r="G2723" s="9">
        <v>44996</v>
      </c>
      <c r="H2723" s="7">
        <v>24310</v>
      </c>
      <c r="I2723" s="7"/>
      <c r="J2723" s="7"/>
      <c r="K2723" s="7"/>
      <c r="L2723" s="10">
        <v>5.5741092456127026</v>
      </c>
      <c r="M2723" s="9">
        <v>45001</v>
      </c>
      <c r="N2723" s="10">
        <v>5.5</v>
      </c>
      <c r="O2723" s="9">
        <v>45006</v>
      </c>
      <c r="P2723">
        <v>9</v>
      </c>
      <c r="Q2723" s="11" t="s">
        <v>49</v>
      </c>
      <c r="R2723" s="7">
        <v>24310</v>
      </c>
      <c r="S2723" s="7"/>
      <c r="T2723" s="7"/>
      <c r="U2723" s="7"/>
      <c r="V2723" s="10">
        <v>7.5741092456127026</v>
      </c>
      <c r="W2723" s="9">
        <v>45003</v>
      </c>
      <c r="X2723" s="10">
        <v>7.5</v>
      </c>
      <c r="Y2723" s="9">
        <v>45006</v>
      </c>
      <c r="Z2723">
        <v>9</v>
      </c>
      <c r="AA2723" s="11" t="s">
        <v>49</v>
      </c>
    </row>
    <row r="2724" spans="2:27" ht="16" x14ac:dyDescent="0.2">
      <c r="B2724" t="s">
        <v>35</v>
      </c>
      <c r="C2724">
        <v>40363610</v>
      </c>
      <c r="D2724" t="s">
        <v>389</v>
      </c>
      <c r="E2724">
        <v>1022414</v>
      </c>
      <c r="F2724" t="s">
        <v>308</v>
      </c>
      <c r="G2724" s="9">
        <v>44996</v>
      </c>
      <c r="H2724" s="7">
        <v>24170</v>
      </c>
      <c r="I2724" s="7"/>
      <c r="J2724" s="7"/>
      <c r="K2724" s="7"/>
      <c r="L2724" s="10">
        <v>5.5741092456127026</v>
      </c>
      <c r="M2724" s="9">
        <v>45001</v>
      </c>
      <c r="N2724" s="10">
        <v>5.5</v>
      </c>
      <c r="O2724" s="9">
        <v>45006</v>
      </c>
      <c r="P2724">
        <v>9</v>
      </c>
      <c r="Q2724" s="11" t="s">
        <v>49</v>
      </c>
      <c r="R2724" s="7">
        <v>24170</v>
      </c>
      <c r="S2724" s="7"/>
      <c r="T2724" s="7"/>
      <c r="U2724" s="7"/>
      <c r="V2724" s="10">
        <v>7.5741092456127026</v>
      </c>
      <c r="W2724" s="9">
        <v>45003</v>
      </c>
      <c r="X2724" s="10">
        <v>7.5</v>
      </c>
      <c r="Y2724" s="9">
        <v>45006</v>
      </c>
      <c r="Z2724">
        <v>9</v>
      </c>
      <c r="AA2724" s="11" t="s">
        <v>49</v>
      </c>
    </row>
    <row r="2725" spans="2:27" ht="16" x14ac:dyDescent="0.2">
      <c r="B2725" t="s">
        <v>35</v>
      </c>
      <c r="C2725">
        <v>40363606</v>
      </c>
      <c r="D2725" t="s">
        <v>389</v>
      </c>
      <c r="E2725">
        <v>1021733</v>
      </c>
      <c r="F2725" t="s">
        <v>277</v>
      </c>
      <c r="G2725" s="9">
        <v>45007</v>
      </c>
      <c r="H2725" s="7"/>
      <c r="I2725" s="7">
        <v>24361.07</v>
      </c>
      <c r="J2725" s="7"/>
      <c r="K2725" s="7"/>
      <c r="L2725" s="10">
        <v>5.5741092456127026</v>
      </c>
      <c r="M2725" s="9">
        <v>45012</v>
      </c>
      <c r="N2725" s="10">
        <v>5.5</v>
      </c>
      <c r="O2725" s="9">
        <v>45017</v>
      </c>
      <c r="P2725">
        <v>23</v>
      </c>
      <c r="Q2725" s="11" t="s">
        <v>49</v>
      </c>
      <c r="R2725" s="7"/>
      <c r="S2725" s="7">
        <v>24361.07</v>
      </c>
      <c r="T2725" s="7"/>
      <c r="U2725" s="7"/>
      <c r="V2725" s="10">
        <v>7.5741092456127026</v>
      </c>
      <c r="W2725" s="9">
        <v>45014</v>
      </c>
      <c r="X2725" s="10">
        <v>7.5</v>
      </c>
      <c r="Y2725" s="9">
        <v>45017</v>
      </c>
      <c r="Z2725">
        <v>23</v>
      </c>
      <c r="AA2725" s="11" t="s">
        <v>49</v>
      </c>
    </row>
    <row r="2726" spans="2:27" ht="16" x14ac:dyDescent="0.2">
      <c r="B2726" t="s">
        <v>35</v>
      </c>
      <c r="C2726">
        <v>40363605</v>
      </c>
      <c r="D2726" t="s">
        <v>389</v>
      </c>
      <c r="E2726">
        <v>1021733</v>
      </c>
      <c r="F2726" t="s">
        <v>277</v>
      </c>
      <c r="G2726" s="9">
        <v>45007</v>
      </c>
      <c r="H2726" s="7"/>
      <c r="I2726" s="7">
        <v>24014.21</v>
      </c>
      <c r="J2726" s="7"/>
      <c r="K2726" s="7"/>
      <c r="L2726" s="10">
        <v>5.5741092456127026</v>
      </c>
      <c r="M2726" s="9">
        <v>45012</v>
      </c>
      <c r="N2726" s="10">
        <v>5.5</v>
      </c>
      <c r="O2726" s="9">
        <v>45017</v>
      </c>
      <c r="P2726">
        <v>23</v>
      </c>
      <c r="Q2726" s="11" t="s">
        <v>49</v>
      </c>
      <c r="R2726" s="7"/>
      <c r="S2726" s="7">
        <v>24014.21</v>
      </c>
      <c r="T2726" s="7"/>
      <c r="U2726" s="7"/>
      <c r="V2726" s="10">
        <v>7.5741092456127026</v>
      </c>
      <c r="W2726" s="9">
        <v>45014</v>
      </c>
      <c r="X2726" s="10">
        <v>7.5</v>
      </c>
      <c r="Y2726" s="9">
        <v>45017</v>
      </c>
      <c r="Z2726">
        <v>23</v>
      </c>
      <c r="AA2726" s="11" t="s">
        <v>49</v>
      </c>
    </row>
    <row r="2727" spans="2:27" ht="16" x14ac:dyDescent="0.2">
      <c r="B2727" t="s">
        <v>35</v>
      </c>
      <c r="C2727">
        <v>40363594</v>
      </c>
      <c r="D2727" t="s">
        <v>391</v>
      </c>
      <c r="E2727">
        <v>1021204</v>
      </c>
      <c r="F2727" t="s">
        <v>393</v>
      </c>
      <c r="G2727" s="9">
        <v>44998</v>
      </c>
      <c r="H2727" s="7"/>
      <c r="I2727" s="7">
        <v>24000</v>
      </c>
      <c r="J2727" s="7"/>
      <c r="K2727" s="7"/>
      <c r="L2727" s="10">
        <v>4.830303030303031</v>
      </c>
      <c r="M2727" s="9">
        <v>45002</v>
      </c>
      <c r="N2727" s="10">
        <v>15</v>
      </c>
      <c r="O2727" s="9">
        <v>45017</v>
      </c>
      <c r="P2727">
        <v>24</v>
      </c>
      <c r="Q2727" s="11" t="s">
        <v>49</v>
      </c>
      <c r="R2727" s="7"/>
      <c r="S2727" s="7">
        <v>24000</v>
      </c>
      <c r="T2727" s="7"/>
      <c r="U2727" s="7"/>
      <c r="V2727" s="10">
        <v>6.830303030303031</v>
      </c>
      <c r="W2727" s="9">
        <v>45004</v>
      </c>
      <c r="X2727" s="10">
        <v>17</v>
      </c>
      <c r="Y2727" s="9">
        <v>45017</v>
      </c>
      <c r="Z2727">
        <v>24</v>
      </c>
      <c r="AA2727" s="11" t="s">
        <v>49</v>
      </c>
    </row>
    <row r="2728" spans="2:27" x14ac:dyDescent="0.2">
      <c r="B2728" t="s">
        <v>394</v>
      </c>
      <c r="C2728">
        <v>40363572</v>
      </c>
      <c r="D2728" t="s">
        <v>485</v>
      </c>
      <c r="E2728">
        <v>1012556</v>
      </c>
      <c r="F2728" t="s">
        <v>489</v>
      </c>
      <c r="G2728" s="9">
        <v>44976</v>
      </c>
      <c r="H2728" s="7"/>
      <c r="I2728" s="7"/>
      <c r="J2728" s="7"/>
      <c r="K2728" s="7"/>
      <c r="L2728" s="10"/>
      <c r="N2728" s="10"/>
      <c r="Q2728" s="11"/>
      <c r="R2728" s="7"/>
      <c r="S2728" s="7"/>
      <c r="T2728" s="7"/>
      <c r="U2728" s="7"/>
      <c r="V2728" s="10"/>
      <c r="X2728" s="10"/>
      <c r="AA2728" s="11"/>
    </row>
    <row r="2729" spans="2:27" x14ac:dyDescent="0.2">
      <c r="B2729" t="s">
        <v>394</v>
      </c>
      <c r="C2729">
        <v>40363571</v>
      </c>
      <c r="D2729" t="s">
        <v>485</v>
      </c>
      <c r="E2729">
        <v>1012556</v>
      </c>
      <c r="F2729" t="s">
        <v>489</v>
      </c>
      <c r="G2729" s="9">
        <v>44974</v>
      </c>
      <c r="H2729" s="7"/>
      <c r="I2729" s="7"/>
      <c r="J2729" s="7"/>
      <c r="K2729" s="7"/>
      <c r="L2729" s="10"/>
      <c r="N2729" s="10"/>
      <c r="Q2729" s="11"/>
      <c r="R2729" s="7"/>
      <c r="S2729" s="7"/>
      <c r="T2729" s="7"/>
      <c r="U2729" s="7"/>
      <c r="V2729" s="10"/>
      <c r="X2729" s="10"/>
      <c r="AA2729" s="11"/>
    </row>
    <row r="2730" spans="2:27" x14ac:dyDescent="0.2">
      <c r="B2730" t="s">
        <v>394</v>
      </c>
      <c r="C2730">
        <v>40363542</v>
      </c>
      <c r="D2730" t="s">
        <v>485</v>
      </c>
      <c r="E2730">
        <v>1020412</v>
      </c>
      <c r="F2730" t="s">
        <v>486</v>
      </c>
      <c r="G2730" s="9">
        <v>44970</v>
      </c>
      <c r="H2730" s="7"/>
      <c r="I2730" s="7"/>
      <c r="J2730" s="7"/>
      <c r="K2730" s="7"/>
      <c r="L2730" s="10"/>
      <c r="N2730" s="10"/>
      <c r="Q2730" s="11"/>
      <c r="R2730" s="7"/>
      <c r="S2730" s="7"/>
      <c r="T2730" s="7"/>
      <c r="U2730" s="7"/>
      <c r="V2730" s="10"/>
      <c r="X2730" s="10"/>
      <c r="AA2730" s="11"/>
    </row>
    <row r="2731" spans="2:27" ht="16" x14ac:dyDescent="0.2">
      <c r="B2731" t="s">
        <v>35</v>
      </c>
      <c r="C2731">
        <v>40363326</v>
      </c>
      <c r="D2731" t="s">
        <v>423</v>
      </c>
      <c r="E2731">
        <v>1030802</v>
      </c>
      <c r="F2731" t="s">
        <v>492</v>
      </c>
      <c r="G2731" s="9">
        <v>44977</v>
      </c>
      <c r="H2731" s="7">
        <v>23999.986000000001</v>
      </c>
      <c r="I2731" s="7"/>
      <c r="J2731" s="7"/>
      <c r="K2731" s="7"/>
      <c r="L2731" s="10">
        <v>5.4496124031007751</v>
      </c>
      <c r="M2731" s="9">
        <v>44982</v>
      </c>
      <c r="N2731" s="10">
        <v>10</v>
      </c>
      <c r="O2731" s="9">
        <v>44992</v>
      </c>
      <c r="P2731">
        <v>19</v>
      </c>
      <c r="Q2731" s="11" t="s">
        <v>49</v>
      </c>
      <c r="R2731" s="7">
        <v>23999.986000000001</v>
      </c>
      <c r="S2731" s="7"/>
      <c r="T2731" s="7"/>
      <c r="U2731" s="7"/>
      <c r="V2731" s="10">
        <v>7.4496124031007751</v>
      </c>
      <c r="W2731" s="9">
        <v>44984</v>
      </c>
      <c r="X2731" s="10">
        <v>12</v>
      </c>
      <c r="Y2731" s="9">
        <v>44992</v>
      </c>
      <c r="Z2731">
        <v>19</v>
      </c>
      <c r="AA2731" s="11" t="s">
        <v>49</v>
      </c>
    </row>
    <row r="2732" spans="2:27" ht="16" x14ac:dyDescent="0.2">
      <c r="B2732" t="s">
        <v>35</v>
      </c>
      <c r="C2732">
        <v>40363323</v>
      </c>
      <c r="D2732" t="s">
        <v>423</v>
      </c>
      <c r="E2732">
        <v>1030802</v>
      </c>
      <c r="F2732" t="s">
        <v>492</v>
      </c>
      <c r="G2732" s="9">
        <v>44977</v>
      </c>
      <c r="H2732" s="7">
        <v>23996.677</v>
      </c>
      <c r="I2732" s="7"/>
      <c r="J2732" s="7"/>
      <c r="K2732" s="7"/>
      <c r="L2732" s="10">
        <v>5.4496124031007751</v>
      </c>
      <c r="M2732" s="9">
        <v>44982</v>
      </c>
      <c r="N2732" s="10">
        <v>10</v>
      </c>
      <c r="O2732" s="9">
        <v>44992</v>
      </c>
      <c r="P2732">
        <v>19</v>
      </c>
      <c r="Q2732" s="11" t="s">
        <v>49</v>
      </c>
      <c r="R2732" s="7">
        <v>23996.677</v>
      </c>
      <c r="S2732" s="7"/>
      <c r="T2732" s="7"/>
      <c r="U2732" s="7"/>
      <c r="V2732" s="10">
        <v>7.4496124031007751</v>
      </c>
      <c r="W2732" s="9">
        <v>44984</v>
      </c>
      <c r="X2732" s="10">
        <v>12</v>
      </c>
      <c r="Y2732" s="9">
        <v>44992</v>
      </c>
      <c r="Z2732">
        <v>19</v>
      </c>
      <c r="AA2732" s="11" t="s">
        <v>49</v>
      </c>
    </row>
    <row r="2733" spans="2:27" ht="16" x14ac:dyDescent="0.2">
      <c r="B2733" t="s">
        <v>35</v>
      </c>
      <c r="C2733">
        <v>40363242</v>
      </c>
      <c r="D2733" t="s">
        <v>386</v>
      </c>
      <c r="E2733">
        <v>1030355</v>
      </c>
      <c r="F2733" t="s">
        <v>385</v>
      </c>
      <c r="G2733" s="9">
        <v>45017</v>
      </c>
      <c r="H2733" s="7"/>
      <c r="I2733" s="7">
        <v>24000</v>
      </c>
      <c r="J2733" s="7"/>
      <c r="K2733" s="7"/>
      <c r="L2733" s="10">
        <v>5.1420118343195256</v>
      </c>
      <c r="M2733" s="9">
        <v>45022</v>
      </c>
      <c r="N2733" s="10">
        <v>7.5</v>
      </c>
      <c r="O2733" s="9">
        <v>45029</v>
      </c>
      <c r="P2733">
        <v>13</v>
      </c>
      <c r="Q2733" s="11" t="s">
        <v>49</v>
      </c>
      <c r="R2733" s="7"/>
      <c r="S2733" s="7">
        <v>24000</v>
      </c>
      <c r="T2733" s="7"/>
      <c r="U2733" s="7"/>
      <c r="V2733" s="10">
        <v>7.1420118343195256</v>
      </c>
      <c r="W2733" s="9">
        <v>45024</v>
      </c>
      <c r="X2733" s="10">
        <v>9.5</v>
      </c>
      <c r="Y2733" s="9">
        <v>45029</v>
      </c>
      <c r="Z2733">
        <v>13</v>
      </c>
      <c r="AA2733" s="11" t="s">
        <v>49</v>
      </c>
    </row>
    <row r="2734" spans="2:27" x14ac:dyDescent="0.2">
      <c r="B2734" t="s">
        <v>394</v>
      </c>
      <c r="C2734">
        <v>40363175</v>
      </c>
      <c r="D2734" t="s">
        <v>396</v>
      </c>
      <c r="E2734">
        <v>1023037</v>
      </c>
      <c r="F2734" t="s">
        <v>555</v>
      </c>
      <c r="G2734" s="9">
        <v>45001</v>
      </c>
      <c r="H2734" s="7">
        <v>22002.97</v>
      </c>
      <c r="I2734" s="7"/>
      <c r="J2734" s="7"/>
      <c r="K2734" s="7"/>
      <c r="L2734" s="10"/>
      <c r="N2734" s="10"/>
      <c r="Q2734" s="11"/>
      <c r="R2734" s="7">
        <v>22002.97</v>
      </c>
      <c r="S2734" s="7"/>
      <c r="T2734" s="7"/>
      <c r="U2734" s="7"/>
      <c r="V2734" s="10"/>
      <c r="X2734" s="10"/>
      <c r="AA2734" s="11"/>
    </row>
    <row r="2735" spans="2:27" x14ac:dyDescent="0.2">
      <c r="B2735" t="s">
        <v>394</v>
      </c>
      <c r="C2735">
        <v>40363169</v>
      </c>
      <c r="D2735" t="s">
        <v>396</v>
      </c>
      <c r="E2735">
        <v>1023037</v>
      </c>
      <c r="F2735" t="s">
        <v>555</v>
      </c>
      <c r="G2735" s="9">
        <v>45001</v>
      </c>
      <c r="H2735" s="7">
        <v>22015.69</v>
      </c>
      <c r="I2735" s="7"/>
      <c r="J2735" s="7"/>
      <c r="K2735" s="7"/>
      <c r="L2735" s="10"/>
      <c r="N2735" s="10"/>
      <c r="Q2735" s="11"/>
      <c r="R2735" s="7">
        <v>22015.69</v>
      </c>
      <c r="S2735" s="7"/>
      <c r="T2735" s="7"/>
      <c r="U2735" s="7"/>
      <c r="V2735" s="10"/>
      <c r="X2735" s="10"/>
      <c r="AA2735" s="11"/>
    </row>
    <row r="2736" spans="2:27" x14ac:dyDescent="0.2">
      <c r="B2736" t="s">
        <v>394</v>
      </c>
      <c r="C2736">
        <v>40363168</v>
      </c>
      <c r="D2736" t="s">
        <v>396</v>
      </c>
      <c r="E2736">
        <v>1023037</v>
      </c>
      <c r="F2736" t="s">
        <v>555</v>
      </c>
      <c r="G2736" s="9">
        <v>45001</v>
      </c>
      <c r="H2736" s="7">
        <v>22015</v>
      </c>
      <c r="I2736" s="7"/>
      <c r="J2736" s="7"/>
      <c r="K2736" s="7"/>
      <c r="L2736" s="10"/>
      <c r="N2736" s="10"/>
      <c r="Q2736" s="11"/>
      <c r="R2736" s="7">
        <v>22015</v>
      </c>
      <c r="S2736" s="7"/>
      <c r="T2736" s="7"/>
      <c r="U2736" s="7"/>
      <c r="V2736" s="10"/>
      <c r="X2736" s="10"/>
      <c r="AA2736" s="11"/>
    </row>
    <row r="2737" spans="2:27" x14ac:dyDescent="0.2">
      <c r="B2737" t="s">
        <v>394</v>
      </c>
      <c r="C2737">
        <v>40363159</v>
      </c>
      <c r="D2737" t="s">
        <v>396</v>
      </c>
      <c r="E2737">
        <v>1020861</v>
      </c>
      <c r="F2737" t="s">
        <v>400</v>
      </c>
      <c r="G2737" s="9">
        <v>45001</v>
      </c>
      <c r="H2737" s="7">
        <v>22007.45</v>
      </c>
      <c r="I2737" s="7"/>
      <c r="J2737" s="7"/>
      <c r="K2737" s="7"/>
      <c r="L2737" s="10"/>
      <c r="N2737" s="10"/>
      <c r="Q2737" s="11"/>
      <c r="R2737" s="7">
        <v>22007.45</v>
      </c>
      <c r="S2737" s="7"/>
      <c r="T2737" s="7"/>
      <c r="U2737" s="7"/>
      <c r="V2737" s="10"/>
      <c r="X2737" s="10"/>
      <c r="AA2737" s="11"/>
    </row>
    <row r="2738" spans="2:27" x14ac:dyDescent="0.2">
      <c r="B2738" t="s">
        <v>394</v>
      </c>
      <c r="C2738">
        <v>40363133</v>
      </c>
      <c r="D2738" t="s">
        <v>396</v>
      </c>
      <c r="E2738">
        <v>1022182</v>
      </c>
      <c r="F2738" t="s">
        <v>519</v>
      </c>
      <c r="G2738" s="9">
        <v>45001</v>
      </c>
      <c r="H2738" s="7">
        <v>19200</v>
      </c>
      <c r="I2738" s="7"/>
      <c r="J2738" s="7"/>
      <c r="K2738" s="7"/>
      <c r="L2738" s="10"/>
      <c r="N2738" s="10"/>
      <c r="Q2738" s="11"/>
      <c r="R2738" s="7">
        <v>19200</v>
      </c>
      <c r="S2738" s="7"/>
      <c r="T2738" s="7"/>
      <c r="U2738" s="7"/>
      <c r="V2738" s="10"/>
      <c r="X2738" s="10"/>
      <c r="AA2738" s="11"/>
    </row>
    <row r="2739" spans="2:27" x14ac:dyDescent="0.2">
      <c r="B2739" t="s">
        <v>394</v>
      </c>
      <c r="C2739">
        <v>40363133</v>
      </c>
      <c r="D2739" t="s">
        <v>396</v>
      </c>
      <c r="E2739">
        <v>1022182</v>
      </c>
      <c r="F2739" t="s">
        <v>519</v>
      </c>
      <c r="G2739" s="9">
        <v>45001</v>
      </c>
      <c r="H2739" s="7">
        <v>22000</v>
      </c>
      <c r="I2739" s="7"/>
      <c r="J2739" s="7"/>
      <c r="K2739" s="7"/>
      <c r="L2739" s="10"/>
      <c r="N2739" s="10"/>
      <c r="Q2739" s="11"/>
      <c r="R2739" s="7">
        <v>22000</v>
      </c>
      <c r="S2739" s="7"/>
      <c r="T2739" s="7"/>
      <c r="U2739" s="7"/>
      <c r="V2739" s="10"/>
      <c r="X2739" s="10"/>
      <c r="AA2739" s="11"/>
    </row>
    <row r="2740" spans="2:27" x14ac:dyDescent="0.2">
      <c r="B2740" t="s">
        <v>394</v>
      </c>
      <c r="C2740">
        <v>40363127</v>
      </c>
      <c r="D2740" t="s">
        <v>396</v>
      </c>
      <c r="E2740">
        <v>1020860</v>
      </c>
      <c r="F2740" t="s">
        <v>403</v>
      </c>
      <c r="G2740" s="9">
        <v>45001</v>
      </c>
      <c r="H2740" s="7">
        <v>18498.57</v>
      </c>
      <c r="I2740" s="7"/>
      <c r="J2740" s="7"/>
      <c r="K2740" s="7"/>
      <c r="L2740" s="10"/>
      <c r="N2740" s="10"/>
      <c r="Q2740" s="11"/>
      <c r="R2740" s="7">
        <v>18498.57</v>
      </c>
      <c r="S2740" s="7"/>
      <c r="T2740" s="7"/>
      <c r="U2740" s="7"/>
      <c r="V2740" s="10"/>
      <c r="X2740" s="10"/>
      <c r="AA2740" s="11"/>
    </row>
    <row r="2741" spans="2:27" x14ac:dyDescent="0.2">
      <c r="B2741" t="s">
        <v>394</v>
      </c>
      <c r="C2741">
        <v>40363127</v>
      </c>
      <c r="D2741" t="s">
        <v>396</v>
      </c>
      <c r="E2741">
        <v>1020860</v>
      </c>
      <c r="F2741" t="s">
        <v>403</v>
      </c>
      <c r="G2741" s="9">
        <v>45001</v>
      </c>
      <c r="H2741" s="7">
        <v>22002.240000000002</v>
      </c>
      <c r="I2741" s="7"/>
      <c r="J2741" s="7"/>
      <c r="K2741" s="7"/>
      <c r="L2741" s="10"/>
      <c r="N2741" s="10"/>
      <c r="Q2741" s="11"/>
      <c r="R2741" s="7">
        <v>22002.240000000002</v>
      </c>
      <c r="S2741" s="7"/>
      <c r="T2741" s="7"/>
      <c r="U2741" s="7"/>
      <c r="V2741" s="10"/>
      <c r="X2741" s="10"/>
      <c r="AA2741" s="11"/>
    </row>
    <row r="2742" spans="2:27" x14ac:dyDescent="0.2">
      <c r="B2742" t="s">
        <v>394</v>
      </c>
      <c r="C2742">
        <v>40363122</v>
      </c>
      <c r="D2742" t="s">
        <v>396</v>
      </c>
      <c r="E2742">
        <v>1022887</v>
      </c>
      <c r="F2742" t="s">
        <v>404</v>
      </c>
      <c r="G2742" s="9">
        <v>45001</v>
      </c>
      <c r="H2742" s="7">
        <v>22000.1</v>
      </c>
      <c r="I2742" s="7"/>
      <c r="J2742" s="7"/>
      <c r="K2742" s="7"/>
      <c r="L2742" s="10"/>
      <c r="N2742" s="10"/>
      <c r="Q2742" s="11"/>
      <c r="R2742" s="7">
        <v>22000.1</v>
      </c>
      <c r="S2742" s="7"/>
      <c r="T2742" s="7"/>
      <c r="U2742" s="7"/>
      <c r="V2742" s="10"/>
      <c r="X2742" s="10"/>
      <c r="AA2742" s="11"/>
    </row>
    <row r="2743" spans="2:27" x14ac:dyDescent="0.2">
      <c r="B2743" t="s">
        <v>394</v>
      </c>
      <c r="C2743">
        <v>40363121</v>
      </c>
      <c r="D2743" t="s">
        <v>396</v>
      </c>
      <c r="E2743">
        <v>1022887</v>
      </c>
      <c r="F2743" t="s">
        <v>404</v>
      </c>
      <c r="G2743" s="9">
        <v>45001</v>
      </c>
      <c r="H2743" s="7">
        <v>22004.400000000001</v>
      </c>
      <c r="I2743" s="7"/>
      <c r="J2743" s="7"/>
      <c r="K2743" s="7"/>
      <c r="L2743" s="10"/>
      <c r="N2743" s="10"/>
      <c r="Q2743" s="11"/>
      <c r="R2743" s="7">
        <v>22004.400000000001</v>
      </c>
      <c r="S2743" s="7"/>
      <c r="T2743" s="7"/>
      <c r="U2743" s="7"/>
      <c r="V2743" s="10"/>
      <c r="X2743" s="10"/>
      <c r="AA2743" s="11"/>
    </row>
    <row r="2744" spans="2:27" x14ac:dyDescent="0.2">
      <c r="B2744" t="s">
        <v>394</v>
      </c>
      <c r="C2744">
        <v>40363120</v>
      </c>
      <c r="D2744" t="s">
        <v>396</v>
      </c>
      <c r="E2744">
        <v>1022887</v>
      </c>
      <c r="F2744" t="s">
        <v>404</v>
      </c>
      <c r="G2744" s="9">
        <v>45001</v>
      </c>
      <c r="H2744" s="7">
        <v>22012.23</v>
      </c>
      <c r="I2744" s="7"/>
      <c r="J2744" s="7"/>
      <c r="K2744" s="7"/>
      <c r="L2744" s="10"/>
      <c r="N2744" s="10"/>
      <c r="Q2744" s="11"/>
      <c r="R2744" s="7">
        <v>22012.23</v>
      </c>
      <c r="S2744" s="7"/>
      <c r="T2744" s="7"/>
      <c r="U2744" s="7"/>
      <c r="V2744" s="10"/>
      <c r="X2744" s="10"/>
      <c r="AA2744" s="11"/>
    </row>
    <row r="2745" spans="2:27" x14ac:dyDescent="0.2">
      <c r="B2745" t="s">
        <v>394</v>
      </c>
      <c r="C2745">
        <v>40363119</v>
      </c>
      <c r="D2745" t="s">
        <v>396</v>
      </c>
      <c r="E2745">
        <v>1022887</v>
      </c>
      <c r="F2745" t="s">
        <v>404</v>
      </c>
      <c r="G2745" s="9">
        <v>45001</v>
      </c>
      <c r="H2745" s="7">
        <v>22000.54</v>
      </c>
      <c r="I2745" s="7"/>
      <c r="J2745" s="7"/>
      <c r="K2745" s="7"/>
      <c r="L2745" s="10"/>
      <c r="N2745" s="10"/>
      <c r="Q2745" s="11"/>
      <c r="R2745" s="7">
        <v>22000.54</v>
      </c>
      <c r="S2745" s="7"/>
      <c r="T2745" s="7"/>
      <c r="U2745" s="7"/>
      <c r="V2745" s="10"/>
      <c r="X2745" s="10"/>
      <c r="AA2745" s="11"/>
    </row>
    <row r="2746" spans="2:27" x14ac:dyDescent="0.2">
      <c r="B2746" t="s">
        <v>394</v>
      </c>
      <c r="C2746">
        <v>40363118</v>
      </c>
      <c r="D2746" t="s">
        <v>396</v>
      </c>
      <c r="E2746">
        <v>1022887</v>
      </c>
      <c r="F2746" t="s">
        <v>404</v>
      </c>
      <c r="G2746" s="9">
        <v>45001</v>
      </c>
      <c r="H2746" s="7">
        <v>22011.3</v>
      </c>
      <c r="I2746" s="7"/>
      <c r="J2746" s="7"/>
      <c r="K2746" s="7"/>
      <c r="L2746" s="10"/>
      <c r="N2746" s="10"/>
      <c r="Q2746" s="11"/>
      <c r="R2746" s="7">
        <v>22011.3</v>
      </c>
      <c r="S2746" s="7"/>
      <c r="T2746" s="7"/>
      <c r="U2746" s="7"/>
      <c r="V2746" s="10"/>
      <c r="X2746" s="10"/>
      <c r="AA2746" s="11"/>
    </row>
    <row r="2747" spans="2:27" x14ac:dyDescent="0.2">
      <c r="B2747" t="s">
        <v>394</v>
      </c>
      <c r="C2747">
        <v>40363081</v>
      </c>
      <c r="D2747" t="s">
        <v>485</v>
      </c>
      <c r="E2747">
        <v>1021976</v>
      </c>
      <c r="F2747" t="s">
        <v>512</v>
      </c>
      <c r="G2747" s="9">
        <v>44966</v>
      </c>
      <c r="H2747" s="7"/>
      <c r="I2747" s="7"/>
      <c r="J2747" s="7"/>
      <c r="K2747" s="7"/>
      <c r="L2747" s="10"/>
      <c r="N2747" s="10"/>
      <c r="Q2747" s="11"/>
      <c r="R2747" s="7"/>
      <c r="S2747" s="7"/>
      <c r="T2747" s="7"/>
      <c r="U2747" s="7"/>
      <c r="V2747" s="10"/>
      <c r="X2747" s="10"/>
      <c r="AA2747" s="11"/>
    </row>
    <row r="2748" spans="2:27" x14ac:dyDescent="0.2">
      <c r="B2748" t="s">
        <v>394</v>
      </c>
      <c r="C2748">
        <v>40363080</v>
      </c>
      <c r="D2748" t="s">
        <v>485</v>
      </c>
      <c r="E2748">
        <v>1021976</v>
      </c>
      <c r="F2748" t="s">
        <v>512</v>
      </c>
      <c r="G2748" s="9">
        <v>44966</v>
      </c>
      <c r="H2748" s="7"/>
      <c r="I2748" s="7"/>
      <c r="J2748" s="7"/>
      <c r="K2748" s="7"/>
      <c r="L2748" s="10"/>
      <c r="N2748" s="10"/>
      <c r="Q2748" s="11"/>
      <c r="R2748" s="7"/>
      <c r="S2748" s="7"/>
      <c r="T2748" s="7"/>
      <c r="U2748" s="7"/>
      <c r="V2748" s="10"/>
      <c r="X2748" s="10"/>
      <c r="AA2748" s="11"/>
    </row>
    <row r="2749" spans="2:27" x14ac:dyDescent="0.2">
      <c r="B2749" t="s">
        <v>394</v>
      </c>
      <c r="C2749">
        <v>40363027</v>
      </c>
      <c r="D2749" t="s">
        <v>485</v>
      </c>
      <c r="E2749">
        <v>1011042</v>
      </c>
      <c r="F2749" t="s">
        <v>510</v>
      </c>
      <c r="G2749" s="9">
        <v>44969</v>
      </c>
      <c r="H2749" s="7"/>
      <c r="I2749" s="7"/>
      <c r="J2749" s="7"/>
      <c r="K2749" s="7"/>
      <c r="L2749" s="10"/>
      <c r="N2749" s="10"/>
      <c r="Q2749" s="11"/>
      <c r="R2749" s="7"/>
      <c r="S2749" s="7"/>
      <c r="T2749" s="7"/>
      <c r="U2749" s="7"/>
      <c r="V2749" s="10"/>
      <c r="X2749" s="10"/>
      <c r="AA2749" s="11"/>
    </row>
    <row r="2750" spans="2:27" ht="16" x14ac:dyDescent="0.2">
      <c r="B2750" t="s">
        <v>35</v>
      </c>
      <c r="C2750">
        <v>40362927</v>
      </c>
      <c r="D2750" t="s">
        <v>423</v>
      </c>
      <c r="E2750">
        <v>1023324</v>
      </c>
      <c r="F2750" t="s">
        <v>269</v>
      </c>
      <c r="G2750" s="9">
        <v>44974</v>
      </c>
      <c r="H2750" s="7">
        <v>24013.75</v>
      </c>
      <c r="I2750" s="7"/>
      <c r="J2750" s="7"/>
      <c r="K2750" s="7"/>
      <c r="L2750" s="10">
        <v>5.4496124031007751</v>
      </c>
      <c r="M2750" s="9">
        <v>44979</v>
      </c>
      <c r="N2750" s="10">
        <v>10</v>
      </c>
      <c r="O2750" s="9">
        <v>44989</v>
      </c>
      <c r="P2750">
        <v>21</v>
      </c>
      <c r="Q2750" s="11" t="s">
        <v>49</v>
      </c>
      <c r="R2750" s="7">
        <v>24013.75</v>
      </c>
      <c r="S2750" s="7"/>
      <c r="T2750" s="7"/>
      <c r="U2750" s="7"/>
      <c r="V2750" s="10">
        <v>7.4496124031007751</v>
      </c>
      <c r="W2750" s="9">
        <v>44981</v>
      </c>
      <c r="X2750" s="10">
        <v>12</v>
      </c>
      <c r="Y2750" s="9">
        <v>44989</v>
      </c>
      <c r="Z2750">
        <v>21</v>
      </c>
      <c r="AA2750" s="11" t="s">
        <v>49</v>
      </c>
    </row>
    <row r="2751" spans="2:27" ht="16" x14ac:dyDescent="0.2">
      <c r="B2751" t="s">
        <v>35</v>
      </c>
      <c r="C2751">
        <v>40362919</v>
      </c>
      <c r="D2751" t="s">
        <v>423</v>
      </c>
      <c r="E2751">
        <v>1012796</v>
      </c>
      <c r="F2751" t="s">
        <v>523</v>
      </c>
      <c r="G2751" s="9">
        <v>44974</v>
      </c>
      <c r="H2751" s="7">
        <v>19992.919999999998</v>
      </c>
      <c r="I2751" s="7"/>
      <c r="J2751" s="7"/>
      <c r="K2751" s="7"/>
      <c r="L2751" s="10">
        <v>5.4496124031007751</v>
      </c>
      <c r="M2751" s="9">
        <v>44979</v>
      </c>
      <c r="N2751" s="10">
        <v>10</v>
      </c>
      <c r="O2751" s="9">
        <v>44989</v>
      </c>
      <c r="P2751">
        <v>21</v>
      </c>
      <c r="Q2751" s="11" t="s">
        <v>49</v>
      </c>
      <c r="R2751" s="7">
        <v>19992.919999999998</v>
      </c>
      <c r="S2751" s="7"/>
      <c r="T2751" s="7"/>
      <c r="U2751" s="7"/>
      <c r="V2751" s="10">
        <v>7.4496124031007751</v>
      </c>
      <c r="W2751" s="9">
        <v>44981</v>
      </c>
      <c r="X2751" s="10">
        <v>12</v>
      </c>
      <c r="Y2751" s="9">
        <v>44989</v>
      </c>
      <c r="Z2751">
        <v>21</v>
      </c>
      <c r="AA2751" s="11" t="s">
        <v>49</v>
      </c>
    </row>
    <row r="2752" spans="2:27" ht="16" x14ac:dyDescent="0.2">
      <c r="B2752" t="s">
        <v>35</v>
      </c>
      <c r="C2752">
        <v>40362918</v>
      </c>
      <c r="D2752" t="s">
        <v>423</v>
      </c>
      <c r="E2752">
        <v>1012534</v>
      </c>
      <c r="F2752" t="s">
        <v>232</v>
      </c>
      <c r="G2752" s="9">
        <v>44984</v>
      </c>
      <c r="H2752" s="7">
        <v>19987.759999999998</v>
      </c>
      <c r="I2752" s="7"/>
      <c r="J2752" s="7"/>
      <c r="K2752" s="7"/>
      <c r="L2752" s="10">
        <v>5.4496124031007751</v>
      </c>
      <c r="M2752" s="9">
        <v>44989</v>
      </c>
      <c r="N2752" s="10">
        <v>10</v>
      </c>
      <c r="O2752" s="9">
        <v>44999</v>
      </c>
      <c r="P2752">
        <v>13</v>
      </c>
      <c r="Q2752" s="11" t="s">
        <v>49</v>
      </c>
      <c r="R2752" s="7">
        <v>19987.759999999998</v>
      </c>
      <c r="S2752" s="7"/>
      <c r="T2752" s="7"/>
      <c r="U2752" s="7"/>
      <c r="V2752" s="10">
        <v>7.4496124031007751</v>
      </c>
      <c r="W2752" s="9">
        <v>44991</v>
      </c>
      <c r="X2752" s="10">
        <v>12</v>
      </c>
      <c r="Y2752" s="9">
        <v>44999</v>
      </c>
      <c r="Z2752">
        <v>13</v>
      </c>
      <c r="AA2752" s="11" t="s">
        <v>49</v>
      </c>
    </row>
    <row r="2753" spans="2:27" ht="16" x14ac:dyDescent="0.2">
      <c r="B2753" t="s">
        <v>35</v>
      </c>
      <c r="C2753">
        <v>40362917</v>
      </c>
      <c r="D2753" t="s">
        <v>423</v>
      </c>
      <c r="E2753">
        <v>1012534</v>
      </c>
      <c r="F2753" t="s">
        <v>232</v>
      </c>
      <c r="G2753" s="9">
        <v>44984</v>
      </c>
      <c r="H2753" s="7">
        <v>19996.72</v>
      </c>
      <c r="I2753" s="7"/>
      <c r="J2753" s="7"/>
      <c r="K2753" s="7"/>
      <c r="L2753" s="10">
        <v>5.4496124031007751</v>
      </c>
      <c r="M2753" s="9">
        <v>44989</v>
      </c>
      <c r="N2753" s="10">
        <v>10</v>
      </c>
      <c r="O2753" s="9">
        <v>44999</v>
      </c>
      <c r="P2753">
        <v>13</v>
      </c>
      <c r="Q2753" s="11" t="s">
        <v>49</v>
      </c>
      <c r="R2753" s="7">
        <v>19996.72</v>
      </c>
      <c r="S2753" s="7"/>
      <c r="T2753" s="7"/>
      <c r="U2753" s="7"/>
      <c r="V2753" s="10">
        <v>7.4496124031007751</v>
      </c>
      <c r="W2753" s="9">
        <v>44991</v>
      </c>
      <c r="X2753" s="10">
        <v>12</v>
      </c>
      <c r="Y2753" s="9">
        <v>44999</v>
      </c>
      <c r="Z2753">
        <v>13</v>
      </c>
      <c r="AA2753" s="11" t="s">
        <v>49</v>
      </c>
    </row>
    <row r="2754" spans="2:27" x14ac:dyDescent="0.2">
      <c r="B2754" t="s">
        <v>394</v>
      </c>
      <c r="C2754">
        <v>40362912</v>
      </c>
      <c r="D2754" t="s">
        <v>485</v>
      </c>
      <c r="E2754">
        <v>1020944</v>
      </c>
      <c r="F2754" t="s">
        <v>498</v>
      </c>
      <c r="G2754" s="9">
        <v>44983</v>
      </c>
      <c r="H2754" s="7"/>
      <c r="I2754" s="7"/>
      <c r="J2754" s="7"/>
      <c r="K2754" s="7"/>
      <c r="L2754" s="10"/>
      <c r="N2754" s="10"/>
      <c r="Q2754" s="11"/>
      <c r="R2754" s="7"/>
      <c r="S2754" s="7"/>
      <c r="T2754" s="7"/>
      <c r="U2754" s="7"/>
      <c r="V2754" s="10"/>
      <c r="X2754" s="10"/>
      <c r="AA2754" s="11"/>
    </row>
    <row r="2755" spans="2:27" x14ac:dyDescent="0.2">
      <c r="B2755" t="s">
        <v>394</v>
      </c>
      <c r="C2755">
        <v>40362910</v>
      </c>
      <c r="D2755" t="s">
        <v>485</v>
      </c>
      <c r="E2755">
        <v>1020944</v>
      </c>
      <c r="F2755" t="s">
        <v>498</v>
      </c>
      <c r="G2755" s="9">
        <v>44966</v>
      </c>
      <c r="H2755" s="7"/>
      <c r="I2755" s="7"/>
      <c r="J2755" s="7"/>
      <c r="K2755" s="7"/>
      <c r="L2755" s="10"/>
      <c r="N2755" s="10"/>
      <c r="Q2755" s="11"/>
      <c r="R2755" s="7"/>
      <c r="S2755" s="7"/>
      <c r="T2755" s="7"/>
      <c r="U2755" s="7"/>
      <c r="V2755" s="10"/>
      <c r="X2755" s="10"/>
      <c r="AA2755" s="11"/>
    </row>
    <row r="2756" spans="2:27" x14ac:dyDescent="0.2">
      <c r="B2756" t="s">
        <v>394</v>
      </c>
      <c r="C2756">
        <v>40362904</v>
      </c>
      <c r="D2756" t="s">
        <v>485</v>
      </c>
      <c r="E2756">
        <v>1021976</v>
      </c>
      <c r="F2756" t="s">
        <v>512</v>
      </c>
      <c r="G2756" s="9">
        <v>44980</v>
      </c>
      <c r="H2756" s="7"/>
      <c r="I2756" s="7"/>
      <c r="J2756" s="7"/>
      <c r="K2756" s="7"/>
      <c r="L2756" s="10"/>
      <c r="N2756" s="10"/>
      <c r="Q2756" s="11"/>
      <c r="R2756" s="7"/>
      <c r="S2756" s="7"/>
      <c r="T2756" s="7"/>
      <c r="U2756" s="7"/>
      <c r="V2756" s="10"/>
      <c r="X2756" s="10"/>
      <c r="AA2756" s="11"/>
    </row>
    <row r="2757" spans="2:27" ht="16" x14ac:dyDescent="0.2">
      <c r="B2757" t="s">
        <v>35</v>
      </c>
      <c r="C2757">
        <v>40362625</v>
      </c>
      <c r="D2757" t="s">
        <v>409</v>
      </c>
      <c r="E2757">
        <v>1030379</v>
      </c>
      <c r="F2757" t="s">
        <v>97</v>
      </c>
      <c r="G2757" s="9">
        <v>44991</v>
      </c>
      <c r="H2757" s="7">
        <v>24004.088640000002</v>
      </c>
      <c r="I2757" s="7"/>
      <c r="J2757" s="7"/>
      <c r="K2757" s="7"/>
      <c r="L2757" s="10">
        <v>7.5</v>
      </c>
      <c r="M2757" s="9">
        <v>44998</v>
      </c>
      <c r="N2757" s="10">
        <v>9.5</v>
      </c>
      <c r="O2757" s="9">
        <v>45007</v>
      </c>
      <c r="P2757">
        <v>8</v>
      </c>
      <c r="Q2757" s="11" t="s">
        <v>49</v>
      </c>
      <c r="R2757" s="7">
        <v>24004.088640000002</v>
      </c>
      <c r="S2757" s="7"/>
      <c r="T2757" s="7"/>
      <c r="U2757" s="7"/>
      <c r="V2757" s="10">
        <v>9.5</v>
      </c>
      <c r="W2757" s="9">
        <v>45000</v>
      </c>
      <c r="X2757" s="10">
        <v>11.5</v>
      </c>
      <c r="Y2757" s="9">
        <v>45007</v>
      </c>
      <c r="Z2757">
        <v>8</v>
      </c>
      <c r="AA2757" s="11" t="s">
        <v>49</v>
      </c>
    </row>
    <row r="2758" spans="2:27" ht="16" x14ac:dyDescent="0.2">
      <c r="B2758" t="s">
        <v>35</v>
      </c>
      <c r="C2758">
        <v>40362623</v>
      </c>
      <c r="D2758" t="s">
        <v>409</v>
      </c>
      <c r="E2758">
        <v>1030379</v>
      </c>
      <c r="F2758" t="s">
        <v>97</v>
      </c>
      <c r="G2758" s="9">
        <v>44992</v>
      </c>
      <c r="H2758" s="7">
        <v>23985.944960000001</v>
      </c>
      <c r="I2758" s="7"/>
      <c r="J2758" s="7"/>
      <c r="K2758" s="7"/>
      <c r="L2758" s="10">
        <v>7.5</v>
      </c>
      <c r="M2758" s="9">
        <v>44999</v>
      </c>
      <c r="N2758" s="10">
        <v>9.5</v>
      </c>
      <c r="O2758" s="9">
        <v>45008</v>
      </c>
      <c r="P2758">
        <v>7</v>
      </c>
      <c r="Q2758" s="11" t="s">
        <v>49</v>
      </c>
      <c r="R2758" s="7">
        <v>23985.944960000001</v>
      </c>
      <c r="S2758" s="7"/>
      <c r="T2758" s="7"/>
      <c r="U2758" s="7"/>
      <c r="V2758" s="10">
        <v>9.5</v>
      </c>
      <c r="W2758" s="9">
        <v>45001</v>
      </c>
      <c r="X2758" s="10">
        <v>11.5</v>
      </c>
      <c r="Y2758" s="9">
        <v>45008</v>
      </c>
      <c r="Z2758">
        <v>7</v>
      </c>
      <c r="AA2758" s="11" t="s">
        <v>49</v>
      </c>
    </row>
    <row r="2759" spans="2:27" ht="16" x14ac:dyDescent="0.2">
      <c r="B2759" t="s">
        <v>35</v>
      </c>
      <c r="C2759">
        <v>40362622</v>
      </c>
      <c r="D2759" t="s">
        <v>409</v>
      </c>
      <c r="E2759">
        <v>1030379</v>
      </c>
      <c r="F2759" t="s">
        <v>97</v>
      </c>
      <c r="G2759" s="9">
        <v>44992</v>
      </c>
      <c r="H2759" s="7">
        <v>24004.088640000002</v>
      </c>
      <c r="I2759" s="7"/>
      <c r="J2759" s="7"/>
      <c r="K2759" s="7"/>
      <c r="L2759" s="10">
        <v>7.5</v>
      </c>
      <c r="M2759" s="9">
        <v>44999</v>
      </c>
      <c r="N2759" s="10">
        <v>9.5</v>
      </c>
      <c r="O2759" s="9">
        <v>45008</v>
      </c>
      <c r="P2759">
        <v>7</v>
      </c>
      <c r="Q2759" s="11" t="s">
        <v>49</v>
      </c>
      <c r="R2759" s="7">
        <v>24004.088640000002</v>
      </c>
      <c r="S2759" s="7"/>
      <c r="T2759" s="7"/>
      <c r="U2759" s="7"/>
      <c r="V2759" s="10">
        <v>9.5</v>
      </c>
      <c r="W2759" s="9">
        <v>45001</v>
      </c>
      <c r="X2759" s="10">
        <v>11.5</v>
      </c>
      <c r="Y2759" s="9">
        <v>45008</v>
      </c>
      <c r="Z2759">
        <v>7</v>
      </c>
      <c r="AA2759" s="11" t="s">
        <v>49</v>
      </c>
    </row>
    <row r="2760" spans="2:27" ht="16" x14ac:dyDescent="0.2">
      <c r="B2760" t="s">
        <v>35</v>
      </c>
      <c r="C2760">
        <v>40362576</v>
      </c>
      <c r="D2760" t="s">
        <v>409</v>
      </c>
      <c r="E2760">
        <v>1012109</v>
      </c>
      <c r="F2760" t="s">
        <v>68</v>
      </c>
      <c r="G2760" s="9">
        <v>44990</v>
      </c>
      <c r="H2760" s="7">
        <v>19958.047999999999</v>
      </c>
      <c r="I2760" s="7"/>
      <c r="J2760" s="7"/>
      <c r="K2760" s="7"/>
      <c r="L2760" s="10">
        <v>7.5</v>
      </c>
      <c r="M2760" s="9">
        <v>44997</v>
      </c>
      <c r="N2760" s="10">
        <v>9.5</v>
      </c>
      <c r="O2760" s="9">
        <v>45006</v>
      </c>
      <c r="P2760">
        <v>9</v>
      </c>
      <c r="Q2760" s="11" t="s">
        <v>49</v>
      </c>
      <c r="R2760" s="7">
        <v>19958.047999999999</v>
      </c>
      <c r="S2760" s="7"/>
      <c r="T2760" s="7"/>
      <c r="U2760" s="7"/>
      <c r="V2760" s="10">
        <v>9.5</v>
      </c>
      <c r="W2760" s="9">
        <v>44999</v>
      </c>
      <c r="X2760" s="10">
        <v>11.5</v>
      </c>
      <c r="Y2760" s="9">
        <v>45006</v>
      </c>
      <c r="Z2760">
        <v>9</v>
      </c>
      <c r="AA2760" s="11" t="s">
        <v>49</v>
      </c>
    </row>
    <row r="2761" spans="2:27" ht="16" x14ac:dyDescent="0.2">
      <c r="B2761" t="s">
        <v>35</v>
      </c>
      <c r="C2761">
        <v>40362572</v>
      </c>
      <c r="D2761" t="s">
        <v>409</v>
      </c>
      <c r="E2761">
        <v>1012109</v>
      </c>
      <c r="F2761" t="s">
        <v>68</v>
      </c>
      <c r="G2761" s="9">
        <v>44991</v>
      </c>
      <c r="H2761" s="7">
        <v>19958.047999999999</v>
      </c>
      <c r="I2761" s="7"/>
      <c r="J2761" s="7"/>
      <c r="K2761" s="7"/>
      <c r="L2761" s="10">
        <v>7.5</v>
      </c>
      <c r="M2761" s="9">
        <v>44998</v>
      </c>
      <c r="N2761" s="10">
        <v>9.5</v>
      </c>
      <c r="O2761" s="9">
        <v>45007</v>
      </c>
      <c r="P2761">
        <v>8</v>
      </c>
      <c r="Q2761" s="11" t="s">
        <v>49</v>
      </c>
      <c r="R2761" s="7">
        <v>19958.047999999999</v>
      </c>
      <c r="S2761" s="7"/>
      <c r="T2761" s="7"/>
      <c r="U2761" s="7"/>
      <c r="V2761" s="10">
        <v>9.5</v>
      </c>
      <c r="W2761" s="9">
        <v>45000</v>
      </c>
      <c r="X2761" s="10">
        <v>11.5</v>
      </c>
      <c r="Y2761" s="9">
        <v>45007</v>
      </c>
      <c r="Z2761">
        <v>8</v>
      </c>
      <c r="AA2761" s="11" t="s">
        <v>49</v>
      </c>
    </row>
    <row r="2762" spans="2:27" ht="16" x14ac:dyDescent="0.2">
      <c r="B2762" t="s">
        <v>35</v>
      </c>
      <c r="C2762">
        <v>40362564</v>
      </c>
      <c r="D2762" t="s">
        <v>409</v>
      </c>
      <c r="E2762">
        <v>1012108</v>
      </c>
      <c r="F2762" t="s">
        <v>57</v>
      </c>
      <c r="G2762" s="9">
        <v>44992</v>
      </c>
      <c r="H2762" s="7">
        <v>19958.047999999999</v>
      </c>
      <c r="I2762" s="7"/>
      <c r="J2762" s="7"/>
      <c r="K2762" s="7"/>
      <c r="L2762" s="10">
        <v>7.5</v>
      </c>
      <c r="M2762" s="9">
        <v>44999</v>
      </c>
      <c r="N2762" s="10">
        <v>9.5</v>
      </c>
      <c r="O2762" s="9">
        <v>45008</v>
      </c>
      <c r="P2762">
        <v>7</v>
      </c>
      <c r="Q2762" s="11" t="s">
        <v>49</v>
      </c>
      <c r="R2762" s="7">
        <v>19958.047999999999</v>
      </c>
      <c r="S2762" s="7"/>
      <c r="T2762" s="7"/>
      <c r="U2762" s="7"/>
      <c r="V2762" s="10">
        <v>9.5</v>
      </c>
      <c r="W2762" s="9">
        <v>45001</v>
      </c>
      <c r="X2762" s="10">
        <v>11.5</v>
      </c>
      <c r="Y2762" s="9">
        <v>45008</v>
      </c>
      <c r="Z2762">
        <v>7</v>
      </c>
      <c r="AA2762" s="11" t="s">
        <v>49</v>
      </c>
    </row>
    <row r="2763" spans="2:27" ht="16" x14ac:dyDescent="0.2">
      <c r="B2763" t="s">
        <v>35</v>
      </c>
      <c r="C2763">
        <v>40362552</v>
      </c>
      <c r="D2763" t="s">
        <v>409</v>
      </c>
      <c r="E2763">
        <v>1012167</v>
      </c>
      <c r="F2763" t="s">
        <v>70</v>
      </c>
      <c r="G2763" s="9">
        <v>45000</v>
      </c>
      <c r="H2763" s="7">
        <v>19958.047999999999</v>
      </c>
      <c r="I2763" s="7"/>
      <c r="J2763" s="7"/>
      <c r="K2763" s="7"/>
      <c r="L2763" s="10">
        <v>7.5</v>
      </c>
      <c r="M2763" s="9">
        <v>45007</v>
      </c>
      <c r="N2763" s="10">
        <v>9.5</v>
      </c>
      <c r="O2763" s="9">
        <v>45016</v>
      </c>
      <c r="P2763">
        <v>0</v>
      </c>
      <c r="Q2763" s="11" t="s">
        <v>598</v>
      </c>
      <c r="R2763" s="7">
        <v>19958.047999999999</v>
      </c>
      <c r="S2763" s="7"/>
      <c r="T2763" s="7"/>
      <c r="U2763" s="7"/>
      <c r="V2763" s="10">
        <v>9.5</v>
      </c>
      <c r="W2763" s="9">
        <v>45009</v>
      </c>
      <c r="X2763" s="10">
        <v>11.5</v>
      </c>
      <c r="Y2763" s="9">
        <v>45016</v>
      </c>
      <c r="Z2763">
        <v>0</v>
      </c>
      <c r="AA2763" s="11" t="s">
        <v>598</v>
      </c>
    </row>
    <row r="2764" spans="2:27" ht="16" x14ac:dyDescent="0.2">
      <c r="B2764" t="s">
        <v>35</v>
      </c>
      <c r="C2764">
        <v>40362543</v>
      </c>
      <c r="D2764" t="s">
        <v>409</v>
      </c>
      <c r="E2764">
        <v>1011701</v>
      </c>
      <c r="F2764" t="s">
        <v>82</v>
      </c>
      <c r="G2764" s="9">
        <v>44980</v>
      </c>
      <c r="H2764" s="7">
        <v>18137.130130000001</v>
      </c>
      <c r="I2764" s="7"/>
      <c r="J2764" s="7"/>
      <c r="K2764" s="7"/>
      <c r="L2764" s="10">
        <v>7.5</v>
      </c>
      <c r="M2764" s="9">
        <v>44987</v>
      </c>
      <c r="N2764" s="10">
        <v>9.5</v>
      </c>
      <c r="O2764" s="9">
        <v>44996</v>
      </c>
      <c r="P2764">
        <v>17</v>
      </c>
      <c r="Q2764" s="11" t="s">
        <v>49</v>
      </c>
      <c r="R2764" s="7">
        <v>18137.130130000001</v>
      </c>
      <c r="S2764" s="7"/>
      <c r="T2764" s="7"/>
      <c r="U2764" s="7"/>
      <c r="V2764" s="10">
        <v>9.5</v>
      </c>
      <c r="W2764" s="9">
        <v>44989</v>
      </c>
      <c r="X2764" s="10">
        <v>11.5</v>
      </c>
      <c r="Y2764" s="9">
        <v>44996</v>
      </c>
      <c r="Z2764">
        <v>17</v>
      </c>
      <c r="AA2764" s="11" t="s">
        <v>49</v>
      </c>
    </row>
    <row r="2765" spans="2:27" ht="16" x14ac:dyDescent="0.2">
      <c r="B2765" t="s">
        <v>35</v>
      </c>
      <c r="C2765">
        <v>40362538</v>
      </c>
      <c r="D2765" t="s">
        <v>409</v>
      </c>
      <c r="E2765">
        <v>1012518</v>
      </c>
      <c r="F2765" t="s">
        <v>65</v>
      </c>
      <c r="G2765" s="9">
        <v>44982</v>
      </c>
      <c r="H2765" s="7">
        <v>18143.68</v>
      </c>
      <c r="I2765" s="7"/>
      <c r="J2765" s="7"/>
      <c r="K2765" s="7"/>
      <c r="L2765" s="10">
        <v>7.5</v>
      </c>
      <c r="M2765" s="9">
        <v>44989</v>
      </c>
      <c r="N2765" s="10">
        <v>9.5</v>
      </c>
      <c r="O2765" s="9">
        <v>44998</v>
      </c>
      <c r="P2765">
        <v>16</v>
      </c>
      <c r="Q2765" s="11" t="s">
        <v>49</v>
      </c>
      <c r="R2765" s="7">
        <v>18143.68</v>
      </c>
      <c r="S2765" s="7"/>
      <c r="T2765" s="7"/>
      <c r="U2765" s="7"/>
      <c r="V2765" s="10">
        <v>9.5</v>
      </c>
      <c r="W2765" s="9">
        <v>44991</v>
      </c>
      <c r="X2765" s="10">
        <v>11.5</v>
      </c>
      <c r="Y2765" s="9">
        <v>44998</v>
      </c>
      <c r="Z2765">
        <v>16</v>
      </c>
      <c r="AA2765" s="11" t="s">
        <v>49</v>
      </c>
    </row>
    <row r="2766" spans="2:27" ht="16" x14ac:dyDescent="0.2">
      <c r="B2766" t="s">
        <v>35</v>
      </c>
      <c r="C2766">
        <v>40362528</v>
      </c>
      <c r="D2766" t="s">
        <v>409</v>
      </c>
      <c r="E2766">
        <v>1012163</v>
      </c>
      <c r="F2766" t="s">
        <v>140</v>
      </c>
      <c r="G2766" s="9">
        <v>44989</v>
      </c>
      <c r="H2766" s="7">
        <v>19958.047999999999</v>
      </c>
      <c r="I2766" s="7"/>
      <c r="J2766" s="7"/>
      <c r="K2766" s="7"/>
      <c r="L2766" s="10">
        <v>7.5</v>
      </c>
      <c r="M2766" s="9">
        <v>44996</v>
      </c>
      <c r="N2766" s="10">
        <v>9.5</v>
      </c>
      <c r="O2766" s="9">
        <v>45005</v>
      </c>
      <c r="P2766">
        <v>10</v>
      </c>
      <c r="Q2766" s="11" t="s">
        <v>49</v>
      </c>
      <c r="R2766" s="7">
        <v>19958.047999999999</v>
      </c>
      <c r="S2766" s="7"/>
      <c r="T2766" s="7"/>
      <c r="U2766" s="7"/>
      <c r="V2766" s="10">
        <v>9.5</v>
      </c>
      <c r="W2766" s="9">
        <v>44998</v>
      </c>
      <c r="X2766" s="10">
        <v>11.5</v>
      </c>
      <c r="Y2766" s="9">
        <v>45005</v>
      </c>
      <c r="Z2766">
        <v>10</v>
      </c>
      <c r="AA2766" s="11" t="s">
        <v>49</v>
      </c>
    </row>
    <row r="2767" spans="2:27" ht="16" x14ac:dyDescent="0.2">
      <c r="B2767" t="s">
        <v>35</v>
      </c>
      <c r="C2767">
        <v>40362527</v>
      </c>
      <c r="D2767" t="s">
        <v>409</v>
      </c>
      <c r="E2767">
        <v>1012163</v>
      </c>
      <c r="F2767" t="s">
        <v>140</v>
      </c>
      <c r="G2767" s="9">
        <v>44992</v>
      </c>
      <c r="H2767" s="7">
        <v>19958.047999999999</v>
      </c>
      <c r="I2767" s="7"/>
      <c r="J2767" s="7"/>
      <c r="K2767" s="7"/>
      <c r="L2767" s="10">
        <v>7.5</v>
      </c>
      <c r="M2767" s="9">
        <v>44999</v>
      </c>
      <c r="N2767" s="10">
        <v>9.5</v>
      </c>
      <c r="O2767" s="9">
        <v>45008</v>
      </c>
      <c r="P2767">
        <v>7</v>
      </c>
      <c r="Q2767" s="11" t="s">
        <v>49</v>
      </c>
      <c r="R2767" s="7">
        <v>19958.047999999999</v>
      </c>
      <c r="S2767" s="7"/>
      <c r="T2767" s="7"/>
      <c r="U2767" s="7"/>
      <c r="V2767" s="10">
        <v>9.5</v>
      </c>
      <c r="W2767" s="9">
        <v>45001</v>
      </c>
      <c r="X2767" s="10">
        <v>11.5</v>
      </c>
      <c r="Y2767" s="9">
        <v>45008</v>
      </c>
      <c r="Z2767">
        <v>7</v>
      </c>
      <c r="AA2767" s="11" t="s">
        <v>49</v>
      </c>
    </row>
    <row r="2768" spans="2:27" ht="16" x14ac:dyDescent="0.2">
      <c r="B2768" t="s">
        <v>35</v>
      </c>
      <c r="C2768">
        <v>40362522</v>
      </c>
      <c r="D2768" t="s">
        <v>409</v>
      </c>
      <c r="E2768">
        <v>1012158</v>
      </c>
      <c r="F2768" t="s">
        <v>86</v>
      </c>
      <c r="G2768" s="9">
        <v>44993</v>
      </c>
      <c r="H2768" s="7">
        <v>19958.047999999999</v>
      </c>
      <c r="I2768" s="7"/>
      <c r="J2768" s="7"/>
      <c r="K2768" s="7"/>
      <c r="L2768" s="10">
        <v>7.5</v>
      </c>
      <c r="M2768" s="9">
        <v>45000</v>
      </c>
      <c r="N2768" s="10">
        <v>9.5</v>
      </c>
      <c r="O2768" s="9">
        <v>45009</v>
      </c>
      <c r="P2768">
        <v>6</v>
      </c>
      <c r="Q2768" s="11" t="s">
        <v>49</v>
      </c>
      <c r="R2768" s="7">
        <v>19958.047999999999</v>
      </c>
      <c r="S2768" s="7"/>
      <c r="T2768" s="7"/>
      <c r="U2768" s="7"/>
      <c r="V2768" s="10">
        <v>9.5</v>
      </c>
      <c r="W2768" s="9">
        <v>45002</v>
      </c>
      <c r="X2768" s="10">
        <v>11.5</v>
      </c>
      <c r="Y2768" s="9">
        <v>45009</v>
      </c>
      <c r="Z2768">
        <v>6</v>
      </c>
      <c r="AA2768" s="11" t="s">
        <v>49</v>
      </c>
    </row>
    <row r="2769" spans="2:27" ht="16" x14ac:dyDescent="0.2">
      <c r="B2769" t="s">
        <v>35</v>
      </c>
      <c r="C2769">
        <v>40362521</v>
      </c>
      <c r="D2769" t="s">
        <v>409</v>
      </c>
      <c r="E2769">
        <v>1012158</v>
      </c>
      <c r="F2769" t="s">
        <v>86</v>
      </c>
      <c r="G2769" s="9">
        <v>44982</v>
      </c>
      <c r="H2769" s="7">
        <v>19958.047999999999</v>
      </c>
      <c r="I2769" s="7"/>
      <c r="J2769" s="7"/>
      <c r="K2769" s="7"/>
      <c r="L2769" s="10">
        <v>7.5</v>
      </c>
      <c r="M2769" s="9">
        <v>44989</v>
      </c>
      <c r="N2769" s="10">
        <v>9.5</v>
      </c>
      <c r="O2769" s="9">
        <v>44998</v>
      </c>
      <c r="P2769">
        <v>16</v>
      </c>
      <c r="Q2769" s="11" t="s">
        <v>49</v>
      </c>
      <c r="R2769" s="7">
        <v>19958.047999999999</v>
      </c>
      <c r="S2769" s="7"/>
      <c r="T2769" s="7"/>
      <c r="U2769" s="7"/>
      <c r="V2769" s="10">
        <v>9.5</v>
      </c>
      <c r="W2769" s="9">
        <v>44991</v>
      </c>
      <c r="X2769" s="10">
        <v>11.5</v>
      </c>
      <c r="Y2769" s="9">
        <v>44998</v>
      </c>
      <c r="Z2769">
        <v>16</v>
      </c>
      <c r="AA2769" s="11" t="s">
        <v>49</v>
      </c>
    </row>
    <row r="2770" spans="2:27" ht="16" x14ac:dyDescent="0.2">
      <c r="B2770" t="s">
        <v>35</v>
      </c>
      <c r="C2770">
        <v>40362520</v>
      </c>
      <c r="D2770" t="s">
        <v>409</v>
      </c>
      <c r="E2770">
        <v>1012158</v>
      </c>
      <c r="F2770" t="s">
        <v>86</v>
      </c>
      <c r="G2770" s="9">
        <v>44992</v>
      </c>
      <c r="H2770" s="7">
        <v>19958.047999999999</v>
      </c>
      <c r="I2770" s="7"/>
      <c r="J2770" s="7"/>
      <c r="K2770" s="7"/>
      <c r="L2770" s="10">
        <v>7.5</v>
      </c>
      <c r="M2770" s="9">
        <v>44999</v>
      </c>
      <c r="N2770" s="10">
        <v>9.5</v>
      </c>
      <c r="O2770" s="9">
        <v>45008</v>
      </c>
      <c r="P2770">
        <v>7</v>
      </c>
      <c r="Q2770" s="11" t="s">
        <v>49</v>
      </c>
      <c r="R2770" s="7">
        <v>19958.047999999999</v>
      </c>
      <c r="S2770" s="7"/>
      <c r="T2770" s="7"/>
      <c r="U2770" s="7"/>
      <c r="V2770" s="10">
        <v>9.5</v>
      </c>
      <c r="W2770" s="9">
        <v>45001</v>
      </c>
      <c r="X2770" s="10">
        <v>11.5</v>
      </c>
      <c r="Y2770" s="9">
        <v>45008</v>
      </c>
      <c r="Z2770">
        <v>7</v>
      </c>
      <c r="AA2770" s="11" t="s">
        <v>49</v>
      </c>
    </row>
    <row r="2771" spans="2:27" ht="16" x14ac:dyDescent="0.2">
      <c r="B2771" t="s">
        <v>35</v>
      </c>
      <c r="C2771">
        <v>40362518</v>
      </c>
      <c r="D2771" t="s">
        <v>409</v>
      </c>
      <c r="E2771">
        <v>1012147</v>
      </c>
      <c r="F2771" t="s">
        <v>217</v>
      </c>
      <c r="G2771" s="9">
        <v>45000</v>
      </c>
      <c r="H2771" s="7">
        <v>18660.774880000001</v>
      </c>
      <c r="I2771" s="7"/>
      <c r="J2771" s="7"/>
      <c r="K2771" s="7"/>
      <c r="L2771" s="10">
        <v>7.5</v>
      </c>
      <c r="M2771" s="9">
        <v>45007</v>
      </c>
      <c r="N2771" s="10">
        <v>9.5</v>
      </c>
      <c r="O2771" s="9">
        <v>45016</v>
      </c>
      <c r="P2771">
        <v>0</v>
      </c>
      <c r="Q2771" s="11" t="s">
        <v>598</v>
      </c>
      <c r="R2771" s="7">
        <v>18660.774880000001</v>
      </c>
      <c r="S2771" s="7"/>
      <c r="T2771" s="7"/>
      <c r="U2771" s="7"/>
      <c r="V2771" s="10">
        <v>9.5</v>
      </c>
      <c r="W2771" s="9">
        <v>45009</v>
      </c>
      <c r="X2771" s="10">
        <v>11.5</v>
      </c>
      <c r="Y2771" s="9">
        <v>45016</v>
      </c>
      <c r="Z2771">
        <v>0</v>
      </c>
      <c r="AA2771" s="11" t="s">
        <v>598</v>
      </c>
    </row>
    <row r="2772" spans="2:27" ht="16" x14ac:dyDescent="0.2">
      <c r="B2772" t="s">
        <v>35</v>
      </c>
      <c r="C2772">
        <v>40362515</v>
      </c>
      <c r="D2772" t="s">
        <v>409</v>
      </c>
      <c r="E2772">
        <v>1012483</v>
      </c>
      <c r="F2772" t="s">
        <v>90</v>
      </c>
      <c r="G2772" s="9">
        <v>44992</v>
      </c>
      <c r="H2772" s="7">
        <v>19958.047999999999</v>
      </c>
      <c r="I2772" s="7"/>
      <c r="J2772" s="7"/>
      <c r="K2772" s="7"/>
      <c r="L2772" s="10">
        <v>7.5</v>
      </c>
      <c r="M2772" s="9">
        <v>44999</v>
      </c>
      <c r="N2772" s="10">
        <v>9.5</v>
      </c>
      <c r="O2772" s="9">
        <v>45008</v>
      </c>
      <c r="P2772">
        <v>7</v>
      </c>
      <c r="Q2772" s="11" t="s">
        <v>49</v>
      </c>
      <c r="R2772" s="7">
        <v>19958.047999999999</v>
      </c>
      <c r="S2772" s="7"/>
      <c r="T2772" s="7"/>
      <c r="U2772" s="7"/>
      <c r="V2772" s="10">
        <v>9.5</v>
      </c>
      <c r="W2772" s="9">
        <v>45001</v>
      </c>
      <c r="X2772" s="10">
        <v>11.5</v>
      </c>
      <c r="Y2772" s="9">
        <v>45008</v>
      </c>
      <c r="Z2772">
        <v>7</v>
      </c>
      <c r="AA2772" s="11" t="s">
        <v>49</v>
      </c>
    </row>
    <row r="2773" spans="2:27" ht="16" x14ac:dyDescent="0.2">
      <c r="B2773" t="s">
        <v>35</v>
      </c>
      <c r="C2773">
        <v>40362514</v>
      </c>
      <c r="D2773" t="s">
        <v>409</v>
      </c>
      <c r="E2773">
        <v>1012483</v>
      </c>
      <c r="F2773" t="s">
        <v>90</v>
      </c>
      <c r="G2773" s="9">
        <v>44982</v>
      </c>
      <c r="H2773" s="7">
        <v>19958.047999999999</v>
      </c>
      <c r="I2773" s="7"/>
      <c r="J2773" s="7"/>
      <c r="K2773" s="7"/>
      <c r="L2773" s="10">
        <v>7.5</v>
      </c>
      <c r="M2773" s="9">
        <v>44989</v>
      </c>
      <c r="N2773" s="10">
        <v>9.5</v>
      </c>
      <c r="O2773" s="9">
        <v>44998</v>
      </c>
      <c r="P2773">
        <v>16</v>
      </c>
      <c r="Q2773" s="11" t="s">
        <v>49</v>
      </c>
      <c r="R2773" s="7">
        <v>19958.047999999999</v>
      </c>
      <c r="S2773" s="7"/>
      <c r="T2773" s="7"/>
      <c r="U2773" s="7"/>
      <c r="V2773" s="10">
        <v>9.5</v>
      </c>
      <c r="W2773" s="9">
        <v>44991</v>
      </c>
      <c r="X2773" s="10">
        <v>11.5</v>
      </c>
      <c r="Y2773" s="9">
        <v>44998</v>
      </c>
      <c r="Z2773">
        <v>16</v>
      </c>
      <c r="AA2773" s="11" t="s">
        <v>49</v>
      </c>
    </row>
    <row r="2774" spans="2:27" ht="16" x14ac:dyDescent="0.2">
      <c r="B2774" t="s">
        <v>35</v>
      </c>
      <c r="C2774">
        <v>40362513</v>
      </c>
      <c r="D2774" t="s">
        <v>409</v>
      </c>
      <c r="E2774">
        <v>1012483</v>
      </c>
      <c r="F2774" t="s">
        <v>90</v>
      </c>
      <c r="G2774" s="9">
        <v>44991</v>
      </c>
      <c r="H2774" s="7">
        <v>19958.047999999999</v>
      </c>
      <c r="I2774" s="7"/>
      <c r="J2774" s="7"/>
      <c r="K2774" s="7"/>
      <c r="L2774" s="10">
        <v>7.5</v>
      </c>
      <c r="M2774" s="9">
        <v>44998</v>
      </c>
      <c r="N2774" s="10">
        <v>9.5</v>
      </c>
      <c r="O2774" s="9">
        <v>45007</v>
      </c>
      <c r="P2774">
        <v>8</v>
      </c>
      <c r="Q2774" s="11" t="s">
        <v>49</v>
      </c>
      <c r="R2774" s="7">
        <v>19958.047999999999</v>
      </c>
      <c r="S2774" s="7"/>
      <c r="T2774" s="7"/>
      <c r="U2774" s="7"/>
      <c r="V2774" s="10">
        <v>9.5</v>
      </c>
      <c r="W2774" s="9">
        <v>45000</v>
      </c>
      <c r="X2774" s="10">
        <v>11.5</v>
      </c>
      <c r="Y2774" s="9">
        <v>45007</v>
      </c>
      <c r="Z2774">
        <v>8</v>
      </c>
      <c r="AA2774" s="11" t="s">
        <v>49</v>
      </c>
    </row>
    <row r="2775" spans="2:27" ht="16" x14ac:dyDescent="0.2">
      <c r="B2775" t="s">
        <v>35</v>
      </c>
      <c r="C2775">
        <v>40362505</v>
      </c>
      <c r="D2775" t="s">
        <v>409</v>
      </c>
      <c r="E2775">
        <v>1012165</v>
      </c>
      <c r="F2775" t="s">
        <v>61</v>
      </c>
      <c r="G2775" s="9">
        <v>44992</v>
      </c>
      <c r="H2775" s="7">
        <v>19958.047999999999</v>
      </c>
      <c r="I2775" s="7"/>
      <c r="J2775" s="7"/>
      <c r="K2775" s="7"/>
      <c r="L2775" s="10">
        <v>7.5</v>
      </c>
      <c r="M2775" s="9">
        <v>44999</v>
      </c>
      <c r="N2775" s="10">
        <v>9.5</v>
      </c>
      <c r="O2775" s="9">
        <v>45008</v>
      </c>
      <c r="P2775">
        <v>7</v>
      </c>
      <c r="Q2775" s="11" t="s">
        <v>49</v>
      </c>
      <c r="R2775" s="7">
        <v>19958.047999999999</v>
      </c>
      <c r="S2775" s="7"/>
      <c r="T2775" s="7"/>
      <c r="U2775" s="7"/>
      <c r="V2775" s="10">
        <v>9.5</v>
      </c>
      <c r="W2775" s="9">
        <v>45001</v>
      </c>
      <c r="X2775" s="10">
        <v>11.5</v>
      </c>
      <c r="Y2775" s="9">
        <v>45008</v>
      </c>
      <c r="Z2775">
        <v>7</v>
      </c>
      <c r="AA2775" s="11" t="s">
        <v>49</v>
      </c>
    </row>
    <row r="2776" spans="2:27" ht="16" x14ac:dyDescent="0.2">
      <c r="B2776" t="s">
        <v>35</v>
      </c>
      <c r="C2776">
        <v>40362503</v>
      </c>
      <c r="D2776" t="s">
        <v>409</v>
      </c>
      <c r="E2776">
        <v>1012165</v>
      </c>
      <c r="F2776" t="s">
        <v>61</v>
      </c>
      <c r="G2776" s="9">
        <v>45000</v>
      </c>
      <c r="H2776" s="7">
        <v>11067.6448</v>
      </c>
      <c r="I2776" s="7"/>
      <c r="J2776" s="7"/>
      <c r="K2776" s="7"/>
      <c r="L2776" s="10">
        <v>7.5</v>
      </c>
      <c r="M2776" s="9">
        <v>45007</v>
      </c>
      <c r="N2776" s="10">
        <v>9.5</v>
      </c>
      <c r="O2776" s="9">
        <v>45016</v>
      </c>
      <c r="P2776">
        <v>0</v>
      </c>
      <c r="Q2776" s="11" t="s">
        <v>598</v>
      </c>
      <c r="R2776" s="7">
        <v>11067.6448</v>
      </c>
      <c r="S2776" s="7"/>
      <c r="T2776" s="7"/>
      <c r="U2776" s="7"/>
      <c r="V2776" s="10">
        <v>9.5</v>
      </c>
      <c r="W2776" s="9">
        <v>45009</v>
      </c>
      <c r="X2776" s="10">
        <v>11.5</v>
      </c>
      <c r="Y2776" s="9">
        <v>45016</v>
      </c>
      <c r="Z2776">
        <v>0</v>
      </c>
      <c r="AA2776" s="11" t="s">
        <v>598</v>
      </c>
    </row>
    <row r="2777" spans="2:27" ht="16" x14ac:dyDescent="0.2">
      <c r="B2777" t="s">
        <v>35</v>
      </c>
      <c r="C2777">
        <v>40362503</v>
      </c>
      <c r="D2777" t="s">
        <v>409</v>
      </c>
      <c r="E2777">
        <v>1012165</v>
      </c>
      <c r="F2777" t="s">
        <v>61</v>
      </c>
      <c r="G2777" s="9">
        <v>45000</v>
      </c>
      <c r="H2777" s="7">
        <v>19976.19168</v>
      </c>
      <c r="I2777" s="7"/>
      <c r="J2777" s="7"/>
      <c r="K2777" s="7"/>
      <c r="L2777" s="10">
        <v>7.5</v>
      </c>
      <c r="M2777" s="9">
        <v>45007</v>
      </c>
      <c r="N2777" s="10">
        <v>9.5</v>
      </c>
      <c r="O2777" s="9">
        <v>45016</v>
      </c>
      <c r="P2777">
        <v>0</v>
      </c>
      <c r="Q2777" s="11" t="s">
        <v>598</v>
      </c>
      <c r="R2777" s="7">
        <v>19976.19168</v>
      </c>
      <c r="S2777" s="7"/>
      <c r="T2777" s="7"/>
      <c r="U2777" s="7"/>
      <c r="V2777" s="10">
        <v>9.5</v>
      </c>
      <c r="W2777" s="9">
        <v>45009</v>
      </c>
      <c r="X2777" s="10">
        <v>11.5</v>
      </c>
      <c r="Y2777" s="9">
        <v>45016</v>
      </c>
      <c r="Z2777">
        <v>0</v>
      </c>
      <c r="AA2777" s="11" t="s">
        <v>598</v>
      </c>
    </row>
    <row r="2778" spans="2:27" ht="16" x14ac:dyDescent="0.2">
      <c r="B2778" t="s">
        <v>35</v>
      </c>
      <c r="C2778">
        <v>40362500</v>
      </c>
      <c r="D2778" t="s">
        <v>409</v>
      </c>
      <c r="E2778">
        <v>1012165</v>
      </c>
      <c r="F2778" t="s">
        <v>61</v>
      </c>
      <c r="G2778" s="9">
        <v>44991</v>
      </c>
      <c r="H2778" s="7">
        <v>19958.047999999999</v>
      </c>
      <c r="I2778" s="7"/>
      <c r="J2778" s="7"/>
      <c r="K2778" s="7"/>
      <c r="L2778" s="10">
        <v>7.5</v>
      </c>
      <c r="M2778" s="9">
        <v>44998</v>
      </c>
      <c r="N2778" s="10">
        <v>9.5</v>
      </c>
      <c r="O2778" s="9">
        <v>45007</v>
      </c>
      <c r="P2778">
        <v>8</v>
      </c>
      <c r="Q2778" s="11" t="s">
        <v>49</v>
      </c>
      <c r="R2778" s="7">
        <v>19958.047999999999</v>
      </c>
      <c r="S2778" s="7"/>
      <c r="T2778" s="7"/>
      <c r="U2778" s="7"/>
      <c r="V2778" s="10">
        <v>9.5</v>
      </c>
      <c r="W2778" s="9">
        <v>45000</v>
      </c>
      <c r="X2778" s="10">
        <v>11.5</v>
      </c>
      <c r="Y2778" s="9">
        <v>45007</v>
      </c>
      <c r="Z2778">
        <v>8</v>
      </c>
      <c r="AA2778" s="11" t="s">
        <v>49</v>
      </c>
    </row>
    <row r="2779" spans="2:27" ht="16" x14ac:dyDescent="0.2">
      <c r="B2779" t="s">
        <v>35</v>
      </c>
      <c r="C2779">
        <v>40362486</v>
      </c>
      <c r="D2779" t="s">
        <v>391</v>
      </c>
      <c r="E2779">
        <v>1022918</v>
      </c>
      <c r="F2779" t="s">
        <v>410</v>
      </c>
      <c r="G2779" s="9">
        <v>45005</v>
      </c>
      <c r="H2779" s="7"/>
      <c r="I2779" s="7">
        <v>23740</v>
      </c>
      <c r="J2779" s="7"/>
      <c r="K2779" s="7"/>
      <c r="L2779" s="10">
        <v>4.830303030303031</v>
      </c>
      <c r="M2779" s="9">
        <v>45009</v>
      </c>
      <c r="N2779" s="10">
        <v>15</v>
      </c>
      <c r="O2779" s="9">
        <v>45024</v>
      </c>
      <c r="P2779">
        <v>18</v>
      </c>
      <c r="Q2779" s="11" t="s">
        <v>49</v>
      </c>
      <c r="R2779" s="7"/>
      <c r="S2779" s="7">
        <v>23740</v>
      </c>
      <c r="T2779" s="7"/>
      <c r="U2779" s="7"/>
      <c r="V2779" s="10">
        <v>6.830303030303031</v>
      </c>
      <c r="W2779" s="9">
        <v>45011</v>
      </c>
      <c r="X2779" s="10">
        <v>17</v>
      </c>
      <c r="Y2779" s="9">
        <v>45024</v>
      </c>
      <c r="Z2779">
        <v>18</v>
      </c>
      <c r="AA2779" s="11" t="s">
        <v>49</v>
      </c>
    </row>
    <row r="2780" spans="2:27" ht="16" x14ac:dyDescent="0.2">
      <c r="B2780" t="s">
        <v>35</v>
      </c>
      <c r="C2780">
        <v>40362485</v>
      </c>
      <c r="D2780" t="s">
        <v>391</v>
      </c>
      <c r="E2780">
        <v>1022918</v>
      </c>
      <c r="F2780" t="s">
        <v>410</v>
      </c>
      <c r="G2780" s="9">
        <v>44998</v>
      </c>
      <c r="H2780" s="7"/>
      <c r="I2780" s="7">
        <v>24000</v>
      </c>
      <c r="J2780" s="7"/>
      <c r="K2780" s="7"/>
      <c r="L2780" s="10">
        <v>4.830303030303031</v>
      </c>
      <c r="M2780" s="9">
        <v>45002</v>
      </c>
      <c r="N2780" s="10">
        <v>15</v>
      </c>
      <c r="O2780" s="9">
        <v>45017</v>
      </c>
      <c r="P2780">
        <v>24</v>
      </c>
      <c r="Q2780" s="11" t="s">
        <v>49</v>
      </c>
      <c r="R2780" s="7"/>
      <c r="S2780" s="7">
        <v>24000</v>
      </c>
      <c r="T2780" s="7"/>
      <c r="U2780" s="7"/>
      <c r="V2780" s="10">
        <v>6.830303030303031</v>
      </c>
      <c r="W2780" s="9">
        <v>45004</v>
      </c>
      <c r="X2780" s="10">
        <v>17</v>
      </c>
      <c r="Y2780" s="9">
        <v>45017</v>
      </c>
      <c r="Z2780">
        <v>24</v>
      </c>
      <c r="AA2780" s="11" t="s">
        <v>49</v>
      </c>
    </row>
    <row r="2781" spans="2:27" ht="16" x14ac:dyDescent="0.2">
      <c r="B2781" t="s">
        <v>35</v>
      </c>
      <c r="C2781">
        <v>40362480</v>
      </c>
      <c r="D2781" t="s">
        <v>391</v>
      </c>
      <c r="E2781">
        <v>1021936</v>
      </c>
      <c r="F2781" t="s">
        <v>411</v>
      </c>
      <c r="G2781" s="9">
        <v>44998</v>
      </c>
      <c r="H2781" s="7"/>
      <c r="I2781" s="7">
        <v>24000</v>
      </c>
      <c r="J2781" s="7"/>
      <c r="K2781" s="7"/>
      <c r="L2781" s="10">
        <v>4.830303030303031</v>
      </c>
      <c r="M2781" s="9">
        <v>45002</v>
      </c>
      <c r="N2781" s="10">
        <v>15</v>
      </c>
      <c r="O2781" s="9">
        <v>45017</v>
      </c>
      <c r="P2781">
        <v>24</v>
      </c>
      <c r="Q2781" s="11" t="s">
        <v>49</v>
      </c>
      <c r="R2781" s="7"/>
      <c r="S2781" s="7">
        <v>24000</v>
      </c>
      <c r="T2781" s="7"/>
      <c r="U2781" s="7"/>
      <c r="V2781" s="10">
        <v>6.830303030303031</v>
      </c>
      <c r="W2781" s="9">
        <v>45004</v>
      </c>
      <c r="X2781" s="10">
        <v>17</v>
      </c>
      <c r="Y2781" s="9">
        <v>45017</v>
      </c>
      <c r="Z2781">
        <v>24</v>
      </c>
      <c r="AA2781" s="11" t="s">
        <v>49</v>
      </c>
    </row>
    <row r="2782" spans="2:27" ht="16" x14ac:dyDescent="0.2">
      <c r="B2782" t="s">
        <v>35</v>
      </c>
      <c r="C2782">
        <v>40362479</v>
      </c>
      <c r="D2782" t="s">
        <v>391</v>
      </c>
      <c r="E2782">
        <v>1021936</v>
      </c>
      <c r="F2782" t="s">
        <v>411</v>
      </c>
      <c r="G2782" s="9">
        <v>45015</v>
      </c>
      <c r="H2782" s="7"/>
      <c r="I2782" s="7">
        <v>24000</v>
      </c>
      <c r="J2782" s="7"/>
      <c r="K2782" s="7"/>
      <c r="L2782" s="10">
        <v>4.830303030303031</v>
      </c>
      <c r="M2782" s="9">
        <v>45019</v>
      </c>
      <c r="N2782" s="10">
        <v>15</v>
      </c>
      <c r="O2782" s="9">
        <v>45034</v>
      </c>
      <c r="P2782">
        <v>10</v>
      </c>
      <c r="Q2782" s="11" t="s">
        <v>49</v>
      </c>
      <c r="R2782" s="7"/>
      <c r="S2782" s="7">
        <v>24000</v>
      </c>
      <c r="T2782" s="7"/>
      <c r="U2782" s="7"/>
      <c r="V2782" s="10">
        <v>6.830303030303031</v>
      </c>
      <c r="W2782" s="9">
        <v>45021</v>
      </c>
      <c r="X2782" s="10">
        <v>17</v>
      </c>
      <c r="Y2782" s="9">
        <v>45034</v>
      </c>
      <c r="Z2782">
        <v>10</v>
      </c>
      <c r="AA2782" s="11" t="s">
        <v>49</v>
      </c>
    </row>
    <row r="2783" spans="2:27" ht="16" x14ac:dyDescent="0.2">
      <c r="B2783" t="s">
        <v>35</v>
      </c>
      <c r="C2783">
        <v>40362478</v>
      </c>
      <c r="D2783" t="s">
        <v>391</v>
      </c>
      <c r="E2783">
        <v>1021936</v>
      </c>
      <c r="F2783" t="s">
        <v>411</v>
      </c>
      <c r="G2783" s="9">
        <v>45015</v>
      </c>
      <c r="H2783" s="7"/>
      <c r="I2783" s="7">
        <v>24000</v>
      </c>
      <c r="J2783" s="7"/>
      <c r="K2783" s="7"/>
      <c r="L2783" s="10">
        <v>4.830303030303031</v>
      </c>
      <c r="M2783" s="9">
        <v>45019</v>
      </c>
      <c r="N2783" s="10">
        <v>15</v>
      </c>
      <c r="O2783" s="9">
        <v>45034</v>
      </c>
      <c r="P2783">
        <v>10</v>
      </c>
      <c r="Q2783" s="11" t="s">
        <v>49</v>
      </c>
      <c r="R2783" s="7"/>
      <c r="S2783" s="7">
        <v>24000</v>
      </c>
      <c r="T2783" s="7"/>
      <c r="U2783" s="7"/>
      <c r="V2783" s="10">
        <v>6.830303030303031</v>
      </c>
      <c r="W2783" s="9">
        <v>45021</v>
      </c>
      <c r="X2783" s="10">
        <v>17</v>
      </c>
      <c r="Y2783" s="9">
        <v>45034</v>
      </c>
      <c r="Z2783">
        <v>10</v>
      </c>
      <c r="AA2783" s="11" t="s">
        <v>49</v>
      </c>
    </row>
    <row r="2784" spans="2:27" ht="16" x14ac:dyDescent="0.2">
      <c r="B2784" t="s">
        <v>35</v>
      </c>
      <c r="C2784">
        <v>40362477</v>
      </c>
      <c r="D2784" t="s">
        <v>391</v>
      </c>
      <c r="E2784">
        <v>1021936</v>
      </c>
      <c r="F2784" t="s">
        <v>411</v>
      </c>
      <c r="G2784" s="9">
        <v>44998</v>
      </c>
      <c r="H2784" s="7"/>
      <c r="I2784" s="7">
        <v>24000</v>
      </c>
      <c r="J2784" s="7"/>
      <c r="K2784" s="7"/>
      <c r="L2784" s="10">
        <v>4.830303030303031</v>
      </c>
      <c r="M2784" s="9">
        <v>45002</v>
      </c>
      <c r="N2784" s="10">
        <v>15</v>
      </c>
      <c r="O2784" s="9">
        <v>45017</v>
      </c>
      <c r="P2784">
        <v>24</v>
      </c>
      <c r="Q2784" s="11" t="s">
        <v>49</v>
      </c>
      <c r="R2784" s="7"/>
      <c r="S2784" s="7">
        <v>24000</v>
      </c>
      <c r="T2784" s="7"/>
      <c r="U2784" s="7"/>
      <c r="V2784" s="10">
        <v>6.830303030303031</v>
      </c>
      <c r="W2784" s="9">
        <v>45004</v>
      </c>
      <c r="X2784" s="10">
        <v>17</v>
      </c>
      <c r="Y2784" s="9">
        <v>45017</v>
      </c>
      <c r="Z2784">
        <v>24</v>
      </c>
      <c r="AA2784" s="11" t="s">
        <v>49</v>
      </c>
    </row>
    <row r="2785" spans="2:27" ht="16" x14ac:dyDescent="0.2">
      <c r="B2785" t="s">
        <v>35</v>
      </c>
      <c r="C2785">
        <v>40362476</v>
      </c>
      <c r="D2785" t="s">
        <v>391</v>
      </c>
      <c r="E2785">
        <v>1021936</v>
      </c>
      <c r="F2785" t="s">
        <v>411</v>
      </c>
      <c r="G2785" s="9">
        <v>44998</v>
      </c>
      <c r="H2785" s="7"/>
      <c r="I2785" s="7">
        <v>24000</v>
      </c>
      <c r="J2785" s="7"/>
      <c r="K2785" s="7"/>
      <c r="L2785" s="10">
        <v>4.830303030303031</v>
      </c>
      <c r="M2785" s="9">
        <v>45002</v>
      </c>
      <c r="N2785" s="10">
        <v>15</v>
      </c>
      <c r="O2785" s="9">
        <v>45017</v>
      </c>
      <c r="P2785">
        <v>24</v>
      </c>
      <c r="Q2785" s="11" t="s">
        <v>49</v>
      </c>
      <c r="R2785" s="7"/>
      <c r="S2785" s="7">
        <v>24000</v>
      </c>
      <c r="T2785" s="7"/>
      <c r="U2785" s="7"/>
      <c r="V2785" s="10">
        <v>6.830303030303031</v>
      </c>
      <c r="W2785" s="9">
        <v>45004</v>
      </c>
      <c r="X2785" s="10">
        <v>17</v>
      </c>
      <c r="Y2785" s="9">
        <v>45017</v>
      </c>
      <c r="Z2785">
        <v>24</v>
      </c>
      <c r="AA2785" s="11" t="s">
        <v>49</v>
      </c>
    </row>
    <row r="2786" spans="2:27" ht="16" x14ac:dyDescent="0.2">
      <c r="B2786" t="s">
        <v>35</v>
      </c>
      <c r="C2786">
        <v>40362460</v>
      </c>
      <c r="D2786" t="s">
        <v>409</v>
      </c>
      <c r="E2786">
        <v>1021260</v>
      </c>
      <c r="F2786" t="s">
        <v>430</v>
      </c>
      <c r="G2786" s="9">
        <v>44985</v>
      </c>
      <c r="H2786" s="7">
        <v>24007.327290000001</v>
      </c>
      <c r="I2786" s="7"/>
      <c r="J2786" s="7"/>
      <c r="K2786" s="7"/>
      <c r="L2786" s="10">
        <v>7.5</v>
      </c>
      <c r="M2786" s="9">
        <v>44992</v>
      </c>
      <c r="N2786" s="10">
        <v>9.5</v>
      </c>
      <c r="O2786" s="9">
        <v>45001</v>
      </c>
      <c r="P2786">
        <v>13</v>
      </c>
      <c r="Q2786" s="11" t="s">
        <v>49</v>
      </c>
      <c r="R2786" s="7">
        <v>24007.327290000001</v>
      </c>
      <c r="S2786" s="7"/>
      <c r="T2786" s="7"/>
      <c r="U2786" s="7"/>
      <c r="V2786" s="10">
        <v>9.5</v>
      </c>
      <c r="W2786" s="9">
        <v>44994</v>
      </c>
      <c r="X2786" s="10">
        <v>11.5</v>
      </c>
      <c r="Y2786" s="9">
        <v>45001</v>
      </c>
      <c r="Z2786">
        <v>13</v>
      </c>
      <c r="AA2786" s="11" t="s">
        <v>49</v>
      </c>
    </row>
    <row r="2787" spans="2:27" ht="16" x14ac:dyDescent="0.2">
      <c r="B2787" t="s">
        <v>35</v>
      </c>
      <c r="C2787">
        <v>40362458</v>
      </c>
      <c r="D2787" t="s">
        <v>409</v>
      </c>
      <c r="E2787">
        <v>1021140</v>
      </c>
      <c r="F2787" t="s">
        <v>412</v>
      </c>
      <c r="G2787" s="9">
        <v>44985</v>
      </c>
      <c r="H2787" s="7">
        <v>24009.930899999999</v>
      </c>
      <c r="I2787" s="7"/>
      <c r="J2787" s="7"/>
      <c r="K2787" s="7"/>
      <c r="L2787" s="10">
        <v>7.5</v>
      </c>
      <c r="M2787" s="9">
        <v>44992</v>
      </c>
      <c r="N2787" s="10">
        <v>9.5</v>
      </c>
      <c r="O2787" s="9">
        <v>45001</v>
      </c>
      <c r="P2787">
        <v>13</v>
      </c>
      <c r="Q2787" s="11" t="s">
        <v>49</v>
      </c>
      <c r="R2787" s="7">
        <v>24009.930899999999</v>
      </c>
      <c r="S2787" s="7"/>
      <c r="T2787" s="7"/>
      <c r="U2787" s="7"/>
      <c r="V2787" s="10">
        <v>9.5</v>
      </c>
      <c r="W2787" s="9">
        <v>44994</v>
      </c>
      <c r="X2787" s="10">
        <v>11.5</v>
      </c>
      <c r="Y2787" s="9">
        <v>45001</v>
      </c>
      <c r="Z2787">
        <v>13</v>
      </c>
      <c r="AA2787" s="11" t="s">
        <v>49</v>
      </c>
    </row>
    <row r="2788" spans="2:27" ht="16" x14ac:dyDescent="0.2">
      <c r="B2788" t="s">
        <v>35</v>
      </c>
      <c r="C2788">
        <v>40362417</v>
      </c>
      <c r="D2788" t="s">
        <v>409</v>
      </c>
      <c r="E2788">
        <v>1012167</v>
      </c>
      <c r="F2788" t="s">
        <v>70</v>
      </c>
      <c r="G2788" s="9">
        <v>44985</v>
      </c>
      <c r="H2788" s="7">
        <v>19958.047999999999</v>
      </c>
      <c r="I2788" s="7"/>
      <c r="J2788" s="7"/>
      <c r="K2788" s="7"/>
      <c r="L2788" s="10">
        <v>7.5</v>
      </c>
      <c r="M2788" s="9">
        <v>44992</v>
      </c>
      <c r="N2788" s="10">
        <v>9.5</v>
      </c>
      <c r="O2788" s="9">
        <v>45001</v>
      </c>
      <c r="P2788">
        <v>13</v>
      </c>
      <c r="Q2788" s="11" t="s">
        <v>49</v>
      </c>
      <c r="R2788" s="7">
        <v>19958.047999999999</v>
      </c>
      <c r="S2788" s="7"/>
      <c r="T2788" s="7"/>
      <c r="U2788" s="7"/>
      <c r="V2788" s="10">
        <v>9.5</v>
      </c>
      <c r="W2788" s="9">
        <v>44994</v>
      </c>
      <c r="X2788" s="10">
        <v>11.5</v>
      </c>
      <c r="Y2788" s="9">
        <v>45001</v>
      </c>
      <c r="Z2788">
        <v>13</v>
      </c>
      <c r="AA2788" s="11" t="s">
        <v>49</v>
      </c>
    </row>
    <row r="2789" spans="2:27" ht="16" x14ac:dyDescent="0.2">
      <c r="B2789" t="s">
        <v>35</v>
      </c>
      <c r="C2789">
        <v>40362416</v>
      </c>
      <c r="D2789" t="s">
        <v>409</v>
      </c>
      <c r="E2789">
        <v>1012167</v>
      </c>
      <c r="F2789" t="s">
        <v>70</v>
      </c>
      <c r="G2789" s="9">
        <v>44992</v>
      </c>
      <c r="H2789" s="7">
        <v>16964.340800000002</v>
      </c>
      <c r="I2789" s="7"/>
      <c r="J2789" s="7"/>
      <c r="K2789" s="7"/>
      <c r="L2789" s="10">
        <v>7.5</v>
      </c>
      <c r="M2789" s="9">
        <v>44999</v>
      </c>
      <c r="N2789" s="10">
        <v>9.5</v>
      </c>
      <c r="O2789" s="9">
        <v>45008</v>
      </c>
      <c r="P2789">
        <v>7</v>
      </c>
      <c r="Q2789" s="11" t="s">
        <v>49</v>
      </c>
      <c r="R2789" s="7">
        <v>16964.340800000002</v>
      </c>
      <c r="S2789" s="7"/>
      <c r="T2789" s="7"/>
      <c r="U2789" s="7"/>
      <c r="V2789" s="10">
        <v>9.5</v>
      </c>
      <c r="W2789" s="9">
        <v>45001</v>
      </c>
      <c r="X2789" s="10">
        <v>11.5</v>
      </c>
      <c r="Y2789" s="9">
        <v>45008</v>
      </c>
      <c r="Z2789">
        <v>7</v>
      </c>
      <c r="AA2789" s="11" t="s">
        <v>49</v>
      </c>
    </row>
    <row r="2790" spans="2:27" ht="16" x14ac:dyDescent="0.2">
      <c r="B2790" t="s">
        <v>35</v>
      </c>
      <c r="C2790">
        <v>40362413</v>
      </c>
      <c r="D2790" t="s">
        <v>409</v>
      </c>
      <c r="E2790">
        <v>1012167</v>
      </c>
      <c r="F2790" t="s">
        <v>70</v>
      </c>
      <c r="G2790" s="9">
        <v>44984</v>
      </c>
      <c r="H2790" s="7">
        <v>19958.047999999999</v>
      </c>
      <c r="I2790" s="7"/>
      <c r="J2790" s="7"/>
      <c r="K2790" s="7"/>
      <c r="L2790" s="10">
        <v>7.5</v>
      </c>
      <c r="M2790" s="9">
        <v>44991</v>
      </c>
      <c r="N2790" s="10">
        <v>9.5</v>
      </c>
      <c r="O2790" s="9">
        <v>45000</v>
      </c>
      <c r="P2790">
        <v>14</v>
      </c>
      <c r="Q2790" s="11" t="s">
        <v>49</v>
      </c>
      <c r="R2790" s="7">
        <v>19958.047999999999</v>
      </c>
      <c r="S2790" s="7"/>
      <c r="T2790" s="7"/>
      <c r="U2790" s="7"/>
      <c r="V2790" s="10">
        <v>9.5</v>
      </c>
      <c r="W2790" s="9">
        <v>44993</v>
      </c>
      <c r="X2790" s="10">
        <v>11.5</v>
      </c>
      <c r="Y2790" s="9">
        <v>45000</v>
      </c>
      <c r="Z2790">
        <v>14</v>
      </c>
      <c r="AA2790" s="11" t="s">
        <v>49</v>
      </c>
    </row>
    <row r="2791" spans="2:27" ht="16" x14ac:dyDescent="0.2">
      <c r="B2791" t="s">
        <v>35</v>
      </c>
      <c r="C2791">
        <v>40362412</v>
      </c>
      <c r="D2791" t="s">
        <v>409</v>
      </c>
      <c r="E2791">
        <v>1012167</v>
      </c>
      <c r="F2791" t="s">
        <v>70</v>
      </c>
      <c r="G2791" s="9">
        <v>44984</v>
      </c>
      <c r="H2791" s="7">
        <v>19958.047999999999</v>
      </c>
      <c r="I2791" s="7"/>
      <c r="J2791" s="7"/>
      <c r="K2791" s="7"/>
      <c r="L2791" s="10">
        <v>7.5</v>
      </c>
      <c r="M2791" s="9">
        <v>44991</v>
      </c>
      <c r="N2791" s="10">
        <v>9.5</v>
      </c>
      <c r="O2791" s="9">
        <v>45000</v>
      </c>
      <c r="P2791">
        <v>14</v>
      </c>
      <c r="Q2791" s="11" t="s">
        <v>49</v>
      </c>
      <c r="R2791" s="7">
        <v>19958.047999999999</v>
      </c>
      <c r="S2791" s="7"/>
      <c r="T2791" s="7"/>
      <c r="U2791" s="7"/>
      <c r="V2791" s="10">
        <v>9.5</v>
      </c>
      <c r="W2791" s="9">
        <v>44993</v>
      </c>
      <c r="X2791" s="10">
        <v>11.5</v>
      </c>
      <c r="Y2791" s="9">
        <v>45000</v>
      </c>
      <c r="Z2791">
        <v>14</v>
      </c>
      <c r="AA2791" s="11" t="s">
        <v>49</v>
      </c>
    </row>
    <row r="2792" spans="2:27" ht="16" x14ac:dyDescent="0.2">
      <c r="B2792" t="s">
        <v>35</v>
      </c>
      <c r="C2792">
        <v>40362411</v>
      </c>
      <c r="D2792" t="s">
        <v>409</v>
      </c>
      <c r="E2792">
        <v>1012167</v>
      </c>
      <c r="F2792" t="s">
        <v>70</v>
      </c>
      <c r="G2792" s="9">
        <v>44984</v>
      </c>
      <c r="H2792" s="7">
        <v>19958.047999999999</v>
      </c>
      <c r="I2792" s="7"/>
      <c r="J2792" s="7"/>
      <c r="K2792" s="7"/>
      <c r="L2792" s="10">
        <v>7.5</v>
      </c>
      <c r="M2792" s="9">
        <v>44991</v>
      </c>
      <c r="N2792" s="10">
        <v>9.5</v>
      </c>
      <c r="O2792" s="9">
        <v>45000</v>
      </c>
      <c r="P2792">
        <v>14</v>
      </c>
      <c r="Q2792" s="11" t="s">
        <v>49</v>
      </c>
      <c r="R2792" s="7">
        <v>19958.047999999999</v>
      </c>
      <c r="S2792" s="7"/>
      <c r="T2792" s="7"/>
      <c r="U2792" s="7"/>
      <c r="V2792" s="10">
        <v>9.5</v>
      </c>
      <c r="W2792" s="9">
        <v>44993</v>
      </c>
      <c r="X2792" s="10">
        <v>11.5</v>
      </c>
      <c r="Y2792" s="9">
        <v>45000</v>
      </c>
      <c r="Z2792">
        <v>14</v>
      </c>
      <c r="AA2792" s="11" t="s">
        <v>49</v>
      </c>
    </row>
    <row r="2793" spans="2:27" ht="16" x14ac:dyDescent="0.2">
      <c r="B2793" t="s">
        <v>35</v>
      </c>
      <c r="C2793">
        <v>40362410</v>
      </c>
      <c r="D2793" t="s">
        <v>409</v>
      </c>
      <c r="E2793">
        <v>1012167</v>
      </c>
      <c r="F2793" t="s">
        <v>70</v>
      </c>
      <c r="G2793" s="9">
        <v>44984</v>
      </c>
      <c r="H2793" s="7">
        <v>19958.047999999999</v>
      </c>
      <c r="I2793" s="7"/>
      <c r="J2793" s="7"/>
      <c r="K2793" s="7"/>
      <c r="L2793" s="10">
        <v>7.5</v>
      </c>
      <c r="M2793" s="9">
        <v>44991</v>
      </c>
      <c r="N2793" s="10">
        <v>9.5</v>
      </c>
      <c r="O2793" s="9">
        <v>45000</v>
      </c>
      <c r="P2793">
        <v>14</v>
      </c>
      <c r="Q2793" s="11" t="s">
        <v>49</v>
      </c>
      <c r="R2793" s="7">
        <v>19958.047999999999</v>
      </c>
      <c r="S2793" s="7"/>
      <c r="T2793" s="7"/>
      <c r="U2793" s="7"/>
      <c r="V2793" s="10">
        <v>9.5</v>
      </c>
      <c r="W2793" s="9">
        <v>44993</v>
      </c>
      <c r="X2793" s="10">
        <v>11.5</v>
      </c>
      <c r="Y2793" s="9">
        <v>45000</v>
      </c>
      <c r="Z2793">
        <v>14</v>
      </c>
      <c r="AA2793" s="11" t="s">
        <v>49</v>
      </c>
    </row>
    <row r="2794" spans="2:27" ht="16" x14ac:dyDescent="0.2">
      <c r="B2794" t="s">
        <v>35</v>
      </c>
      <c r="C2794">
        <v>40362399</v>
      </c>
      <c r="D2794" t="s">
        <v>409</v>
      </c>
      <c r="E2794">
        <v>1012145</v>
      </c>
      <c r="F2794" t="s">
        <v>84</v>
      </c>
      <c r="G2794" s="9">
        <v>44985</v>
      </c>
      <c r="H2794" s="7">
        <v>19758.467519999998</v>
      </c>
      <c r="I2794" s="7"/>
      <c r="J2794" s="7"/>
      <c r="K2794" s="7"/>
      <c r="L2794" s="10">
        <v>7.5</v>
      </c>
      <c r="M2794" s="9">
        <v>44992</v>
      </c>
      <c r="N2794" s="10">
        <v>9.5</v>
      </c>
      <c r="O2794" s="9">
        <v>45001</v>
      </c>
      <c r="P2794">
        <v>13</v>
      </c>
      <c r="Q2794" s="11" t="s">
        <v>49</v>
      </c>
      <c r="R2794" s="7">
        <v>19758.467519999998</v>
      </c>
      <c r="S2794" s="7"/>
      <c r="T2794" s="7"/>
      <c r="U2794" s="7"/>
      <c r="V2794" s="10">
        <v>9.5</v>
      </c>
      <c r="W2794" s="9">
        <v>44994</v>
      </c>
      <c r="X2794" s="10">
        <v>11.5</v>
      </c>
      <c r="Y2794" s="9">
        <v>45001</v>
      </c>
      <c r="Z2794">
        <v>13</v>
      </c>
      <c r="AA2794" s="11" t="s">
        <v>49</v>
      </c>
    </row>
    <row r="2795" spans="2:27" x14ac:dyDescent="0.2">
      <c r="B2795" t="s">
        <v>394</v>
      </c>
      <c r="C2795">
        <v>40362339</v>
      </c>
      <c r="D2795" t="s">
        <v>485</v>
      </c>
      <c r="E2795">
        <v>1020944</v>
      </c>
      <c r="F2795" t="s">
        <v>498</v>
      </c>
      <c r="G2795" s="9">
        <v>44974</v>
      </c>
      <c r="H2795" s="7"/>
      <c r="I2795" s="7"/>
      <c r="J2795" s="7"/>
      <c r="K2795" s="7"/>
      <c r="L2795" s="10"/>
      <c r="N2795" s="10"/>
      <c r="Q2795" s="11"/>
      <c r="R2795" s="7"/>
      <c r="S2795" s="7"/>
      <c r="T2795" s="7"/>
      <c r="U2795" s="7"/>
      <c r="V2795" s="10"/>
      <c r="X2795" s="10"/>
      <c r="AA2795" s="11"/>
    </row>
    <row r="2796" spans="2:27" ht="16" x14ac:dyDescent="0.2">
      <c r="B2796" t="s">
        <v>35</v>
      </c>
      <c r="C2796">
        <v>40362317</v>
      </c>
      <c r="D2796" t="s">
        <v>389</v>
      </c>
      <c r="E2796">
        <v>1021766</v>
      </c>
      <c r="F2796" t="s">
        <v>286</v>
      </c>
      <c r="G2796" s="9">
        <v>45001</v>
      </c>
      <c r="H2796" s="7">
        <v>24030</v>
      </c>
      <c r="I2796" s="7"/>
      <c r="J2796" s="7"/>
      <c r="K2796" s="7"/>
      <c r="L2796" s="10">
        <v>5.5741092456127026</v>
      </c>
      <c r="M2796" s="9">
        <v>45006</v>
      </c>
      <c r="N2796" s="10">
        <v>5.5</v>
      </c>
      <c r="O2796" s="9">
        <v>45011</v>
      </c>
      <c r="P2796">
        <v>5</v>
      </c>
      <c r="Q2796" s="11" t="s">
        <v>49</v>
      </c>
      <c r="R2796" s="7">
        <v>24030</v>
      </c>
      <c r="S2796" s="7"/>
      <c r="T2796" s="7"/>
      <c r="U2796" s="7"/>
      <c r="V2796" s="10">
        <v>7.5741092456127026</v>
      </c>
      <c r="W2796" s="9">
        <v>45008</v>
      </c>
      <c r="X2796" s="10">
        <v>7.5</v>
      </c>
      <c r="Y2796" s="9">
        <v>45011</v>
      </c>
      <c r="Z2796">
        <v>5</v>
      </c>
      <c r="AA2796" s="11" t="s">
        <v>49</v>
      </c>
    </row>
    <row r="2797" spans="2:27" ht="16" x14ac:dyDescent="0.2">
      <c r="B2797" t="s">
        <v>35</v>
      </c>
      <c r="C2797">
        <v>40362315</v>
      </c>
      <c r="D2797" t="s">
        <v>389</v>
      </c>
      <c r="E2797">
        <v>1022639</v>
      </c>
      <c r="F2797" t="s">
        <v>316</v>
      </c>
      <c r="G2797" s="9">
        <v>45011</v>
      </c>
      <c r="H2797" s="7"/>
      <c r="I2797" s="7">
        <v>22169.9</v>
      </c>
      <c r="J2797" s="7"/>
      <c r="K2797" s="7"/>
      <c r="L2797" s="10">
        <v>5.5741092456127026</v>
      </c>
      <c r="M2797" s="9">
        <v>45016</v>
      </c>
      <c r="N2797" s="10">
        <v>5.5</v>
      </c>
      <c r="O2797" s="9">
        <v>45021</v>
      </c>
      <c r="P2797">
        <v>21</v>
      </c>
      <c r="Q2797" s="11" t="s">
        <v>49</v>
      </c>
      <c r="R2797" s="7"/>
      <c r="S2797" s="7">
        <v>22169.9</v>
      </c>
      <c r="T2797" s="7"/>
      <c r="U2797" s="7"/>
      <c r="V2797" s="10">
        <v>7.5741092456127026</v>
      </c>
      <c r="W2797" s="9">
        <v>45018</v>
      </c>
      <c r="X2797" s="10">
        <v>7.5</v>
      </c>
      <c r="Y2797" s="9">
        <v>45021</v>
      </c>
      <c r="Z2797">
        <v>21</v>
      </c>
      <c r="AA2797" s="11" t="s">
        <v>49</v>
      </c>
    </row>
    <row r="2798" spans="2:27" ht="16" x14ac:dyDescent="0.2">
      <c r="B2798" t="s">
        <v>35</v>
      </c>
      <c r="C2798">
        <v>40362275</v>
      </c>
      <c r="D2798" t="s">
        <v>389</v>
      </c>
      <c r="E2798">
        <v>1030506</v>
      </c>
      <c r="F2798" t="s">
        <v>506</v>
      </c>
      <c r="G2798" s="9">
        <v>45041</v>
      </c>
      <c r="H2798" s="7"/>
      <c r="I2798" s="7"/>
      <c r="J2798" s="7">
        <v>24000</v>
      </c>
      <c r="K2798" s="7"/>
      <c r="L2798" s="10">
        <v>5.5741092456127026</v>
      </c>
      <c r="M2798" s="9">
        <v>45046</v>
      </c>
      <c r="N2798" s="10">
        <v>5.5</v>
      </c>
      <c r="O2798" s="9">
        <v>45051</v>
      </c>
      <c r="P2798">
        <v>22</v>
      </c>
      <c r="Q2798" s="11" t="s">
        <v>49</v>
      </c>
      <c r="R2798" s="7"/>
      <c r="S2798" s="7"/>
      <c r="T2798" s="7">
        <v>24000</v>
      </c>
      <c r="U2798" s="7"/>
      <c r="V2798" s="10">
        <v>7.5741092456127026</v>
      </c>
      <c r="W2798" s="9">
        <v>45048</v>
      </c>
      <c r="X2798" s="10">
        <v>7.5</v>
      </c>
      <c r="Y2798" s="9">
        <v>45051</v>
      </c>
      <c r="Z2798">
        <v>22</v>
      </c>
      <c r="AA2798" s="11" t="s">
        <v>49</v>
      </c>
    </row>
    <row r="2799" spans="2:27" ht="16" x14ac:dyDescent="0.2">
      <c r="B2799" t="s">
        <v>35</v>
      </c>
      <c r="C2799">
        <v>40362264</v>
      </c>
      <c r="D2799" t="s">
        <v>389</v>
      </c>
      <c r="E2799">
        <v>1030686</v>
      </c>
      <c r="F2799" t="s">
        <v>381</v>
      </c>
      <c r="G2799" s="9">
        <v>44996</v>
      </c>
      <c r="H2799" s="7">
        <v>24000</v>
      </c>
      <c r="I2799" s="7"/>
      <c r="J2799" s="7"/>
      <c r="K2799" s="7"/>
      <c r="L2799" s="10">
        <v>5.5741092456127026</v>
      </c>
      <c r="M2799" s="9">
        <v>45001</v>
      </c>
      <c r="N2799" s="10">
        <v>5.5</v>
      </c>
      <c r="O2799" s="9">
        <v>45006</v>
      </c>
      <c r="P2799">
        <v>9</v>
      </c>
      <c r="Q2799" s="11" t="s">
        <v>49</v>
      </c>
      <c r="R2799" s="7">
        <v>24000</v>
      </c>
      <c r="S2799" s="7"/>
      <c r="T2799" s="7"/>
      <c r="U2799" s="7"/>
      <c r="V2799" s="10">
        <v>7.5741092456127026</v>
      </c>
      <c r="W2799" s="9">
        <v>45003</v>
      </c>
      <c r="X2799" s="10">
        <v>7.5</v>
      </c>
      <c r="Y2799" s="9">
        <v>45006</v>
      </c>
      <c r="Z2799">
        <v>9</v>
      </c>
      <c r="AA2799" s="11" t="s">
        <v>49</v>
      </c>
    </row>
    <row r="2800" spans="2:27" ht="16" x14ac:dyDescent="0.2">
      <c r="B2800" t="s">
        <v>35</v>
      </c>
      <c r="C2800">
        <v>40362259</v>
      </c>
      <c r="D2800" t="s">
        <v>389</v>
      </c>
      <c r="E2800">
        <v>1030683</v>
      </c>
      <c r="F2800" t="s">
        <v>379</v>
      </c>
      <c r="G2800" s="9">
        <v>44996</v>
      </c>
      <c r="H2800" s="7">
        <v>24000</v>
      </c>
      <c r="I2800" s="7"/>
      <c r="J2800" s="7"/>
      <c r="K2800" s="7"/>
      <c r="L2800" s="10">
        <v>5.5741092456127026</v>
      </c>
      <c r="M2800" s="9">
        <v>45001</v>
      </c>
      <c r="N2800" s="10">
        <v>5.5</v>
      </c>
      <c r="O2800" s="9">
        <v>45006</v>
      </c>
      <c r="P2800">
        <v>9</v>
      </c>
      <c r="Q2800" s="11" t="s">
        <v>49</v>
      </c>
      <c r="R2800" s="7">
        <v>24000</v>
      </c>
      <c r="S2800" s="7"/>
      <c r="T2800" s="7"/>
      <c r="U2800" s="7"/>
      <c r="V2800" s="10">
        <v>7.5741092456127026</v>
      </c>
      <c r="W2800" s="9">
        <v>45003</v>
      </c>
      <c r="X2800" s="10">
        <v>7.5</v>
      </c>
      <c r="Y2800" s="9">
        <v>45006</v>
      </c>
      <c r="Z2800">
        <v>9</v>
      </c>
      <c r="AA2800" s="11" t="s">
        <v>49</v>
      </c>
    </row>
    <row r="2801" spans="2:27" ht="16" x14ac:dyDescent="0.2">
      <c r="B2801" t="s">
        <v>35</v>
      </c>
      <c r="C2801">
        <v>40362258</v>
      </c>
      <c r="D2801" t="s">
        <v>389</v>
      </c>
      <c r="E2801">
        <v>1030683</v>
      </c>
      <c r="F2801" t="s">
        <v>379</v>
      </c>
      <c r="G2801" s="9">
        <v>44996</v>
      </c>
      <c r="H2801" s="7">
        <v>24000</v>
      </c>
      <c r="I2801" s="7"/>
      <c r="J2801" s="7"/>
      <c r="K2801" s="7"/>
      <c r="L2801" s="10">
        <v>5.5741092456127026</v>
      </c>
      <c r="M2801" s="9">
        <v>45001</v>
      </c>
      <c r="N2801" s="10">
        <v>5.5</v>
      </c>
      <c r="O2801" s="9">
        <v>45006</v>
      </c>
      <c r="P2801">
        <v>9</v>
      </c>
      <c r="Q2801" s="11" t="s">
        <v>49</v>
      </c>
      <c r="R2801" s="7">
        <v>24000</v>
      </c>
      <c r="S2801" s="7"/>
      <c r="T2801" s="7"/>
      <c r="U2801" s="7"/>
      <c r="V2801" s="10">
        <v>7.5741092456127026</v>
      </c>
      <c r="W2801" s="9">
        <v>45003</v>
      </c>
      <c r="X2801" s="10">
        <v>7.5</v>
      </c>
      <c r="Y2801" s="9">
        <v>45006</v>
      </c>
      <c r="Z2801">
        <v>9</v>
      </c>
      <c r="AA2801" s="11" t="s">
        <v>49</v>
      </c>
    </row>
    <row r="2802" spans="2:27" ht="16" x14ac:dyDescent="0.2">
      <c r="B2802" t="s">
        <v>35</v>
      </c>
      <c r="C2802">
        <v>40362255</v>
      </c>
      <c r="D2802" t="s">
        <v>389</v>
      </c>
      <c r="E2802">
        <v>1030685</v>
      </c>
      <c r="F2802" t="s">
        <v>413</v>
      </c>
      <c r="G2802" s="9">
        <v>44996</v>
      </c>
      <c r="H2802" s="7">
        <v>24000</v>
      </c>
      <c r="I2802" s="7"/>
      <c r="J2802" s="7"/>
      <c r="K2802" s="7"/>
      <c r="L2802" s="10">
        <v>5.5741092456127026</v>
      </c>
      <c r="M2802" s="9">
        <v>45001</v>
      </c>
      <c r="N2802" s="10">
        <v>5.5</v>
      </c>
      <c r="O2802" s="9">
        <v>45006</v>
      </c>
      <c r="P2802">
        <v>9</v>
      </c>
      <c r="Q2802" s="11" t="s">
        <v>49</v>
      </c>
      <c r="R2802" s="7">
        <v>24000</v>
      </c>
      <c r="S2802" s="7"/>
      <c r="T2802" s="7"/>
      <c r="U2802" s="7"/>
      <c r="V2802" s="10">
        <v>7.5741092456127026</v>
      </c>
      <c r="W2802" s="9">
        <v>45003</v>
      </c>
      <c r="X2802" s="10">
        <v>7.5</v>
      </c>
      <c r="Y2802" s="9">
        <v>45006</v>
      </c>
      <c r="Z2802">
        <v>9</v>
      </c>
      <c r="AA2802" s="11" t="s">
        <v>49</v>
      </c>
    </row>
    <row r="2803" spans="2:27" ht="16" x14ac:dyDescent="0.2">
      <c r="B2803" t="s">
        <v>35</v>
      </c>
      <c r="C2803">
        <v>40362254</v>
      </c>
      <c r="D2803" t="s">
        <v>389</v>
      </c>
      <c r="E2803">
        <v>1030685</v>
      </c>
      <c r="F2803" t="s">
        <v>413</v>
      </c>
      <c r="G2803" s="9">
        <v>44996</v>
      </c>
      <c r="H2803" s="7">
        <v>24000</v>
      </c>
      <c r="I2803" s="7"/>
      <c r="J2803" s="7"/>
      <c r="K2803" s="7"/>
      <c r="L2803" s="10">
        <v>5.5741092456127026</v>
      </c>
      <c r="M2803" s="9">
        <v>45001</v>
      </c>
      <c r="N2803" s="10">
        <v>5.5</v>
      </c>
      <c r="O2803" s="9">
        <v>45006</v>
      </c>
      <c r="P2803">
        <v>9</v>
      </c>
      <c r="Q2803" s="11" t="s">
        <v>49</v>
      </c>
      <c r="R2803" s="7">
        <v>24000</v>
      </c>
      <c r="S2803" s="7"/>
      <c r="T2803" s="7"/>
      <c r="U2803" s="7"/>
      <c r="V2803" s="10">
        <v>7.5741092456127026</v>
      </c>
      <c r="W2803" s="9">
        <v>45003</v>
      </c>
      <c r="X2803" s="10">
        <v>7.5</v>
      </c>
      <c r="Y2803" s="9">
        <v>45006</v>
      </c>
      <c r="Z2803">
        <v>9</v>
      </c>
      <c r="AA2803" s="11" t="s">
        <v>49</v>
      </c>
    </row>
    <row r="2804" spans="2:27" ht="16" x14ac:dyDescent="0.2">
      <c r="B2804" t="s">
        <v>35</v>
      </c>
      <c r="C2804">
        <v>40362248</v>
      </c>
      <c r="D2804" t="s">
        <v>389</v>
      </c>
      <c r="E2804">
        <v>1022378</v>
      </c>
      <c r="F2804" t="s">
        <v>304</v>
      </c>
      <c r="G2804" s="9">
        <v>44992</v>
      </c>
      <c r="H2804" s="7">
        <v>14300</v>
      </c>
      <c r="I2804" s="7"/>
      <c r="J2804" s="7"/>
      <c r="K2804" s="7"/>
      <c r="L2804" s="10">
        <v>5.5741092456127026</v>
      </c>
      <c r="M2804" s="9">
        <v>44997</v>
      </c>
      <c r="N2804" s="10">
        <v>5.5</v>
      </c>
      <c r="O2804" s="9">
        <v>45002</v>
      </c>
      <c r="P2804">
        <v>12</v>
      </c>
      <c r="Q2804" s="11" t="s">
        <v>49</v>
      </c>
      <c r="R2804" s="7">
        <v>14300</v>
      </c>
      <c r="S2804" s="7"/>
      <c r="T2804" s="7"/>
      <c r="U2804" s="7"/>
      <c r="V2804" s="10">
        <v>7.5741092456127026</v>
      </c>
      <c r="W2804" s="9">
        <v>44999</v>
      </c>
      <c r="X2804" s="10">
        <v>7.5</v>
      </c>
      <c r="Y2804" s="9">
        <v>45002</v>
      </c>
      <c r="Z2804">
        <v>12</v>
      </c>
      <c r="AA2804" s="11" t="s">
        <v>49</v>
      </c>
    </row>
    <row r="2805" spans="2:27" ht="16" x14ac:dyDescent="0.2">
      <c r="B2805" t="s">
        <v>35</v>
      </c>
      <c r="C2805">
        <v>40362248</v>
      </c>
      <c r="D2805" t="s">
        <v>389</v>
      </c>
      <c r="E2805">
        <v>1022378</v>
      </c>
      <c r="F2805" t="s">
        <v>304</v>
      </c>
      <c r="G2805" s="9">
        <v>44992</v>
      </c>
      <c r="H2805" s="7">
        <v>24000</v>
      </c>
      <c r="I2805" s="7"/>
      <c r="J2805" s="7"/>
      <c r="K2805" s="7"/>
      <c r="L2805" s="10">
        <v>5.5741092456127026</v>
      </c>
      <c r="M2805" s="9">
        <v>44997</v>
      </c>
      <c r="N2805" s="10">
        <v>5.5</v>
      </c>
      <c r="O2805" s="9">
        <v>45002</v>
      </c>
      <c r="P2805">
        <v>12</v>
      </c>
      <c r="Q2805" s="11" t="s">
        <v>49</v>
      </c>
      <c r="R2805" s="7">
        <v>24000</v>
      </c>
      <c r="S2805" s="7"/>
      <c r="T2805" s="7"/>
      <c r="U2805" s="7"/>
      <c r="V2805" s="10">
        <v>7.5741092456127026</v>
      </c>
      <c r="W2805" s="9">
        <v>44999</v>
      </c>
      <c r="X2805" s="10">
        <v>7.5</v>
      </c>
      <c r="Y2805" s="9">
        <v>45002</v>
      </c>
      <c r="Z2805">
        <v>12</v>
      </c>
      <c r="AA2805" s="11" t="s">
        <v>49</v>
      </c>
    </row>
    <row r="2806" spans="2:27" ht="16" x14ac:dyDescent="0.2">
      <c r="B2806" t="s">
        <v>35</v>
      </c>
      <c r="C2806">
        <v>40362245</v>
      </c>
      <c r="D2806" t="s">
        <v>389</v>
      </c>
      <c r="E2806">
        <v>1022291</v>
      </c>
      <c r="F2806" t="s">
        <v>414</v>
      </c>
      <c r="G2806" s="9">
        <v>44996</v>
      </c>
      <c r="H2806" s="7">
        <v>15969.37</v>
      </c>
      <c r="I2806" s="7"/>
      <c r="J2806" s="7"/>
      <c r="K2806" s="7"/>
      <c r="L2806" s="10">
        <v>5.5741092456127026</v>
      </c>
      <c r="M2806" s="9">
        <v>45001</v>
      </c>
      <c r="N2806" s="10">
        <v>5.5</v>
      </c>
      <c r="O2806" s="9">
        <v>45006</v>
      </c>
      <c r="P2806">
        <v>9</v>
      </c>
      <c r="Q2806" s="11" t="s">
        <v>49</v>
      </c>
      <c r="R2806" s="7">
        <v>15969.37</v>
      </c>
      <c r="S2806" s="7"/>
      <c r="T2806" s="7"/>
      <c r="U2806" s="7"/>
      <c r="V2806" s="10">
        <v>7.5741092456127026</v>
      </c>
      <c r="W2806" s="9">
        <v>45003</v>
      </c>
      <c r="X2806" s="10">
        <v>7.5</v>
      </c>
      <c r="Y2806" s="9">
        <v>45006</v>
      </c>
      <c r="Z2806">
        <v>9</v>
      </c>
      <c r="AA2806" s="11" t="s">
        <v>49</v>
      </c>
    </row>
    <row r="2807" spans="2:27" ht="16" x14ac:dyDescent="0.2">
      <c r="B2807" t="s">
        <v>35</v>
      </c>
      <c r="C2807">
        <v>40362245</v>
      </c>
      <c r="D2807" t="s">
        <v>389</v>
      </c>
      <c r="E2807">
        <v>1022291</v>
      </c>
      <c r="F2807" t="s">
        <v>414</v>
      </c>
      <c r="G2807" s="9">
        <v>44996</v>
      </c>
      <c r="H2807" s="7">
        <v>24103.63</v>
      </c>
      <c r="I2807" s="7"/>
      <c r="J2807" s="7"/>
      <c r="K2807" s="7"/>
      <c r="L2807" s="10">
        <v>5.5741092456127026</v>
      </c>
      <c r="M2807" s="9">
        <v>45001</v>
      </c>
      <c r="N2807" s="10">
        <v>5.5</v>
      </c>
      <c r="O2807" s="9">
        <v>45006</v>
      </c>
      <c r="P2807">
        <v>9</v>
      </c>
      <c r="Q2807" s="11" t="s">
        <v>49</v>
      </c>
      <c r="R2807" s="7">
        <v>24103.63</v>
      </c>
      <c r="S2807" s="7"/>
      <c r="T2807" s="7"/>
      <c r="U2807" s="7"/>
      <c r="V2807" s="10">
        <v>7.5741092456127026</v>
      </c>
      <c r="W2807" s="9">
        <v>45003</v>
      </c>
      <c r="X2807" s="10">
        <v>7.5</v>
      </c>
      <c r="Y2807" s="9">
        <v>45006</v>
      </c>
      <c r="Z2807">
        <v>9</v>
      </c>
      <c r="AA2807" s="11" t="s">
        <v>49</v>
      </c>
    </row>
    <row r="2808" spans="2:27" ht="16" x14ac:dyDescent="0.2">
      <c r="B2808" t="s">
        <v>35</v>
      </c>
      <c r="C2808">
        <v>40362240</v>
      </c>
      <c r="D2808" t="s">
        <v>389</v>
      </c>
      <c r="E2808">
        <v>1022639</v>
      </c>
      <c r="F2808" t="s">
        <v>316</v>
      </c>
      <c r="G2808" s="9">
        <v>45011</v>
      </c>
      <c r="H2808" s="7"/>
      <c r="I2808" s="7">
        <v>22395.56</v>
      </c>
      <c r="J2808" s="7"/>
      <c r="K2808" s="7"/>
      <c r="L2808" s="10">
        <v>5.5741092456127026</v>
      </c>
      <c r="M2808" s="9">
        <v>45016</v>
      </c>
      <c r="N2808" s="10">
        <v>5.5</v>
      </c>
      <c r="O2808" s="9">
        <v>45021</v>
      </c>
      <c r="P2808">
        <v>21</v>
      </c>
      <c r="Q2808" s="11" t="s">
        <v>49</v>
      </c>
      <c r="R2808" s="7"/>
      <c r="S2808" s="7">
        <v>22395.56</v>
      </c>
      <c r="T2808" s="7"/>
      <c r="U2808" s="7"/>
      <c r="V2808" s="10">
        <v>7.5741092456127026</v>
      </c>
      <c r="W2808" s="9">
        <v>45018</v>
      </c>
      <c r="X2808" s="10">
        <v>7.5</v>
      </c>
      <c r="Y2808" s="9">
        <v>45021</v>
      </c>
      <c r="Z2808">
        <v>21</v>
      </c>
      <c r="AA2808" s="11" t="s">
        <v>49</v>
      </c>
    </row>
    <row r="2809" spans="2:27" ht="16" x14ac:dyDescent="0.2">
      <c r="B2809" t="s">
        <v>35</v>
      </c>
      <c r="C2809">
        <v>40362239</v>
      </c>
      <c r="D2809" t="s">
        <v>389</v>
      </c>
      <c r="E2809">
        <v>1022639</v>
      </c>
      <c r="F2809" t="s">
        <v>316</v>
      </c>
      <c r="G2809" s="9">
        <v>45011</v>
      </c>
      <c r="H2809" s="7"/>
      <c r="I2809" s="7">
        <v>22015.88</v>
      </c>
      <c r="J2809" s="7"/>
      <c r="K2809" s="7"/>
      <c r="L2809" s="10">
        <v>5.5741092456127026</v>
      </c>
      <c r="M2809" s="9">
        <v>45016</v>
      </c>
      <c r="N2809" s="10">
        <v>5.5</v>
      </c>
      <c r="O2809" s="9">
        <v>45021</v>
      </c>
      <c r="P2809">
        <v>21</v>
      </c>
      <c r="Q2809" s="11" t="s">
        <v>49</v>
      </c>
      <c r="R2809" s="7"/>
      <c r="S2809" s="7">
        <v>22015.88</v>
      </c>
      <c r="T2809" s="7"/>
      <c r="U2809" s="7"/>
      <c r="V2809" s="10">
        <v>7.5741092456127026</v>
      </c>
      <c r="W2809" s="9">
        <v>45018</v>
      </c>
      <c r="X2809" s="10">
        <v>7.5</v>
      </c>
      <c r="Y2809" s="9">
        <v>45021</v>
      </c>
      <c r="Z2809">
        <v>21</v>
      </c>
      <c r="AA2809" s="11" t="s">
        <v>49</v>
      </c>
    </row>
    <row r="2810" spans="2:27" ht="16" x14ac:dyDescent="0.2">
      <c r="B2810" t="s">
        <v>35</v>
      </c>
      <c r="C2810">
        <v>40362238</v>
      </c>
      <c r="D2810" t="s">
        <v>389</v>
      </c>
      <c r="E2810">
        <v>1022639</v>
      </c>
      <c r="F2810" t="s">
        <v>316</v>
      </c>
      <c r="G2810" s="9">
        <v>45011</v>
      </c>
      <c r="H2810" s="7"/>
      <c r="I2810" s="7">
        <v>22166.57</v>
      </c>
      <c r="J2810" s="7"/>
      <c r="K2810" s="7"/>
      <c r="L2810" s="10">
        <v>5.5741092456127026</v>
      </c>
      <c r="M2810" s="9">
        <v>45016</v>
      </c>
      <c r="N2810" s="10">
        <v>5.5</v>
      </c>
      <c r="O2810" s="9">
        <v>45021</v>
      </c>
      <c r="P2810">
        <v>21</v>
      </c>
      <c r="Q2810" s="11" t="s">
        <v>49</v>
      </c>
      <c r="R2810" s="7"/>
      <c r="S2810" s="7">
        <v>22166.57</v>
      </c>
      <c r="T2810" s="7"/>
      <c r="U2810" s="7"/>
      <c r="V2810" s="10">
        <v>7.5741092456127026</v>
      </c>
      <c r="W2810" s="9">
        <v>45018</v>
      </c>
      <c r="X2810" s="10">
        <v>7.5</v>
      </c>
      <c r="Y2810" s="9">
        <v>45021</v>
      </c>
      <c r="Z2810">
        <v>21</v>
      </c>
      <c r="AA2810" s="11" t="s">
        <v>49</v>
      </c>
    </row>
    <row r="2811" spans="2:27" ht="16" x14ac:dyDescent="0.2">
      <c r="B2811" t="s">
        <v>35</v>
      </c>
      <c r="C2811">
        <v>40362237</v>
      </c>
      <c r="D2811" t="s">
        <v>389</v>
      </c>
      <c r="E2811">
        <v>1022639</v>
      </c>
      <c r="F2811" t="s">
        <v>316</v>
      </c>
      <c r="G2811" s="9">
        <v>45011</v>
      </c>
      <c r="H2811" s="7"/>
      <c r="I2811" s="7">
        <v>22417.21</v>
      </c>
      <c r="J2811" s="7"/>
      <c r="K2811" s="7"/>
      <c r="L2811" s="10">
        <v>5.5741092456127026</v>
      </c>
      <c r="M2811" s="9">
        <v>45016</v>
      </c>
      <c r="N2811" s="10">
        <v>5.5</v>
      </c>
      <c r="O2811" s="9">
        <v>45021</v>
      </c>
      <c r="P2811">
        <v>21</v>
      </c>
      <c r="Q2811" s="11" t="s">
        <v>49</v>
      </c>
      <c r="R2811" s="7"/>
      <c r="S2811" s="7">
        <v>22417.21</v>
      </c>
      <c r="T2811" s="7"/>
      <c r="U2811" s="7"/>
      <c r="V2811" s="10">
        <v>7.5741092456127026</v>
      </c>
      <c r="W2811" s="9">
        <v>45018</v>
      </c>
      <c r="X2811" s="10">
        <v>7.5</v>
      </c>
      <c r="Y2811" s="9">
        <v>45021</v>
      </c>
      <c r="Z2811">
        <v>21</v>
      </c>
      <c r="AA2811" s="11" t="s">
        <v>49</v>
      </c>
    </row>
    <row r="2812" spans="2:27" ht="16" x14ac:dyDescent="0.2">
      <c r="B2812" t="s">
        <v>35</v>
      </c>
      <c r="C2812">
        <v>40362236</v>
      </c>
      <c r="D2812" t="s">
        <v>389</v>
      </c>
      <c r="E2812">
        <v>1022639</v>
      </c>
      <c r="F2812" t="s">
        <v>316</v>
      </c>
      <c r="G2812" s="9">
        <v>45011</v>
      </c>
      <c r="H2812" s="7"/>
      <c r="I2812" s="7">
        <v>22504.23</v>
      </c>
      <c r="J2812" s="7"/>
      <c r="K2812" s="7"/>
      <c r="L2812" s="10">
        <v>5.5741092456127026</v>
      </c>
      <c r="M2812" s="9">
        <v>45016</v>
      </c>
      <c r="N2812" s="10">
        <v>5.5</v>
      </c>
      <c r="O2812" s="9">
        <v>45021</v>
      </c>
      <c r="P2812">
        <v>21</v>
      </c>
      <c r="Q2812" s="11" t="s">
        <v>49</v>
      </c>
      <c r="R2812" s="7"/>
      <c r="S2812" s="7">
        <v>22504.23</v>
      </c>
      <c r="T2812" s="7"/>
      <c r="U2812" s="7"/>
      <c r="V2812" s="10">
        <v>7.5741092456127026</v>
      </c>
      <c r="W2812" s="9">
        <v>45018</v>
      </c>
      <c r="X2812" s="10">
        <v>7.5</v>
      </c>
      <c r="Y2812" s="9">
        <v>45021</v>
      </c>
      <c r="Z2812">
        <v>21</v>
      </c>
      <c r="AA2812" s="11" t="s">
        <v>49</v>
      </c>
    </row>
    <row r="2813" spans="2:27" ht="16" x14ac:dyDescent="0.2">
      <c r="B2813" t="s">
        <v>35</v>
      </c>
      <c r="C2813">
        <v>40362235</v>
      </c>
      <c r="D2813" t="s">
        <v>389</v>
      </c>
      <c r="E2813">
        <v>1022639</v>
      </c>
      <c r="F2813" t="s">
        <v>316</v>
      </c>
      <c r="G2813" s="9">
        <v>45011</v>
      </c>
      <c r="H2813" s="7"/>
      <c r="I2813" s="7">
        <v>22231.64</v>
      </c>
      <c r="J2813" s="7"/>
      <c r="K2813" s="7"/>
      <c r="L2813" s="10">
        <v>5.5741092456127026</v>
      </c>
      <c r="M2813" s="9">
        <v>45016</v>
      </c>
      <c r="N2813" s="10">
        <v>5.5</v>
      </c>
      <c r="O2813" s="9">
        <v>45021</v>
      </c>
      <c r="P2813">
        <v>21</v>
      </c>
      <c r="Q2813" s="11" t="s">
        <v>49</v>
      </c>
      <c r="R2813" s="7"/>
      <c r="S2813" s="7">
        <v>22231.64</v>
      </c>
      <c r="T2813" s="7"/>
      <c r="U2813" s="7"/>
      <c r="V2813" s="10">
        <v>7.5741092456127026</v>
      </c>
      <c r="W2813" s="9">
        <v>45018</v>
      </c>
      <c r="X2813" s="10">
        <v>7.5</v>
      </c>
      <c r="Y2813" s="9">
        <v>45021</v>
      </c>
      <c r="Z2813">
        <v>21</v>
      </c>
      <c r="AA2813" s="11" t="s">
        <v>49</v>
      </c>
    </row>
    <row r="2814" spans="2:27" ht="16" x14ac:dyDescent="0.2">
      <c r="B2814" t="s">
        <v>35</v>
      </c>
      <c r="C2814">
        <v>40362230</v>
      </c>
      <c r="D2814" t="s">
        <v>389</v>
      </c>
      <c r="E2814">
        <v>1022639</v>
      </c>
      <c r="F2814" t="s">
        <v>316</v>
      </c>
      <c r="G2814" s="9">
        <v>45005</v>
      </c>
      <c r="H2814" s="7">
        <v>22594.2</v>
      </c>
      <c r="I2814" s="7"/>
      <c r="J2814" s="7"/>
      <c r="K2814" s="7"/>
      <c r="L2814" s="10">
        <v>5.5741092456127026</v>
      </c>
      <c r="M2814" s="9">
        <v>45010</v>
      </c>
      <c r="N2814" s="10">
        <v>5.5</v>
      </c>
      <c r="O2814" s="9">
        <v>45015</v>
      </c>
      <c r="P2814">
        <v>1</v>
      </c>
      <c r="Q2814" s="11" t="s">
        <v>598</v>
      </c>
      <c r="R2814" s="7">
        <v>22594.2</v>
      </c>
      <c r="S2814" s="7"/>
      <c r="T2814" s="7"/>
      <c r="U2814" s="7"/>
      <c r="V2814" s="10">
        <v>7.5741092456127026</v>
      </c>
      <c r="W2814" s="9">
        <v>45012</v>
      </c>
      <c r="X2814" s="10">
        <v>7.5</v>
      </c>
      <c r="Y2814" s="9">
        <v>45015</v>
      </c>
      <c r="Z2814">
        <v>1</v>
      </c>
      <c r="AA2814" s="11" t="s">
        <v>598</v>
      </c>
    </row>
    <row r="2815" spans="2:27" ht="16" x14ac:dyDescent="0.2">
      <c r="B2815" t="s">
        <v>35</v>
      </c>
      <c r="C2815">
        <v>40362222</v>
      </c>
      <c r="D2815" t="s">
        <v>389</v>
      </c>
      <c r="E2815">
        <v>1022639</v>
      </c>
      <c r="F2815" t="s">
        <v>316</v>
      </c>
      <c r="G2815" s="9">
        <v>45007</v>
      </c>
      <c r="H2815" s="7"/>
      <c r="I2815" s="7">
        <v>22237.3</v>
      </c>
      <c r="J2815" s="7"/>
      <c r="K2815" s="7"/>
      <c r="L2815" s="10">
        <v>5.5741092456127026</v>
      </c>
      <c r="M2815" s="9">
        <v>45012</v>
      </c>
      <c r="N2815" s="10">
        <v>5.5</v>
      </c>
      <c r="O2815" s="9">
        <v>45017</v>
      </c>
      <c r="P2815">
        <v>23</v>
      </c>
      <c r="Q2815" s="11" t="s">
        <v>49</v>
      </c>
      <c r="R2815" s="7"/>
      <c r="S2815" s="7">
        <v>22237.3</v>
      </c>
      <c r="T2815" s="7"/>
      <c r="U2815" s="7"/>
      <c r="V2815" s="10">
        <v>7.5741092456127026</v>
      </c>
      <c r="W2815" s="9">
        <v>45014</v>
      </c>
      <c r="X2815" s="10">
        <v>7.5</v>
      </c>
      <c r="Y2815" s="9">
        <v>45017</v>
      </c>
      <c r="Z2815">
        <v>23</v>
      </c>
      <c r="AA2815" s="11" t="s">
        <v>49</v>
      </c>
    </row>
    <row r="2816" spans="2:27" ht="16" x14ac:dyDescent="0.2">
      <c r="B2816" t="s">
        <v>35</v>
      </c>
      <c r="C2816">
        <v>40362221</v>
      </c>
      <c r="D2816" t="s">
        <v>389</v>
      </c>
      <c r="E2816">
        <v>1022639</v>
      </c>
      <c r="F2816" t="s">
        <v>316</v>
      </c>
      <c r="G2816" s="9">
        <v>44998</v>
      </c>
      <c r="H2816" s="7">
        <v>22125.279999999999</v>
      </c>
      <c r="I2816" s="7"/>
      <c r="J2816" s="7"/>
      <c r="K2816" s="7"/>
      <c r="L2816" s="10">
        <v>5.5741092456127026</v>
      </c>
      <c r="M2816" s="9">
        <v>45003</v>
      </c>
      <c r="N2816" s="10">
        <v>5.5</v>
      </c>
      <c r="O2816" s="9">
        <v>45008</v>
      </c>
      <c r="P2816">
        <v>7</v>
      </c>
      <c r="Q2816" s="11" t="s">
        <v>49</v>
      </c>
      <c r="R2816" s="7">
        <v>22125.279999999999</v>
      </c>
      <c r="S2816" s="7"/>
      <c r="T2816" s="7"/>
      <c r="U2816" s="7"/>
      <c r="V2816" s="10">
        <v>7.5741092456127026</v>
      </c>
      <c r="W2816" s="9">
        <v>45005</v>
      </c>
      <c r="X2816" s="10">
        <v>7.5</v>
      </c>
      <c r="Y2816" s="9">
        <v>45008</v>
      </c>
      <c r="Z2816">
        <v>7</v>
      </c>
      <c r="AA2816" s="11" t="s">
        <v>49</v>
      </c>
    </row>
    <row r="2817" spans="2:27" ht="16" x14ac:dyDescent="0.2">
      <c r="B2817" t="s">
        <v>35</v>
      </c>
      <c r="C2817">
        <v>40362196</v>
      </c>
      <c r="D2817" t="s">
        <v>389</v>
      </c>
      <c r="E2817">
        <v>1022212</v>
      </c>
      <c r="F2817" t="s">
        <v>300</v>
      </c>
      <c r="G2817" s="9">
        <v>45007</v>
      </c>
      <c r="H2817" s="7"/>
      <c r="I2817" s="7">
        <v>24036.38</v>
      </c>
      <c r="J2817" s="7"/>
      <c r="K2817" s="7"/>
      <c r="L2817" s="10">
        <v>5.5741092456127026</v>
      </c>
      <c r="M2817" s="9">
        <v>45012</v>
      </c>
      <c r="N2817" s="10">
        <v>5.5</v>
      </c>
      <c r="O2817" s="9">
        <v>45017</v>
      </c>
      <c r="P2817">
        <v>23</v>
      </c>
      <c r="Q2817" s="11" t="s">
        <v>49</v>
      </c>
      <c r="R2817" s="7"/>
      <c r="S2817" s="7">
        <v>24036.38</v>
      </c>
      <c r="T2817" s="7"/>
      <c r="U2817" s="7"/>
      <c r="V2817" s="10">
        <v>7.5741092456127026</v>
      </c>
      <c r="W2817" s="9">
        <v>45014</v>
      </c>
      <c r="X2817" s="10">
        <v>7.5</v>
      </c>
      <c r="Y2817" s="9">
        <v>45017</v>
      </c>
      <c r="Z2817">
        <v>23</v>
      </c>
      <c r="AA2817" s="11" t="s">
        <v>49</v>
      </c>
    </row>
    <row r="2818" spans="2:27" ht="16" x14ac:dyDescent="0.2">
      <c r="B2818" t="s">
        <v>35</v>
      </c>
      <c r="C2818">
        <v>40362195</v>
      </c>
      <c r="D2818" t="s">
        <v>389</v>
      </c>
      <c r="E2818">
        <v>1022212</v>
      </c>
      <c r="F2818" t="s">
        <v>300</v>
      </c>
      <c r="G2818" s="9">
        <v>45007</v>
      </c>
      <c r="H2818" s="7"/>
      <c r="I2818" s="7">
        <v>23901.13</v>
      </c>
      <c r="J2818" s="7"/>
      <c r="K2818" s="7"/>
      <c r="L2818" s="10">
        <v>5.5741092456127026</v>
      </c>
      <c r="M2818" s="9">
        <v>45012</v>
      </c>
      <c r="N2818" s="10">
        <v>5.5</v>
      </c>
      <c r="O2818" s="9">
        <v>45017</v>
      </c>
      <c r="P2818">
        <v>23</v>
      </c>
      <c r="Q2818" s="11" t="s">
        <v>49</v>
      </c>
      <c r="R2818" s="7"/>
      <c r="S2818" s="7">
        <v>23901.13</v>
      </c>
      <c r="T2818" s="7"/>
      <c r="U2818" s="7"/>
      <c r="V2818" s="10">
        <v>7.5741092456127026</v>
      </c>
      <c r="W2818" s="9">
        <v>45014</v>
      </c>
      <c r="X2818" s="10">
        <v>7.5</v>
      </c>
      <c r="Y2818" s="9">
        <v>45017</v>
      </c>
      <c r="Z2818">
        <v>23</v>
      </c>
      <c r="AA2818" s="11" t="s">
        <v>49</v>
      </c>
    </row>
    <row r="2819" spans="2:27" ht="16" x14ac:dyDescent="0.2">
      <c r="B2819" t="s">
        <v>35</v>
      </c>
      <c r="C2819">
        <v>40362194</v>
      </c>
      <c r="D2819" t="s">
        <v>389</v>
      </c>
      <c r="E2819">
        <v>1022212</v>
      </c>
      <c r="F2819" t="s">
        <v>300</v>
      </c>
      <c r="G2819" s="9">
        <v>44996</v>
      </c>
      <c r="H2819" s="7">
        <v>24570.46</v>
      </c>
      <c r="I2819" s="7"/>
      <c r="J2819" s="7"/>
      <c r="K2819" s="7"/>
      <c r="L2819" s="10">
        <v>5.5741092456127026</v>
      </c>
      <c r="M2819" s="9">
        <v>45001</v>
      </c>
      <c r="N2819" s="10">
        <v>5.5</v>
      </c>
      <c r="O2819" s="9">
        <v>45006</v>
      </c>
      <c r="P2819">
        <v>9</v>
      </c>
      <c r="Q2819" s="11" t="s">
        <v>49</v>
      </c>
      <c r="R2819" s="7">
        <v>24570.46</v>
      </c>
      <c r="S2819" s="7"/>
      <c r="T2819" s="7"/>
      <c r="U2819" s="7"/>
      <c r="V2819" s="10">
        <v>7.5741092456127026</v>
      </c>
      <c r="W2819" s="9">
        <v>45003</v>
      </c>
      <c r="X2819" s="10">
        <v>7.5</v>
      </c>
      <c r="Y2819" s="9">
        <v>45006</v>
      </c>
      <c r="Z2819">
        <v>9</v>
      </c>
      <c r="AA2819" s="11" t="s">
        <v>49</v>
      </c>
    </row>
    <row r="2820" spans="2:27" ht="16" x14ac:dyDescent="0.2">
      <c r="B2820" t="s">
        <v>35</v>
      </c>
      <c r="C2820">
        <v>40362193</v>
      </c>
      <c r="D2820" t="s">
        <v>389</v>
      </c>
      <c r="E2820">
        <v>1022212</v>
      </c>
      <c r="F2820" t="s">
        <v>300</v>
      </c>
      <c r="G2820" s="9">
        <v>44996</v>
      </c>
      <c r="H2820" s="7">
        <v>23987.85</v>
      </c>
      <c r="I2820" s="7"/>
      <c r="J2820" s="7"/>
      <c r="K2820" s="7"/>
      <c r="L2820" s="10">
        <v>5.5741092456127026</v>
      </c>
      <c r="M2820" s="9">
        <v>45001</v>
      </c>
      <c r="N2820" s="10">
        <v>5.5</v>
      </c>
      <c r="O2820" s="9">
        <v>45006</v>
      </c>
      <c r="P2820">
        <v>9</v>
      </c>
      <c r="Q2820" s="11" t="s">
        <v>49</v>
      </c>
      <c r="R2820" s="7">
        <v>23987.85</v>
      </c>
      <c r="S2820" s="7"/>
      <c r="T2820" s="7"/>
      <c r="U2820" s="7"/>
      <c r="V2820" s="10">
        <v>7.5741092456127026</v>
      </c>
      <c r="W2820" s="9">
        <v>45003</v>
      </c>
      <c r="X2820" s="10">
        <v>7.5</v>
      </c>
      <c r="Y2820" s="9">
        <v>45006</v>
      </c>
      <c r="Z2820">
        <v>9</v>
      </c>
      <c r="AA2820" s="11" t="s">
        <v>49</v>
      </c>
    </row>
    <row r="2821" spans="2:27" ht="16" x14ac:dyDescent="0.2">
      <c r="B2821" t="s">
        <v>35</v>
      </c>
      <c r="C2821">
        <v>40362190</v>
      </c>
      <c r="D2821" t="s">
        <v>389</v>
      </c>
      <c r="E2821">
        <v>1022212</v>
      </c>
      <c r="F2821" t="s">
        <v>300</v>
      </c>
      <c r="G2821" s="9">
        <v>45007</v>
      </c>
      <c r="H2821" s="7"/>
      <c r="I2821" s="7">
        <v>24031.03</v>
      </c>
      <c r="J2821" s="7"/>
      <c r="K2821" s="7"/>
      <c r="L2821" s="10">
        <v>5.5741092456127026</v>
      </c>
      <c r="M2821" s="9">
        <v>45012</v>
      </c>
      <c r="N2821" s="10">
        <v>5.5</v>
      </c>
      <c r="O2821" s="9">
        <v>45017</v>
      </c>
      <c r="P2821">
        <v>23</v>
      </c>
      <c r="Q2821" s="11" t="s">
        <v>49</v>
      </c>
      <c r="R2821" s="7"/>
      <c r="S2821" s="7">
        <v>24031.03</v>
      </c>
      <c r="T2821" s="7"/>
      <c r="U2821" s="7"/>
      <c r="V2821" s="10">
        <v>7.5741092456127026</v>
      </c>
      <c r="W2821" s="9">
        <v>45014</v>
      </c>
      <c r="X2821" s="10">
        <v>7.5</v>
      </c>
      <c r="Y2821" s="9">
        <v>45017</v>
      </c>
      <c r="Z2821">
        <v>23</v>
      </c>
      <c r="AA2821" s="11" t="s">
        <v>49</v>
      </c>
    </row>
    <row r="2822" spans="2:27" ht="16" x14ac:dyDescent="0.2">
      <c r="B2822" t="s">
        <v>35</v>
      </c>
      <c r="C2822">
        <v>40362188</v>
      </c>
      <c r="D2822" t="s">
        <v>389</v>
      </c>
      <c r="E2822">
        <v>1022212</v>
      </c>
      <c r="F2822" t="s">
        <v>300</v>
      </c>
      <c r="G2822" s="9">
        <v>45005</v>
      </c>
      <c r="H2822" s="7">
        <v>23960.639999999999</v>
      </c>
      <c r="I2822" s="7"/>
      <c r="J2822" s="7"/>
      <c r="K2822" s="7"/>
      <c r="L2822" s="10">
        <v>5.5741092456127026</v>
      </c>
      <c r="M2822" s="9">
        <v>45010</v>
      </c>
      <c r="N2822" s="10">
        <v>5.5</v>
      </c>
      <c r="O2822" s="9">
        <v>45015</v>
      </c>
      <c r="P2822">
        <v>1</v>
      </c>
      <c r="Q2822" s="11" t="s">
        <v>598</v>
      </c>
      <c r="R2822" s="7">
        <v>23960.639999999999</v>
      </c>
      <c r="S2822" s="7"/>
      <c r="T2822" s="7"/>
      <c r="U2822" s="7"/>
      <c r="V2822" s="10">
        <v>7.5741092456127026</v>
      </c>
      <c r="W2822" s="9">
        <v>45012</v>
      </c>
      <c r="X2822" s="10">
        <v>7.5</v>
      </c>
      <c r="Y2822" s="9">
        <v>45015</v>
      </c>
      <c r="Z2822">
        <v>1</v>
      </c>
      <c r="AA2822" s="11" t="s">
        <v>598</v>
      </c>
    </row>
    <row r="2823" spans="2:27" ht="16" x14ac:dyDescent="0.2">
      <c r="B2823" t="s">
        <v>35</v>
      </c>
      <c r="C2823">
        <v>40362183</v>
      </c>
      <c r="D2823" t="s">
        <v>389</v>
      </c>
      <c r="E2823">
        <v>1022212</v>
      </c>
      <c r="F2823" t="s">
        <v>300</v>
      </c>
      <c r="G2823" s="9">
        <v>44992</v>
      </c>
      <c r="H2823" s="7">
        <v>23566.69</v>
      </c>
      <c r="I2823" s="7"/>
      <c r="J2823" s="7"/>
      <c r="K2823" s="7"/>
      <c r="L2823" s="10">
        <v>5.5741092456127026</v>
      </c>
      <c r="M2823" s="9">
        <v>44997</v>
      </c>
      <c r="N2823" s="10">
        <v>5.5</v>
      </c>
      <c r="O2823" s="9">
        <v>45002</v>
      </c>
      <c r="P2823">
        <v>12</v>
      </c>
      <c r="Q2823" s="11" t="s">
        <v>49</v>
      </c>
      <c r="R2823" s="7">
        <v>23566.69</v>
      </c>
      <c r="S2823" s="7"/>
      <c r="T2823" s="7"/>
      <c r="U2823" s="7"/>
      <c r="V2823" s="10">
        <v>7.5741092456127026</v>
      </c>
      <c r="W2823" s="9">
        <v>44999</v>
      </c>
      <c r="X2823" s="10">
        <v>7.5</v>
      </c>
      <c r="Y2823" s="9">
        <v>45002</v>
      </c>
      <c r="Z2823">
        <v>12</v>
      </c>
      <c r="AA2823" s="11" t="s">
        <v>49</v>
      </c>
    </row>
    <row r="2824" spans="2:27" ht="16" x14ac:dyDescent="0.2">
      <c r="B2824" t="s">
        <v>35</v>
      </c>
      <c r="C2824">
        <v>40362169</v>
      </c>
      <c r="D2824" t="s">
        <v>389</v>
      </c>
      <c r="E2824">
        <v>1022169</v>
      </c>
      <c r="F2824" t="s">
        <v>298</v>
      </c>
      <c r="G2824" s="9">
        <v>44996</v>
      </c>
      <c r="H2824" s="7">
        <v>24310</v>
      </c>
      <c r="I2824" s="7"/>
      <c r="J2824" s="7"/>
      <c r="K2824" s="7"/>
      <c r="L2824" s="10">
        <v>5.5741092456127026</v>
      </c>
      <c r="M2824" s="9">
        <v>45001</v>
      </c>
      <c r="N2824" s="10">
        <v>5.5</v>
      </c>
      <c r="O2824" s="9">
        <v>45006</v>
      </c>
      <c r="P2824">
        <v>9</v>
      </c>
      <c r="Q2824" s="11" t="s">
        <v>49</v>
      </c>
      <c r="R2824" s="7">
        <v>24310</v>
      </c>
      <c r="S2824" s="7"/>
      <c r="T2824" s="7"/>
      <c r="U2824" s="7"/>
      <c r="V2824" s="10">
        <v>7.5741092456127026</v>
      </c>
      <c r="W2824" s="9">
        <v>45003</v>
      </c>
      <c r="X2824" s="10">
        <v>7.5</v>
      </c>
      <c r="Y2824" s="9">
        <v>45006</v>
      </c>
      <c r="Z2824">
        <v>9</v>
      </c>
      <c r="AA2824" s="11" t="s">
        <v>49</v>
      </c>
    </row>
    <row r="2825" spans="2:27" ht="16" x14ac:dyDescent="0.2">
      <c r="B2825" t="s">
        <v>35</v>
      </c>
      <c r="C2825">
        <v>40362168</v>
      </c>
      <c r="D2825" t="s">
        <v>389</v>
      </c>
      <c r="E2825">
        <v>1022414</v>
      </c>
      <c r="F2825" t="s">
        <v>308</v>
      </c>
      <c r="G2825" s="9">
        <v>45007</v>
      </c>
      <c r="H2825" s="7"/>
      <c r="I2825" s="7">
        <v>24240</v>
      </c>
      <c r="J2825" s="7"/>
      <c r="K2825" s="7"/>
      <c r="L2825" s="10">
        <v>5.5741092456127026</v>
      </c>
      <c r="M2825" s="9">
        <v>45012</v>
      </c>
      <c r="N2825" s="10">
        <v>5.5</v>
      </c>
      <c r="O2825" s="9">
        <v>45017</v>
      </c>
      <c r="P2825">
        <v>23</v>
      </c>
      <c r="Q2825" s="11" t="s">
        <v>49</v>
      </c>
      <c r="R2825" s="7"/>
      <c r="S2825" s="7">
        <v>24240</v>
      </c>
      <c r="T2825" s="7"/>
      <c r="U2825" s="7"/>
      <c r="V2825" s="10">
        <v>7.5741092456127026</v>
      </c>
      <c r="W2825" s="9">
        <v>45014</v>
      </c>
      <c r="X2825" s="10">
        <v>7.5</v>
      </c>
      <c r="Y2825" s="9">
        <v>45017</v>
      </c>
      <c r="Z2825">
        <v>23</v>
      </c>
      <c r="AA2825" s="11" t="s">
        <v>49</v>
      </c>
    </row>
    <row r="2826" spans="2:27" ht="16" x14ac:dyDescent="0.2">
      <c r="B2826" t="s">
        <v>35</v>
      </c>
      <c r="C2826">
        <v>40362161</v>
      </c>
      <c r="D2826" t="s">
        <v>389</v>
      </c>
      <c r="E2826">
        <v>1022080</v>
      </c>
      <c r="F2826" t="s">
        <v>292</v>
      </c>
      <c r="G2826" s="9">
        <v>45007</v>
      </c>
      <c r="H2826" s="7"/>
      <c r="I2826" s="7">
        <v>23540</v>
      </c>
      <c r="J2826" s="7"/>
      <c r="K2826" s="7"/>
      <c r="L2826" s="10">
        <v>5.5741092456127026</v>
      </c>
      <c r="M2826" s="9">
        <v>45012</v>
      </c>
      <c r="N2826" s="10">
        <v>5.5</v>
      </c>
      <c r="O2826" s="9">
        <v>45017</v>
      </c>
      <c r="P2826">
        <v>23</v>
      </c>
      <c r="Q2826" s="11" t="s">
        <v>49</v>
      </c>
      <c r="R2826" s="7"/>
      <c r="S2826" s="7">
        <v>23540</v>
      </c>
      <c r="T2826" s="7"/>
      <c r="U2826" s="7"/>
      <c r="V2826" s="10">
        <v>7.5741092456127026</v>
      </c>
      <c r="W2826" s="9">
        <v>45014</v>
      </c>
      <c r="X2826" s="10">
        <v>7.5</v>
      </c>
      <c r="Y2826" s="9">
        <v>45017</v>
      </c>
      <c r="Z2826">
        <v>23</v>
      </c>
      <c r="AA2826" s="11" t="s">
        <v>49</v>
      </c>
    </row>
    <row r="2827" spans="2:27" ht="16" x14ac:dyDescent="0.2">
      <c r="B2827" t="s">
        <v>35</v>
      </c>
      <c r="C2827">
        <v>40362157</v>
      </c>
      <c r="D2827" t="s">
        <v>389</v>
      </c>
      <c r="E2827">
        <v>1022637</v>
      </c>
      <c r="F2827" t="s">
        <v>314</v>
      </c>
      <c r="G2827" s="9">
        <v>45015</v>
      </c>
      <c r="H2827" s="7"/>
      <c r="I2827" s="7">
        <v>21690</v>
      </c>
      <c r="J2827" s="7"/>
      <c r="K2827" s="7"/>
      <c r="L2827" s="10">
        <v>5.5741092456127026</v>
      </c>
      <c r="M2827" s="9">
        <v>45020</v>
      </c>
      <c r="N2827" s="10">
        <v>5.5</v>
      </c>
      <c r="O2827" s="9">
        <v>45025</v>
      </c>
      <c r="P2827">
        <v>18</v>
      </c>
      <c r="Q2827" s="11" t="s">
        <v>49</v>
      </c>
      <c r="R2827" s="7"/>
      <c r="S2827" s="7">
        <v>21690</v>
      </c>
      <c r="T2827" s="7"/>
      <c r="U2827" s="7"/>
      <c r="V2827" s="10">
        <v>7.5741092456127026</v>
      </c>
      <c r="W2827" s="9">
        <v>45022</v>
      </c>
      <c r="X2827" s="10">
        <v>7.5</v>
      </c>
      <c r="Y2827" s="9">
        <v>45025</v>
      </c>
      <c r="Z2827">
        <v>18</v>
      </c>
      <c r="AA2827" s="11" t="s">
        <v>49</v>
      </c>
    </row>
    <row r="2828" spans="2:27" ht="16" x14ac:dyDescent="0.2">
      <c r="B2828" t="s">
        <v>35</v>
      </c>
      <c r="C2828">
        <v>40362156</v>
      </c>
      <c r="D2828" t="s">
        <v>389</v>
      </c>
      <c r="E2828">
        <v>1022637</v>
      </c>
      <c r="F2828" t="s">
        <v>314</v>
      </c>
      <c r="G2828" s="9">
        <v>45015</v>
      </c>
      <c r="H2828" s="7"/>
      <c r="I2828" s="7">
        <v>5040</v>
      </c>
      <c r="J2828" s="7"/>
      <c r="K2828" s="7"/>
      <c r="L2828" s="10">
        <v>5.5741092456127026</v>
      </c>
      <c r="M2828" s="9">
        <v>45020</v>
      </c>
      <c r="N2828" s="10">
        <v>5.5</v>
      </c>
      <c r="O2828" s="9">
        <v>45025</v>
      </c>
      <c r="P2828">
        <v>18</v>
      </c>
      <c r="Q2828" s="11" t="s">
        <v>49</v>
      </c>
      <c r="R2828" s="7"/>
      <c r="S2828" s="7">
        <v>5040</v>
      </c>
      <c r="T2828" s="7"/>
      <c r="U2828" s="7"/>
      <c r="V2828" s="10">
        <v>7.5741092456127026</v>
      </c>
      <c r="W2828" s="9">
        <v>45022</v>
      </c>
      <c r="X2828" s="10">
        <v>7.5</v>
      </c>
      <c r="Y2828" s="9">
        <v>45025</v>
      </c>
      <c r="Z2828">
        <v>18</v>
      </c>
      <c r="AA2828" s="11" t="s">
        <v>49</v>
      </c>
    </row>
    <row r="2829" spans="2:27" ht="16" x14ac:dyDescent="0.2">
      <c r="B2829" t="s">
        <v>35</v>
      </c>
      <c r="C2829">
        <v>40362156</v>
      </c>
      <c r="D2829" t="s">
        <v>389</v>
      </c>
      <c r="E2829">
        <v>1022637</v>
      </c>
      <c r="F2829" t="s">
        <v>314</v>
      </c>
      <c r="G2829" s="9">
        <v>45015</v>
      </c>
      <c r="H2829" s="7"/>
      <c r="I2829" s="7">
        <v>22065</v>
      </c>
      <c r="J2829" s="7"/>
      <c r="K2829" s="7"/>
      <c r="L2829" s="10">
        <v>5.5741092456127026</v>
      </c>
      <c r="M2829" s="9">
        <v>45020</v>
      </c>
      <c r="N2829" s="10">
        <v>5.5</v>
      </c>
      <c r="O2829" s="9">
        <v>45025</v>
      </c>
      <c r="P2829">
        <v>18</v>
      </c>
      <c r="Q2829" s="11" t="s">
        <v>49</v>
      </c>
      <c r="R2829" s="7"/>
      <c r="S2829" s="7">
        <v>22065</v>
      </c>
      <c r="T2829" s="7"/>
      <c r="U2829" s="7"/>
      <c r="V2829" s="10">
        <v>7.5741092456127026</v>
      </c>
      <c r="W2829" s="9">
        <v>45022</v>
      </c>
      <c r="X2829" s="10">
        <v>7.5</v>
      </c>
      <c r="Y2829" s="9">
        <v>45025</v>
      </c>
      <c r="Z2829">
        <v>18</v>
      </c>
      <c r="AA2829" s="11" t="s">
        <v>49</v>
      </c>
    </row>
    <row r="2830" spans="2:27" ht="16" x14ac:dyDescent="0.2">
      <c r="B2830" t="s">
        <v>35</v>
      </c>
      <c r="C2830">
        <v>40362153</v>
      </c>
      <c r="D2830" t="s">
        <v>389</v>
      </c>
      <c r="E2830">
        <v>1022096</v>
      </c>
      <c r="F2830" t="s">
        <v>440</v>
      </c>
      <c r="G2830" s="9">
        <v>44996</v>
      </c>
      <c r="H2830" s="7">
        <v>24250</v>
      </c>
      <c r="I2830" s="7"/>
      <c r="J2830" s="7"/>
      <c r="K2830" s="7"/>
      <c r="L2830" s="10">
        <v>5.5741092456127026</v>
      </c>
      <c r="M2830" s="9">
        <v>45001</v>
      </c>
      <c r="N2830" s="10">
        <v>5.5</v>
      </c>
      <c r="O2830" s="9">
        <v>45006</v>
      </c>
      <c r="P2830">
        <v>9</v>
      </c>
      <c r="Q2830" s="11" t="s">
        <v>49</v>
      </c>
      <c r="R2830" s="7">
        <v>24250</v>
      </c>
      <c r="S2830" s="7"/>
      <c r="T2830" s="7"/>
      <c r="U2830" s="7"/>
      <c r="V2830" s="10">
        <v>7.5741092456127026</v>
      </c>
      <c r="W2830" s="9">
        <v>45003</v>
      </c>
      <c r="X2830" s="10">
        <v>7.5</v>
      </c>
      <c r="Y2830" s="9">
        <v>45006</v>
      </c>
      <c r="Z2830">
        <v>9</v>
      </c>
      <c r="AA2830" s="11" t="s">
        <v>49</v>
      </c>
    </row>
    <row r="2831" spans="2:27" ht="16" x14ac:dyDescent="0.2">
      <c r="B2831" t="s">
        <v>35</v>
      </c>
      <c r="C2831">
        <v>40362149</v>
      </c>
      <c r="D2831" t="s">
        <v>389</v>
      </c>
      <c r="E2831">
        <v>1022939</v>
      </c>
      <c r="F2831" t="s">
        <v>505</v>
      </c>
      <c r="G2831" s="9">
        <v>45007</v>
      </c>
      <c r="H2831" s="7"/>
      <c r="I2831" s="7">
        <v>20360</v>
      </c>
      <c r="J2831" s="7"/>
      <c r="K2831" s="7"/>
      <c r="L2831" s="10">
        <v>5.5741092456127026</v>
      </c>
      <c r="M2831" s="9">
        <v>45012</v>
      </c>
      <c r="N2831" s="10">
        <v>5.5</v>
      </c>
      <c r="O2831" s="9">
        <v>45017</v>
      </c>
      <c r="P2831">
        <v>23</v>
      </c>
      <c r="Q2831" s="11" t="s">
        <v>49</v>
      </c>
      <c r="R2831" s="7"/>
      <c r="S2831" s="7">
        <v>20360</v>
      </c>
      <c r="T2831" s="7"/>
      <c r="U2831" s="7"/>
      <c r="V2831" s="10">
        <v>7.5741092456127026</v>
      </c>
      <c r="W2831" s="9">
        <v>45014</v>
      </c>
      <c r="X2831" s="10">
        <v>7.5</v>
      </c>
      <c r="Y2831" s="9">
        <v>45017</v>
      </c>
      <c r="Z2831">
        <v>23</v>
      </c>
      <c r="AA2831" s="11" t="s">
        <v>49</v>
      </c>
    </row>
    <row r="2832" spans="2:27" ht="16" x14ac:dyDescent="0.2">
      <c r="B2832" t="s">
        <v>35</v>
      </c>
      <c r="C2832">
        <v>40362149</v>
      </c>
      <c r="D2832" t="s">
        <v>389</v>
      </c>
      <c r="E2832">
        <v>1022939</v>
      </c>
      <c r="F2832" t="s">
        <v>505</v>
      </c>
      <c r="G2832" s="9">
        <v>45007</v>
      </c>
      <c r="H2832" s="7"/>
      <c r="I2832" s="7">
        <v>25000</v>
      </c>
      <c r="J2832" s="7"/>
      <c r="K2832" s="7"/>
      <c r="L2832" s="10">
        <v>5.5741092456127026</v>
      </c>
      <c r="M2832" s="9">
        <v>45012</v>
      </c>
      <c r="N2832" s="10">
        <v>5.5</v>
      </c>
      <c r="O2832" s="9">
        <v>45017</v>
      </c>
      <c r="P2832">
        <v>23</v>
      </c>
      <c r="Q2832" s="11" t="s">
        <v>49</v>
      </c>
      <c r="R2832" s="7"/>
      <c r="S2832" s="7">
        <v>25000</v>
      </c>
      <c r="T2832" s="7"/>
      <c r="U2832" s="7"/>
      <c r="V2832" s="10">
        <v>7.5741092456127026</v>
      </c>
      <c r="W2832" s="9">
        <v>45014</v>
      </c>
      <c r="X2832" s="10">
        <v>7.5</v>
      </c>
      <c r="Y2832" s="9">
        <v>45017</v>
      </c>
      <c r="Z2832">
        <v>23</v>
      </c>
      <c r="AA2832" s="11" t="s">
        <v>49</v>
      </c>
    </row>
    <row r="2833" spans="2:27" ht="16" x14ac:dyDescent="0.2">
      <c r="B2833" t="s">
        <v>35</v>
      </c>
      <c r="C2833">
        <v>40362146</v>
      </c>
      <c r="D2833" t="s">
        <v>389</v>
      </c>
      <c r="E2833">
        <v>1021766</v>
      </c>
      <c r="F2833" t="s">
        <v>286</v>
      </c>
      <c r="G2833" s="9">
        <v>45011</v>
      </c>
      <c r="H2833" s="7"/>
      <c r="I2833" s="7">
        <v>23400</v>
      </c>
      <c r="J2833" s="7"/>
      <c r="K2833" s="7"/>
      <c r="L2833" s="10">
        <v>5.5741092456127026</v>
      </c>
      <c r="M2833" s="9">
        <v>45016</v>
      </c>
      <c r="N2833" s="10">
        <v>5.5</v>
      </c>
      <c r="O2833" s="9">
        <v>45021</v>
      </c>
      <c r="P2833">
        <v>21</v>
      </c>
      <c r="Q2833" s="11" t="s">
        <v>49</v>
      </c>
      <c r="R2833" s="7"/>
      <c r="S2833" s="7">
        <v>23400</v>
      </c>
      <c r="T2833" s="7"/>
      <c r="U2833" s="7"/>
      <c r="V2833" s="10">
        <v>7.5741092456127026</v>
      </c>
      <c r="W2833" s="9">
        <v>45018</v>
      </c>
      <c r="X2833" s="10">
        <v>7.5</v>
      </c>
      <c r="Y2833" s="9">
        <v>45021</v>
      </c>
      <c r="Z2833">
        <v>21</v>
      </c>
      <c r="AA2833" s="11" t="s">
        <v>49</v>
      </c>
    </row>
    <row r="2834" spans="2:27" ht="16" x14ac:dyDescent="0.2">
      <c r="B2834" t="s">
        <v>35</v>
      </c>
      <c r="C2834">
        <v>40362145</v>
      </c>
      <c r="D2834" t="s">
        <v>389</v>
      </c>
      <c r="E2834">
        <v>1021766</v>
      </c>
      <c r="F2834" t="s">
        <v>286</v>
      </c>
      <c r="G2834" s="9">
        <v>45011</v>
      </c>
      <c r="H2834" s="7"/>
      <c r="I2834" s="7">
        <v>24012</v>
      </c>
      <c r="J2834" s="7"/>
      <c r="K2834" s="7"/>
      <c r="L2834" s="10">
        <v>5.5741092456127026</v>
      </c>
      <c r="M2834" s="9">
        <v>45016</v>
      </c>
      <c r="N2834" s="10">
        <v>5.5</v>
      </c>
      <c r="O2834" s="9">
        <v>45021</v>
      </c>
      <c r="P2834">
        <v>21</v>
      </c>
      <c r="Q2834" s="11" t="s">
        <v>49</v>
      </c>
      <c r="R2834" s="7"/>
      <c r="S2834" s="7">
        <v>24012</v>
      </c>
      <c r="T2834" s="7"/>
      <c r="U2834" s="7"/>
      <c r="V2834" s="10">
        <v>7.5741092456127026</v>
      </c>
      <c r="W2834" s="9">
        <v>45018</v>
      </c>
      <c r="X2834" s="10">
        <v>7.5</v>
      </c>
      <c r="Y2834" s="9">
        <v>45021</v>
      </c>
      <c r="Z2834">
        <v>21</v>
      </c>
      <c r="AA2834" s="11" t="s">
        <v>49</v>
      </c>
    </row>
    <row r="2835" spans="2:27" ht="16" x14ac:dyDescent="0.2">
      <c r="B2835" t="s">
        <v>35</v>
      </c>
      <c r="C2835">
        <v>40362144</v>
      </c>
      <c r="D2835" t="s">
        <v>389</v>
      </c>
      <c r="E2835">
        <v>1021766</v>
      </c>
      <c r="F2835" t="s">
        <v>286</v>
      </c>
      <c r="G2835" s="9">
        <v>45011</v>
      </c>
      <c r="H2835" s="7"/>
      <c r="I2835" s="7">
        <v>23436</v>
      </c>
      <c r="J2835" s="7"/>
      <c r="K2835" s="7"/>
      <c r="L2835" s="10">
        <v>5.5741092456127026</v>
      </c>
      <c r="M2835" s="9">
        <v>45016</v>
      </c>
      <c r="N2835" s="10">
        <v>5.5</v>
      </c>
      <c r="O2835" s="9">
        <v>45021</v>
      </c>
      <c r="P2835">
        <v>21</v>
      </c>
      <c r="Q2835" s="11" t="s">
        <v>49</v>
      </c>
      <c r="R2835" s="7"/>
      <c r="S2835" s="7">
        <v>23436</v>
      </c>
      <c r="T2835" s="7"/>
      <c r="U2835" s="7"/>
      <c r="V2835" s="10">
        <v>7.5741092456127026</v>
      </c>
      <c r="W2835" s="9">
        <v>45018</v>
      </c>
      <c r="X2835" s="10">
        <v>7.5</v>
      </c>
      <c r="Y2835" s="9">
        <v>45021</v>
      </c>
      <c r="Z2835">
        <v>21</v>
      </c>
      <c r="AA2835" s="11" t="s">
        <v>49</v>
      </c>
    </row>
    <row r="2836" spans="2:27" ht="16" x14ac:dyDescent="0.2">
      <c r="B2836" t="s">
        <v>35</v>
      </c>
      <c r="C2836">
        <v>40362143</v>
      </c>
      <c r="D2836" t="s">
        <v>389</v>
      </c>
      <c r="E2836">
        <v>1021766</v>
      </c>
      <c r="F2836" t="s">
        <v>286</v>
      </c>
      <c r="G2836" s="9">
        <v>45018</v>
      </c>
      <c r="H2836" s="7"/>
      <c r="I2836" s="7">
        <v>23940</v>
      </c>
      <c r="J2836" s="7"/>
      <c r="K2836" s="7"/>
      <c r="L2836" s="10">
        <v>5.5741092456127026</v>
      </c>
      <c r="M2836" s="9">
        <v>45023</v>
      </c>
      <c r="N2836" s="10">
        <v>5.5</v>
      </c>
      <c r="O2836" s="9">
        <v>45028</v>
      </c>
      <c r="P2836">
        <v>15</v>
      </c>
      <c r="Q2836" s="11" t="s">
        <v>49</v>
      </c>
      <c r="R2836" s="7"/>
      <c r="S2836" s="7">
        <v>23940</v>
      </c>
      <c r="T2836" s="7"/>
      <c r="U2836" s="7"/>
      <c r="V2836" s="10">
        <v>7.5741092456127026</v>
      </c>
      <c r="W2836" s="9">
        <v>45025</v>
      </c>
      <c r="X2836" s="10">
        <v>7.5</v>
      </c>
      <c r="Y2836" s="9">
        <v>45028</v>
      </c>
      <c r="Z2836">
        <v>15</v>
      </c>
      <c r="AA2836" s="11" t="s">
        <v>49</v>
      </c>
    </row>
    <row r="2837" spans="2:27" ht="16" x14ac:dyDescent="0.2">
      <c r="B2837" t="s">
        <v>35</v>
      </c>
      <c r="C2837">
        <v>40362140</v>
      </c>
      <c r="D2837" t="s">
        <v>389</v>
      </c>
      <c r="E2837">
        <v>1021766</v>
      </c>
      <c r="F2837" t="s">
        <v>286</v>
      </c>
      <c r="G2837" s="9">
        <v>45011</v>
      </c>
      <c r="H2837" s="7"/>
      <c r="I2837" s="7">
        <v>24678</v>
      </c>
      <c r="J2837" s="7"/>
      <c r="K2837" s="7"/>
      <c r="L2837" s="10">
        <v>5.5741092456127026</v>
      </c>
      <c r="M2837" s="9">
        <v>45016</v>
      </c>
      <c r="N2837" s="10">
        <v>5.5</v>
      </c>
      <c r="O2837" s="9">
        <v>45021</v>
      </c>
      <c r="P2837">
        <v>21</v>
      </c>
      <c r="Q2837" s="11" t="s">
        <v>49</v>
      </c>
      <c r="R2837" s="7"/>
      <c r="S2837" s="7">
        <v>24678</v>
      </c>
      <c r="T2837" s="7"/>
      <c r="U2837" s="7"/>
      <c r="V2837" s="10">
        <v>7.5741092456127026</v>
      </c>
      <c r="W2837" s="9">
        <v>45018</v>
      </c>
      <c r="X2837" s="10">
        <v>7.5</v>
      </c>
      <c r="Y2837" s="9">
        <v>45021</v>
      </c>
      <c r="Z2837">
        <v>21</v>
      </c>
      <c r="AA2837" s="11" t="s">
        <v>49</v>
      </c>
    </row>
    <row r="2838" spans="2:27" ht="16" x14ac:dyDescent="0.2">
      <c r="B2838" t="s">
        <v>35</v>
      </c>
      <c r="C2838">
        <v>40362139</v>
      </c>
      <c r="D2838" t="s">
        <v>389</v>
      </c>
      <c r="E2838">
        <v>1021766</v>
      </c>
      <c r="F2838" t="s">
        <v>286</v>
      </c>
      <c r="G2838" s="9">
        <v>45011</v>
      </c>
      <c r="H2838" s="7"/>
      <c r="I2838" s="7">
        <v>23400</v>
      </c>
      <c r="J2838" s="7"/>
      <c r="K2838" s="7"/>
      <c r="L2838" s="10">
        <v>5.5741092456127026</v>
      </c>
      <c r="M2838" s="9">
        <v>45016</v>
      </c>
      <c r="N2838" s="10">
        <v>5.5</v>
      </c>
      <c r="O2838" s="9">
        <v>45021</v>
      </c>
      <c r="P2838">
        <v>21</v>
      </c>
      <c r="Q2838" s="11" t="s">
        <v>49</v>
      </c>
      <c r="R2838" s="7"/>
      <c r="S2838" s="7">
        <v>23400</v>
      </c>
      <c r="T2838" s="7"/>
      <c r="U2838" s="7"/>
      <c r="V2838" s="10">
        <v>7.5741092456127026</v>
      </c>
      <c r="W2838" s="9">
        <v>45018</v>
      </c>
      <c r="X2838" s="10">
        <v>7.5</v>
      </c>
      <c r="Y2838" s="9">
        <v>45021</v>
      </c>
      <c r="Z2838">
        <v>21</v>
      </c>
      <c r="AA2838" s="11" t="s">
        <v>49</v>
      </c>
    </row>
    <row r="2839" spans="2:27" ht="16" x14ac:dyDescent="0.2">
      <c r="B2839" t="s">
        <v>35</v>
      </c>
      <c r="C2839">
        <v>40362123</v>
      </c>
      <c r="D2839" t="s">
        <v>389</v>
      </c>
      <c r="E2839">
        <v>1023306</v>
      </c>
      <c r="F2839" t="s">
        <v>330</v>
      </c>
      <c r="G2839" s="9">
        <v>45007</v>
      </c>
      <c r="H2839" s="7"/>
      <c r="I2839" s="7">
        <v>24300</v>
      </c>
      <c r="J2839" s="7"/>
      <c r="K2839" s="7"/>
      <c r="L2839" s="10">
        <v>5.5741092456127026</v>
      </c>
      <c r="M2839" s="9">
        <v>45012</v>
      </c>
      <c r="N2839" s="10">
        <v>5.5</v>
      </c>
      <c r="O2839" s="9">
        <v>45017</v>
      </c>
      <c r="P2839">
        <v>23</v>
      </c>
      <c r="Q2839" s="11" t="s">
        <v>49</v>
      </c>
      <c r="R2839" s="7"/>
      <c r="S2839" s="7">
        <v>24300</v>
      </c>
      <c r="T2839" s="7"/>
      <c r="U2839" s="7"/>
      <c r="V2839" s="10">
        <v>7.5741092456127026</v>
      </c>
      <c r="W2839" s="9">
        <v>45014</v>
      </c>
      <c r="X2839" s="10">
        <v>7.5</v>
      </c>
      <c r="Y2839" s="9">
        <v>45017</v>
      </c>
      <c r="Z2839">
        <v>23</v>
      </c>
      <c r="AA2839" s="11" t="s">
        <v>49</v>
      </c>
    </row>
    <row r="2840" spans="2:27" ht="16" x14ac:dyDescent="0.2">
      <c r="B2840" t="s">
        <v>35</v>
      </c>
      <c r="C2840">
        <v>40362122</v>
      </c>
      <c r="D2840" t="s">
        <v>389</v>
      </c>
      <c r="E2840">
        <v>1023306</v>
      </c>
      <c r="F2840" t="s">
        <v>330</v>
      </c>
      <c r="G2840" s="9">
        <v>44998</v>
      </c>
      <c r="H2840" s="7">
        <v>4800</v>
      </c>
      <c r="I2840" s="7"/>
      <c r="J2840" s="7"/>
      <c r="K2840" s="7"/>
      <c r="L2840" s="10">
        <v>5.5741092456127026</v>
      </c>
      <c r="M2840" s="9">
        <v>45003</v>
      </c>
      <c r="N2840" s="10">
        <v>5.5</v>
      </c>
      <c r="O2840" s="9">
        <v>45008</v>
      </c>
      <c r="P2840">
        <v>7</v>
      </c>
      <c r="Q2840" s="11" t="s">
        <v>49</v>
      </c>
      <c r="R2840" s="7">
        <v>4800</v>
      </c>
      <c r="S2840" s="7"/>
      <c r="T2840" s="7"/>
      <c r="U2840" s="7"/>
      <c r="V2840" s="10">
        <v>7.5741092456127026</v>
      </c>
      <c r="W2840" s="9">
        <v>45005</v>
      </c>
      <c r="X2840" s="10">
        <v>7.5</v>
      </c>
      <c r="Y2840" s="9">
        <v>45008</v>
      </c>
      <c r="Z2840">
        <v>7</v>
      </c>
      <c r="AA2840" s="11" t="s">
        <v>49</v>
      </c>
    </row>
    <row r="2841" spans="2:27" ht="16" x14ac:dyDescent="0.2">
      <c r="B2841" t="s">
        <v>35</v>
      </c>
      <c r="C2841">
        <v>40362122</v>
      </c>
      <c r="D2841" t="s">
        <v>389</v>
      </c>
      <c r="E2841">
        <v>1023306</v>
      </c>
      <c r="F2841" t="s">
        <v>330</v>
      </c>
      <c r="G2841" s="9">
        <v>44998</v>
      </c>
      <c r="H2841" s="7">
        <v>24360</v>
      </c>
      <c r="I2841" s="7"/>
      <c r="J2841" s="7"/>
      <c r="K2841" s="7"/>
      <c r="L2841" s="10">
        <v>5.5741092456127026</v>
      </c>
      <c r="M2841" s="9">
        <v>45003</v>
      </c>
      <c r="N2841" s="10">
        <v>5.5</v>
      </c>
      <c r="O2841" s="9">
        <v>45008</v>
      </c>
      <c r="P2841">
        <v>7</v>
      </c>
      <c r="Q2841" s="11" t="s">
        <v>49</v>
      </c>
      <c r="R2841" s="7">
        <v>24360</v>
      </c>
      <c r="S2841" s="7"/>
      <c r="T2841" s="7"/>
      <c r="U2841" s="7"/>
      <c r="V2841" s="10">
        <v>7.5741092456127026</v>
      </c>
      <c r="W2841" s="9">
        <v>45005</v>
      </c>
      <c r="X2841" s="10">
        <v>7.5</v>
      </c>
      <c r="Y2841" s="9">
        <v>45008</v>
      </c>
      <c r="Z2841">
        <v>7</v>
      </c>
      <c r="AA2841" s="11" t="s">
        <v>49</v>
      </c>
    </row>
    <row r="2842" spans="2:27" ht="16" x14ac:dyDescent="0.2">
      <c r="B2842" t="s">
        <v>35</v>
      </c>
      <c r="C2842">
        <v>40362120</v>
      </c>
      <c r="D2842" t="s">
        <v>389</v>
      </c>
      <c r="E2842">
        <v>1023306</v>
      </c>
      <c r="F2842" t="s">
        <v>330</v>
      </c>
      <c r="G2842" s="9">
        <v>45005</v>
      </c>
      <c r="H2842" s="7">
        <v>24260</v>
      </c>
      <c r="I2842" s="7"/>
      <c r="J2842" s="7"/>
      <c r="K2842" s="7"/>
      <c r="L2842" s="10">
        <v>5.5741092456127026</v>
      </c>
      <c r="M2842" s="9">
        <v>45010</v>
      </c>
      <c r="N2842" s="10">
        <v>5.5</v>
      </c>
      <c r="O2842" s="9">
        <v>45015</v>
      </c>
      <c r="P2842">
        <v>1</v>
      </c>
      <c r="Q2842" s="11" t="s">
        <v>598</v>
      </c>
      <c r="R2842" s="7">
        <v>24260</v>
      </c>
      <c r="S2842" s="7"/>
      <c r="T2842" s="7"/>
      <c r="U2842" s="7"/>
      <c r="V2842" s="10">
        <v>7.5741092456127026</v>
      </c>
      <c r="W2842" s="9">
        <v>45012</v>
      </c>
      <c r="X2842" s="10">
        <v>7.5</v>
      </c>
      <c r="Y2842" s="9">
        <v>45015</v>
      </c>
      <c r="Z2842">
        <v>1</v>
      </c>
      <c r="AA2842" s="11" t="s">
        <v>598</v>
      </c>
    </row>
    <row r="2843" spans="2:27" ht="16" x14ac:dyDescent="0.2">
      <c r="B2843" t="s">
        <v>35</v>
      </c>
      <c r="C2843">
        <v>40362119</v>
      </c>
      <c r="D2843" t="s">
        <v>389</v>
      </c>
      <c r="E2843">
        <v>1023306</v>
      </c>
      <c r="F2843" t="s">
        <v>330</v>
      </c>
      <c r="G2843" s="9">
        <v>44996</v>
      </c>
      <c r="H2843" s="7">
        <v>12000</v>
      </c>
      <c r="I2843" s="7"/>
      <c r="J2843" s="7"/>
      <c r="K2843" s="7"/>
      <c r="L2843" s="10">
        <v>5.5741092456127026</v>
      </c>
      <c r="M2843" s="9">
        <v>45001</v>
      </c>
      <c r="N2843" s="10">
        <v>5.5</v>
      </c>
      <c r="O2843" s="9">
        <v>45006</v>
      </c>
      <c r="P2843">
        <v>9</v>
      </c>
      <c r="Q2843" s="11" t="s">
        <v>49</v>
      </c>
      <c r="R2843" s="7">
        <v>12000</v>
      </c>
      <c r="S2843" s="7"/>
      <c r="T2843" s="7"/>
      <c r="U2843" s="7"/>
      <c r="V2843" s="10">
        <v>7.5741092456127026</v>
      </c>
      <c r="W2843" s="9">
        <v>45003</v>
      </c>
      <c r="X2843" s="10">
        <v>7.5</v>
      </c>
      <c r="Y2843" s="9">
        <v>45006</v>
      </c>
      <c r="Z2843">
        <v>9</v>
      </c>
      <c r="AA2843" s="11" t="s">
        <v>49</v>
      </c>
    </row>
    <row r="2844" spans="2:27" ht="16" x14ac:dyDescent="0.2">
      <c r="B2844" t="s">
        <v>35</v>
      </c>
      <c r="C2844">
        <v>40362119</v>
      </c>
      <c r="D2844" t="s">
        <v>389</v>
      </c>
      <c r="E2844">
        <v>1023306</v>
      </c>
      <c r="F2844" t="s">
        <v>330</v>
      </c>
      <c r="G2844" s="9">
        <v>44996</v>
      </c>
      <c r="H2844" s="7">
        <v>24000</v>
      </c>
      <c r="I2844" s="7"/>
      <c r="J2844" s="7"/>
      <c r="K2844" s="7"/>
      <c r="L2844" s="10">
        <v>5.5741092456127026</v>
      </c>
      <c r="M2844" s="9">
        <v>45001</v>
      </c>
      <c r="N2844" s="10">
        <v>5.5</v>
      </c>
      <c r="O2844" s="9">
        <v>45006</v>
      </c>
      <c r="P2844">
        <v>9</v>
      </c>
      <c r="Q2844" s="11" t="s">
        <v>49</v>
      </c>
      <c r="R2844" s="7">
        <v>24000</v>
      </c>
      <c r="S2844" s="7"/>
      <c r="T2844" s="7"/>
      <c r="U2844" s="7"/>
      <c r="V2844" s="10">
        <v>7.5741092456127026</v>
      </c>
      <c r="W2844" s="9">
        <v>45003</v>
      </c>
      <c r="X2844" s="10">
        <v>7.5</v>
      </c>
      <c r="Y2844" s="9">
        <v>45006</v>
      </c>
      <c r="Z2844">
        <v>9</v>
      </c>
      <c r="AA2844" s="11" t="s">
        <v>49</v>
      </c>
    </row>
    <row r="2845" spans="2:27" ht="16" x14ac:dyDescent="0.2">
      <c r="B2845" t="s">
        <v>35</v>
      </c>
      <c r="C2845">
        <v>40362117</v>
      </c>
      <c r="D2845" t="s">
        <v>389</v>
      </c>
      <c r="E2845">
        <v>1022388</v>
      </c>
      <c r="F2845" t="s">
        <v>170</v>
      </c>
      <c r="G2845" s="9">
        <v>45001</v>
      </c>
      <c r="H2845" s="7">
        <v>24070</v>
      </c>
      <c r="I2845" s="7"/>
      <c r="J2845" s="7"/>
      <c r="K2845" s="7"/>
      <c r="L2845" s="10">
        <v>5.5741092456127026</v>
      </c>
      <c r="M2845" s="9">
        <v>45006</v>
      </c>
      <c r="N2845" s="10">
        <v>5.5</v>
      </c>
      <c r="O2845" s="9">
        <v>45011</v>
      </c>
      <c r="P2845">
        <v>5</v>
      </c>
      <c r="Q2845" s="11" t="s">
        <v>49</v>
      </c>
      <c r="R2845" s="7">
        <v>24070</v>
      </c>
      <c r="S2845" s="7"/>
      <c r="T2845" s="7"/>
      <c r="U2845" s="7"/>
      <c r="V2845" s="10">
        <v>7.5741092456127026</v>
      </c>
      <c r="W2845" s="9">
        <v>45008</v>
      </c>
      <c r="X2845" s="10">
        <v>7.5</v>
      </c>
      <c r="Y2845" s="9">
        <v>45011</v>
      </c>
      <c r="Z2845">
        <v>5</v>
      </c>
      <c r="AA2845" s="11" t="s">
        <v>49</v>
      </c>
    </row>
    <row r="2846" spans="2:27" ht="16" x14ac:dyDescent="0.2">
      <c r="B2846" t="s">
        <v>35</v>
      </c>
      <c r="C2846">
        <v>40362116</v>
      </c>
      <c r="D2846" t="s">
        <v>389</v>
      </c>
      <c r="E2846">
        <v>1022388</v>
      </c>
      <c r="F2846" t="s">
        <v>170</v>
      </c>
      <c r="G2846" s="9">
        <v>45001</v>
      </c>
      <c r="H2846" s="7">
        <v>24030</v>
      </c>
      <c r="I2846" s="7"/>
      <c r="J2846" s="7"/>
      <c r="K2846" s="7"/>
      <c r="L2846" s="10">
        <v>5.5741092456127026</v>
      </c>
      <c r="M2846" s="9">
        <v>45006</v>
      </c>
      <c r="N2846" s="10">
        <v>5.5</v>
      </c>
      <c r="O2846" s="9">
        <v>45011</v>
      </c>
      <c r="P2846">
        <v>5</v>
      </c>
      <c r="Q2846" s="11" t="s">
        <v>49</v>
      </c>
      <c r="R2846" s="7">
        <v>24030</v>
      </c>
      <c r="S2846" s="7"/>
      <c r="T2846" s="7"/>
      <c r="U2846" s="7"/>
      <c r="V2846" s="10">
        <v>7.5741092456127026</v>
      </c>
      <c r="W2846" s="9">
        <v>45008</v>
      </c>
      <c r="X2846" s="10">
        <v>7.5</v>
      </c>
      <c r="Y2846" s="9">
        <v>45011</v>
      </c>
      <c r="Z2846">
        <v>5</v>
      </c>
      <c r="AA2846" s="11" t="s">
        <v>49</v>
      </c>
    </row>
    <row r="2847" spans="2:27" ht="16" x14ac:dyDescent="0.2">
      <c r="B2847" t="s">
        <v>35</v>
      </c>
      <c r="C2847">
        <v>40362114</v>
      </c>
      <c r="D2847" t="s">
        <v>389</v>
      </c>
      <c r="E2847">
        <v>1022388</v>
      </c>
      <c r="F2847" t="s">
        <v>170</v>
      </c>
      <c r="G2847" s="9">
        <v>44992</v>
      </c>
      <c r="H2847" s="7">
        <v>24000</v>
      </c>
      <c r="I2847" s="7"/>
      <c r="J2847" s="7"/>
      <c r="K2847" s="7"/>
      <c r="L2847" s="10">
        <v>5.5741092456127026</v>
      </c>
      <c r="M2847" s="9">
        <v>44997</v>
      </c>
      <c r="N2847" s="10">
        <v>5.5</v>
      </c>
      <c r="O2847" s="9">
        <v>45002</v>
      </c>
      <c r="P2847">
        <v>12</v>
      </c>
      <c r="Q2847" s="11" t="s">
        <v>49</v>
      </c>
      <c r="R2847" s="7">
        <v>24000</v>
      </c>
      <c r="S2847" s="7"/>
      <c r="T2847" s="7"/>
      <c r="U2847" s="7"/>
      <c r="V2847" s="10">
        <v>7.5741092456127026</v>
      </c>
      <c r="W2847" s="9">
        <v>44999</v>
      </c>
      <c r="X2847" s="10">
        <v>7.5</v>
      </c>
      <c r="Y2847" s="9">
        <v>45002</v>
      </c>
      <c r="Z2847">
        <v>12</v>
      </c>
      <c r="AA2847" s="11" t="s">
        <v>49</v>
      </c>
    </row>
    <row r="2848" spans="2:27" ht="16" x14ac:dyDescent="0.2">
      <c r="B2848" t="s">
        <v>35</v>
      </c>
      <c r="C2848">
        <v>40362107</v>
      </c>
      <c r="D2848" t="s">
        <v>389</v>
      </c>
      <c r="E2848">
        <v>1022125</v>
      </c>
      <c r="F2848" t="s">
        <v>296</v>
      </c>
      <c r="G2848" s="9">
        <v>44998</v>
      </c>
      <c r="H2848" s="7">
        <v>25000.94</v>
      </c>
      <c r="I2848" s="7"/>
      <c r="J2848" s="7"/>
      <c r="K2848" s="7"/>
      <c r="L2848" s="10">
        <v>5.5741092456127026</v>
      </c>
      <c r="M2848" s="9">
        <v>45003</v>
      </c>
      <c r="N2848" s="10">
        <v>5.5</v>
      </c>
      <c r="O2848" s="9">
        <v>45008</v>
      </c>
      <c r="P2848">
        <v>7</v>
      </c>
      <c r="Q2848" s="11" t="s">
        <v>49</v>
      </c>
      <c r="R2848" s="7">
        <v>25000.94</v>
      </c>
      <c r="S2848" s="7"/>
      <c r="T2848" s="7"/>
      <c r="U2848" s="7"/>
      <c r="V2848" s="10">
        <v>7.5741092456127026</v>
      </c>
      <c r="W2848" s="9">
        <v>45005</v>
      </c>
      <c r="X2848" s="10">
        <v>7.5</v>
      </c>
      <c r="Y2848" s="9">
        <v>45008</v>
      </c>
      <c r="Z2848">
        <v>7</v>
      </c>
      <c r="AA2848" s="11" t="s">
        <v>49</v>
      </c>
    </row>
    <row r="2849" spans="2:27" ht="16" x14ac:dyDescent="0.2">
      <c r="B2849" t="s">
        <v>35</v>
      </c>
      <c r="C2849">
        <v>40362106</v>
      </c>
      <c r="D2849" t="s">
        <v>389</v>
      </c>
      <c r="E2849">
        <v>1022125</v>
      </c>
      <c r="F2849" t="s">
        <v>296</v>
      </c>
      <c r="G2849" s="9">
        <v>45007</v>
      </c>
      <c r="H2849" s="7"/>
      <c r="I2849" s="7">
        <v>25001.89</v>
      </c>
      <c r="J2849" s="7"/>
      <c r="K2849" s="7"/>
      <c r="L2849" s="10">
        <v>5.5741092456127026</v>
      </c>
      <c r="M2849" s="9">
        <v>45012</v>
      </c>
      <c r="N2849" s="10">
        <v>5.5</v>
      </c>
      <c r="O2849" s="9">
        <v>45017</v>
      </c>
      <c r="P2849">
        <v>23</v>
      </c>
      <c r="Q2849" s="11" t="s">
        <v>49</v>
      </c>
      <c r="R2849" s="7"/>
      <c r="S2849" s="7">
        <v>25001.89</v>
      </c>
      <c r="T2849" s="7"/>
      <c r="U2849" s="7"/>
      <c r="V2849" s="10">
        <v>7.5741092456127026</v>
      </c>
      <c r="W2849" s="9">
        <v>45014</v>
      </c>
      <c r="X2849" s="10">
        <v>7.5</v>
      </c>
      <c r="Y2849" s="9">
        <v>45017</v>
      </c>
      <c r="Z2849">
        <v>23</v>
      </c>
      <c r="AA2849" s="11" t="s">
        <v>49</v>
      </c>
    </row>
    <row r="2850" spans="2:27" ht="16" x14ac:dyDescent="0.2">
      <c r="B2850" t="s">
        <v>35</v>
      </c>
      <c r="C2850">
        <v>40362101</v>
      </c>
      <c r="D2850" t="s">
        <v>389</v>
      </c>
      <c r="E2850">
        <v>1022125</v>
      </c>
      <c r="F2850" t="s">
        <v>296</v>
      </c>
      <c r="G2850" s="9">
        <v>44992</v>
      </c>
      <c r="H2850" s="7">
        <v>24039.759999999998</v>
      </c>
      <c r="I2850" s="7"/>
      <c r="J2850" s="7"/>
      <c r="K2850" s="7"/>
      <c r="L2850" s="10">
        <v>5.5741092456127026</v>
      </c>
      <c r="M2850" s="9">
        <v>44997</v>
      </c>
      <c r="N2850" s="10">
        <v>5.5</v>
      </c>
      <c r="O2850" s="9">
        <v>45002</v>
      </c>
      <c r="P2850">
        <v>12</v>
      </c>
      <c r="Q2850" s="11" t="s">
        <v>49</v>
      </c>
      <c r="R2850" s="7">
        <v>24039.759999999998</v>
      </c>
      <c r="S2850" s="7"/>
      <c r="T2850" s="7"/>
      <c r="U2850" s="7"/>
      <c r="V2850" s="10">
        <v>7.5741092456127026</v>
      </c>
      <c r="W2850" s="9">
        <v>44999</v>
      </c>
      <c r="X2850" s="10">
        <v>7.5</v>
      </c>
      <c r="Y2850" s="9">
        <v>45002</v>
      </c>
      <c r="Z2850">
        <v>12</v>
      </c>
      <c r="AA2850" s="11" t="s">
        <v>49</v>
      </c>
    </row>
    <row r="2851" spans="2:27" ht="16" x14ac:dyDescent="0.2">
      <c r="B2851" t="s">
        <v>35</v>
      </c>
      <c r="C2851">
        <v>40362095</v>
      </c>
      <c r="D2851" t="s">
        <v>389</v>
      </c>
      <c r="E2851">
        <v>1023411</v>
      </c>
      <c r="F2851" t="s">
        <v>331</v>
      </c>
      <c r="G2851" s="9">
        <v>45005</v>
      </c>
      <c r="H2851" s="7">
        <v>24304.86</v>
      </c>
      <c r="I2851" s="7"/>
      <c r="J2851" s="7"/>
      <c r="K2851" s="7"/>
      <c r="L2851" s="10">
        <v>5.5741092456127026</v>
      </c>
      <c r="M2851" s="9">
        <v>45010</v>
      </c>
      <c r="N2851" s="10">
        <v>5.5</v>
      </c>
      <c r="O2851" s="9">
        <v>45015</v>
      </c>
      <c r="P2851">
        <v>1</v>
      </c>
      <c r="Q2851" s="11" t="s">
        <v>598</v>
      </c>
      <c r="R2851" s="7">
        <v>24304.86</v>
      </c>
      <c r="S2851" s="7"/>
      <c r="T2851" s="7"/>
      <c r="U2851" s="7"/>
      <c r="V2851" s="10">
        <v>7.5741092456127026</v>
      </c>
      <c r="W2851" s="9">
        <v>45012</v>
      </c>
      <c r="X2851" s="10">
        <v>7.5</v>
      </c>
      <c r="Y2851" s="9">
        <v>45015</v>
      </c>
      <c r="Z2851">
        <v>1</v>
      </c>
      <c r="AA2851" s="11" t="s">
        <v>598</v>
      </c>
    </row>
    <row r="2852" spans="2:27" ht="16" x14ac:dyDescent="0.2">
      <c r="B2852" t="s">
        <v>35</v>
      </c>
      <c r="C2852">
        <v>40362090</v>
      </c>
      <c r="D2852" t="s">
        <v>389</v>
      </c>
      <c r="E2852">
        <v>1023412</v>
      </c>
      <c r="F2852" t="s">
        <v>333</v>
      </c>
      <c r="G2852" s="9">
        <v>45005</v>
      </c>
      <c r="H2852" s="7">
        <v>23958.12</v>
      </c>
      <c r="I2852" s="7"/>
      <c r="J2852" s="7"/>
      <c r="K2852" s="7"/>
      <c r="L2852" s="10">
        <v>5.5741092456127026</v>
      </c>
      <c r="M2852" s="9">
        <v>45010</v>
      </c>
      <c r="N2852" s="10">
        <v>5.5</v>
      </c>
      <c r="O2852" s="9">
        <v>45015</v>
      </c>
      <c r="P2852">
        <v>1</v>
      </c>
      <c r="Q2852" s="11" t="s">
        <v>598</v>
      </c>
      <c r="R2852" s="7">
        <v>23958.12</v>
      </c>
      <c r="S2852" s="7"/>
      <c r="T2852" s="7"/>
      <c r="U2852" s="7"/>
      <c r="V2852" s="10">
        <v>7.5741092456127026</v>
      </c>
      <c r="W2852" s="9">
        <v>45012</v>
      </c>
      <c r="X2852" s="10">
        <v>7.5</v>
      </c>
      <c r="Y2852" s="9">
        <v>45015</v>
      </c>
      <c r="Z2852">
        <v>1</v>
      </c>
      <c r="AA2852" s="11" t="s">
        <v>598</v>
      </c>
    </row>
    <row r="2853" spans="2:27" ht="16" x14ac:dyDescent="0.2">
      <c r="B2853" t="s">
        <v>35</v>
      </c>
      <c r="C2853">
        <v>40362070</v>
      </c>
      <c r="D2853" t="s">
        <v>389</v>
      </c>
      <c r="E2853">
        <v>1021733</v>
      </c>
      <c r="F2853" t="s">
        <v>277</v>
      </c>
      <c r="G2853" s="9">
        <v>45011</v>
      </c>
      <c r="H2853" s="7"/>
      <c r="I2853" s="7">
        <v>24007.21</v>
      </c>
      <c r="J2853" s="7"/>
      <c r="K2853" s="7"/>
      <c r="L2853" s="10">
        <v>5.5741092456127026</v>
      </c>
      <c r="M2853" s="9">
        <v>45016</v>
      </c>
      <c r="N2853" s="10">
        <v>5.5</v>
      </c>
      <c r="O2853" s="9">
        <v>45021</v>
      </c>
      <c r="P2853">
        <v>21</v>
      </c>
      <c r="Q2853" s="11" t="s">
        <v>49</v>
      </c>
      <c r="R2853" s="7"/>
      <c r="S2853" s="7">
        <v>24007.21</v>
      </c>
      <c r="T2853" s="7"/>
      <c r="U2853" s="7"/>
      <c r="V2853" s="10">
        <v>7.5741092456127026</v>
      </c>
      <c r="W2853" s="9">
        <v>45018</v>
      </c>
      <c r="X2853" s="10">
        <v>7.5</v>
      </c>
      <c r="Y2853" s="9">
        <v>45021</v>
      </c>
      <c r="Z2853">
        <v>21</v>
      </c>
      <c r="AA2853" s="11" t="s">
        <v>49</v>
      </c>
    </row>
    <row r="2854" spans="2:27" ht="16" x14ac:dyDescent="0.2">
      <c r="B2854" t="s">
        <v>35</v>
      </c>
      <c r="C2854">
        <v>40362069</v>
      </c>
      <c r="D2854" t="s">
        <v>389</v>
      </c>
      <c r="E2854">
        <v>1021733</v>
      </c>
      <c r="F2854" t="s">
        <v>277</v>
      </c>
      <c r="G2854" s="9">
        <v>45011</v>
      </c>
      <c r="H2854" s="7"/>
      <c r="I2854" s="7">
        <v>12260.77</v>
      </c>
      <c r="J2854" s="7"/>
      <c r="K2854" s="7"/>
      <c r="L2854" s="10">
        <v>5.5741092456127026</v>
      </c>
      <c r="M2854" s="9">
        <v>45016</v>
      </c>
      <c r="N2854" s="10">
        <v>5.5</v>
      </c>
      <c r="O2854" s="9">
        <v>45021</v>
      </c>
      <c r="P2854">
        <v>21</v>
      </c>
      <c r="Q2854" s="11" t="s">
        <v>49</v>
      </c>
      <c r="R2854" s="7"/>
      <c r="S2854" s="7">
        <v>12260.77</v>
      </c>
      <c r="T2854" s="7"/>
      <c r="U2854" s="7"/>
      <c r="V2854" s="10">
        <v>7.5741092456127026</v>
      </c>
      <c r="W2854" s="9">
        <v>45018</v>
      </c>
      <c r="X2854" s="10">
        <v>7.5</v>
      </c>
      <c r="Y2854" s="9">
        <v>45021</v>
      </c>
      <c r="Z2854">
        <v>21</v>
      </c>
      <c r="AA2854" s="11" t="s">
        <v>49</v>
      </c>
    </row>
    <row r="2855" spans="2:27" ht="16" x14ac:dyDescent="0.2">
      <c r="B2855" t="s">
        <v>35</v>
      </c>
      <c r="C2855">
        <v>40362069</v>
      </c>
      <c r="D2855" t="s">
        <v>389</v>
      </c>
      <c r="E2855">
        <v>1021733</v>
      </c>
      <c r="F2855" t="s">
        <v>277</v>
      </c>
      <c r="G2855" s="9">
        <v>45011</v>
      </c>
      <c r="H2855" s="7"/>
      <c r="I2855" s="7">
        <v>24080.13</v>
      </c>
      <c r="J2855" s="7"/>
      <c r="K2855" s="7"/>
      <c r="L2855" s="10">
        <v>5.5741092456127026</v>
      </c>
      <c r="M2855" s="9">
        <v>45016</v>
      </c>
      <c r="N2855" s="10">
        <v>5.5</v>
      </c>
      <c r="O2855" s="9">
        <v>45021</v>
      </c>
      <c r="P2855">
        <v>21</v>
      </c>
      <c r="Q2855" s="11" t="s">
        <v>49</v>
      </c>
      <c r="R2855" s="7"/>
      <c r="S2855" s="7">
        <v>24080.13</v>
      </c>
      <c r="T2855" s="7"/>
      <c r="U2855" s="7"/>
      <c r="V2855" s="10">
        <v>7.5741092456127026</v>
      </c>
      <c r="W2855" s="9">
        <v>45018</v>
      </c>
      <c r="X2855" s="10">
        <v>7.5</v>
      </c>
      <c r="Y2855" s="9">
        <v>45021</v>
      </c>
      <c r="Z2855">
        <v>21</v>
      </c>
      <c r="AA2855" s="11" t="s">
        <v>49</v>
      </c>
    </row>
    <row r="2856" spans="2:27" ht="16" x14ac:dyDescent="0.2">
      <c r="B2856" t="s">
        <v>35</v>
      </c>
      <c r="C2856">
        <v>40362045</v>
      </c>
      <c r="D2856" t="s">
        <v>389</v>
      </c>
      <c r="E2856">
        <v>1021733</v>
      </c>
      <c r="F2856" t="s">
        <v>277</v>
      </c>
      <c r="G2856" s="9">
        <v>44992</v>
      </c>
      <c r="H2856" s="7">
        <v>24381.07</v>
      </c>
      <c r="I2856" s="7"/>
      <c r="J2856" s="7"/>
      <c r="K2856" s="7"/>
      <c r="L2856" s="10">
        <v>5.5741092456127026</v>
      </c>
      <c r="M2856" s="9">
        <v>44997</v>
      </c>
      <c r="N2856" s="10">
        <v>5.5</v>
      </c>
      <c r="O2856" s="9">
        <v>45002</v>
      </c>
      <c r="P2856">
        <v>12</v>
      </c>
      <c r="Q2856" s="11" t="s">
        <v>49</v>
      </c>
      <c r="R2856" s="7">
        <v>24381.07</v>
      </c>
      <c r="S2856" s="7"/>
      <c r="T2856" s="7"/>
      <c r="U2856" s="7"/>
      <c r="V2856" s="10">
        <v>7.5741092456127026</v>
      </c>
      <c r="W2856" s="9">
        <v>44999</v>
      </c>
      <c r="X2856" s="10">
        <v>7.5</v>
      </c>
      <c r="Y2856" s="9">
        <v>45002</v>
      </c>
      <c r="Z2856">
        <v>12</v>
      </c>
      <c r="AA2856" s="11" t="s">
        <v>49</v>
      </c>
    </row>
    <row r="2857" spans="2:27" ht="16" x14ac:dyDescent="0.2">
      <c r="B2857" t="s">
        <v>35</v>
      </c>
      <c r="C2857">
        <v>40362037</v>
      </c>
      <c r="D2857" t="s">
        <v>389</v>
      </c>
      <c r="E2857">
        <v>1021774</v>
      </c>
      <c r="F2857" t="s">
        <v>443</v>
      </c>
      <c r="G2857" s="9">
        <v>44992</v>
      </c>
      <c r="H2857" s="7">
        <v>24400</v>
      </c>
      <c r="I2857" s="7"/>
      <c r="J2857" s="7"/>
      <c r="K2857" s="7"/>
      <c r="L2857" s="10">
        <v>5.5741092456127026</v>
      </c>
      <c r="M2857" s="9">
        <v>44997</v>
      </c>
      <c r="N2857" s="10">
        <v>5.5</v>
      </c>
      <c r="O2857" s="9">
        <v>45002</v>
      </c>
      <c r="P2857">
        <v>12</v>
      </c>
      <c r="Q2857" s="11" t="s">
        <v>49</v>
      </c>
      <c r="R2857" s="7">
        <v>24400</v>
      </c>
      <c r="S2857" s="7"/>
      <c r="T2857" s="7"/>
      <c r="U2857" s="7"/>
      <c r="V2857" s="10">
        <v>7.5741092456127026</v>
      </c>
      <c r="W2857" s="9">
        <v>44999</v>
      </c>
      <c r="X2857" s="10">
        <v>7.5</v>
      </c>
      <c r="Y2857" s="9">
        <v>45002</v>
      </c>
      <c r="Z2857">
        <v>12</v>
      </c>
      <c r="AA2857" s="11" t="s">
        <v>49</v>
      </c>
    </row>
    <row r="2858" spans="2:27" ht="16" x14ac:dyDescent="0.2">
      <c r="B2858" t="s">
        <v>35</v>
      </c>
      <c r="C2858">
        <v>40362033</v>
      </c>
      <c r="D2858" t="s">
        <v>389</v>
      </c>
      <c r="E2858">
        <v>1022636</v>
      </c>
      <c r="F2858" t="s">
        <v>312</v>
      </c>
      <c r="G2858" s="9">
        <v>45015</v>
      </c>
      <c r="H2858" s="7"/>
      <c r="I2858" s="7">
        <v>21510</v>
      </c>
      <c r="J2858" s="7"/>
      <c r="K2858" s="7"/>
      <c r="L2858" s="10">
        <v>5.5741092456127026</v>
      </c>
      <c r="M2858" s="9">
        <v>45020</v>
      </c>
      <c r="N2858" s="10">
        <v>5.5</v>
      </c>
      <c r="O2858" s="9">
        <v>45025</v>
      </c>
      <c r="P2858">
        <v>18</v>
      </c>
      <c r="Q2858" s="11" t="s">
        <v>49</v>
      </c>
      <c r="R2858" s="7"/>
      <c r="S2858" s="7">
        <v>21510</v>
      </c>
      <c r="T2858" s="7"/>
      <c r="U2858" s="7"/>
      <c r="V2858" s="10">
        <v>7.5741092456127026</v>
      </c>
      <c r="W2858" s="9">
        <v>45022</v>
      </c>
      <c r="X2858" s="10">
        <v>7.5</v>
      </c>
      <c r="Y2858" s="9">
        <v>45025</v>
      </c>
      <c r="Z2858">
        <v>18</v>
      </c>
      <c r="AA2858" s="11" t="s">
        <v>49</v>
      </c>
    </row>
    <row r="2859" spans="2:27" ht="16" x14ac:dyDescent="0.2">
      <c r="B2859" t="s">
        <v>35</v>
      </c>
      <c r="C2859">
        <v>40362030</v>
      </c>
      <c r="D2859" t="s">
        <v>389</v>
      </c>
      <c r="E2859">
        <v>1022183</v>
      </c>
      <c r="F2859" t="s">
        <v>165</v>
      </c>
      <c r="G2859" s="9">
        <v>45007</v>
      </c>
      <c r="H2859" s="7"/>
      <c r="I2859" s="7">
        <v>24660.99</v>
      </c>
      <c r="J2859" s="7"/>
      <c r="K2859" s="7"/>
      <c r="L2859" s="10">
        <v>5.5741092456127026</v>
      </c>
      <c r="M2859" s="9">
        <v>45012</v>
      </c>
      <c r="N2859" s="10">
        <v>5.5</v>
      </c>
      <c r="O2859" s="9">
        <v>45017</v>
      </c>
      <c r="P2859">
        <v>23</v>
      </c>
      <c r="Q2859" s="11" t="s">
        <v>49</v>
      </c>
      <c r="R2859" s="7"/>
      <c r="S2859" s="7">
        <v>24660.99</v>
      </c>
      <c r="T2859" s="7"/>
      <c r="U2859" s="7"/>
      <c r="V2859" s="10">
        <v>7.5741092456127026</v>
      </c>
      <c r="W2859" s="9">
        <v>45014</v>
      </c>
      <c r="X2859" s="10">
        <v>7.5</v>
      </c>
      <c r="Y2859" s="9">
        <v>45017</v>
      </c>
      <c r="Z2859">
        <v>23</v>
      </c>
      <c r="AA2859" s="11" t="s">
        <v>49</v>
      </c>
    </row>
    <row r="2860" spans="2:27" ht="16" x14ac:dyDescent="0.2">
      <c r="B2860" t="s">
        <v>35</v>
      </c>
      <c r="C2860">
        <v>40362028</v>
      </c>
      <c r="D2860" t="s">
        <v>389</v>
      </c>
      <c r="E2860">
        <v>1022183</v>
      </c>
      <c r="F2860" t="s">
        <v>165</v>
      </c>
      <c r="G2860" s="9">
        <v>44998</v>
      </c>
      <c r="H2860" s="7">
        <v>25000.75</v>
      </c>
      <c r="I2860" s="7"/>
      <c r="J2860" s="7"/>
      <c r="K2860" s="7"/>
      <c r="L2860" s="10">
        <v>5.5741092456127026</v>
      </c>
      <c r="M2860" s="9">
        <v>45003</v>
      </c>
      <c r="N2860" s="10">
        <v>5.5</v>
      </c>
      <c r="O2860" s="9">
        <v>45008</v>
      </c>
      <c r="P2860">
        <v>7</v>
      </c>
      <c r="Q2860" s="11" t="s">
        <v>49</v>
      </c>
      <c r="R2860" s="7">
        <v>25000.75</v>
      </c>
      <c r="S2860" s="7"/>
      <c r="T2860" s="7"/>
      <c r="U2860" s="7"/>
      <c r="V2860" s="10">
        <v>7.5741092456127026</v>
      </c>
      <c r="W2860" s="9">
        <v>45005</v>
      </c>
      <c r="X2860" s="10">
        <v>7.5</v>
      </c>
      <c r="Y2860" s="9">
        <v>45008</v>
      </c>
      <c r="Z2860">
        <v>7</v>
      </c>
      <c r="AA2860" s="11" t="s">
        <v>49</v>
      </c>
    </row>
    <row r="2861" spans="2:27" ht="16" x14ac:dyDescent="0.2">
      <c r="B2861" t="s">
        <v>35</v>
      </c>
      <c r="C2861">
        <v>40362024</v>
      </c>
      <c r="D2861" t="s">
        <v>389</v>
      </c>
      <c r="E2861">
        <v>1022183</v>
      </c>
      <c r="F2861" t="s">
        <v>165</v>
      </c>
      <c r="G2861" s="9">
        <v>44996</v>
      </c>
      <c r="H2861" s="7">
        <v>24787.79</v>
      </c>
      <c r="I2861" s="7"/>
      <c r="J2861" s="7"/>
      <c r="K2861" s="7"/>
      <c r="L2861" s="10">
        <v>5.5741092456127026</v>
      </c>
      <c r="M2861" s="9">
        <v>45001</v>
      </c>
      <c r="N2861" s="10">
        <v>5.5</v>
      </c>
      <c r="O2861" s="9">
        <v>45006</v>
      </c>
      <c r="P2861">
        <v>9</v>
      </c>
      <c r="Q2861" s="11" t="s">
        <v>49</v>
      </c>
      <c r="R2861" s="7">
        <v>24787.79</v>
      </c>
      <c r="S2861" s="7"/>
      <c r="T2861" s="7"/>
      <c r="U2861" s="7"/>
      <c r="V2861" s="10">
        <v>7.5741092456127026</v>
      </c>
      <c r="W2861" s="9">
        <v>45003</v>
      </c>
      <c r="X2861" s="10">
        <v>7.5</v>
      </c>
      <c r="Y2861" s="9">
        <v>45006</v>
      </c>
      <c r="Z2861">
        <v>9</v>
      </c>
      <c r="AA2861" s="11" t="s">
        <v>49</v>
      </c>
    </row>
    <row r="2862" spans="2:27" ht="16" x14ac:dyDescent="0.2">
      <c r="B2862" t="s">
        <v>35</v>
      </c>
      <c r="C2862">
        <v>40362022</v>
      </c>
      <c r="D2862" t="s">
        <v>389</v>
      </c>
      <c r="E2862">
        <v>1022183</v>
      </c>
      <c r="F2862" t="s">
        <v>165</v>
      </c>
      <c r="G2862" s="9">
        <v>45007</v>
      </c>
      <c r="H2862" s="7"/>
      <c r="I2862" s="7">
        <v>25057.85</v>
      </c>
      <c r="J2862" s="7"/>
      <c r="K2862" s="7"/>
      <c r="L2862" s="10">
        <v>5.5741092456127026</v>
      </c>
      <c r="M2862" s="9">
        <v>45012</v>
      </c>
      <c r="N2862" s="10">
        <v>5.5</v>
      </c>
      <c r="O2862" s="9">
        <v>45017</v>
      </c>
      <c r="P2862">
        <v>23</v>
      </c>
      <c r="Q2862" s="11" t="s">
        <v>49</v>
      </c>
      <c r="R2862" s="7"/>
      <c r="S2862" s="7">
        <v>25057.85</v>
      </c>
      <c r="T2862" s="7"/>
      <c r="U2862" s="7"/>
      <c r="V2862" s="10">
        <v>7.5741092456127026</v>
      </c>
      <c r="W2862" s="9">
        <v>45014</v>
      </c>
      <c r="X2862" s="10">
        <v>7.5</v>
      </c>
      <c r="Y2862" s="9">
        <v>45017</v>
      </c>
      <c r="Z2862">
        <v>23</v>
      </c>
      <c r="AA2862" s="11" t="s">
        <v>49</v>
      </c>
    </row>
    <row r="2863" spans="2:27" ht="16" x14ac:dyDescent="0.2">
      <c r="B2863" t="s">
        <v>35</v>
      </c>
      <c r="C2863">
        <v>40362019</v>
      </c>
      <c r="D2863" t="s">
        <v>389</v>
      </c>
      <c r="E2863">
        <v>1022183</v>
      </c>
      <c r="F2863" t="s">
        <v>165</v>
      </c>
      <c r="G2863" s="9">
        <v>45001</v>
      </c>
      <c r="H2863" s="7">
        <v>24098.86</v>
      </c>
      <c r="I2863" s="7"/>
      <c r="J2863" s="7"/>
      <c r="K2863" s="7"/>
      <c r="L2863" s="10">
        <v>5.5741092456127026</v>
      </c>
      <c r="M2863" s="9">
        <v>45006</v>
      </c>
      <c r="N2863" s="10">
        <v>5.5</v>
      </c>
      <c r="O2863" s="9">
        <v>45011</v>
      </c>
      <c r="P2863">
        <v>5</v>
      </c>
      <c r="Q2863" s="11" t="s">
        <v>49</v>
      </c>
      <c r="R2863" s="7">
        <v>24098.86</v>
      </c>
      <c r="S2863" s="7"/>
      <c r="T2863" s="7"/>
      <c r="U2863" s="7"/>
      <c r="V2863" s="10">
        <v>7.5741092456127026</v>
      </c>
      <c r="W2863" s="9">
        <v>45008</v>
      </c>
      <c r="X2863" s="10">
        <v>7.5</v>
      </c>
      <c r="Y2863" s="9">
        <v>45011</v>
      </c>
      <c r="Z2863">
        <v>5</v>
      </c>
      <c r="AA2863" s="11" t="s">
        <v>49</v>
      </c>
    </row>
    <row r="2864" spans="2:27" ht="16" x14ac:dyDescent="0.2">
      <c r="B2864" t="s">
        <v>35</v>
      </c>
      <c r="C2864">
        <v>40362018</v>
      </c>
      <c r="D2864" t="s">
        <v>389</v>
      </c>
      <c r="E2864">
        <v>1022183</v>
      </c>
      <c r="F2864" t="s">
        <v>165</v>
      </c>
      <c r="G2864" s="9">
        <v>44992</v>
      </c>
      <c r="H2864" s="7">
        <v>23941.63</v>
      </c>
      <c r="I2864" s="7"/>
      <c r="J2864" s="7"/>
      <c r="K2864" s="7"/>
      <c r="L2864" s="10">
        <v>5.5741092456127026</v>
      </c>
      <c r="M2864" s="9">
        <v>44997</v>
      </c>
      <c r="N2864" s="10">
        <v>5.5</v>
      </c>
      <c r="O2864" s="9">
        <v>45002</v>
      </c>
      <c r="P2864">
        <v>12</v>
      </c>
      <c r="Q2864" s="11" t="s">
        <v>49</v>
      </c>
      <c r="R2864" s="7">
        <v>23941.63</v>
      </c>
      <c r="S2864" s="7"/>
      <c r="T2864" s="7"/>
      <c r="U2864" s="7"/>
      <c r="V2864" s="10">
        <v>7.5741092456127026</v>
      </c>
      <c r="W2864" s="9">
        <v>44999</v>
      </c>
      <c r="X2864" s="10">
        <v>7.5</v>
      </c>
      <c r="Y2864" s="9">
        <v>45002</v>
      </c>
      <c r="Z2864">
        <v>12</v>
      </c>
      <c r="AA2864" s="11" t="s">
        <v>49</v>
      </c>
    </row>
    <row r="2865" spans="2:27" ht="16" x14ac:dyDescent="0.2">
      <c r="B2865" t="s">
        <v>35</v>
      </c>
      <c r="C2865">
        <v>40362017</v>
      </c>
      <c r="D2865" t="s">
        <v>389</v>
      </c>
      <c r="E2865">
        <v>1022183</v>
      </c>
      <c r="F2865" t="s">
        <v>165</v>
      </c>
      <c r="G2865" s="9">
        <v>45001</v>
      </c>
      <c r="H2865" s="7">
        <v>24840.29</v>
      </c>
      <c r="I2865" s="7"/>
      <c r="J2865" s="7"/>
      <c r="K2865" s="7"/>
      <c r="L2865" s="10">
        <v>5.5741092456127026</v>
      </c>
      <c r="M2865" s="9">
        <v>45006</v>
      </c>
      <c r="N2865" s="10">
        <v>5.5</v>
      </c>
      <c r="O2865" s="9">
        <v>45011</v>
      </c>
      <c r="P2865">
        <v>5</v>
      </c>
      <c r="Q2865" s="11" t="s">
        <v>49</v>
      </c>
      <c r="R2865" s="7">
        <v>24840.29</v>
      </c>
      <c r="S2865" s="7"/>
      <c r="T2865" s="7"/>
      <c r="U2865" s="7"/>
      <c r="V2865" s="10">
        <v>7.5741092456127026</v>
      </c>
      <c r="W2865" s="9">
        <v>45008</v>
      </c>
      <c r="X2865" s="10">
        <v>7.5</v>
      </c>
      <c r="Y2865" s="9">
        <v>45011</v>
      </c>
      <c r="Z2865">
        <v>5</v>
      </c>
      <c r="AA2865" s="11" t="s">
        <v>49</v>
      </c>
    </row>
    <row r="2866" spans="2:27" ht="16" x14ac:dyDescent="0.2">
      <c r="B2866" t="s">
        <v>35</v>
      </c>
      <c r="C2866">
        <v>40362010</v>
      </c>
      <c r="D2866" t="s">
        <v>389</v>
      </c>
      <c r="E2866">
        <v>1022183</v>
      </c>
      <c r="F2866" t="s">
        <v>165</v>
      </c>
      <c r="G2866" s="9">
        <v>44992</v>
      </c>
      <c r="H2866" s="7">
        <v>24510.12</v>
      </c>
      <c r="I2866" s="7"/>
      <c r="J2866" s="7"/>
      <c r="K2866" s="7"/>
      <c r="L2866" s="10">
        <v>5.5741092456127026</v>
      </c>
      <c r="M2866" s="9">
        <v>44997</v>
      </c>
      <c r="N2866" s="10">
        <v>5.5</v>
      </c>
      <c r="O2866" s="9">
        <v>45002</v>
      </c>
      <c r="P2866">
        <v>12</v>
      </c>
      <c r="Q2866" s="11" t="s">
        <v>49</v>
      </c>
      <c r="R2866" s="7">
        <v>24510.12</v>
      </c>
      <c r="S2866" s="7"/>
      <c r="T2866" s="7"/>
      <c r="U2866" s="7"/>
      <c r="V2866" s="10">
        <v>7.5741092456127026</v>
      </c>
      <c r="W2866" s="9">
        <v>44999</v>
      </c>
      <c r="X2866" s="10">
        <v>7.5</v>
      </c>
      <c r="Y2866" s="9">
        <v>45002</v>
      </c>
      <c r="Z2866">
        <v>12</v>
      </c>
      <c r="AA2866" s="11" t="s">
        <v>49</v>
      </c>
    </row>
    <row r="2867" spans="2:27" ht="16" x14ac:dyDescent="0.2">
      <c r="B2867" t="s">
        <v>35</v>
      </c>
      <c r="C2867">
        <v>40362007</v>
      </c>
      <c r="D2867" t="s">
        <v>389</v>
      </c>
      <c r="E2867">
        <v>1022183</v>
      </c>
      <c r="F2867" t="s">
        <v>165</v>
      </c>
      <c r="G2867" s="9">
        <v>44996</v>
      </c>
      <c r="H2867" s="7">
        <v>13616.64</v>
      </c>
      <c r="I2867" s="7"/>
      <c r="J2867" s="7"/>
      <c r="K2867" s="7"/>
      <c r="L2867" s="10">
        <v>5.5741092456127026</v>
      </c>
      <c r="M2867" s="9">
        <v>45001</v>
      </c>
      <c r="N2867" s="10">
        <v>5.5</v>
      </c>
      <c r="O2867" s="9">
        <v>45006</v>
      </c>
      <c r="P2867">
        <v>9</v>
      </c>
      <c r="Q2867" s="11" t="s">
        <v>49</v>
      </c>
      <c r="R2867" s="7">
        <v>13616.64</v>
      </c>
      <c r="S2867" s="7"/>
      <c r="T2867" s="7"/>
      <c r="U2867" s="7"/>
      <c r="V2867" s="10">
        <v>7.5741092456127026</v>
      </c>
      <c r="W2867" s="9">
        <v>45003</v>
      </c>
      <c r="X2867" s="10">
        <v>7.5</v>
      </c>
      <c r="Y2867" s="9">
        <v>45006</v>
      </c>
      <c r="Z2867">
        <v>9</v>
      </c>
      <c r="AA2867" s="11" t="s">
        <v>49</v>
      </c>
    </row>
    <row r="2868" spans="2:27" ht="16" x14ac:dyDescent="0.2">
      <c r="B2868" t="s">
        <v>35</v>
      </c>
      <c r="C2868">
        <v>40362007</v>
      </c>
      <c r="D2868" t="s">
        <v>389</v>
      </c>
      <c r="E2868">
        <v>1022183</v>
      </c>
      <c r="F2868" t="s">
        <v>165</v>
      </c>
      <c r="G2868" s="9">
        <v>44996</v>
      </c>
      <c r="H2868" s="7">
        <v>24844.84</v>
      </c>
      <c r="I2868" s="7"/>
      <c r="J2868" s="7"/>
      <c r="K2868" s="7"/>
      <c r="L2868" s="10">
        <v>5.5741092456127026</v>
      </c>
      <c r="M2868" s="9">
        <v>45001</v>
      </c>
      <c r="N2868" s="10">
        <v>5.5</v>
      </c>
      <c r="O2868" s="9">
        <v>45006</v>
      </c>
      <c r="P2868">
        <v>9</v>
      </c>
      <c r="Q2868" s="11" t="s">
        <v>49</v>
      </c>
      <c r="R2868" s="7">
        <v>24844.84</v>
      </c>
      <c r="S2868" s="7"/>
      <c r="T2868" s="7"/>
      <c r="U2868" s="7"/>
      <c r="V2868" s="10">
        <v>7.5741092456127026</v>
      </c>
      <c r="W2868" s="9">
        <v>45003</v>
      </c>
      <c r="X2868" s="10">
        <v>7.5</v>
      </c>
      <c r="Y2868" s="9">
        <v>45006</v>
      </c>
      <c r="Z2868">
        <v>9</v>
      </c>
      <c r="AA2868" s="11" t="s">
        <v>49</v>
      </c>
    </row>
    <row r="2869" spans="2:27" ht="16" x14ac:dyDescent="0.2">
      <c r="B2869" t="s">
        <v>35</v>
      </c>
      <c r="C2869">
        <v>40362000</v>
      </c>
      <c r="D2869" t="s">
        <v>389</v>
      </c>
      <c r="E2869">
        <v>1021738</v>
      </c>
      <c r="F2869" t="s">
        <v>282</v>
      </c>
      <c r="G2869" s="9">
        <v>45007</v>
      </c>
      <c r="H2869" s="7"/>
      <c r="I2869" s="7">
        <v>24060</v>
      </c>
      <c r="J2869" s="7"/>
      <c r="K2869" s="7"/>
      <c r="L2869" s="10">
        <v>5.5741092456127026</v>
      </c>
      <c r="M2869" s="9">
        <v>45012</v>
      </c>
      <c r="N2869" s="10">
        <v>5.5</v>
      </c>
      <c r="O2869" s="9">
        <v>45017</v>
      </c>
      <c r="P2869">
        <v>23</v>
      </c>
      <c r="Q2869" s="11" t="s">
        <v>49</v>
      </c>
      <c r="R2869" s="7"/>
      <c r="S2869" s="7">
        <v>24060</v>
      </c>
      <c r="T2869" s="7"/>
      <c r="U2869" s="7"/>
      <c r="V2869" s="10">
        <v>7.5741092456127026</v>
      </c>
      <c r="W2869" s="9">
        <v>45014</v>
      </c>
      <c r="X2869" s="10">
        <v>7.5</v>
      </c>
      <c r="Y2869" s="9">
        <v>45017</v>
      </c>
      <c r="Z2869">
        <v>23</v>
      </c>
      <c r="AA2869" s="11" t="s">
        <v>49</v>
      </c>
    </row>
    <row r="2870" spans="2:27" ht="16" x14ac:dyDescent="0.2">
      <c r="B2870" t="s">
        <v>35</v>
      </c>
      <c r="C2870">
        <v>40361992</v>
      </c>
      <c r="D2870" t="s">
        <v>389</v>
      </c>
      <c r="E2870">
        <v>1021735</v>
      </c>
      <c r="F2870" t="s">
        <v>278</v>
      </c>
      <c r="G2870" s="9">
        <v>44996</v>
      </c>
      <c r="H2870" s="7">
        <v>20140</v>
      </c>
      <c r="I2870" s="7"/>
      <c r="J2870" s="7"/>
      <c r="K2870" s="7"/>
      <c r="L2870" s="10">
        <v>5.5741092456127026</v>
      </c>
      <c r="M2870" s="9">
        <v>45001</v>
      </c>
      <c r="N2870" s="10">
        <v>5.5</v>
      </c>
      <c r="O2870" s="9">
        <v>45006</v>
      </c>
      <c r="P2870">
        <v>9</v>
      </c>
      <c r="Q2870" s="11" t="s">
        <v>49</v>
      </c>
      <c r="R2870" s="7">
        <v>20140</v>
      </c>
      <c r="S2870" s="7"/>
      <c r="T2870" s="7"/>
      <c r="U2870" s="7"/>
      <c r="V2870" s="10">
        <v>7.5741092456127026</v>
      </c>
      <c r="W2870" s="9">
        <v>45003</v>
      </c>
      <c r="X2870" s="10">
        <v>7.5</v>
      </c>
      <c r="Y2870" s="9">
        <v>45006</v>
      </c>
      <c r="Z2870">
        <v>9</v>
      </c>
      <c r="AA2870" s="11" t="s">
        <v>49</v>
      </c>
    </row>
    <row r="2871" spans="2:27" ht="16" x14ac:dyDescent="0.2">
      <c r="B2871" t="s">
        <v>35</v>
      </c>
      <c r="C2871">
        <v>40361992</v>
      </c>
      <c r="D2871" t="s">
        <v>389</v>
      </c>
      <c r="E2871">
        <v>1021735</v>
      </c>
      <c r="F2871" t="s">
        <v>278</v>
      </c>
      <c r="G2871" s="9">
        <v>44996</v>
      </c>
      <c r="H2871" s="7">
        <v>25140</v>
      </c>
      <c r="I2871" s="7"/>
      <c r="J2871" s="7"/>
      <c r="K2871" s="7"/>
      <c r="L2871" s="10">
        <v>5.5741092456127026</v>
      </c>
      <c r="M2871" s="9">
        <v>45001</v>
      </c>
      <c r="N2871" s="10">
        <v>5.5</v>
      </c>
      <c r="O2871" s="9">
        <v>45006</v>
      </c>
      <c r="P2871">
        <v>9</v>
      </c>
      <c r="Q2871" s="11" t="s">
        <v>49</v>
      </c>
      <c r="R2871" s="7">
        <v>25140</v>
      </c>
      <c r="S2871" s="7"/>
      <c r="T2871" s="7"/>
      <c r="U2871" s="7"/>
      <c r="V2871" s="10">
        <v>7.5741092456127026</v>
      </c>
      <c r="W2871" s="9">
        <v>45003</v>
      </c>
      <c r="X2871" s="10">
        <v>7.5</v>
      </c>
      <c r="Y2871" s="9">
        <v>45006</v>
      </c>
      <c r="Z2871">
        <v>9</v>
      </c>
      <c r="AA2871" s="11" t="s">
        <v>49</v>
      </c>
    </row>
    <row r="2872" spans="2:27" ht="16" x14ac:dyDescent="0.2">
      <c r="B2872" t="s">
        <v>35</v>
      </c>
      <c r="C2872">
        <v>40361991</v>
      </c>
      <c r="D2872" t="s">
        <v>389</v>
      </c>
      <c r="E2872">
        <v>1021735</v>
      </c>
      <c r="F2872" t="s">
        <v>278</v>
      </c>
      <c r="G2872" s="9">
        <v>45001</v>
      </c>
      <c r="H2872" s="7">
        <v>17800</v>
      </c>
      <c r="I2872" s="7"/>
      <c r="J2872" s="7"/>
      <c r="K2872" s="7"/>
      <c r="L2872" s="10">
        <v>5.5741092456127026</v>
      </c>
      <c r="M2872" s="9">
        <v>45006</v>
      </c>
      <c r="N2872" s="10">
        <v>5.5</v>
      </c>
      <c r="O2872" s="9">
        <v>45011</v>
      </c>
      <c r="P2872">
        <v>5</v>
      </c>
      <c r="Q2872" s="11" t="s">
        <v>49</v>
      </c>
      <c r="R2872" s="7">
        <v>17800</v>
      </c>
      <c r="S2872" s="7"/>
      <c r="T2872" s="7"/>
      <c r="U2872" s="7"/>
      <c r="V2872" s="10">
        <v>7.5741092456127026</v>
      </c>
      <c r="W2872" s="9">
        <v>45008</v>
      </c>
      <c r="X2872" s="10">
        <v>7.5</v>
      </c>
      <c r="Y2872" s="9">
        <v>45011</v>
      </c>
      <c r="Z2872">
        <v>5</v>
      </c>
      <c r="AA2872" s="11" t="s">
        <v>49</v>
      </c>
    </row>
    <row r="2873" spans="2:27" ht="16" x14ac:dyDescent="0.2">
      <c r="B2873" t="s">
        <v>35</v>
      </c>
      <c r="C2873">
        <v>40361991</v>
      </c>
      <c r="D2873" t="s">
        <v>389</v>
      </c>
      <c r="E2873">
        <v>1021735</v>
      </c>
      <c r="F2873" t="s">
        <v>278</v>
      </c>
      <c r="G2873" s="9">
        <v>45001</v>
      </c>
      <c r="H2873" s="7">
        <v>24400</v>
      </c>
      <c r="I2873" s="7"/>
      <c r="J2873" s="7"/>
      <c r="K2873" s="7"/>
      <c r="L2873" s="10">
        <v>5.5741092456127026</v>
      </c>
      <c r="M2873" s="9">
        <v>45006</v>
      </c>
      <c r="N2873" s="10">
        <v>5.5</v>
      </c>
      <c r="O2873" s="9">
        <v>45011</v>
      </c>
      <c r="P2873">
        <v>5</v>
      </c>
      <c r="Q2873" s="11" t="s">
        <v>49</v>
      </c>
      <c r="R2873" s="7">
        <v>24400</v>
      </c>
      <c r="S2873" s="7"/>
      <c r="T2873" s="7"/>
      <c r="U2873" s="7"/>
      <c r="V2873" s="10">
        <v>7.5741092456127026</v>
      </c>
      <c r="W2873" s="9">
        <v>45008</v>
      </c>
      <c r="X2873" s="10">
        <v>7.5</v>
      </c>
      <c r="Y2873" s="9">
        <v>45011</v>
      </c>
      <c r="Z2873">
        <v>5</v>
      </c>
      <c r="AA2873" s="11" t="s">
        <v>49</v>
      </c>
    </row>
    <row r="2874" spans="2:27" ht="16" x14ac:dyDescent="0.2">
      <c r="B2874" t="s">
        <v>35</v>
      </c>
      <c r="C2874">
        <v>40361973</v>
      </c>
      <c r="D2874" t="s">
        <v>389</v>
      </c>
      <c r="E2874">
        <v>1022099</v>
      </c>
      <c r="F2874" t="s">
        <v>294</v>
      </c>
      <c r="G2874" s="9">
        <v>44992</v>
      </c>
      <c r="H2874" s="7">
        <v>9594</v>
      </c>
      <c r="I2874" s="7"/>
      <c r="J2874" s="7"/>
      <c r="K2874" s="7"/>
      <c r="L2874" s="10">
        <v>5.5741092456127026</v>
      </c>
      <c r="M2874" s="9">
        <v>44997</v>
      </c>
      <c r="N2874" s="10">
        <v>5.5</v>
      </c>
      <c r="O2874" s="9">
        <v>45002</v>
      </c>
      <c r="P2874">
        <v>12</v>
      </c>
      <c r="Q2874" s="11" t="s">
        <v>49</v>
      </c>
      <c r="R2874" s="7">
        <v>9594</v>
      </c>
      <c r="S2874" s="7"/>
      <c r="T2874" s="7"/>
      <c r="U2874" s="7"/>
      <c r="V2874" s="10">
        <v>7.5741092456127026</v>
      </c>
      <c r="W2874" s="9">
        <v>44999</v>
      </c>
      <c r="X2874" s="10">
        <v>7.5</v>
      </c>
      <c r="Y2874" s="9">
        <v>45002</v>
      </c>
      <c r="Z2874">
        <v>12</v>
      </c>
      <c r="AA2874" s="11" t="s">
        <v>49</v>
      </c>
    </row>
    <row r="2875" spans="2:27" ht="16" x14ac:dyDescent="0.2">
      <c r="B2875" t="s">
        <v>35</v>
      </c>
      <c r="C2875">
        <v>40361973</v>
      </c>
      <c r="D2875" t="s">
        <v>389</v>
      </c>
      <c r="E2875">
        <v>1022099</v>
      </c>
      <c r="F2875" t="s">
        <v>294</v>
      </c>
      <c r="G2875" s="9">
        <v>44992</v>
      </c>
      <c r="H2875" s="7">
        <v>23994</v>
      </c>
      <c r="I2875" s="7"/>
      <c r="J2875" s="7"/>
      <c r="K2875" s="7"/>
      <c r="L2875" s="10">
        <v>5.5741092456127026</v>
      </c>
      <c r="M2875" s="9">
        <v>44997</v>
      </c>
      <c r="N2875" s="10">
        <v>5.5</v>
      </c>
      <c r="O2875" s="9">
        <v>45002</v>
      </c>
      <c r="P2875">
        <v>12</v>
      </c>
      <c r="Q2875" s="11" t="s">
        <v>49</v>
      </c>
      <c r="R2875" s="7">
        <v>23994</v>
      </c>
      <c r="S2875" s="7"/>
      <c r="T2875" s="7"/>
      <c r="U2875" s="7"/>
      <c r="V2875" s="10">
        <v>7.5741092456127026</v>
      </c>
      <c r="W2875" s="9">
        <v>44999</v>
      </c>
      <c r="X2875" s="10">
        <v>7.5</v>
      </c>
      <c r="Y2875" s="9">
        <v>45002</v>
      </c>
      <c r="Z2875">
        <v>12</v>
      </c>
      <c r="AA2875" s="11" t="s">
        <v>49</v>
      </c>
    </row>
    <row r="2876" spans="2:27" ht="16" x14ac:dyDescent="0.2">
      <c r="B2876" t="s">
        <v>35</v>
      </c>
      <c r="C2876">
        <v>40361971</v>
      </c>
      <c r="D2876" t="s">
        <v>389</v>
      </c>
      <c r="E2876">
        <v>1021732</v>
      </c>
      <c r="F2876" t="s">
        <v>275</v>
      </c>
      <c r="G2876" s="9">
        <v>45011</v>
      </c>
      <c r="H2876" s="7"/>
      <c r="I2876" s="7">
        <v>25000</v>
      </c>
      <c r="J2876" s="7"/>
      <c r="K2876" s="7"/>
      <c r="L2876" s="10">
        <v>5.5741092456127026</v>
      </c>
      <c r="M2876" s="9">
        <v>45016</v>
      </c>
      <c r="N2876" s="10">
        <v>5.5</v>
      </c>
      <c r="O2876" s="9">
        <v>45021</v>
      </c>
      <c r="P2876">
        <v>21</v>
      </c>
      <c r="Q2876" s="11" t="s">
        <v>49</v>
      </c>
      <c r="R2876" s="7"/>
      <c r="S2876" s="7">
        <v>25000</v>
      </c>
      <c r="T2876" s="7"/>
      <c r="U2876" s="7"/>
      <c r="V2876" s="10">
        <v>7.5741092456127026</v>
      </c>
      <c r="W2876" s="9">
        <v>45018</v>
      </c>
      <c r="X2876" s="10">
        <v>7.5</v>
      </c>
      <c r="Y2876" s="9">
        <v>45021</v>
      </c>
      <c r="Z2876">
        <v>21</v>
      </c>
      <c r="AA2876" s="11" t="s">
        <v>49</v>
      </c>
    </row>
    <row r="2877" spans="2:27" ht="16" x14ac:dyDescent="0.2">
      <c r="B2877" t="s">
        <v>35</v>
      </c>
      <c r="C2877">
        <v>40361970</v>
      </c>
      <c r="D2877" t="s">
        <v>389</v>
      </c>
      <c r="E2877">
        <v>1021732</v>
      </c>
      <c r="F2877" t="s">
        <v>275</v>
      </c>
      <c r="G2877" s="9">
        <v>45011</v>
      </c>
      <c r="H2877" s="7"/>
      <c r="I2877" s="7">
        <v>23800</v>
      </c>
      <c r="J2877" s="7"/>
      <c r="K2877" s="7"/>
      <c r="L2877" s="10">
        <v>5.5741092456127026</v>
      </c>
      <c r="M2877" s="9">
        <v>45016</v>
      </c>
      <c r="N2877" s="10">
        <v>5.5</v>
      </c>
      <c r="O2877" s="9">
        <v>45021</v>
      </c>
      <c r="P2877">
        <v>21</v>
      </c>
      <c r="Q2877" s="11" t="s">
        <v>49</v>
      </c>
      <c r="R2877" s="7"/>
      <c r="S2877" s="7">
        <v>23800</v>
      </c>
      <c r="T2877" s="7"/>
      <c r="U2877" s="7"/>
      <c r="V2877" s="10">
        <v>7.5741092456127026</v>
      </c>
      <c r="W2877" s="9">
        <v>45018</v>
      </c>
      <c r="X2877" s="10">
        <v>7.5</v>
      </c>
      <c r="Y2877" s="9">
        <v>45021</v>
      </c>
      <c r="Z2877">
        <v>21</v>
      </c>
      <c r="AA2877" s="11" t="s">
        <v>49</v>
      </c>
    </row>
    <row r="2878" spans="2:27" ht="16" x14ac:dyDescent="0.2">
      <c r="B2878" t="s">
        <v>35</v>
      </c>
      <c r="C2878">
        <v>40361969</v>
      </c>
      <c r="D2878" t="s">
        <v>389</v>
      </c>
      <c r="E2878">
        <v>1021732</v>
      </c>
      <c r="F2878" t="s">
        <v>275</v>
      </c>
      <c r="G2878" s="9">
        <v>45011</v>
      </c>
      <c r="H2878" s="7"/>
      <c r="I2878" s="7">
        <v>9900</v>
      </c>
      <c r="J2878" s="7"/>
      <c r="K2878" s="7"/>
      <c r="L2878" s="10">
        <v>5.5741092456127026</v>
      </c>
      <c r="M2878" s="9">
        <v>45016</v>
      </c>
      <c r="N2878" s="10">
        <v>5.5</v>
      </c>
      <c r="O2878" s="9">
        <v>45021</v>
      </c>
      <c r="P2878">
        <v>21</v>
      </c>
      <c r="Q2878" s="11" t="s">
        <v>49</v>
      </c>
      <c r="R2878" s="7"/>
      <c r="S2878" s="7">
        <v>9900</v>
      </c>
      <c r="T2878" s="7"/>
      <c r="U2878" s="7"/>
      <c r="V2878" s="10">
        <v>7.5741092456127026</v>
      </c>
      <c r="W2878" s="9">
        <v>45018</v>
      </c>
      <c r="X2878" s="10">
        <v>7.5</v>
      </c>
      <c r="Y2878" s="9">
        <v>45021</v>
      </c>
      <c r="Z2878">
        <v>21</v>
      </c>
      <c r="AA2878" s="11" t="s">
        <v>49</v>
      </c>
    </row>
    <row r="2879" spans="2:27" ht="16" x14ac:dyDescent="0.2">
      <c r="B2879" t="s">
        <v>35</v>
      </c>
      <c r="C2879">
        <v>40361969</v>
      </c>
      <c r="D2879" t="s">
        <v>389</v>
      </c>
      <c r="E2879">
        <v>1021732</v>
      </c>
      <c r="F2879" t="s">
        <v>275</v>
      </c>
      <c r="G2879" s="9">
        <v>45011</v>
      </c>
      <c r="H2879" s="7"/>
      <c r="I2879" s="7">
        <v>25000</v>
      </c>
      <c r="J2879" s="7"/>
      <c r="K2879" s="7"/>
      <c r="L2879" s="10">
        <v>5.5741092456127026</v>
      </c>
      <c r="M2879" s="9">
        <v>45016</v>
      </c>
      <c r="N2879" s="10">
        <v>5.5</v>
      </c>
      <c r="O2879" s="9">
        <v>45021</v>
      </c>
      <c r="P2879">
        <v>21</v>
      </c>
      <c r="Q2879" s="11" t="s">
        <v>49</v>
      </c>
      <c r="R2879" s="7"/>
      <c r="S2879" s="7">
        <v>25000</v>
      </c>
      <c r="T2879" s="7"/>
      <c r="U2879" s="7"/>
      <c r="V2879" s="10">
        <v>7.5741092456127026</v>
      </c>
      <c r="W2879" s="9">
        <v>45018</v>
      </c>
      <c r="X2879" s="10">
        <v>7.5</v>
      </c>
      <c r="Y2879" s="9">
        <v>45021</v>
      </c>
      <c r="Z2879">
        <v>21</v>
      </c>
      <c r="AA2879" s="11" t="s">
        <v>49</v>
      </c>
    </row>
    <row r="2880" spans="2:27" ht="16" x14ac:dyDescent="0.2">
      <c r="B2880" t="s">
        <v>35</v>
      </c>
      <c r="C2880">
        <v>40361968</v>
      </c>
      <c r="D2880" t="s">
        <v>389</v>
      </c>
      <c r="E2880">
        <v>1021732</v>
      </c>
      <c r="F2880" t="s">
        <v>275</v>
      </c>
      <c r="G2880" s="9">
        <v>45011</v>
      </c>
      <c r="H2880" s="7"/>
      <c r="I2880" s="7">
        <v>24020</v>
      </c>
      <c r="J2880" s="7"/>
      <c r="K2880" s="7"/>
      <c r="L2880" s="10">
        <v>5.5741092456127026</v>
      </c>
      <c r="M2880" s="9">
        <v>45016</v>
      </c>
      <c r="N2880" s="10">
        <v>5.5</v>
      </c>
      <c r="O2880" s="9">
        <v>45021</v>
      </c>
      <c r="P2880">
        <v>21</v>
      </c>
      <c r="Q2880" s="11" t="s">
        <v>49</v>
      </c>
      <c r="R2880" s="7"/>
      <c r="S2880" s="7">
        <v>24020</v>
      </c>
      <c r="T2880" s="7"/>
      <c r="U2880" s="7"/>
      <c r="V2880" s="10">
        <v>7.5741092456127026</v>
      </c>
      <c r="W2880" s="9">
        <v>45018</v>
      </c>
      <c r="X2880" s="10">
        <v>7.5</v>
      </c>
      <c r="Y2880" s="9">
        <v>45021</v>
      </c>
      <c r="Z2880">
        <v>21</v>
      </c>
      <c r="AA2880" s="11" t="s">
        <v>49</v>
      </c>
    </row>
    <row r="2881" spans="2:27" ht="16" x14ac:dyDescent="0.2">
      <c r="B2881" t="s">
        <v>35</v>
      </c>
      <c r="C2881">
        <v>40361967</v>
      </c>
      <c r="D2881" t="s">
        <v>389</v>
      </c>
      <c r="E2881">
        <v>1021732</v>
      </c>
      <c r="F2881" t="s">
        <v>275</v>
      </c>
      <c r="G2881" s="9">
        <v>45011</v>
      </c>
      <c r="H2881" s="7"/>
      <c r="I2881" s="7">
        <v>12340</v>
      </c>
      <c r="J2881" s="7"/>
      <c r="K2881" s="7"/>
      <c r="L2881" s="10">
        <v>5.5741092456127026</v>
      </c>
      <c r="M2881" s="9">
        <v>45016</v>
      </c>
      <c r="N2881" s="10">
        <v>5.5</v>
      </c>
      <c r="O2881" s="9">
        <v>45021</v>
      </c>
      <c r="P2881">
        <v>21</v>
      </c>
      <c r="Q2881" s="11" t="s">
        <v>49</v>
      </c>
      <c r="R2881" s="7"/>
      <c r="S2881" s="7">
        <v>12340</v>
      </c>
      <c r="T2881" s="7"/>
      <c r="U2881" s="7"/>
      <c r="V2881" s="10">
        <v>7.5741092456127026</v>
      </c>
      <c r="W2881" s="9">
        <v>45018</v>
      </c>
      <c r="X2881" s="10">
        <v>7.5</v>
      </c>
      <c r="Y2881" s="9">
        <v>45021</v>
      </c>
      <c r="Z2881">
        <v>21</v>
      </c>
      <c r="AA2881" s="11" t="s">
        <v>49</v>
      </c>
    </row>
    <row r="2882" spans="2:27" ht="16" x14ac:dyDescent="0.2">
      <c r="B2882" t="s">
        <v>35</v>
      </c>
      <c r="C2882">
        <v>40361967</v>
      </c>
      <c r="D2882" t="s">
        <v>389</v>
      </c>
      <c r="E2882">
        <v>1021732</v>
      </c>
      <c r="F2882" t="s">
        <v>275</v>
      </c>
      <c r="G2882" s="9">
        <v>45011</v>
      </c>
      <c r="H2882" s="7"/>
      <c r="I2882" s="7">
        <v>24100</v>
      </c>
      <c r="J2882" s="7"/>
      <c r="K2882" s="7"/>
      <c r="L2882" s="10">
        <v>5.5741092456127026</v>
      </c>
      <c r="M2882" s="9">
        <v>45016</v>
      </c>
      <c r="N2882" s="10">
        <v>5.5</v>
      </c>
      <c r="O2882" s="9">
        <v>45021</v>
      </c>
      <c r="P2882">
        <v>21</v>
      </c>
      <c r="Q2882" s="11" t="s">
        <v>49</v>
      </c>
      <c r="R2882" s="7"/>
      <c r="S2882" s="7">
        <v>24100</v>
      </c>
      <c r="T2882" s="7"/>
      <c r="U2882" s="7"/>
      <c r="V2882" s="10">
        <v>7.5741092456127026</v>
      </c>
      <c r="W2882" s="9">
        <v>45018</v>
      </c>
      <c r="X2882" s="10">
        <v>7.5</v>
      </c>
      <c r="Y2882" s="9">
        <v>45021</v>
      </c>
      <c r="Z2882">
        <v>21</v>
      </c>
      <c r="AA2882" s="11" t="s">
        <v>49</v>
      </c>
    </row>
    <row r="2883" spans="2:27" ht="16" x14ac:dyDescent="0.2">
      <c r="B2883" t="s">
        <v>35</v>
      </c>
      <c r="C2883">
        <v>40361965</v>
      </c>
      <c r="D2883" t="s">
        <v>389</v>
      </c>
      <c r="E2883">
        <v>1021732</v>
      </c>
      <c r="F2883" t="s">
        <v>275</v>
      </c>
      <c r="G2883" s="9">
        <v>45011</v>
      </c>
      <c r="H2883" s="7"/>
      <c r="I2883" s="7">
        <v>25000</v>
      </c>
      <c r="J2883" s="7"/>
      <c r="K2883" s="7"/>
      <c r="L2883" s="10">
        <v>5.5741092456127026</v>
      </c>
      <c r="M2883" s="9">
        <v>45016</v>
      </c>
      <c r="N2883" s="10">
        <v>5.5</v>
      </c>
      <c r="O2883" s="9">
        <v>45021</v>
      </c>
      <c r="P2883">
        <v>21</v>
      </c>
      <c r="Q2883" s="11" t="s">
        <v>49</v>
      </c>
      <c r="R2883" s="7"/>
      <c r="S2883" s="7">
        <v>25000</v>
      </c>
      <c r="T2883" s="7"/>
      <c r="U2883" s="7"/>
      <c r="V2883" s="10">
        <v>7.5741092456127026</v>
      </c>
      <c r="W2883" s="9">
        <v>45018</v>
      </c>
      <c r="X2883" s="10">
        <v>7.5</v>
      </c>
      <c r="Y2883" s="9">
        <v>45021</v>
      </c>
      <c r="Z2883">
        <v>21</v>
      </c>
      <c r="AA2883" s="11" t="s">
        <v>49</v>
      </c>
    </row>
    <row r="2884" spans="2:27" ht="16" x14ac:dyDescent="0.2">
      <c r="B2884" t="s">
        <v>35</v>
      </c>
      <c r="C2884">
        <v>40361959</v>
      </c>
      <c r="D2884" t="s">
        <v>389</v>
      </c>
      <c r="E2884">
        <v>1021732</v>
      </c>
      <c r="F2884" t="s">
        <v>275</v>
      </c>
      <c r="G2884" s="9">
        <v>44996</v>
      </c>
      <c r="H2884" s="7">
        <v>24680</v>
      </c>
      <c r="I2884" s="7"/>
      <c r="J2884" s="7"/>
      <c r="K2884" s="7"/>
      <c r="L2884" s="10">
        <v>5.5741092456127026</v>
      </c>
      <c r="M2884" s="9">
        <v>45001</v>
      </c>
      <c r="N2884" s="10">
        <v>5.5</v>
      </c>
      <c r="O2884" s="9">
        <v>45006</v>
      </c>
      <c r="P2884">
        <v>9</v>
      </c>
      <c r="Q2884" s="11" t="s">
        <v>49</v>
      </c>
      <c r="R2884" s="7">
        <v>24680</v>
      </c>
      <c r="S2884" s="7"/>
      <c r="T2884" s="7"/>
      <c r="U2884" s="7"/>
      <c r="V2884" s="10">
        <v>7.5741092456127026</v>
      </c>
      <c r="W2884" s="9">
        <v>45003</v>
      </c>
      <c r="X2884" s="10">
        <v>7.5</v>
      </c>
      <c r="Y2884" s="9">
        <v>45006</v>
      </c>
      <c r="Z2884">
        <v>9</v>
      </c>
      <c r="AA2884" s="11" t="s">
        <v>49</v>
      </c>
    </row>
    <row r="2885" spans="2:27" ht="16" x14ac:dyDescent="0.2">
      <c r="B2885" t="s">
        <v>35</v>
      </c>
      <c r="C2885">
        <v>40361953</v>
      </c>
      <c r="D2885" t="s">
        <v>389</v>
      </c>
      <c r="E2885">
        <v>1022541</v>
      </c>
      <c r="F2885" t="s">
        <v>445</v>
      </c>
      <c r="G2885" s="9">
        <v>45007</v>
      </c>
      <c r="H2885" s="7"/>
      <c r="I2885" s="7">
        <v>24211.16</v>
      </c>
      <c r="J2885" s="7"/>
      <c r="K2885" s="7"/>
      <c r="L2885" s="10">
        <v>5.5741092456127026</v>
      </c>
      <c r="M2885" s="9">
        <v>45012</v>
      </c>
      <c r="N2885" s="10">
        <v>5.5</v>
      </c>
      <c r="O2885" s="9">
        <v>45017</v>
      </c>
      <c r="P2885">
        <v>23</v>
      </c>
      <c r="Q2885" s="11" t="s">
        <v>49</v>
      </c>
      <c r="R2885" s="7"/>
      <c r="S2885" s="7">
        <v>24211.16</v>
      </c>
      <c r="T2885" s="7"/>
      <c r="U2885" s="7"/>
      <c r="V2885" s="10">
        <v>7.5741092456127026</v>
      </c>
      <c r="W2885" s="9">
        <v>45014</v>
      </c>
      <c r="X2885" s="10">
        <v>7.5</v>
      </c>
      <c r="Y2885" s="9">
        <v>45017</v>
      </c>
      <c r="Z2885">
        <v>23</v>
      </c>
      <c r="AA2885" s="11" t="s">
        <v>49</v>
      </c>
    </row>
    <row r="2886" spans="2:27" ht="16" x14ac:dyDescent="0.2">
      <c r="B2886" t="s">
        <v>35</v>
      </c>
      <c r="C2886">
        <v>40361950</v>
      </c>
      <c r="D2886" t="s">
        <v>389</v>
      </c>
      <c r="E2886">
        <v>1022541</v>
      </c>
      <c r="F2886" t="s">
        <v>445</v>
      </c>
      <c r="G2886" s="9">
        <v>45005</v>
      </c>
      <c r="H2886" s="7">
        <v>20571.45</v>
      </c>
      <c r="I2886" s="7"/>
      <c r="J2886" s="7"/>
      <c r="K2886" s="7"/>
      <c r="L2886" s="10">
        <v>5.5741092456127026</v>
      </c>
      <c r="M2886" s="9">
        <v>45010</v>
      </c>
      <c r="N2886" s="10">
        <v>5.5</v>
      </c>
      <c r="O2886" s="9">
        <v>45015</v>
      </c>
      <c r="P2886">
        <v>1</v>
      </c>
      <c r="Q2886" s="11" t="s">
        <v>598</v>
      </c>
      <c r="R2886" s="7">
        <v>20571.45</v>
      </c>
      <c r="S2886" s="7"/>
      <c r="T2886" s="7"/>
      <c r="U2886" s="7"/>
      <c r="V2886" s="10">
        <v>7.5741092456127026</v>
      </c>
      <c r="W2886" s="9">
        <v>45012</v>
      </c>
      <c r="X2886" s="10">
        <v>7.5</v>
      </c>
      <c r="Y2886" s="9">
        <v>45015</v>
      </c>
      <c r="Z2886">
        <v>1</v>
      </c>
      <c r="AA2886" s="11" t="s">
        <v>598</v>
      </c>
    </row>
    <row r="2887" spans="2:27" ht="16" x14ac:dyDescent="0.2">
      <c r="B2887" t="s">
        <v>35</v>
      </c>
      <c r="C2887">
        <v>40361950</v>
      </c>
      <c r="D2887" t="s">
        <v>389</v>
      </c>
      <c r="E2887">
        <v>1022541</v>
      </c>
      <c r="F2887" t="s">
        <v>445</v>
      </c>
      <c r="G2887" s="9">
        <v>45005</v>
      </c>
      <c r="H2887" s="7">
        <v>24606.720000000001</v>
      </c>
      <c r="I2887" s="7"/>
      <c r="J2887" s="7"/>
      <c r="K2887" s="7"/>
      <c r="L2887" s="10">
        <v>5.5741092456127026</v>
      </c>
      <c r="M2887" s="9">
        <v>45010</v>
      </c>
      <c r="N2887" s="10">
        <v>5.5</v>
      </c>
      <c r="O2887" s="9">
        <v>45015</v>
      </c>
      <c r="P2887">
        <v>1</v>
      </c>
      <c r="Q2887" s="11" t="s">
        <v>598</v>
      </c>
      <c r="R2887" s="7">
        <v>24606.720000000001</v>
      </c>
      <c r="S2887" s="7"/>
      <c r="T2887" s="7"/>
      <c r="U2887" s="7"/>
      <c r="V2887" s="10">
        <v>7.5741092456127026</v>
      </c>
      <c r="W2887" s="9">
        <v>45012</v>
      </c>
      <c r="X2887" s="10">
        <v>7.5</v>
      </c>
      <c r="Y2887" s="9">
        <v>45015</v>
      </c>
      <c r="Z2887">
        <v>1</v>
      </c>
      <c r="AA2887" s="11" t="s">
        <v>598</v>
      </c>
    </row>
    <row r="2888" spans="2:27" ht="16" x14ac:dyDescent="0.2">
      <c r="B2888" t="s">
        <v>35</v>
      </c>
      <c r="C2888">
        <v>40361949</v>
      </c>
      <c r="D2888" t="s">
        <v>389</v>
      </c>
      <c r="E2888">
        <v>1022541</v>
      </c>
      <c r="F2888" t="s">
        <v>445</v>
      </c>
      <c r="G2888" s="9">
        <v>44996</v>
      </c>
      <c r="H2888" s="7">
        <v>25005.7</v>
      </c>
      <c r="I2888" s="7"/>
      <c r="J2888" s="7"/>
      <c r="K2888" s="7"/>
      <c r="L2888" s="10">
        <v>5.5741092456127026</v>
      </c>
      <c r="M2888" s="9">
        <v>45001</v>
      </c>
      <c r="N2888" s="10">
        <v>5.5</v>
      </c>
      <c r="O2888" s="9">
        <v>45006</v>
      </c>
      <c r="P2888">
        <v>9</v>
      </c>
      <c r="Q2888" s="11" t="s">
        <v>49</v>
      </c>
      <c r="R2888" s="7">
        <v>25005.7</v>
      </c>
      <c r="S2888" s="7"/>
      <c r="T2888" s="7"/>
      <c r="U2888" s="7"/>
      <c r="V2888" s="10">
        <v>7.5741092456127026</v>
      </c>
      <c r="W2888" s="9">
        <v>45003</v>
      </c>
      <c r="X2888" s="10">
        <v>7.5</v>
      </c>
      <c r="Y2888" s="9">
        <v>45006</v>
      </c>
      <c r="Z2888">
        <v>9</v>
      </c>
      <c r="AA2888" s="11" t="s">
        <v>49</v>
      </c>
    </row>
    <row r="2889" spans="2:27" ht="16" x14ac:dyDescent="0.2">
      <c r="B2889" t="s">
        <v>35</v>
      </c>
      <c r="C2889">
        <v>40361936</v>
      </c>
      <c r="D2889" t="s">
        <v>389</v>
      </c>
      <c r="E2889">
        <v>1021971</v>
      </c>
      <c r="F2889" t="s">
        <v>556</v>
      </c>
      <c r="G2889" s="9">
        <v>44996</v>
      </c>
      <c r="H2889" s="7">
        <v>25000</v>
      </c>
      <c r="I2889" s="7"/>
      <c r="J2889" s="7"/>
      <c r="K2889" s="7"/>
      <c r="L2889" s="10">
        <v>5.5741092456127026</v>
      </c>
      <c r="M2889" s="9">
        <v>45001</v>
      </c>
      <c r="N2889" s="10">
        <v>5.5</v>
      </c>
      <c r="O2889" s="9">
        <v>45006</v>
      </c>
      <c r="P2889">
        <v>9</v>
      </c>
      <c r="Q2889" s="11" t="s">
        <v>49</v>
      </c>
      <c r="R2889" s="7">
        <v>25000</v>
      </c>
      <c r="S2889" s="7"/>
      <c r="T2889" s="7"/>
      <c r="U2889" s="7"/>
      <c r="V2889" s="10">
        <v>7.5741092456127026</v>
      </c>
      <c r="W2889" s="9">
        <v>45003</v>
      </c>
      <c r="X2889" s="10">
        <v>7.5</v>
      </c>
      <c r="Y2889" s="9">
        <v>45006</v>
      </c>
      <c r="Z2889">
        <v>9</v>
      </c>
      <c r="AA2889" s="11" t="s">
        <v>49</v>
      </c>
    </row>
    <row r="2890" spans="2:27" ht="16" x14ac:dyDescent="0.2">
      <c r="B2890" t="s">
        <v>35</v>
      </c>
      <c r="C2890">
        <v>40361935</v>
      </c>
      <c r="D2890" t="s">
        <v>389</v>
      </c>
      <c r="E2890">
        <v>1021992</v>
      </c>
      <c r="F2890" t="s">
        <v>290</v>
      </c>
      <c r="G2890" s="9">
        <v>44996</v>
      </c>
      <c r="H2890" s="7">
        <v>22760</v>
      </c>
      <c r="I2890" s="7"/>
      <c r="J2890" s="7"/>
      <c r="K2890" s="7"/>
      <c r="L2890" s="10">
        <v>5.5741092456127026</v>
      </c>
      <c r="M2890" s="9">
        <v>45001</v>
      </c>
      <c r="N2890" s="10">
        <v>5.5</v>
      </c>
      <c r="O2890" s="9">
        <v>45006</v>
      </c>
      <c r="P2890">
        <v>9</v>
      </c>
      <c r="Q2890" s="11" t="s">
        <v>49</v>
      </c>
      <c r="R2890" s="7">
        <v>22760</v>
      </c>
      <c r="S2890" s="7"/>
      <c r="T2890" s="7"/>
      <c r="U2890" s="7"/>
      <c r="V2890" s="10">
        <v>7.5741092456127026</v>
      </c>
      <c r="W2890" s="9">
        <v>45003</v>
      </c>
      <c r="X2890" s="10">
        <v>7.5</v>
      </c>
      <c r="Y2890" s="9">
        <v>45006</v>
      </c>
      <c r="Z2890">
        <v>9</v>
      </c>
      <c r="AA2890" s="11" t="s">
        <v>49</v>
      </c>
    </row>
    <row r="2891" spans="2:27" ht="16" x14ac:dyDescent="0.2">
      <c r="B2891" t="s">
        <v>35</v>
      </c>
      <c r="C2891">
        <v>40361935</v>
      </c>
      <c r="D2891" t="s">
        <v>389</v>
      </c>
      <c r="E2891">
        <v>1021992</v>
      </c>
      <c r="F2891" t="s">
        <v>290</v>
      </c>
      <c r="G2891" s="9">
        <v>44996</v>
      </c>
      <c r="H2891" s="7">
        <v>23660</v>
      </c>
      <c r="I2891" s="7"/>
      <c r="J2891" s="7"/>
      <c r="K2891" s="7"/>
      <c r="L2891" s="10">
        <v>5.5741092456127026</v>
      </c>
      <c r="M2891" s="9">
        <v>45001</v>
      </c>
      <c r="N2891" s="10">
        <v>5.5</v>
      </c>
      <c r="O2891" s="9">
        <v>45006</v>
      </c>
      <c r="P2891">
        <v>9</v>
      </c>
      <c r="Q2891" s="11" t="s">
        <v>49</v>
      </c>
      <c r="R2891" s="7">
        <v>23660</v>
      </c>
      <c r="S2891" s="7"/>
      <c r="T2891" s="7"/>
      <c r="U2891" s="7"/>
      <c r="V2891" s="10">
        <v>7.5741092456127026</v>
      </c>
      <c r="W2891" s="9">
        <v>45003</v>
      </c>
      <c r="X2891" s="10">
        <v>7.5</v>
      </c>
      <c r="Y2891" s="9">
        <v>45006</v>
      </c>
      <c r="Z2891">
        <v>9</v>
      </c>
      <c r="AA2891" s="11" t="s">
        <v>49</v>
      </c>
    </row>
    <row r="2892" spans="2:27" ht="16" x14ac:dyDescent="0.2">
      <c r="B2892" t="s">
        <v>35</v>
      </c>
      <c r="C2892">
        <v>40361928</v>
      </c>
      <c r="D2892" t="s">
        <v>389</v>
      </c>
      <c r="E2892">
        <v>1021767</v>
      </c>
      <c r="F2892" t="s">
        <v>288</v>
      </c>
      <c r="G2892" s="9">
        <v>45011</v>
      </c>
      <c r="H2892" s="7"/>
      <c r="I2892" s="7">
        <v>25002</v>
      </c>
      <c r="J2892" s="7"/>
      <c r="K2892" s="7"/>
      <c r="L2892" s="10">
        <v>5.5741092456127026</v>
      </c>
      <c r="M2892" s="9">
        <v>45016</v>
      </c>
      <c r="N2892" s="10">
        <v>5.5</v>
      </c>
      <c r="O2892" s="9">
        <v>45021</v>
      </c>
      <c r="P2892">
        <v>21</v>
      </c>
      <c r="Q2892" s="11" t="s">
        <v>49</v>
      </c>
      <c r="R2892" s="7"/>
      <c r="S2892" s="7">
        <v>25002</v>
      </c>
      <c r="T2892" s="7"/>
      <c r="U2892" s="7"/>
      <c r="V2892" s="10">
        <v>7.5741092456127026</v>
      </c>
      <c r="W2892" s="9">
        <v>45018</v>
      </c>
      <c r="X2892" s="10">
        <v>7.5</v>
      </c>
      <c r="Y2892" s="9">
        <v>45021</v>
      </c>
      <c r="Z2892">
        <v>21</v>
      </c>
      <c r="AA2892" s="11" t="s">
        <v>49</v>
      </c>
    </row>
    <row r="2893" spans="2:27" ht="16" x14ac:dyDescent="0.2">
      <c r="B2893" t="s">
        <v>35</v>
      </c>
      <c r="C2893">
        <v>40361922</v>
      </c>
      <c r="D2893" t="s">
        <v>389</v>
      </c>
      <c r="E2893">
        <v>1021767</v>
      </c>
      <c r="F2893" t="s">
        <v>288</v>
      </c>
      <c r="G2893" s="9">
        <v>45011</v>
      </c>
      <c r="H2893" s="7"/>
      <c r="I2893" s="7">
        <v>23904</v>
      </c>
      <c r="J2893" s="7"/>
      <c r="K2893" s="7"/>
      <c r="L2893" s="10">
        <v>5.5741092456127026</v>
      </c>
      <c r="M2893" s="9">
        <v>45016</v>
      </c>
      <c r="N2893" s="10">
        <v>5.5</v>
      </c>
      <c r="O2893" s="9">
        <v>45021</v>
      </c>
      <c r="P2893">
        <v>21</v>
      </c>
      <c r="Q2893" s="11" t="s">
        <v>49</v>
      </c>
      <c r="R2893" s="7"/>
      <c r="S2893" s="7">
        <v>23904</v>
      </c>
      <c r="T2893" s="7"/>
      <c r="U2893" s="7"/>
      <c r="V2893" s="10">
        <v>7.5741092456127026</v>
      </c>
      <c r="W2893" s="9">
        <v>45018</v>
      </c>
      <c r="X2893" s="10">
        <v>7.5</v>
      </c>
      <c r="Y2893" s="9">
        <v>45021</v>
      </c>
      <c r="Z2893">
        <v>21</v>
      </c>
      <c r="AA2893" s="11" t="s">
        <v>49</v>
      </c>
    </row>
    <row r="2894" spans="2:27" ht="16" x14ac:dyDescent="0.2">
      <c r="B2894" t="s">
        <v>35</v>
      </c>
      <c r="C2894">
        <v>40361921</v>
      </c>
      <c r="D2894" t="s">
        <v>389</v>
      </c>
      <c r="E2894">
        <v>1021767</v>
      </c>
      <c r="F2894" t="s">
        <v>288</v>
      </c>
      <c r="G2894" s="9">
        <v>45011</v>
      </c>
      <c r="H2894" s="7"/>
      <c r="I2894" s="7">
        <v>24390</v>
      </c>
      <c r="J2894" s="7"/>
      <c r="K2894" s="7"/>
      <c r="L2894" s="10">
        <v>5.5741092456127026</v>
      </c>
      <c r="M2894" s="9">
        <v>45016</v>
      </c>
      <c r="N2894" s="10">
        <v>5.5</v>
      </c>
      <c r="O2894" s="9">
        <v>45021</v>
      </c>
      <c r="P2894">
        <v>21</v>
      </c>
      <c r="Q2894" s="11" t="s">
        <v>49</v>
      </c>
      <c r="R2894" s="7"/>
      <c r="S2894" s="7">
        <v>24390</v>
      </c>
      <c r="T2894" s="7"/>
      <c r="U2894" s="7"/>
      <c r="V2894" s="10">
        <v>7.5741092456127026</v>
      </c>
      <c r="W2894" s="9">
        <v>45018</v>
      </c>
      <c r="X2894" s="10">
        <v>7.5</v>
      </c>
      <c r="Y2894" s="9">
        <v>45021</v>
      </c>
      <c r="Z2894">
        <v>21</v>
      </c>
      <c r="AA2894" s="11" t="s">
        <v>49</v>
      </c>
    </row>
    <row r="2895" spans="2:27" ht="16" x14ac:dyDescent="0.2">
      <c r="B2895" t="s">
        <v>35</v>
      </c>
      <c r="C2895">
        <v>40361920</v>
      </c>
      <c r="D2895" t="s">
        <v>389</v>
      </c>
      <c r="E2895">
        <v>1021767</v>
      </c>
      <c r="F2895" t="s">
        <v>288</v>
      </c>
      <c r="G2895" s="9">
        <v>44996</v>
      </c>
      <c r="H2895" s="7">
        <v>4032</v>
      </c>
      <c r="I2895" s="7"/>
      <c r="J2895" s="7"/>
      <c r="K2895" s="7"/>
      <c r="L2895" s="10">
        <v>5.5741092456127026</v>
      </c>
      <c r="M2895" s="9">
        <v>45001</v>
      </c>
      <c r="N2895" s="10">
        <v>5.5</v>
      </c>
      <c r="O2895" s="9">
        <v>45006</v>
      </c>
      <c r="P2895">
        <v>9</v>
      </c>
      <c r="Q2895" s="11" t="s">
        <v>49</v>
      </c>
      <c r="R2895" s="7">
        <v>4032</v>
      </c>
      <c r="S2895" s="7"/>
      <c r="T2895" s="7"/>
      <c r="U2895" s="7"/>
      <c r="V2895" s="10">
        <v>7.5741092456127026</v>
      </c>
      <c r="W2895" s="9">
        <v>45003</v>
      </c>
      <c r="X2895" s="10">
        <v>7.5</v>
      </c>
      <c r="Y2895" s="9">
        <v>45006</v>
      </c>
      <c r="Z2895">
        <v>9</v>
      </c>
      <c r="AA2895" s="11" t="s">
        <v>49</v>
      </c>
    </row>
    <row r="2896" spans="2:27" ht="16" x14ac:dyDescent="0.2">
      <c r="B2896" t="s">
        <v>35</v>
      </c>
      <c r="C2896">
        <v>40361920</v>
      </c>
      <c r="D2896" t="s">
        <v>389</v>
      </c>
      <c r="E2896">
        <v>1021767</v>
      </c>
      <c r="F2896" t="s">
        <v>288</v>
      </c>
      <c r="G2896" s="9">
        <v>44996</v>
      </c>
      <c r="H2896" s="7">
        <v>23652</v>
      </c>
      <c r="I2896" s="7"/>
      <c r="J2896" s="7"/>
      <c r="K2896" s="7"/>
      <c r="L2896" s="10">
        <v>5.5741092456127026</v>
      </c>
      <c r="M2896" s="9">
        <v>45001</v>
      </c>
      <c r="N2896" s="10">
        <v>5.5</v>
      </c>
      <c r="O2896" s="9">
        <v>45006</v>
      </c>
      <c r="P2896">
        <v>9</v>
      </c>
      <c r="Q2896" s="11" t="s">
        <v>49</v>
      </c>
      <c r="R2896" s="7">
        <v>23652</v>
      </c>
      <c r="S2896" s="7"/>
      <c r="T2896" s="7"/>
      <c r="U2896" s="7"/>
      <c r="V2896" s="10">
        <v>7.5741092456127026</v>
      </c>
      <c r="W2896" s="9">
        <v>45003</v>
      </c>
      <c r="X2896" s="10">
        <v>7.5</v>
      </c>
      <c r="Y2896" s="9">
        <v>45006</v>
      </c>
      <c r="Z2896">
        <v>9</v>
      </c>
      <c r="AA2896" s="11" t="s">
        <v>49</v>
      </c>
    </row>
    <row r="2897" spans="2:27" ht="16" x14ac:dyDescent="0.2">
      <c r="B2897" t="s">
        <v>35</v>
      </c>
      <c r="C2897">
        <v>40361913</v>
      </c>
      <c r="D2897" t="s">
        <v>389</v>
      </c>
      <c r="E2897">
        <v>1012527</v>
      </c>
      <c r="F2897" t="s">
        <v>557</v>
      </c>
      <c r="G2897" s="9">
        <v>44996</v>
      </c>
      <c r="H2897" s="7">
        <v>24000</v>
      </c>
      <c r="I2897" s="7"/>
      <c r="J2897" s="7"/>
      <c r="K2897" s="7"/>
      <c r="L2897" s="10">
        <v>5.5741092456127026</v>
      </c>
      <c r="M2897" s="9">
        <v>45001</v>
      </c>
      <c r="N2897" s="10">
        <v>5.5</v>
      </c>
      <c r="O2897" s="9">
        <v>45006</v>
      </c>
      <c r="P2897">
        <v>9</v>
      </c>
      <c r="Q2897" s="11" t="s">
        <v>49</v>
      </c>
      <c r="R2897" s="7">
        <v>24000</v>
      </c>
      <c r="S2897" s="7"/>
      <c r="T2897" s="7"/>
      <c r="U2897" s="7"/>
      <c r="V2897" s="10">
        <v>7.5741092456127026</v>
      </c>
      <c r="W2897" s="9">
        <v>45003</v>
      </c>
      <c r="X2897" s="10">
        <v>7.5</v>
      </c>
      <c r="Y2897" s="9">
        <v>45006</v>
      </c>
      <c r="Z2897">
        <v>9</v>
      </c>
      <c r="AA2897" s="11" t="s">
        <v>49</v>
      </c>
    </row>
    <row r="2898" spans="2:27" ht="16" x14ac:dyDescent="0.2">
      <c r="B2898" t="s">
        <v>35</v>
      </c>
      <c r="C2898">
        <v>40361905</v>
      </c>
      <c r="D2898" t="s">
        <v>389</v>
      </c>
      <c r="E2898">
        <v>1012448</v>
      </c>
      <c r="F2898" t="s">
        <v>451</v>
      </c>
      <c r="G2898" s="9">
        <v>44996</v>
      </c>
      <c r="H2898" s="7">
        <v>24000</v>
      </c>
      <c r="I2898" s="7"/>
      <c r="J2898" s="7"/>
      <c r="K2898" s="7"/>
      <c r="L2898" s="10">
        <v>5.5741092456127026</v>
      </c>
      <c r="M2898" s="9">
        <v>45001</v>
      </c>
      <c r="N2898" s="10">
        <v>5.5</v>
      </c>
      <c r="O2898" s="9">
        <v>45006</v>
      </c>
      <c r="P2898">
        <v>9</v>
      </c>
      <c r="Q2898" s="11" t="s">
        <v>49</v>
      </c>
      <c r="R2898" s="7">
        <v>24000</v>
      </c>
      <c r="S2898" s="7"/>
      <c r="T2898" s="7"/>
      <c r="U2898" s="7"/>
      <c r="V2898" s="10">
        <v>7.5741092456127026</v>
      </c>
      <c r="W2898" s="9">
        <v>45003</v>
      </c>
      <c r="X2898" s="10">
        <v>7.5</v>
      </c>
      <c r="Y2898" s="9">
        <v>45006</v>
      </c>
      <c r="Z2898">
        <v>9</v>
      </c>
      <c r="AA2898" s="11" t="s">
        <v>49</v>
      </c>
    </row>
    <row r="2899" spans="2:27" ht="16" x14ac:dyDescent="0.2">
      <c r="B2899" t="s">
        <v>35</v>
      </c>
      <c r="C2899">
        <v>40361894</v>
      </c>
      <c r="D2899" t="s">
        <v>389</v>
      </c>
      <c r="E2899">
        <v>1011969</v>
      </c>
      <c r="F2899" t="s">
        <v>417</v>
      </c>
      <c r="G2899" s="9">
        <v>45001</v>
      </c>
      <c r="H2899" s="7">
        <v>24000</v>
      </c>
      <c r="I2899" s="7"/>
      <c r="J2899" s="7"/>
      <c r="K2899" s="7"/>
      <c r="L2899" s="10">
        <v>5.5741092456127026</v>
      </c>
      <c r="M2899" s="9">
        <v>45006</v>
      </c>
      <c r="N2899" s="10">
        <v>5.5</v>
      </c>
      <c r="O2899" s="9">
        <v>45011</v>
      </c>
      <c r="P2899">
        <v>5</v>
      </c>
      <c r="Q2899" s="11" t="s">
        <v>49</v>
      </c>
      <c r="R2899" s="7">
        <v>24000</v>
      </c>
      <c r="S2899" s="7"/>
      <c r="T2899" s="7"/>
      <c r="U2899" s="7"/>
      <c r="V2899" s="10">
        <v>7.5741092456127026</v>
      </c>
      <c r="W2899" s="9">
        <v>45008</v>
      </c>
      <c r="X2899" s="10">
        <v>7.5</v>
      </c>
      <c r="Y2899" s="9">
        <v>45011</v>
      </c>
      <c r="Z2899">
        <v>5</v>
      </c>
      <c r="AA2899" s="11" t="s">
        <v>49</v>
      </c>
    </row>
    <row r="2900" spans="2:27" ht="16" x14ac:dyDescent="0.2">
      <c r="B2900" t="s">
        <v>35</v>
      </c>
      <c r="C2900">
        <v>40361893</v>
      </c>
      <c r="D2900" t="s">
        <v>389</v>
      </c>
      <c r="E2900">
        <v>1011969</v>
      </c>
      <c r="F2900" t="s">
        <v>417</v>
      </c>
      <c r="G2900" s="9">
        <v>44992</v>
      </c>
      <c r="H2900" s="7">
        <v>24000</v>
      </c>
      <c r="I2900" s="7"/>
      <c r="J2900" s="7"/>
      <c r="K2900" s="7"/>
      <c r="L2900" s="10">
        <v>5.5741092456127026</v>
      </c>
      <c r="M2900" s="9">
        <v>44997</v>
      </c>
      <c r="N2900" s="10">
        <v>5.5</v>
      </c>
      <c r="O2900" s="9">
        <v>45002</v>
      </c>
      <c r="P2900">
        <v>12</v>
      </c>
      <c r="Q2900" s="11" t="s">
        <v>49</v>
      </c>
      <c r="R2900" s="7">
        <v>24000</v>
      </c>
      <c r="S2900" s="7"/>
      <c r="T2900" s="7"/>
      <c r="U2900" s="7"/>
      <c r="V2900" s="10">
        <v>7.5741092456127026</v>
      </c>
      <c r="W2900" s="9">
        <v>44999</v>
      </c>
      <c r="X2900" s="10">
        <v>7.5</v>
      </c>
      <c r="Y2900" s="9">
        <v>45002</v>
      </c>
      <c r="Z2900">
        <v>12</v>
      </c>
      <c r="AA2900" s="11" t="s">
        <v>49</v>
      </c>
    </row>
    <row r="2901" spans="2:27" ht="16" x14ac:dyDescent="0.2">
      <c r="B2901" t="s">
        <v>35</v>
      </c>
      <c r="C2901">
        <v>40361892</v>
      </c>
      <c r="D2901" t="s">
        <v>389</v>
      </c>
      <c r="E2901">
        <v>1011969</v>
      </c>
      <c r="F2901" t="s">
        <v>417</v>
      </c>
      <c r="G2901" s="9">
        <v>45001</v>
      </c>
      <c r="H2901" s="7">
        <v>24000</v>
      </c>
      <c r="I2901" s="7"/>
      <c r="J2901" s="7"/>
      <c r="K2901" s="7"/>
      <c r="L2901" s="10">
        <v>5.5741092456127026</v>
      </c>
      <c r="M2901" s="9">
        <v>45006</v>
      </c>
      <c r="N2901" s="10">
        <v>5.5</v>
      </c>
      <c r="O2901" s="9">
        <v>45011</v>
      </c>
      <c r="P2901">
        <v>5</v>
      </c>
      <c r="Q2901" s="11" t="s">
        <v>49</v>
      </c>
      <c r="R2901" s="7">
        <v>24000</v>
      </c>
      <c r="S2901" s="7"/>
      <c r="T2901" s="7"/>
      <c r="U2901" s="7"/>
      <c r="V2901" s="10">
        <v>7.5741092456127026</v>
      </c>
      <c r="W2901" s="9">
        <v>45008</v>
      </c>
      <c r="X2901" s="10">
        <v>7.5</v>
      </c>
      <c r="Y2901" s="9">
        <v>45011</v>
      </c>
      <c r="Z2901">
        <v>5</v>
      </c>
      <c r="AA2901" s="11" t="s">
        <v>49</v>
      </c>
    </row>
    <row r="2902" spans="2:27" ht="16" x14ac:dyDescent="0.2">
      <c r="B2902" t="s">
        <v>35</v>
      </c>
      <c r="C2902">
        <v>40361888</v>
      </c>
      <c r="D2902" t="s">
        <v>389</v>
      </c>
      <c r="E2902">
        <v>1012526</v>
      </c>
      <c r="F2902" t="s">
        <v>246</v>
      </c>
      <c r="G2902" s="9">
        <v>45001</v>
      </c>
      <c r="H2902" s="7">
        <v>9600</v>
      </c>
      <c r="I2902" s="7"/>
      <c r="J2902" s="7"/>
      <c r="K2902" s="7"/>
      <c r="L2902" s="10">
        <v>5.5741092456127026</v>
      </c>
      <c r="M2902" s="9">
        <v>45006</v>
      </c>
      <c r="N2902" s="10">
        <v>5.5</v>
      </c>
      <c r="O2902" s="9">
        <v>45011</v>
      </c>
      <c r="P2902">
        <v>5</v>
      </c>
      <c r="Q2902" s="11" t="s">
        <v>49</v>
      </c>
      <c r="R2902" s="7">
        <v>9600</v>
      </c>
      <c r="S2902" s="7"/>
      <c r="T2902" s="7"/>
      <c r="U2902" s="7"/>
      <c r="V2902" s="10">
        <v>7.5741092456127026</v>
      </c>
      <c r="W2902" s="9">
        <v>45008</v>
      </c>
      <c r="X2902" s="10">
        <v>7.5</v>
      </c>
      <c r="Y2902" s="9">
        <v>45011</v>
      </c>
      <c r="Z2902">
        <v>5</v>
      </c>
      <c r="AA2902" s="11" t="s">
        <v>49</v>
      </c>
    </row>
    <row r="2903" spans="2:27" ht="16" x14ac:dyDescent="0.2">
      <c r="B2903" t="s">
        <v>35</v>
      </c>
      <c r="C2903">
        <v>40361888</v>
      </c>
      <c r="D2903" t="s">
        <v>389</v>
      </c>
      <c r="E2903">
        <v>1011968</v>
      </c>
      <c r="F2903" t="s">
        <v>438</v>
      </c>
      <c r="G2903" s="9">
        <v>45001</v>
      </c>
      <c r="H2903" s="7">
        <v>14260</v>
      </c>
      <c r="I2903" s="7"/>
      <c r="J2903" s="7"/>
      <c r="K2903" s="7"/>
      <c r="L2903" s="10">
        <v>5.5741092456127026</v>
      </c>
      <c r="M2903" s="9">
        <v>45006</v>
      </c>
      <c r="N2903" s="10">
        <v>5.5</v>
      </c>
      <c r="O2903" s="9">
        <v>45011</v>
      </c>
      <c r="P2903">
        <v>5</v>
      </c>
      <c r="Q2903" s="11" t="s">
        <v>49</v>
      </c>
      <c r="R2903" s="7">
        <v>14260</v>
      </c>
      <c r="S2903" s="7"/>
      <c r="T2903" s="7"/>
      <c r="U2903" s="7"/>
      <c r="V2903" s="10">
        <v>7.5741092456127026</v>
      </c>
      <c r="W2903" s="9">
        <v>45008</v>
      </c>
      <c r="X2903" s="10">
        <v>7.5</v>
      </c>
      <c r="Y2903" s="9">
        <v>45011</v>
      </c>
      <c r="Z2903">
        <v>5</v>
      </c>
      <c r="AA2903" s="11" t="s">
        <v>49</v>
      </c>
    </row>
    <row r="2904" spans="2:27" ht="16" x14ac:dyDescent="0.2">
      <c r="B2904" t="s">
        <v>35</v>
      </c>
      <c r="C2904">
        <v>40361887</v>
      </c>
      <c r="D2904" t="s">
        <v>389</v>
      </c>
      <c r="E2904">
        <v>1011967</v>
      </c>
      <c r="F2904" t="s">
        <v>418</v>
      </c>
      <c r="G2904" s="9">
        <v>45007</v>
      </c>
      <c r="H2904" s="7"/>
      <c r="I2904" s="7">
        <v>24000</v>
      </c>
      <c r="J2904" s="7"/>
      <c r="K2904" s="7"/>
      <c r="L2904" s="10">
        <v>5.5741092456127026</v>
      </c>
      <c r="M2904" s="9">
        <v>45012</v>
      </c>
      <c r="N2904" s="10">
        <v>5.5</v>
      </c>
      <c r="O2904" s="9">
        <v>45017</v>
      </c>
      <c r="P2904">
        <v>23</v>
      </c>
      <c r="Q2904" s="11" t="s">
        <v>49</v>
      </c>
      <c r="R2904" s="7"/>
      <c r="S2904" s="7">
        <v>24000</v>
      </c>
      <c r="T2904" s="7"/>
      <c r="U2904" s="7"/>
      <c r="V2904" s="10">
        <v>7.5741092456127026</v>
      </c>
      <c r="W2904" s="9">
        <v>45014</v>
      </c>
      <c r="X2904" s="10">
        <v>7.5</v>
      </c>
      <c r="Y2904" s="9">
        <v>45017</v>
      </c>
      <c r="Z2904">
        <v>23</v>
      </c>
      <c r="AA2904" s="11" t="s">
        <v>49</v>
      </c>
    </row>
    <row r="2905" spans="2:27" ht="16" x14ac:dyDescent="0.2">
      <c r="B2905" t="s">
        <v>35</v>
      </c>
      <c r="C2905">
        <v>40361886</v>
      </c>
      <c r="D2905" t="s">
        <v>389</v>
      </c>
      <c r="E2905">
        <v>1011967</v>
      </c>
      <c r="F2905" t="s">
        <v>418</v>
      </c>
      <c r="G2905" s="9">
        <v>44996</v>
      </c>
      <c r="H2905" s="7">
        <v>24000</v>
      </c>
      <c r="I2905" s="7"/>
      <c r="J2905" s="7"/>
      <c r="K2905" s="7"/>
      <c r="L2905" s="10">
        <v>5.5741092456127026</v>
      </c>
      <c r="M2905" s="9">
        <v>45001</v>
      </c>
      <c r="N2905" s="10">
        <v>5.5</v>
      </c>
      <c r="O2905" s="9">
        <v>45006</v>
      </c>
      <c r="P2905">
        <v>9</v>
      </c>
      <c r="Q2905" s="11" t="s">
        <v>49</v>
      </c>
      <c r="R2905" s="7">
        <v>24000</v>
      </c>
      <c r="S2905" s="7"/>
      <c r="T2905" s="7"/>
      <c r="U2905" s="7"/>
      <c r="V2905" s="10">
        <v>7.5741092456127026</v>
      </c>
      <c r="W2905" s="9">
        <v>45003</v>
      </c>
      <c r="X2905" s="10">
        <v>7.5</v>
      </c>
      <c r="Y2905" s="9">
        <v>45006</v>
      </c>
      <c r="Z2905">
        <v>9</v>
      </c>
      <c r="AA2905" s="11" t="s">
        <v>49</v>
      </c>
    </row>
    <row r="2906" spans="2:27" ht="16" x14ac:dyDescent="0.2">
      <c r="B2906" t="s">
        <v>35</v>
      </c>
      <c r="C2906">
        <v>40361878</v>
      </c>
      <c r="D2906" t="s">
        <v>389</v>
      </c>
      <c r="E2906">
        <v>1011586</v>
      </c>
      <c r="F2906" t="s">
        <v>420</v>
      </c>
      <c r="G2906" s="9">
        <v>45005</v>
      </c>
      <c r="H2906" s="7">
        <v>19954</v>
      </c>
      <c r="I2906" s="7"/>
      <c r="J2906" s="7"/>
      <c r="K2906" s="7"/>
      <c r="L2906" s="10">
        <v>5.5741092456127026</v>
      </c>
      <c r="M2906" s="9">
        <v>45010</v>
      </c>
      <c r="N2906" s="10">
        <v>5.5</v>
      </c>
      <c r="O2906" s="9">
        <v>45015</v>
      </c>
      <c r="P2906">
        <v>1</v>
      </c>
      <c r="Q2906" s="11" t="s">
        <v>598</v>
      </c>
      <c r="R2906" s="7">
        <v>19954</v>
      </c>
      <c r="S2906" s="7"/>
      <c r="T2906" s="7"/>
      <c r="U2906" s="7"/>
      <c r="V2906" s="10">
        <v>7.5741092456127026</v>
      </c>
      <c r="W2906" s="9">
        <v>45012</v>
      </c>
      <c r="X2906" s="10">
        <v>7.5</v>
      </c>
      <c r="Y2906" s="9">
        <v>45015</v>
      </c>
      <c r="Z2906">
        <v>1</v>
      </c>
      <c r="AA2906" s="11" t="s">
        <v>598</v>
      </c>
    </row>
    <row r="2907" spans="2:27" ht="16" x14ac:dyDescent="0.2">
      <c r="B2907" t="s">
        <v>35</v>
      </c>
      <c r="C2907">
        <v>40361873</v>
      </c>
      <c r="D2907" t="s">
        <v>389</v>
      </c>
      <c r="E2907">
        <v>1011586</v>
      </c>
      <c r="F2907" t="s">
        <v>420</v>
      </c>
      <c r="G2907" s="9">
        <v>45007</v>
      </c>
      <c r="H2907" s="7"/>
      <c r="I2907" s="7">
        <v>9977</v>
      </c>
      <c r="J2907" s="7"/>
      <c r="K2907" s="7"/>
      <c r="L2907" s="10">
        <v>5.5741092456127026</v>
      </c>
      <c r="M2907" s="9">
        <v>45012</v>
      </c>
      <c r="N2907" s="10">
        <v>5.5</v>
      </c>
      <c r="O2907" s="9">
        <v>45017</v>
      </c>
      <c r="P2907">
        <v>23</v>
      </c>
      <c r="Q2907" s="11" t="s">
        <v>49</v>
      </c>
      <c r="R2907" s="7"/>
      <c r="S2907" s="7">
        <v>9977</v>
      </c>
      <c r="T2907" s="7"/>
      <c r="U2907" s="7"/>
      <c r="V2907" s="10">
        <v>7.5741092456127026</v>
      </c>
      <c r="W2907" s="9">
        <v>45014</v>
      </c>
      <c r="X2907" s="10">
        <v>7.5</v>
      </c>
      <c r="Y2907" s="9">
        <v>45017</v>
      </c>
      <c r="Z2907">
        <v>23</v>
      </c>
      <c r="AA2907" s="11" t="s">
        <v>49</v>
      </c>
    </row>
    <row r="2908" spans="2:27" ht="16" x14ac:dyDescent="0.2">
      <c r="B2908" t="s">
        <v>35</v>
      </c>
      <c r="C2908">
        <v>40361873</v>
      </c>
      <c r="D2908" t="s">
        <v>389</v>
      </c>
      <c r="E2908">
        <v>1011417</v>
      </c>
      <c r="F2908" t="s">
        <v>421</v>
      </c>
      <c r="G2908" s="9">
        <v>45007</v>
      </c>
      <c r="H2908" s="7"/>
      <c r="I2908" s="7">
        <v>9900</v>
      </c>
      <c r="J2908" s="7"/>
      <c r="K2908" s="7"/>
      <c r="L2908" s="10">
        <v>5.5741092456127026</v>
      </c>
      <c r="M2908" s="9">
        <v>45012</v>
      </c>
      <c r="N2908" s="10">
        <v>5.5</v>
      </c>
      <c r="O2908" s="9">
        <v>45017</v>
      </c>
      <c r="P2908">
        <v>23</v>
      </c>
      <c r="Q2908" s="11" t="s">
        <v>49</v>
      </c>
      <c r="R2908" s="7"/>
      <c r="S2908" s="7">
        <v>9900</v>
      </c>
      <c r="T2908" s="7"/>
      <c r="U2908" s="7"/>
      <c r="V2908" s="10">
        <v>7.5741092456127026</v>
      </c>
      <c r="W2908" s="9">
        <v>45014</v>
      </c>
      <c r="X2908" s="10">
        <v>7.5</v>
      </c>
      <c r="Y2908" s="9">
        <v>45017</v>
      </c>
      <c r="Z2908">
        <v>23</v>
      </c>
      <c r="AA2908" s="11" t="s">
        <v>49</v>
      </c>
    </row>
    <row r="2909" spans="2:27" ht="16" x14ac:dyDescent="0.2">
      <c r="B2909" t="s">
        <v>35</v>
      </c>
      <c r="C2909">
        <v>40361871</v>
      </c>
      <c r="D2909" t="s">
        <v>389</v>
      </c>
      <c r="E2909">
        <v>1011417</v>
      </c>
      <c r="F2909" t="s">
        <v>421</v>
      </c>
      <c r="G2909" s="9">
        <v>44996</v>
      </c>
      <c r="H2909" s="7">
        <v>19800</v>
      </c>
      <c r="I2909" s="7"/>
      <c r="J2909" s="7"/>
      <c r="K2909" s="7"/>
      <c r="L2909" s="10">
        <v>5.5741092456127026</v>
      </c>
      <c r="M2909" s="9">
        <v>45001</v>
      </c>
      <c r="N2909" s="10">
        <v>5.5</v>
      </c>
      <c r="O2909" s="9">
        <v>45006</v>
      </c>
      <c r="P2909">
        <v>9</v>
      </c>
      <c r="Q2909" s="11" t="s">
        <v>49</v>
      </c>
      <c r="R2909" s="7">
        <v>19800</v>
      </c>
      <c r="S2909" s="7"/>
      <c r="T2909" s="7"/>
      <c r="U2909" s="7"/>
      <c r="V2909" s="10">
        <v>7.5741092456127026</v>
      </c>
      <c r="W2909" s="9">
        <v>45003</v>
      </c>
      <c r="X2909" s="10">
        <v>7.5</v>
      </c>
      <c r="Y2909" s="9">
        <v>45006</v>
      </c>
      <c r="Z2909">
        <v>9</v>
      </c>
      <c r="AA2909" s="11" t="s">
        <v>49</v>
      </c>
    </row>
    <row r="2910" spans="2:27" ht="16" x14ac:dyDescent="0.2">
      <c r="B2910" t="s">
        <v>35</v>
      </c>
      <c r="C2910">
        <v>40361864</v>
      </c>
      <c r="D2910" t="s">
        <v>389</v>
      </c>
      <c r="E2910">
        <v>1012218</v>
      </c>
      <c r="F2910" t="s">
        <v>235</v>
      </c>
      <c r="G2910" s="9">
        <v>45005</v>
      </c>
      <c r="H2910" s="7">
        <v>21000</v>
      </c>
      <c r="I2910" s="7"/>
      <c r="J2910" s="7"/>
      <c r="K2910" s="7"/>
      <c r="L2910" s="10">
        <v>5.5741092456127026</v>
      </c>
      <c r="M2910" s="9">
        <v>45010</v>
      </c>
      <c r="N2910" s="10">
        <v>5.5</v>
      </c>
      <c r="O2910" s="9">
        <v>45015</v>
      </c>
      <c r="P2910">
        <v>1</v>
      </c>
      <c r="Q2910" s="11" t="s">
        <v>598</v>
      </c>
      <c r="R2910" s="7">
        <v>21000</v>
      </c>
      <c r="S2910" s="7"/>
      <c r="T2910" s="7"/>
      <c r="U2910" s="7"/>
      <c r="V2910" s="10">
        <v>7.5741092456127026</v>
      </c>
      <c r="W2910" s="9">
        <v>45012</v>
      </c>
      <c r="X2910" s="10">
        <v>7.5</v>
      </c>
      <c r="Y2910" s="9">
        <v>45015</v>
      </c>
      <c r="Z2910">
        <v>1</v>
      </c>
      <c r="AA2910" s="11" t="s">
        <v>598</v>
      </c>
    </row>
    <row r="2911" spans="2:27" ht="16" x14ac:dyDescent="0.2">
      <c r="B2911" t="s">
        <v>35</v>
      </c>
      <c r="C2911">
        <v>40361838</v>
      </c>
      <c r="D2911" t="s">
        <v>423</v>
      </c>
      <c r="E2911">
        <v>1030658</v>
      </c>
      <c r="F2911" t="s">
        <v>371</v>
      </c>
      <c r="G2911" s="9">
        <v>44977</v>
      </c>
      <c r="H2911" s="7">
        <v>24017.360000000001</v>
      </c>
      <c r="I2911" s="7"/>
      <c r="J2911" s="7"/>
      <c r="K2911" s="7"/>
      <c r="L2911" s="10">
        <v>5.4496124031007751</v>
      </c>
      <c r="M2911" s="9">
        <v>44982</v>
      </c>
      <c r="N2911" s="10">
        <v>10</v>
      </c>
      <c r="O2911" s="9">
        <v>44992</v>
      </c>
      <c r="P2911">
        <v>19</v>
      </c>
      <c r="Q2911" s="11" t="s">
        <v>49</v>
      </c>
      <c r="R2911" s="7">
        <v>24017.360000000001</v>
      </c>
      <c r="S2911" s="7"/>
      <c r="T2911" s="7"/>
      <c r="U2911" s="7"/>
      <c r="V2911" s="10">
        <v>7.4496124031007751</v>
      </c>
      <c r="W2911" s="9">
        <v>44984</v>
      </c>
      <c r="X2911" s="10">
        <v>12</v>
      </c>
      <c r="Y2911" s="9">
        <v>44992</v>
      </c>
      <c r="Z2911">
        <v>19</v>
      </c>
      <c r="AA2911" s="11" t="s">
        <v>49</v>
      </c>
    </row>
    <row r="2912" spans="2:27" ht="16" x14ac:dyDescent="0.2">
      <c r="B2912" t="s">
        <v>35</v>
      </c>
      <c r="C2912">
        <v>40361836</v>
      </c>
      <c r="D2912" t="s">
        <v>423</v>
      </c>
      <c r="E2912">
        <v>1030658</v>
      </c>
      <c r="F2912" t="s">
        <v>371</v>
      </c>
      <c r="G2912" s="9">
        <v>44977</v>
      </c>
      <c r="H2912" s="7">
        <v>24017.360000000001</v>
      </c>
      <c r="I2912" s="7"/>
      <c r="J2912" s="7"/>
      <c r="K2912" s="7"/>
      <c r="L2912" s="10">
        <v>5.4496124031007751</v>
      </c>
      <c r="M2912" s="9">
        <v>44982</v>
      </c>
      <c r="N2912" s="10">
        <v>10</v>
      </c>
      <c r="O2912" s="9">
        <v>44992</v>
      </c>
      <c r="P2912">
        <v>19</v>
      </c>
      <c r="Q2912" s="11" t="s">
        <v>49</v>
      </c>
      <c r="R2912" s="7">
        <v>24017.360000000001</v>
      </c>
      <c r="S2912" s="7"/>
      <c r="T2912" s="7"/>
      <c r="U2912" s="7"/>
      <c r="V2912" s="10">
        <v>7.4496124031007751</v>
      </c>
      <c r="W2912" s="9">
        <v>44984</v>
      </c>
      <c r="X2912" s="10">
        <v>12</v>
      </c>
      <c r="Y2912" s="9">
        <v>44992</v>
      </c>
      <c r="Z2912">
        <v>19</v>
      </c>
      <c r="AA2912" s="11" t="s">
        <v>49</v>
      </c>
    </row>
    <row r="2913" spans="2:27" ht="16" x14ac:dyDescent="0.2">
      <c r="B2913" t="s">
        <v>35</v>
      </c>
      <c r="C2913">
        <v>40361835</v>
      </c>
      <c r="D2913" t="s">
        <v>423</v>
      </c>
      <c r="E2913">
        <v>1030658</v>
      </c>
      <c r="F2913" t="s">
        <v>371</v>
      </c>
      <c r="G2913" s="9">
        <v>44977</v>
      </c>
      <c r="H2913" s="7">
        <v>24017.360000000001</v>
      </c>
      <c r="I2913" s="7"/>
      <c r="J2913" s="7"/>
      <c r="K2913" s="7"/>
      <c r="L2913" s="10">
        <v>5.4496124031007751</v>
      </c>
      <c r="M2913" s="9">
        <v>44982</v>
      </c>
      <c r="N2913" s="10">
        <v>10</v>
      </c>
      <c r="O2913" s="9">
        <v>44992</v>
      </c>
      <c r="P2913">
        <v>19</v>
      </c>
      <c r="Q2913" s="11" t="s">
        <v>49</v>
      </c>
      <c r="R2913" s="7">
        <v>24017.360000000001</v>
      </c>
      <c r="S2913" s="7"/>
      <c r="T2913" s="7"/>
      <c r="U2913" s="7"/>
      <c r="V2913" s="10">
        <v>7.4496124031007751</v>
      </c>
      <c r="W2913" s="9">
        <v>44984</v>
      </c>
      <c r="X2913" s="10">
        <v>12</v>
      </c>
      <c r="Y2913" s="9">
        <v>44992</v>
      </c>
      <c r="Z2913">
        <v>19</v>
      </c>
      <c r="AA2913" s="11" t="s">
        <v>49</v>
      </c>
    </row>
    <row r="2914" spans="2:27" ht="16" x14ac:dyDescent="0.2">
      <c r="B2914" t="s">
        <v>35</v>
      </c>
      <c r="C2914">
        <v>40361833</v>
      </c>
      <c r="D2914" t="s">
        <v>423</v>
      </c>
      <c r="E2914">
        <v>1030658</v>
      </c>
      <c r="F2914" t="s">
        <v>371</v>
      </c>
      <c r="G2914" s="9">
        <v>44977</v>
      </c>
      <c r="H2914" s="7">
        <v>24017.360000000001</v>
      </c>
      <c r="I2914" s="7"/>
      <c r="J2914" s="7"/>
      <c r="K2914" s="7"/>
      <c r="L2914" s="10">
        <v>5.4496124031007751</v>
      </c>
      <c r="M2914" s="9">
        <v>44982</v>
      </c>
      <c r="N2914" s="10">
        <v>10</v>
      </c>
      <c r="O2914" s="9">
        <v>44992</v>
      </c>
      <c r="P2914">
        <v>19</v>
      </c>
      <c r="Q2914" s="11" t="s">
        <v>49</v>
      </c>
      <c r="R2914" s="7">
        <v>24017.360000000001</v>
      </c>
      <c r="S2914" s="7"/>
      <c r="T2914" s="7"/>
      <c r="U2914" s="7"/>
      <c r="V2914" s="10">
        <v>7.4496124031007751</v>
      </c>
      <c r="W2914" s="9">
        <v>44984</v>
      </c>
      <c r="X2914" s="10">
        <v>12</v>
      </c>
      <c r="Y2914" s="9">
        <v>44992</v>
      </c>
      <c r="Z2914">
        <v>19</v>
      </c>
      <c r="AA2914" s="11" t="s">
        <v>49</v>
      </c>
    </row>
    <row r="2915" spans="2:27" ht="16" x14ac:dyDescent="0.2">
      <c r="B2915" t="s">
        <v>35</v>
      </c>
      <c r="C2915">
        <v>40361832</v>
      </c>
      <c r="D2915" t="s">
        <v>423</v>
      </c>
      <c r="E2915">
        <v>1021874</v>
      </c>
      <c r="F2915" t="s">
        <v>514</v>
      </c>
      <c r="G2915" s="9">
        <v>44974</v>
      </c>
      <c r="H2915" s="7">
        <v>23988.74</v>
      </c>
      <c r="I2915" s="7"/>
      <c r="J2915" s="7"/>
      <c r="K2915" s="7"/>
      <c r="L2915" s="10">
        <v>5.4496124031007751</v>
      </c>
      <c r="M2915" s="9">
        <v>44979</v>
      </c>
      <c r="N2915" s="10">
        <v>10</v>
      </c>
      <c r="O2915" s="9">
        <v>44989</v>
      </c>
      <c r="P2915">
        <v>21</v>
      </c>
      <c r="Q2915" s="11" t="s">
        <v>49</v>
      </c>
      <c r="R2915" s="7">
        <v>23988.74</v>
      </c>
      <c r="S2915" s="7"/>
      <c r="T2915" s="7"/>
      <c r="U2915" s="7"/>
      <c r="V2915" s="10">
        <v>7.4496124031007751</v>
      </c>
      <c r="W2915" s="9">
        <v>44981</v>
      </c>
      <c r="X2915" s="10">
        <v>12</v>
      </c>
      <c r="Y2915" s="9">
        <v>44989</v>
      </c>
      <c r="Z2915">
        <v>21</v>
      </c>
      <c r="AA2915" s="11" t="s">
        <v>49</v>
      </c>
    </row>
    <row r="2916" spans="2:27" ht="16" x14ac:dyDescent="0.2">
      <c r="B2916" t="s">
        <v>35</v>
      </c>
      <c r="C2916">
        <v>40361828</v>
      </c>
      <c r="D2916" t="s">
        <v>423</v>
      </c>
      <c r="E2916">
        <v>1021874</v>
      </c>
      <c r="F2916" t="s">
        <v>514</v>
      </c>
      <c r="G2916" s="9">
        <v>44984</v>
      </c>
      <c r="H2916" s="7">
        <v>24146.41</v>
      </c>
      <c r="I2916" s="7"/>
      <c r="J2916" s="7"/>
      <c r="K2916" s="7"/>
      <c r="L2916" s="10">
        <v>5.4496124031007751</v>
      </c>
      <c r="M2916" s="9">
        <v>44989</v>
      </c>
      <c r="N2916" s="10">
        <v>10</v>
      </c>
      <c r="O2916" s="9">
        <v>44999</v>
      </c>
      <c r="P2916">
        <v>13</v>
      </c>
      <c r="Q2916" s="11" t="s">
        <v>49</v>
      </c>
      <c r="R2916" s="7">
        <v>24146.41</v>
      </c>
      <c r="S2916" s="7"/>
      <c r="T2916" s="7"/>
      <c r="U2916" s="7"/>
      <c r="V2916" s="10">
        <v>7.4496124031007751</v>
      </c>
      <c r="W2916" s="9">
        <v>44991</v>
      </c>
      <c r="X2916" s="10">
        <v>12</v>
      </c>
      <c r="Y2916" s="9">
        <v>44999</v>
      </c>
      <c r="Z2916">
        <v>13</v>
      </c>
      <c r="AA2916" s="11" t="s">
        <v>49</v>
      </c>
    </row>
    <row r="2917" spans="2:27" ht="16" x14ac:dyDescent="0.2">
      <c r="B2917" t="s">
        <v>35</v>
      </c>
      <c r="C2917">
        <v>40361827</v>
      </c>
      <c r="D2917" t="s">
        <v>423</v>
      </c>
      <c r="E2917">
        <v>1030658</v>
      </c>
      <c r="F2917" t="s">
        <v>371</v>
      </c>
      <c r="G2917" s="9">
        <v>44977</v>
      </c>
      <c r="H2917" s="7">
        <v>24017.360000000001</v>
      </c>
      <c r="I2917" s="7"/>
      <c r="J2917" s="7"/>
      <c r="K2917" s="7"/>
      <c r="L2917" s="10">
        <v>5.4496124031007751</v>
      </c>
      <c r="M2917" s="9">
        <v>44982</v>
      </c>
      <c r="N2917" s="10">
        <v>10</v>
      </c>
      <c r="O2917" s="9">
        <v>44992</v>
      </c>
      <c r="P2917">
        <v>19</v>
      </c>
      <c r="Q2917" s="11" t="s">
        <v>49</v>
      </c>
      <c r="R2917" s="7">
        <v>24017.360000000001</v>
      </c>
      <c r="S2917" s="7"/>
      <c r="T2917" s="7"/>
      <c r="U2917" s="7"/>
      <c r="V2917" s="10">
        <v>7.4496124031007751</v>
      </c>
      <c r="W2917" s="9">
        <v>44984</v>
      </c>
      <c r="X2917" s="10">
        <v>12</v>
      </c>
      <c r="Y2917" s="9">
        <v>44992</v>
      </c>
      <c r="Z2917">
        <v>19</v>
      </c>
      <c r="AA2917" s="11" t="s">
        <v>49</v>
      </c>
    </row>
    <row r="2918" spans="2:27" ht="16" x14ac:dyDescent="0.2">
      <c r="B2918" t="s">
        <v>35</v>
      </c>
      <c r="C2918">
        <v>40361826</v>
      </c>
      <c r="D2918" t="s">
        <v>423</v>
      </c>
      <c r="E2918">
        <v>1021874</v>
      </c>
      <c r="F2918" t="s">
        <v>514</v>
      </c>
      <c r="G2918" s="9">
        <v>44977</v>
      </c>
      <c r="H2918" s="7">
        <v>23898.02</v>
      </c>
      <c r="I2918" s="7"/>
      <c r="J2918" s="7"/>
      <c r="K2918" s="7"/>
      <c r="L2918" s="10">
        <v>5.4496124031007751</v>
      </c>
      <c r="M2918" s="9">
        <v>44982</v>
      </c>
      <c r="N2918" s="10">
        <v>10</v>
      </c>
      <c r="O2918" s="9">
        <v>44992</v>
      </c>
      <c r="P2918">
        <v>19</v>
      </c>
      <c r="Q2918" s="11" t="s">
        <v>49</v>
      </c>
      <c r="R2918" s="7">
        <v>23898.02</v>
      </c>
      <c r="S2918" s="7"/>
      <c r="T2918" s="7"/>
      <c r="U2918" s="7"/>
      <c r="V2918" s="10">
        <v>7.4496124031007751</v>
      </c>
      <c r="W2918" s="9">
        <v>44984</v>
      </c>
      <c r="X2918" s="10">
        <v>12</v>
      </c>
      <c r="Y2918" s="9">
        <v>44992</v>
      </c>
      <c r="Z2918">
        <v>19</v>
      </c>
      <c r="AA2918" s="11" t="s">
        <v>49</v>
      </c>
    </row>
    <row r="2919" spans="2:27" ht="16" x14ac:dyDescent="0.2">
      <c r="B2919" t="s">
        <v>35</v>
      </c>
      <c r="C2919">
        <v>40361824</v>
      </c>
      <c r="D2919" t="s">
        <v>423</v>
      </c>
      <c r="E2919">
        <v>1021874</v>
      </c>
      <c r="F2919" t="s">
        <v>514</v>
      </c>
      <c r="G2919" s="9">
        <v>44977</v>
      </c>
      <c r="H2919" s="7">
        <v>23985.99</v>
      </c>
      <c r="I2919" s="7"/>
      <c r="J2919" s="7"/>
      <c r="K2919" s="7"/>
      <c r="L2919" s="10">
        <v>5.4496124031007751</v>
      </c>
      <c r="M2919" s="9">
        <v>44982</v>
      </c>
      <c r="N2919" s="10">
        <v>10</v>
      </c>
      <c r="O2919" s="9">
        <v>44992</v>
      </c>
      <c r="P2919">
        <v>19</v>
      </c>
      <c r="Q2919" s="11" t="s">
        <v>49</v>
      </c>
      <c r="R2919" s="7">
        <v>23985.99</v>
      </c>
      <c r="S2919" s="7"/>
      <c r="T2919" s="7"/>
      <c r="U2919" s="7"/>
      <c r="V2919" s="10">
        <v>7.4496124031007751</v>
      </c>
      <c r="W2919" s="9">
        <v>44984</v>
      </c>
      <c r="X2919" s="10">
        <v>12</v>
      </c>
      <c r="Y2919" s="9">
        <v>44992</v>
      </c>
      <c r="Z2919">
        <v>19</v>
      </c>
      <c r="AA2919" s="11" t="s">
        <v>49</v>
      </c>
    </row>
    <row r="2920" spans="2:27" ht="16" x14ac:dyDescent="0.2">
      <c r="B2920" t="s">
        <v>35</v>
      </c>
      <c r="C2920">
        <v>40361821</v>
      </c>
      <c r="D2920" t="s">
        <v>423</v>
      </c>
      <c r="E2920">
        <v>1021874</v>
      </c>
      <c r="F2920" t="s">
        <v>514</v>
      </c>
      <c r="G2920" s="9">
        <v>44984</v>
      </c>
      <c r="H2920" s="7">
        <v>24000.28</v>
      </c>
      <c r="I2920" s="7"/>
      <c r="J2920" s="7"/>
      <c r="K2920" s="7"/>
      <c r="L2920" s="10">
        <v>5.4496124031007751</v>
      </c>
      <c r="M2920" s="9">
        <v>44989</v>
      </c>
      <c r="N2920" s="10">
        <v>10</v>
      </c>
      <c r="O2920" s="9">
        <v>44999</v>
      </c>
      <c r="P2920">
        <v>13</v>
      </c>
      <c r="Q2920" s="11" t="s">
        <v>49</v>
      </c>
      <c r="R2920" s="7">
        <v>24000.28</v>
      </c>
      <c r="S2920" s="7"/>
      <c r="T2920" s="7"/>
      <c r="U2920" s="7"/>
      <c r="V2920" s="10">
        <v>7.4496124031007751</v>
      </c>
      <c r="W2920" s="9">
        <v>44991</v>
      </c>
      <c r="X2920" s="10">
        <v>12</v>
      </c>
      <c r="Y2920" s="9">
        <v>44999</v>
      </c>
      <c r="Z2920">
        <v>13</v>
      </c>
      <c r="AA2920" s="11" t="s">
        <v>49</v>
      </c>
    </row>
    <row r="2921" spans="2:27" ht="16" x14ac:dyDescent="0.2">
      <c r="B2921" t="s">
        <v>35</v>
      </c>
      <c r="C2921">
        <v>40361819</v>
      </c>
      <c r="D2921" t="s">
        <v>423</v>
      </c>
      <c r="E2921">
        <v>1021874</v>
      </c>
      <c r="F2921" t="s">
        <v>514</v>
      </c>
      <c r="G2921" s="9">
        <v>44974</v>
      </c>
      <c r="H2921" s="7">
        <v>24007.759999999998</v>
      </c>
      <c r="I2921" s="7"/>
      <c r="J2921" s="7"/>
      <c r="K2921" s="7"/>
      <c r="L2921" s="10">
        <v>5.4496124031007751</v>
      </c>
      <c r="M2921" s="9">
        <v>44979</v>
      </c>
      <c r="N2921" s="10">
        <v>10</v>
      </c>
      <c r="O2921" s="9">
        <v>44989</v>
      </c>
      <c r="P2921">
        <v>21</v>
      </c>
      <c r="Q2921" s="11" t="s">
        <v>49</v>
      </c>
      <c r="R2921" s="7">
        <v>24007.759999999998</v>
      </c>
      <c r="S2921" s="7"/>
      <c r="T2921" s="7"/>
      <c r="U2921" s="7"/>
      <c r="V2921" s="10">
        <v>7.4496124031007751</v>
      </c>
      <c r="W2921" s="9">
        <v>44981</v>
      </c>
      <c r="X2921" s="10">
        <v>12</v>
      </c>
      <c r="Y2921" s="9">
        <v>44989</v>
      </c>
      <c r="Z2921">
        <v>21</v>
      </c>
      <c r="AA2921" s="11" t="s">
        <v>49</v>
      </c>
    </row>
    <row r="2922" spans="2:27" ht="16" x14ac:dyDescent="0.2">
      <c r="B2922" t="s">
        <v>35</v>
      </c>
      <c r="C2922">
        <v>40361816</v>
      </c>
      <c r="D2922" t="s">
        <v>423</v>
      </c>
      <c r="E2922">
        <v>1021555</v>
      </c>
      <c r="F2922" t="s">
        <v>422</v>
      </c>
      <c r="G2922" s="9">
        <v>44987</v>
      </c>
      <c r="H2922" s="7">
        <v>23847.16</v>
      </c>
      <c r="I2922" s="7"/>
      <c r="J2922" s="7"/>
      <c r="K2922" s="7"/>
      <c r="L2922" s="10">
        <v>5.4496124031007751</v>
      </c>
      <c r="M2922" s="9">
        <v>44992</v>
      </c>
      <c r="N2922" s="10">
        <v>10</v>
      </c>
      <c r="O2922" s="9">
        <v>45002</v>
      </c>
      <c r="P2922">
        <v>10</v>
      </c>
      <c r="Q2922" s="11" t="s">
        <v>49</v>
      </c>
      <c r="R2922" s="7">
        <v>23847.16</v>
      </c>
      <c r="S2922" s="7"/>
      <c r="T2922" s="7"/>
      <c r="U2922" s="7"/>
      <c r="V2922" s="10">
        <v>7.4496124031007751</v>
      </c>
      <c r="W2922" s="9">
        <v>44994</v>
      </c>
      <c r="X2922" s="10">
        <v>12</v>
      </c>
      <c r="Y2922" s="9">
        <v>45002</v>
      </c>
      <c r="Z2922">
        <v>10</v>
      </c>
      <c r="AA2922" s="11" t="s">
        <v>49</v>
      </c>
    </row>
    <row r="2923" spans="2:27" ht="16" x14ac:dyDescent="0.2">
      <c r="B2923" t="s">
        <v>35</v>
      </c>
      <c r="C2923">
        <v>40361813</v>
      </c>
      <c r="D2923" t="s">
        <v>423</v>
      </c>
      <c r="E2923">
        <v>1021555</v>
      </c>
      <c r="F2923" t="s">
        <v>422</v>
      </c>
      <c r="G2923" s="9">
        <v>44987</v>
      </c>
      <c r="H2923" s="7">
        <v>21397.63</v>
      </c>
      <c r="I2923" s="7"/>
      <c r="J2923" s="7"/>
      <c r="K2923" s="7"/>
      <c r="L2923" s="10">
        <v>5.4496124031007751</v>
      </c>
      <c r="M2923" s="9">
        <v>44992</v>
      </c>
      <c r="N2923" s="10">
        <v>10</v>
      </c>
      <c r="O2923" s="9">
        <v>45002</v>
      </c>
      <c r="P2923">
        <v>10</v>
      </c>
      <c r="Q2923" s="11" t="s">
        <v>49</v>
      </c>
      <c r="R2923" s="7">
        <v>21397.63</v>
      </c>
      <c r="S2923" s="7"/>
      <c r="T2923" s="7"/>
      <c r="U2923" s="7"/>
      <c r="V2923" s="10">
        <v>7.4496124031007751</v>
      </c>
      <c r="W2923" s="9">
        <v>44994</v>
      </c>
      <c r="X2923" s="10">
        <v>12</v>
      </c>
      <c r="Y2923" s="9">
        <v>45002</v>
      </c>
      <c r="Z2923">
        <v>10</v>
      </c>
      <c r="AA2923" s="11" t="s">
        <v>49</v>
      </c>
    </row>
    <row r="2924" spans="2:27" ht="16" x14ac:dyDescent="0.2">
      <c r="B2924" t="s">
        <v>35</v>
      </c>
      <c r="C2924">
        <v>40361813</v>
      </c>
      <c r="D2924" t="s">
        <v>423</v>
      </c>
      <c r="E2924">
        <v>1021555</v>
      </c>
      <c r="F2924" t="s">
        <v>422</v>
      </c>
      <c r="G2924" s="9">
        <v>44987</v>
      </c>
      <c r="H2924" s="7">
        <v>24014.9</v>
      </c>
      <c r="I2924" s="7"/>
      <c r="J2924" s="7"/>
      <c r="K2924" s="7"/>
      <c r="L2924" s="10">
        <v>5.4496124031007751</v>
      </c>
      <c r="M2924" s="9">
        <v>44992</v>
      </c>
      <c r="N2924" s="10">
        <v>10</v>
      </c>
      <c r="O2924" s="9">
        <v>45002</v>
      </c>
      <c r="P2924">
        <v>10</v>
      </c>
      <c r="Q2924" s="11" t="s">
        <v>49</v>
      </c>
      <c r="R2924" s="7">
        <v>24014.9</v>
      </c>
      <c r="S2924" s="7"/>
      <c r="T2924" s="7"/>
      <c r="U2924" s="7"/>
      <c r="V2924" s="10">
        <v>7.4496124031007751</v>
      </c>
      <c r="W2924" s="9">
        <v>44994</v>
      </c>
      <c r="X2924" s="10">
        <v>12</v>
      </c>
      <c r="Y2924" s="9">
        <v>45002</v>
      </c>
      <c r="Z2924">
        <v>10</v>
      </c>
      <c r="AA2924" s="11" t="s">
        <v>49</v>
      </c>
    </row>
    <row r="2925" spans="2:27" ht="16" x14ac:dyDescent="0.2">
      <c r="B2925" t="s">
        <v>35</v>
      </c>
      <c r="C2925">
        <v>40361808</v>
      </c>
      <c r="D2925" t="s">
        <v>423</v>
      </c>
      <c r="E2925">
        <v>1021272</v>
      </c>
      <c r="F2925" t="s">
        <v>263</v>
      </c>
      <c r="G2925" s="9">
        <v>44984</v>
      </c>
      <c r="H2925" s="7">
        <v>24010.26</v>
      </c>
      <c r="I2925" s="7"/>
      <c r="J2925" s="7"/>
      <c r="K2925" s="7"/>
      <c r="L2925" s="10">
        <v>5.4496124031007751</v>
      </c>
      <c r="M2925" s="9">
        <v>44989</v>
      </c>
      <c r="N2925" s="10">
        <v>10</v>
      </c>
      <c r="O2925" s="9">
        <v>44999</v>
      </c>
      <c r="P2925">
        <v>13</v>
      </c>
      <c r="Q2925" s="11" t="s">
        <v>49</v>
      </c>
      <c r="R2925" s="7">
        <v>24010.26</v>
      </c>
      <c r="S2925" s="7"/>
      <c r="T2925" s="7"/>
      <c r="U2925" s="7"/>
      <c r="V2925" s="10">
        <v>7.4496124031007751</v>
      </c>
      <c r="W2925" s="9">
        <v>44991</v>
      </c>
      <c r="X2925" s="10">
        <v>12</v>
      </c>
      <c r="Y2925" s="9">
        <v>44999</v>
      </c>
      <c r="Z2925">
        <v>13</v>
      </c>
      <c r="AA2925" s="11" t="s">
        <v>49</v>
      </c>
    </row>
    <row r="2926" spans="2:27" ht="16" x14ac:dyDescent="0.2">
      <c r="B2926" t="s">
        <v>35</v>
      </c>
      <c r="C2926">
        <v>40361807</v>
      </c>
      <c r="D2926" t="s">
        <v>423</v>
      </c>
      <c r="E2926">
        <v>1021272</v>
      </c>
      <c r="F2926" t="s">
        <v>263</v>
      </c>
      <c r="G2926" s="9">
        <v>44977</v>
      </c>
      <c r="H2926" s="7">
        <v>24006.44</v>
      </c>
      <c r="I2926" s="7"/>
      <c r="J2926" s="7"/>
      <c r="K2926" s="7"/>
      <c r="L2926" s="10">
        <v>5.4496124031007751</v>
      </c>
      <c r="M2926" s="9">
        <v>44982</v>
      </c>
      <c r="N2926" s="10">
        <v>10</v>
      </c>
      <c r="O2926" s="9">
        <v>44992</v>
      </c>
      <c r="P2926">
        <v>19</v>
      </c>
      <c r="Q2926" s="11" t="s">
        <v>49</v>
      </c>
      <c r="R2926" s="7">
        <v>24006.44</v>
      </c>
      <c r="S2926" s="7"/>
      <c r="T2926" s="7"/>
      <c r="U2926" s="7"/>
      <c r="V2926" s="10">
        <v>7.4496124031007751</v>
      </c>
      <c r="W2926" s="9">
        <v>44984</v>
      </c>
      <c r="X2926" s="10">
        <v>12</v>
      </c>
      <c r="Y2926" s="9">
        <v>44992</v>
      </c>
      <c r="Z2926">
        <v>19</v>
      </c>
      <c r="AA2926" s="11" t="s">
        <v>49</v>
      </c>
    </row>
    <row r="2927" spans="2:27" ht="16" x14ac:dyDescent="0.2">
      <c r="B2927" t="s">
        <v>35</v>
      </c>
      <c r="C2927">
        <v>40361805</v>
      </c>
      <c r="D2927" t="s">
        <v>423</v>
      </c>
      <c r="E2927">
        <v>1021272</v>
      </c>
      <c r="F2927" t="s">
        <v>263</v>
      </c>
      <c r="G2927" s="9">
        <v>44984</v>
      </c>
      <c r="H2927" s="7">
        <v>24120.68</v>
      </c>
      <c r="I2927" s="7"/>
      <c r="J2927" s="7"/>
      <c r="K2927" s="7"/>
      <c r="L2927" s="10">
        <v>5.4496124031007751</v>
      </c>
      <c r="M2927" s="9">
        <v>44989</v>
      </c>
      <c r="N2927" s="10">
        <v>10</v>
      </c>
      <c r="O2927" s="9">
        <v>44999</v>
      </c>
      <c r="P2927">
        <v>13</v>
      </c>
      <c r="Q2927" s="11" t="s">
        <v>49</v>
      </c>
      <c r="R2927" s="7">
        <v>24120.68</v>
      </c>
      <c r="S2927" s="7"/>
      <c r="T2927" s="7"/>
      <c r="U2927" s="7"/>
      <c r="V2927" s="10">
        <v>7.4496124031007751</v>
      </c>
      <c r="W2927" s="9">
        <v>44991</v>
      </c>
      <c r="X2927" s="10">
        <v>12</v>
      </c>
      <c r="Y2927" s="9">
        <v>44999</v>
      </c>
      <c r="Z2927">
        <v>13</v>
      </c>
      <c r="AA2927" s="11" t="s">
        <v>49</v>
      </c>
    </row>
    <row r="2928" spans="2:27" ht="16" x14ac:dyDescent="0.2">
      <c r="B2928" t="s">
        <v>35</v>
      </c>
      <c r="C2928">
        <v>40361798</v>
      </c>
      <c r="D2928" t="s">
        <v>423</v>
      </c>
      <c r="E2928">
        <v>1023324</v>
      </c>
      <c r="F2928" t="s">
        <v>269</v>
      </c>
      <c r="G2928" s="9">
        <v>44977</v>
      </c>
      <c r="H2928" s="7">
        <v>24048.6</v>
      </c>
      <c r="I2928" s="7"/>
      <c r="J2928" s="7"/>
      <c r="K2928" s="7"/>
      <c r="L2928" s="10">
        <v>5.4496124031007751</v>
      </c>
      <c r="M2928" s="9">
        <v>44982</v>
      </c>
      <c r="N2928" s="10">
        <v>10</v>
      </c>
      <c r="O2928" s="9">
        <v>44992</v>
      </c>
      <c r="P2928">
        <v>19</v>
      </c>
      <c r="Q2928" s="11" t="s">
        <v>49</v>
      </c>
      <c r="R2928" s="7">
        <v>24048.6</v>
      </c>
      <c r="S2928" s="7"/>
      <c r="T2928" s="7"/>
      <c r="U2928" s="7"/>
      <c r="V2928" s="10">
        <v>7.4496124031007751</v>
      </c>
      <c r="W2928" s="9">
        <v>44984</v>
      </c>
      <c r="X2928" s="10">
        <v>12</v>
      </c>
      <c r="Y2928" s="9">
        <v>44992</v>
      </c>
      <c r="Z2928">
        <v>19</v>
      </c>
      <c r="AA2928" s="11" t="s">
        <v>49</v>
      </c>
    </row>
    <row r="2929" spans="2:27" ht="16" x14ac:dyDescent="0.2">
      <c r="B2929" t="s">
        <v>35</v>
      </c>
      <c r="C2929">
        <v>40361797</v>
      </c>
      <c r="D2929" t="s">
        <v>423</v>
      </c>
      <c r="E2929">
        <v>1023302</v>
      </c>
      <c r="F2929" t="s">
        <v>268</v>
      </c>
      <c r="G2929" s="9">
        <v>44984</v>
      </c>
      <c r="H2929" s="7">
        <v>10040</v>
      </c>
      <c r="I2929" s="7"/>
      <c r="J2929" s="7"/>
      <c r="K2929" s="7"/>
      <c r="L2929" s="10">
        <v>5.4496124031007751</v>
      </c>
      <c r="M2929" s="9">
        <v>44989</v>
      </c>
      <c r="N2929" s="10">
        <v>10</v>
      </c>
      <c r="O2929" s="9">
        <v>44999</v>
      </c>
      <c r="P2929">
        <v>13</v>
      </c>
      <c r="Q2929" s="11" t="s">
        <v>49</v>
      </c>
      <c r="R2929" s="7">
        <v>10040</v>
      </c>
      <c r="S2929" s="7"/>
      <c r="T2929" s="7"/>
      <c r="U2929" s="7"/>
      <c r="V2929" s="10">
        <v>7.4496124031007751</v>
      </c>
      <c r="W2929" s="9">
        <v>44991</v>
      </c>
      <c r="X2929" s="10">
        <v>12</v>
      </c>
      <c r="Y2929" s="9">
        <v>44999</v>
      </c>
      <c r="Z2929">
        <v>13</v>
      </c>
      <c r="AA2929" s="11" t="s">
        <v>49</v>
      </c>
    </row>
    <row r="2930" spans="2:27" ht="16" x14ac:dyDescent="0.2">
      <c r="B2930" t="s">
        <v>35</v>
      </c>
      <c r="C2930">
        <v>40361797</v>
      </c>
      <c r="D2930" t="s">
        <v>423</v>
      </c>
      <c r="E2930">
        <v>1023302</v>
      </c>
      <c r="F2930" t="s">
        <v>268</v>
      </c>
      <c r="G2930" s="9">
        <v>44984</v>
      </c>
      <c r="H2930" s="7">
        <v>24020</v>
      </c>
      <c r="I2930" s="7"/>
      <c r="J2930" s="7"/>
      <c r="K2930" s="7"/>
      <c r="L2930" s="10">
        <v>5.4496124031007751</v>
      </c>
      <c r="M2930" s="9">
        <v>44989</v>
      </c>
      <c r="N2930" s="10">
        <v>10</v>
      </c>
      <c r="O2930" s="9">
        <v>44999</v>
      </c>
      <c r="P2930">
        <v>13</v>
      </c>
      <c r="Q2930" s="11" t="s">
        <v>49</v>
      </c>
      <c r="R2930" s="7">
        <v>24020</v>
      </c>
      <c r="S2930" s="7"/>
      <c r="T2930" s="7"/>
      <c r="U2930" s="7"/>
      <c r="V2930" s="10">
        <v>7.4496124031007751</v>
      </c>
      <c r="W2930" s="9">
        <v>44991</v>
      </c>
      <c r="X2930" s="10">
        <v>12</v>
      </c>
      <c r="Y2930" s="9">
        <v>44999</v>
      </c>
      <c r="Z2930">
        <v>13</v>
      </c>
      <c r="AA2930" s="11" t="s">
        <v>49</v>
      </c>
    </row>
    <row r="2931" spans="2:27" ht="16" x14ac:dyDescent="0.2">
      <c r="B2931" t="s">
        <v>35</v>
      </c>
      <c r="C2931">
        <v>40361796</v>
      </c>
      <c r="D2931" t="s">
        <v>423</v>
      </c>
      <c r="E2931">
        <v>1023302</v>
      </c>
      <c r="F2931" t="s">
        <v>268</v>
      </c>
      <c r="G2931" s="9">
        <v>44977</v>
      </c>
      <c r="H2931" s="7">
        <v>5200</v>
      </c>
      <c r="I2931" s="7"/>
      <c r="J2931" s="7"/>
      <c r="K2931" s="7"/>
      <c r="L2931" s="10">
        <v>5.4496124031007751</v>
      </c>
      <c r="M2931" s="9">
        <v>44982</v>
      </c>
      <c r="N2931" s="10">
        <v>10</v>
      </c>
      <c r="O2931" s="9">
        <v>44992</v>
      </c>
      <c r="P2931">
        <v>19</v>
      </c>
      <c r="Q2931" s="11" t="s">
        <v>49</v>
      </c>
      <c r="R2931" s="7">
        <v>5200</v>
      </c>
      <c r="S2931" s="7"/>
      <c r="T2931" s="7"/>
      <c r="U2931" s="7"/>
      <c r="V2931" s="10">
        <v>7.4496124031007751</v>
      </c>
      <c r="W2931" s="9">
        <v>44984</v>
      </c>
      <c r="X2931" s="10">
        <v>12</v>
      </c>
      <c r="Y2931" s="9">
        <v>44992</v>
      </c>
      <c r="Z2931">
        <v>19</v>
      </c>
      <c r="AA2931" s="11" t="s">
        <v>49</v>
      </c>
    </row>
    <row r="2932" spans="2:27" ht="16" x14ac:dyDescent="0.2">
      <c r="B2932" t="s">
        <v>35</v>
      </c>
      <c r="C2932">
        <v>40361796</v>
      </c>
      <c r="D2932" t="s">
        <v>423</v>
      </c>
      <c r="E2932">
        <v>1023302</v>
      </c>
      <c r="F2932" t="s">
        <v>268</v>
      </c>
      <c r="G2932" s="9">
        <v>44977</v>
      </c>
      <c r="H2932" s="7">
        <v>24200</v>
      </c>
      <c r="I2932" s="7"/>
      <c r="J2932" s="7"/>
      <c r="K2932" s="7"/>
      <c r="L2932" s="10">
        <v>5.4496124031007751</v>
      </c>
      <c r="M2932" s="9">
        <v>44982</v>
      </c>
      <c r="N2932" s="10">
        <v>10</v>
      </c>
      <c r="O2932" s="9">
        <v>44992</v>
      </c>
      <c r="P2932">
        <v>19</v>
      </c>
      <c r="Q2932" s="11" t="s">
        <v>49</v>
      </c>
      <c r="R2932" s="7">
        <v>24200</v>
      </c>
      <c r="S2932" s="7"/>
      <c r="T2932" s="7"/>
      <c r="U2932" s="7"/>
      <c r="V2932" s="10">
        <v>7.4496124031007751</v>
      </c>
      <c r="W2932" s="9">
        <v>44984</v>
      </c>
      <c r="X2932" s="10">
        <v>12</v>
      </c>
      <c r="Y2932" s="9">
        <v>44992</v>
      </c>
      <c r="Z2932">
        <v>19</v>
      </c>
      <c r="AA2932" s="11" t="s">
        <v>49</v>
      </c>
    </row>
    <row r="2933" spans="2:27" ht="16" x14ac:dyDescent="0.2">
      <c r="B2933" t="s">
        <v>35</v>
      </c>
      <c r="C2933">
        <v>40361794</v>
      </c>
      <c r="D2933" t="s">
        <v>423</v>
      </c>
      <c r="E2933">
        <v>1021272</v>
      </c>
      <c r="F2933" t="s">
        <v>263</v>
      </c>
      <c r="G2933" s="9">
        <v>44977</v>
      </c>
      <c r="H2933" s="7">
        <v>24002.38</v>
      </c>
      <c r="I2933" s="7"/>
      <c r="J2933" s="7"/>
      <c r="K2933" s="7"/>
      <c r="L2933" s="10">
        <v>5.4496124031007751</v>
      </c>
      <c r="M2933" s="9">
        <v>44982</v>
      </c>
      <c r="N2933" s="10">
        <v>10</v>
      </c>
      <c r="O2933" s="9">
        <v>44992</v>
      </c>
      <c r="P2933">
        <v>19</v>
      </c>
      <c r="Q2933" s="11" t="s">
        <v>49</v>
      </c>
      <c r="R2933" s="7">
        <v>24002.38</v>
      </c>
      <c r="S2933" s="7"/>
      <c r="T2933" s="7"/>
      <c r="U2933" s="7"/>
      <c r="V2933" s="10">
        <v>7.4496124031007751</v>
      </c>
      <c r="W2933" s="9">
        <v>44984</v>
      </c>
      <c r="X2933" s="10">
        <v>12</v>
      </c>
      <c r="Y2933" s="9">
        <v>44992</v>
      </c>
      <c r="Z2933">
        <v>19</v>
      </c>
      <c r="AA2933" s="11" t="s">
        <v>49</v>
      </c>
    </row>
    <row r="2934" spans="2:27" ht="16" x14ac:dyDescent="0.2">
      <c r="B2934" t="s">
        <v>35</v>
      </c>
      <c r="C2934">
        <v>40361791</v>
      </c>
      <c r="D2934" t="s">
        <v>423</v>
      </c>
      <c r="E2934">
        <v>1021272</v>
      </c>
      <c r="F2934" t="s">
        <v>263</v>
      </c>
      <c r="G2934" s="9">
        <v>44977</v>
      </c>
      <c r="H2934" s="7">
        <v>24018.45</v>
      </c>
      <c r="I2934" s="7"/>
      <c r="J2934" s="7"/>
      <c r="K2934" s="7"/>
      <c r="L2934" s="10">
        <v>5.4496124031007751</v>
      </c>
      <c r="M2934" s="9">
        <v>44982</v>
      </c>
      <c r="N2934" s="10">
        <v>10</v>
      </c>
      <c r="O2934" s="9">
        <v>44992</v>
      </c>
      <c r="P2934">
        <v>19</v>
      </c>
      <c r="Q2934" s="11" t="s">
        <v>49</v>
      </c>
      <c r="R2934" s="7">
        <v>24018.45</v>
      </c>
      <c r="S2934" s="7"/>
      <c r="T2934" s="7"/>
      <c r="U2934" s="7"/>
      <c r="V2934" s="10">
        <v>7.4496124031007751</v>
      </c>
      <c r="W2934" s="9">
        <v>44984</v>
      </c>
      <c r="X2934" s="10">
        <v>12</v>
      </c>
      <c r="Y2934" s="9">
        <v>44992</v>
      </c>
      <c r="Z2934">
        <v>19</v>
      </c>
      <c r="AA2934" s="11" t="s">
        <v>49</v>
      </c>
    </row>
    <row r="2935" spans="2:27" ht="16" x14ac:dyDescent="0.2">
      <c r="B2935" t="s">
        <v>35</v>
      </c>
      <c r="C2935">
        <v>40361787</v>
      </c>
      <c r="D2935" t="s">
        <v>423</v>
      </c>
      <c r="E2935">
        <v>1021270</v>
      </c>
      <c r="F2935" t="s">
        <v>424</v>
      </c>
      <c r="G2935" s="9">
        <v>44987</v>
      </c>
      <c r="H2935" s="7">
        <v>24004.16</v>
      </c>
      <c r="I2935" s="7"/>
      <c r="J2935" s="7"/>
      <c r="K2935" s="7"/>
      <c r="L2935" s="10">
        <v>5.4496124031007751</v>
      </c>
      <c r="M2935" s="9">
        <v>44992</v>
      </c>
      <c r="N2935" s="10">
        <v>10</v>
      </c>
      <c r="O2935" s="9">
        <v>45002</v>
      </c>
      <c r="P2935">
        <v>10</v>
      </c>
      <c r="Q2935" s="11" t="s">
        <v>49</v>
      </c>
      <c r="R2935" s="7">
        <v>24004.16</v>
      </c>
      <c r="S2935" s="7"/>
      <c r="T2935" s="7"/>
      <c r="U2935" s="7"/>
      <c r="V2935" s="10">
        <v>7.4496124031007751</v>
      </c>
      <c r="W2935" s="9">
        <v>44994</v>
      </c>
      <c r="X2935" s="10">
        <v>12</v>
      </c>
      <c r="Y2935" s="9">
        <v>45002</v>
      </c>
      <c r="Z2935">
        <v>10</v>
      </c>
      <c r="AA2935" s="11" t="s">
        <v>49</v>
      </c>
    </row>
    <row r="2936" spans="2:27" ht="16" x14ac:dyDescent="0.2">
      <c r="B2936" t="s">
        <v>35</v>
      </c>
      <c r="C2936">
        <v>40361783</v>
      </c>
      <c r="D2936" t="s">
        <v>423</v>
      </c>
      <c r="E2936">
        <v>1021874</v>
      </c>
      <c r="F2936" t="s">
        <v>514</v>
      </c>
      <c r="G2936" s="9">
        <v>44977</v>
      </c>
      <c r="H2936" s="7">
        <v>24019.8</v>
      </c>
      <c r="I2936" s="7"/>
      <c r="J2936" s="7"/>
      <c r="K2936" s="7"/>
      <c r="L2936" s="10">
        <v>5.4496124031007751</v>
      </c>
      <c r="M2936" s="9">
        <v>44982</v>
      </c>
      <c r="N2936" s="10">
        <v>10</v>
      </c>
      <c r="O2936" s="9">
        <v>44992</v>
      </c>
      <c r="P2936">
        <v>19</v>
      </c>
      <c r="Q2936" s="11" t="s">
        <v>49</v>
      </c>
      <c r="R2936" s="7">
        <v>24019.8</v>
      </c>
      <c r="S2936" s="7"/>
      <c r="T2936" s="7"/>
      <c r="U2936" s="7"/>
      <c r="V2936" s="10">
        <v>7.4496124031007751</v>
      </c>
      <c r="W2936" s="9">
        <v>44984</v>
      </c>
      <c r="X2936" s="10">
        <v>12</v>
      </c>
      <c r="Y2936" s="9">
        <v>44992</v>
      </c>
      <c r="Z2936">
        <v>19</v>
      </c>
      <c r="AA2936" s="11" t="s">
        <v>49</v>
      </c>
    </row>
    <row r="2937" spans="2:27" ht="16" x14ac:dyDescent="0.2">
      <c r="B2937" t="s">
        <v>35</v>
      </c>
      <c r="C2937">
        <v>40361782</v>
      </c>
      <c r="D2937" t="s">
        <v>423</v>
      </c>
      <c r="E2937">
        <v>1021874</v>
      </c>
      <c r="F2937" t="s">
        <v>514</v>
      </c>
      <c r="G2937" s="9">
        <v>44977</v>
      </c>
      <c r="H2937" s="7">
        <v>23999.439999999999</v>
      </c>
      <c r="I2937" s="7"/>
      <c r="J2937" s="7"/>
      <c r="K2937" s="7"/>
      <c r="L2937" s="10">
        <v>5.4496124031007751</v>
      </c>
      <c r="M2937" s="9">
        <v>44982</v>
      </c>
      <c r="N2937" s="10">
        <v>10</v>
      </c>
      <c r="O2937" s="9">
        <v>44992</v>
      </c>
      <c r="P2937">
        <v>19</v>
      </c>
      <c r="Q2937" s="11" t="s">
        <v>49</v>
      </c>
      <c r="R2937" s="7">
        <v>23999.439999999999</v>
      </c>
      <c r="S2937" s="7"/>
      <c r="T2937" s="7"/>
      <c r="U2937" s="7"/>
      <c r="V2937" s="10">
        <v>7.4496124031007751</v>
      </c>
      <c r="W2937" s="9">
        <v>44984</v>
      </c>
      <c r="X2937" s="10">
        <v>12</v>
      </c>
      <c r="Y2937" s="9">
        <v>44992</v>
      </c>
      <c r="Z2937">
        <v>19</v>
      </c>
      <c r="AA2937" s="11" t="s">
        <v>49</v>
      </c>
    </row>
    <row r="2938" spans="2:27" ht="16" x14ac:dyDescent="0.2">
      <c r="B2938" t="s">
        <v>35</v>
      </c>
      <c r="C2938">
        <v>40361781</v>
      </c>
      <c r="D2938" t="s">
        <v>423</v>
      </c>
      <c r="E2938">
        <v>1021874</v>
      </c>
      <c r="F2938" t="s">
        <v>514</v>
      </c>
      <c r="G2938" s="9">
        <v>44984</v>
      </c>
      <c r="H2938" s="7">
        <v>24004.91</v>
      </c>
      <c r="I2938" s="7"/>
      <c r="J2938" s="7"/>
      <c r="K2938" s="7"/>
      <c r="L2938" s="10">
        <v>5.4496124031007751</v>
      </c>
      <c r="M2938" s="9">
        <v>44989</v>
      </c>
      <c r="N2938" s="10">
        <v>10</v>
      </c>
      <c r="O2938" s="9">
        <v>44999</v>
      </c>
      <c r="P2938">
        <v>13</v>
      </c>
      <c r="Q2938" s="11" t="s">
        <v>49</v>
      </c>
      <c r="R2938" s="7">
        <v>24004.91</v>
      </c>
      <c r="S2938" s="7"/>
      <c r="T2938" s="7"/>
      <c r="U2938" s="7"/>
      <c r="V2938" s="10">
        <v>7.4496124031007751</v>
      </c>
      <c r="W2938" s="9">
        <v>44991</v>
      </c>
      <c r="X2938" s="10">
        <v>12</v>
      </c>
      <c r="Y2938" s="9">
        <v>44999</v>
      </c>
      <c r="Z2938">
        <v>13</v>
      </c>
      <c r="AA2938" s="11" t="s">
        <v>49</v>
      </c>
    </row>
    <row r="2939" spans="2:27" ht="16" x14ac:dyDescent="0.2">
      <c r="B2939" t="s">
        <v>35</v>
      </c>
      <c r="C2939">
        <v>40361777</v>
      </c>
      <c r="D2939" t="s">
        <v>423</v>
      </c>
      <c r="E2939">
        <v>1021270</v>
      </c>
      <c r="F2939" t="s">
        <v>424</v>
      </c>
      <c r="G2939" s="9">
        <v>44994</v>
      </c>
      <c r="H2939" s="7">
        <v>24140.47</v>
      </c>
      <c r="I2939" s="7"/>
      <c r="J2939" s="7"/>
      <c r="K2939" s="7"/>
      <c r="L2939" s="10">
        <v>5.4496124031007751</v>
      </c>
      <c r="M2939" s="9">
        <v>44999</v>
      </c>
      <c r="N2939" s="10">
        <v>10</v>
      </c>
      <c r="O2939" s="9">
        <v>45009</v>
      </c>
      <c r="P2939">
        <v>6</v>
      </c>
      <c r="Q2939" s="11" t="s">
        <v>49</v>
      </c>
      <c r="R2939" s="7">
        <v>24140.47</v>
      </c>
      <c r="S2939" s="7"/>
      <c r="T2939" s="7"/>
      <c r="U2939" s="7"/>
      <c r="V2939" s="10">
        <v>7.4496124031007751</v>
      </c>
      <c r="W2939" s="9">
        <v>45001</v>
      </c>
      <c r="X2939" s="10">
        <v>12</v>
      </c>
      <c r="Y2939" s="9">
        <v>45009</v>
      </c>
      <c r="Z2939">
        <v>6</v>
      </c>
      <c r="AA2939" s="11" t="s">
        <v>49</v>
      </c>
    </row>
    <row r="2940" spans="2:27" ht="16" x14ac:dyDescent="0.2">
      <c r="B2940" t="s">
        <v>35</v>
      </c>
      <c r="C2940">
        <v>40361776</v>
      </c>
      <c r="D2940" t="s">
        <v>423</v>
      </c>
      <c r="E2940">
        <v>1023302</v>
      </c>
      <c r="F2940" t="s">
        <v>268</v>
      </c>
      <c r="G2940" s="9">
        <v>44974</v>
      </c>
      <c r="H2940" s="7">
        <v>23920</v>
      </c>
      <c r="I2940" s="7"/>
      <c r="J2940" s="7"/>
      <c r="K2940" s="7"/>
      <c r="L2940" s="10">
        <v>5.4496124031007751</v>
      </c>
      <c r="M2940" s="9">
        <v>44979</v>
      </c>
      <c r="N2940" s="10">
        <v>10</v>
      </c>
      <c r="O2940" s="9">
        <v>44989</v>
      </c>
      <c r="P2940">
        <v>21</v>
      </c>
      <c r="Q2940" s="11" t="s">
        <v>49</v>
      </c>
      <c r="R2940" s="7">
        <v>23920</v>
      </c>
      <c r="S2940" s="7"/>
      <c r="T2940" s="7"/>
      <c r="U2940" s="7"/>
      <c r="V2940" s="10">
        <v>7.4496124031007751</v>
      </c>
      <c r="W2940" s="9">
        <v>44981</v>
      </c>
      <c r="X2940" s="10">
        <v>12</v>
      </c>
      <c r="Y2940" s="9">
        <v>44989</v>
      </c>
      <c r="Z2940">
        <v>21</v>
      </c>
      <c r="AA2940" s="11" t="s">
        <v>49</v>
      </c>
    </row>
    <row r="2941" spans="2:27" ht="16" x14ac:dyDescent="0.2">
      <c r="B2941" t="s">
        <v>35</v>
      </c>
      <c r="C2941">
        <v>40361775</v>
      </c>
      <c r="D2941" t="s">
        <v>423</v>
      </c>
      <c r="E2941">
        <v>1021270</v>
      </c>
      <c r="F2941" t="s">
        <v>424</v>
      </c>
      <c r="G2941" s="9">
        <v>44987</v>
      </c>
      <c r="H2941" s="7">
        <v>8999.52</v>
      </c>
      <c r="I2941" s="7"/>
      <c r="J2941" s="7"/>
      <c r="K2941" s="7"/>
      <c r="L2941" s="10">
        <v>5.4496124031007751</v>
      </c>
      <c r="M2941" s="9">
        <v>44992</v>
      </c>
      <c r="N2941" s="10">
        <v>10</v>
      </c>
      <c r="O2941" s="9">
        <v>45002</v>
      </c>
      <c r="P2941">
        <v>10</v>
      </c>
      <c r="Q2941" s="11" t="s">
        <v>49</v>
      </c>
      <c r="R2941" s="7">
        <v>8999.52</v>
      </c>
      <c r="S2941" s="7"/>
      <c r="T2941" s="7"/>
      <c r="U2941" s="7"/>
      <c r="V2941" s="10">
        <v>7.4496124031007751</v>
      </c>
      <c r="W2941" s="9">
        <v>44994</v>
      </c>
      <c r="X2941" s="10">
        <v>12</v>
      </c>
      <c r="Y2941" s="9">
        <v>45002</v>
      </c>
      <c r="Z2941">
        <v>10</v>
      </c>
      <c r="AA2941" s="11" t="s">
        <v>49</v>
      </c>
    </row>
    <row r="2942" spans="2:27" ht="16" x14ac:dyDescent="0.2">
      <c r="B2942" t="s">
        <v>35</v>
      </c>
      <c r="C2942">
        <v>40361775</v>
      </c>
      <c r="D2942" t="s">
        <v>423</v>
      </c>
      <c r="E2942">
        <v>1021270</v>
      </c>
      <c r="F2942" t="s">
        <v>424</v>
      </c>
      <c r="G2942" s="9">
        <v>44987</v>
      </c>
      <c r="H2942" s="7">
        <v>24020.17</v>
      </c>
      <c r="I2942" s="7"/>
      <c r="J2942" s="7"/>
      <c r="K2942" s="7"/>
      <c r="L2942" s="10">
        <v>5.4496124031007751</v>
      </c>
      <c r="M2942" s="9">
        <v>44992</v>
      </c>
      <c r="N2942" s="10">
        <v>10</v>
      </c>
      <c r="O2942" s="9">
        <v>45002</v>
      </c>
      <c r="P2942">
        <v>10</v>
      </c>
      <c r="Q2942" s="11" t="s">
        <v>49</v>
      </c>
      <c r="R2942" s="7">
        <v>24020.17</v>
      </c>
      <c r="S2942" s="7"/>
      <c r="T2942" s="7"/>
      <c r="U2942" s="7"/>
      <c r="V2942" s="10">
        <v>7.4496124031007751</v>
      </c>
      <c r="W2942" s="9">
        <v>44994</v>
      </c>
      <c r="X2942" s="10">
        <v>12</v>
      </c>
      <c r="Y2942" s="9">
        <v>45002</v>
      </c>
      <c r="Z2942">
        <v>10</v>
      </c>
      <c r="AA2942" s="11" t="s">
        <v>49</v>
      </c>
    </row>
    <row r="2943" spans="2:27" ht="16" x14ac:dyDescent="0.2">
      <c r="B2943" t="s">
        <v>35</v>
      </c>
      <c r="C2943">
        <v>40361774</v>
      </c>
      <c r="D2943" t="s">
        <v>423</v>
      </c>
      <c r="E2943">
        <v>1023302</v>
      </c>
      <c r="F2943" t="s">
        <v>268</v>
      </c>
      <c r="G2943" s="9">
        <v>44981</v>
      </c>
      <c r="H2943" s="7">
        <v>23940</v>
      </c>
      <c r="I2943" s="7"/>
      <c r="J2943" s="7"/>
      <c r="K2943" s="7"/>
      <c r="L2943" s="10">
        <v>5.4496124031007751</v>
      </c>
      <c r="M2943" s="9">
        <v>44986</v>
      </c>
      <c r="N2943" s="10">
        <v>10</v>
      </c>
      <c r="O2943" s="9">
        <v>44996</v>
      </c>
      <c r="P2943">
        <v>15</v>
      </c>
      <c r="Q2943" s="11" t="s">
        <v>49</v>
      </c>
      <c r="R2943" s="7">
        <v>23940</v>
      </c>
      <c r="S2943" s="7"/>
      <c r="T2943" s="7"/>
      <c r="U2943" s="7"/>
      <c r="V2943" s="10">
        <v>7.4496124031007751</v>
      </c>
      <c r="W2943" s="9">
        <v>44988</v>
      </c>
      <c r="X2943" s="10">
        <v>12</v>
      </c>
      <c r="Y2943" s="9">
        <v>44996</v>
      </c>
      <c r="Z2943">
        <v>15</v>
      </c>
      <c r="AA2943" s="11" t="s">
        <v>49</v>
      </c>
    </row>
    <row r="2944" spans="2:27" ht="16" x14ac:dyDescent="0.2">
      <c r="B2944" t="s">
        <v>35</v>
      </c>
      <c r="C2944">
        <v>40361770</v>
      </c>
      <c r="D2944" t="s">
        <v>423</v>
      </c>
      <c r="E2944">
        <v>1023302</v>
      </c>
      <c r="F2944" t="s">
        <v>268</v>
      </c>
      <c r="G2944" s="9">
        <v>44977</v>
      </c>
      <c r="H2944" s="7">
        <v>24000</v>
      </c>
      <c r="I2944" s="7"/>
      <c r="J2944" s="7"/>
      <c r="K2944" s="7"/>
      <c r="L2944" s="10">
        <v>5.4496124031007751</v>
      </c>
      <c r="M2944" s="9">
        <v>44982</v>
      </c>
      <c r="N2944" s="10">
        <v>10</v>
      </c>
      <c r="O2944" s="9">
        <v>44992</v>
      </c>
      <c r="P2944">
        <v>19</v>
      </c>
      <c r="Q2944" s="11" t="s">
        <v>49</v>
      </c>
      <c r="R2944" s="7">
        <v>24000</v>
      </c>
      <c r="S2944" s="7"/>
      <c r="T2944" s="7"/>
      <c r="U2944" s="7"/>
      <c r="V2944" s="10">
        <v>7.4496124031007751</v>
      </c>
      <c r="W2944" s="9">
        <v>44984</v>
      </c>
      <c r="X2944" s="10">
        <v>12</v>
      </c>
      <c r="Y2944" s="9">
        <v>44992</v>
      </c>
      <c r="Z2944">
        <v>19</v>
      </c>
      <c r="AA2944" s="11" t="s">
        <v>49</v>
      </c>
    </row>
    <row r="2945" spans="2:27" ht="16" x14ac:dyDescent="0.2">
      <c r="B2945" t="s">
        <v>35</v>
      </c>
      <c r="C2945">
        <v>40361769</v>
      </c>
      <c r="D2945" t="s">
        <v>423</v>
      </c>
      <c r="E2945">
        <v>1021270</v>
      </c>
      <c r="F2945" t="s">
        <v>424</v>
      </c>
      <c r="G2945" s="9">
        <v>44987</v>
      </c>
      <c r="H2945" s="7">
        <v>8837.48</v>
      </c>
      <c r="I2945" s="7"/>
      <c r="J2945" s="7"/>
      <c r="K2945" s="7"/>
      <c r="L2945" s="10">
        <v>5.4496124031007751</v>
      </c>
      <c r="M2945" s="9">
        <v>44992</v>
      </c>
      <c r="N2945" s="10">
        <v>10</v>
      </c>
      <c r="O2945" s="9">
        <v>45002</v>
      </c>
      <c r="P2945">
        <v>10</v>
      </c>
      <c r="Q2945" s="11" t="s">
        <v>49</v>
      </c>
      <c r="R2945" s="7">
        <v>8837.48</v>
      </c>
      <c r="S2945" s="7"/>
      <c r="T2945" s="7"/>
      <c r="U2945" s="7"/>
      <c r="V2945" s="10">
        <v>7.4496124031007751</v>
      </c>
      <c r="W2945" s="9">
        <v>44994</v>
      </c>
      <c r="X2945" s="10">
        <v>12</v>
      </c>
      <c r="Y2945" s="9">
        <v>45002</v>
      </c>
      <c r="Z2945">
        <v>10</v>
      </c>
      <c r="AA2945" s="11" t="s">
        <v>49</v>
      </c>
    </row>
    <row r="2946" spans="2:27" ht="16" x14ac:dyDescent="0.2">
      <c r="B2946" t="s">
        <v>35</v>
      </c>
      <c r="C2946">
        <v>40361769</v>
      </c>
      <c r="D2946" t="s">
        <v>423</v>
      </c>
      <c r="E2946">
        <v>1021270</v>
      </c>
      <c r="F2946" t="s">
        <v>424</v>
      </c>
      <c r="G2946" s="9">
        <v>44987</v>
      </c>
      <c r="H2946" s="7">
        <v>24008.5</v>
      </c>
      <c r="I2946" s="7"/>
      <c r="J2946" s="7"/>
      <c r="K2946" s="7"/>
      <c r="L2946" s="10">
        <v>5.4496124031007751</v>
      </c>
      <c r="M2946" s="9">
        <v>44992</v>
      </c>
      <c r="N2946" s="10">
        <v>10</v>
      </c>
      <c r="O2946" s="9">
        <v>45002</v>
      </c>
      <c r="P2946">
        <v>10</v>
      </c>
      <c r="Q2946" s="11" t="s">
        <v>49</v>
      </c>
      <c r="R2946" s="7">
        <v>24008.5</v>
      </c>
      <c r="S2946" s="7"/>
      <c r="T2946" s="7"/>
      <c r="U2946" s="7"/>
      <c r="V2946" s="10">
        <v>7.4496124031007751</v>
      </c>
      <c r="W2946" s="9">
        <v>44994</v>
      </c>
      <c r="X2946" s="10">
        <v>12</v>
      </c>
      <c r="Y2946" s="9">
        <v>45002</v>
      </c>
      <c r="Z2946">
        <v>10</v>
      </c>
      <c r="AA2946" s="11" t="s">
        <v>49</v>
      </c>
    </row>
    <row r="2947" spans="2:27" ht="16" x14ac:dyDescent="0.2">
      <c r="B2947" t="s">
        <v>35</v>
      </c>
      <c r="C2947">
        <v>40361753</v>
      </c>
      <c r="D2947" t="s">
        <v>423</v>
      </c>
      <c r="E2947">
        <v>1011614</v>
      </c>
      <c r="F2947" t="s">
        <v>487</v>
      </c>
      <c r="G2947" s="9">
        <v>44977</v>
      </c>
      <c r="H2947" s="7">
        <v>19954</v>
      </c>
      <c r="I2947" s="7"/>
      <c r="J2947" s="7"/>
      <c r="K2947" s="7"/>
      <c r="L2947" s="10">
        <v>5.4496124031007751</v>
      </c>
      <c r="M2947" s="9">
        <v>44982</v>
      </c>
      <c r="N2947" s="10">
        <v>10</v>
      </c>
      <c r="O2947" s="9">
        <v>44992</v>
      </c>
      <c r="P2947">
        <v>19</v>
      </c>
      <c r="Q2947" s="11" t="s">
        <v>49</v>
      </c>
      <c r="R2947" s="7">
        <v>19954</v>
      </c>
      <c r="S2947" s="7"/>
      <c r="T2947" s="7"/>
      <c r="U2947" s="7"/>
      <c r="V2947" s="10">
        <v>7.4496124031007751</v>
      </c>
      <c r="W2947" s="9">
        <v>44984</v>
      </c>
      <c r="X2947" s="10">
        <v>12</v>
      </c>
      <c r="Y2947" s="9">
        <v>44992</v>
      </c>
      <c r="Z2947">
        <v>19</v>
      </c>
      <c r="AA2947" s="11" t="s">
        <v>49</v>
      </c>
    </row>
    <row r="2948" spans="2:27" ht="16" x14ac:dyDescent="0.2">
      <c r="B2948" t="s">
        <v>35</v>
      </c>
      <c r="C2948">
        <v>40361751</v>
      </c>
      <c r="D2948" t="s">
        <v>423</v>
      </c>
      <c r="E2948">
        <v>1011127</v>
      </c>
      <c r="F2948" t="s">
        <v>228</v>
      </c>
      <c r="G2948" s="9">
        <v>44977</v>
      </c>
      <c r="H2948" s="7">
        <v>21600</v>
      </c>
      <c r="I2948" s="7"/>
      <c r="J2948" s="7"/>
      <c r="K2948" s="7"/>
      <c r="L2948" s="10">
        <v>5.4496124031007751</v>
      </c>
      <c r="M2948" s="9">
        <v>44982</v>
      </c>
      <c r="N2948" s="10">
        <v>10</v>
      </c>
      <c r="O2948" s="9">
        <v>44992</v>
      </c>
      <c r="P2948">
        <v>19</v>
      </c>
      <c r="Q2948" s="11" t="s">
        <v>49</v>
      </c>
      <c r="R2948" s="7">
        <v>21600</v>
      </c>
      <c r="S2948" s="7"/>
      <c r="T2948" s="7"/>
      <c r="U2948" s="7"/>
      <c r="V2948" s="10">
        <v>7.4496124031007751</v>
      </c>
      <c r="W2948" s="9">
        <v>44984</v>
      </c>
      <c r="X2948" s="10">
        <v>12</v>
      </c>
      <c r="Y2948" s="9">
        <v>44992</v>
      </c>
      <c r="Z2948">
        <v>19</v>
      </c>
      <c r="AA2948" s="11" t="s">
        <v>49</v>
      </c>
    </row>
    <row r="2949" spans="2:27" ht="16" x14ac:dyDescent="0.2">
      <c r="B2949" t="s">
        <v>35</v>
      </c>
      <c r="C2949">
        <v>40361749</v>
      </c>
      <c r="D2949" t="s">
        <v>423</v>
      </c>
      <c r="E2949">
        <v>1011127</v>
      </c>
      <c r="F2949" t="s">
        <v>228</v>
      </c>
      <c r="G2949" s="9">
        <v>44981</v>
      </c>
      <c r="H2949" s="7">
        <v>20400</v>
      </c>
      <c r="I2949" s="7"/>
      <c r="J2949" s="7"/>
      <c r="K2949" s="7"/>
      <c r="L2949" s="10">
        <v>5.4496124031007751</v>
      </c>
      <c r="M2949" s="9">
        <v>44986</v>
      </c>
      <c r="N2949" s="10">
        <v>10</v>
      </c>
      <c r="O2949" s="9">
        <v>44996</v>
      </c>
      <c r="P2949">
        <v>15</v>
      </c>
      <c r="Q2949" s="11" t="s">
        <v>49</v>
      </c>
      <c r="R2949" s="7">
        <v>20400</v>
      </c>
      <c r="S2949" s="7"/>
      <c r="T2949" s="7"/>
      <c r="U2949" s="7"/>
      <c r="V2949" s="10">
        <v>7.4496124031007751</v>
      </c>
      <c r="W2949" s="9">
        <v>44988</v>
      </c>
      <c r="X2949" s="10">
        <v>12</v>
      </c>
      <c r="Y2949" s="9">
        <v>44996</v>
      </c>
      <c r="Z2949">
        <v>15</v>
      </c>
      <c r="AA2949" s="11" t="s">
        <v>49</v>
      </c>
    </row>
    <row r="2950" spans="2:27" ht="16" x14ac:dyDescent="0.2">
      <c r="B2950" t="s">
        <v>35</v>
      </c>
      <c r="C2950">
        <v>40361748</v>
      </c>
      <c r="D2950" t="s">
        <v>423</v>
      </c>
      <c r="E2950">
        <v>1011127</v>
      </c>
      <c r="F2950" t="s">
        <v>228</v>
      </c>
      <c r="G2950" s="9">
        <v>44977</v>
      </c>
      <c r="H2950" s="7">
        <v>21600</v>
      </c>
      <c r="I2950" s="7"/>
      <c r="J2950" s="7"/>
      <c r="K2950" s="7"/>
      <c r="L2950" s="10">
        <v>5.4496124031007751</v>
      </c>
      <c r="M2950" s="9">
        <v>44982</v>
      </c>
      <c r="N2950" s="10">
        <v>10</v>
      </c>
      <c r="O2950" s="9">
        <v>44992</v>
      </c>
      <c r="P2950">
        <v>19</v>
      </c>
      <c r="Q2950" s="11" t="s">
        <v>49</v>
      </c>
      <c r="R2950" s="7">
        <v>21600</v>
      </c>
      <c r="S2950" s="7"/>
      <c r="T2950" s="7"/>
      <c r="U2950" s="7"/>
      <c r="V2950" s="10">
        <v>7.4496124031007751</v>
      </c>
      <c r="W2950" s="9">
        <v>44984</v>
      </c>
      <c r="X2950" s="10">
        <v>12</v>
      </c>
      <c r="Y2950" s="9">
        <v>44992</v>
      </c>
      <c r="Z2950">
        <v>19</v>
      </c>
      <c r="AA2950" s="11" t="s">
        <v>49</v>
      </c>
    </row>
    <row r="2951" spans="2:27" ht="16" x14ac:dyDescent="0.2">
      <c r="B2951" t="s">
        <v>35</v>
      </c>
      <c r="C2951">
        <v>40361745</v>
      </c>
      <c r="D2951" t="s">
        <v>423</v>
      </c>
      <c r="E2951">
        <v>1011127</v>
      </c>
      <c r="F2951" t="s">
        <v>228</v>
      </c>
      <c r="G2951" s="9">
        <v>44977</v>
      </c>
      <c r="H2951" s="7">
        <v>21600</v>
      </c>
      <c r="I2951" s="7"/>
      <c r="J2951" s="7"/>
      <c r="K2951" s="7"/>
      <c r="L2951" s="10">
        <v>5.4496124031007751</v>
      </c>
      <c r="M2951" s="9">
        <v>44982</v>
      </c>
      <c r="N2951" s="10">
        <v>10</v>
      </c>
      <c r="O2951" s="9">
        <v>44992</v>
      </c>
      <c r="P2951">
        <v>19</v>
      </c>
      <c r="Q2951" s="11" t="s">
        <v>49</v>
      </c>
      <c r="R2951" s="7">
        <v>21600</v>
      </c>
      <c r="S2951" s="7"/>
      <c r="T2951" s="7"/>
      <c r="U2951" s="7"/>
      <c r="V2951" s="10">
        <v>7.4496124031007751</v>
      </c>
      <c r="W2951" s="9">
        <v>44984</v>
      </c>
      <c r="X2951" s="10">
        <v>12</v>
      </c>
      <c r="Y2951" s="9">
        <v>44992</v>
      </c>
      <c r="Z2951">
        <v>19</v>
      </c>
      <c r="AA2951" s="11" t="s">
        <v>49</v>
      </c>
    </row>
    <row r="2952" spans="2:27" ht="16" x14ac:dyDescent="0.2">
      <c r="B2952" t="s">
        <v>35</v>
      </c>
      <c r="C2952">
        <v>40361742</v>
      </c>
      <c r="D2952" t="s">
        <v>423</v>
      </c>
      <c r="E2952">
        <v>1011127</v>
      </c>
      <c r="F2952" t="s">
        <v>228</v>
      </c>
      <c r="G2952" s="9">
        <v>44977</v>
      </c>
      <c r="H2952" s="7">
        <v>21600</v>
      </c>
      <c r="I2952" s="7"/>
      <c r="J2952" s="7"/>
      <c r="K2952" s="7"/>
      <c r="L2952" s="10">
        <v>5.4496124031007751</v>
      </c>
      <c r="M2952" s="9">
        <v>44982</v>
      </c>
      <c r="N2952" s="10">
        <v>10</v>
      </c>
      <c r="O2952" s="9">
        <v>44992</v>
      </c>
      <c r="P2952">
        <v>19</v>
      </c>
      <c r="Q2952" s="11" t="s">
        <v>49</v>
      </c>
      <c r="R2952" s="7">
        <v>21600</v>
      </c>
      <c r="S2952" s="7"/>
      <c r="T2952" s="7"/>
      <c r="U2952" s="7"/>
      <c r="V2952" s="10">
        <v>7.4496124031007751</v>
      </c>
      <c r="W2952" s="9">
        <v>44984</v>
      </c>
      <c r="X2952" s="10">
        <v>12</v>
      </c>
      <c r="Y2952" s="9">
        <v>44992</v>
      </c>
      <c r="Z2952">
        <v>19</v>
      </c>
      <c r="AA2952" s="11" t="s">
        <v>49</v>
      </c>
    </row>
    <row r="2953" spans="2:27" ht="16" x14ac:dyDescent="0.2">
      <c r="B2953" t="s">
        <v>35</v>
      </c>
      <c r="C2953">
        <v>40361739</v>
      </c>
      <c r="D2953" t="s">
        <v>423</v>
      </c>
      <c r="E2953">
        <v>1011127</v>
      </c>
      <c r="F2953" t="s">
        <v>228</v>
      </c>
      <c r="G2953" s="9">
        <v>44977</v>
      </c>
      <c r="H2953" s="7">
        <v>21600</v>
      </c>
      <c r="I2953" s="7"/>
      <c r="J2953" s="7"/>
      <c r="K2953" s="7"/>
      <c r="L2953" s="10">
        <v>5.4496124031007751</v>
      </c>
      <c r="M2953" s="9">
        <v>44982</v>
      </c>
      <c r="N2953" s="10">
        <v>10</v>
      </c>
      <c r="O2953" s="9">
        <v>44992</v>
      </c>
      <c r="P2953">
        <v>19</v>
      </c>
      <c r="Q2953" s="11" t="s">
        <v>49</v>
      </c>
      <c r="R2953" s="7">
        <v>21600</v>
      </c>
      <c r="S2953" s="7"/>
      <c r="T2953" s="7"/>
      <c r="U2953" s="7"/>
      <c r="V2953" s="10">
        <v>7.4496124031007751</v>
      </c>
      <c r="W2953" s="9">
        <v>44984</v>
      </c>
      <c r="X2953" s="10">
        <v>12</v>
      </c>
      <c r="Y2953" s="9">
        <v>44992</v>
      </c>
      <c r="Z2953">
        <v>19</v>
      </c>
      <c r="AA2953" s="11" t="s">
        <v>49</v>
      </c>
    </row>
    <row r="2954" spans="2:27" ht="16" x14ac:dyDescent="0.2">
      <c r="B2954" t="s">
        <v>35</v>
      </c>
      <c r="C2954">
        <v>40361736</v>
      </c>
      <c r="D2954" t="s">
        <v>423</v>
      </c>
      <c r="E2954">
        <v>1011127</v>
      </c>
      <c r="F2954" t="s">
        <v>228</v>
      </c>
      <c r="G2954" s="9">
        <v>44977</v>
      </c>
      <c r="H2954" s="7">
        <v>21600</v>
      </c>
      <c r="I2954" s="7"/>
      <c r="J2954" s="7"/>
      <c r="K2954" s="7"/>
      <c r="L2954" s="10">
        <v>5.4496124031007751</v>
      </c>
      <c r="M2954" s="9">
        <v>44982</v>
      </c>
      <c r="N2954" s="10">
        <v>10</v>
      </c>
      <c r="O2954" s="9">
        <v>44992</v>
      </c>
      <c r="P2954">
        <v>19</v>
      </c>
      <c r="Q2954" s="11" t="s">
        <v>49</v>
      </c>
      <c r="R2954" s="7">
        <v>21600</v>
      </c>
      <c r="S2954" s="7"/>
      <c r="T2954" s="7"/>
      <c r="U2954" s="7"/>
      <c r="V2954" s="10">
        <v>7.4496124031007751</v>
      </c>
      <c r="W2954" s="9">
        <v>44984</v>
      </c>
      <c r="X2954" s="10">
        <v>12</v>
      </c>
      <c r="Y2954" s="9">
        <v>44992</v>
      </c>
      <c r="Z2954">
        <v>19</v>
      </c>
      <c r="AA2954" s="11" t="s">
        <v>49</v>
      </c>
    </row>
    <row r="2955" spans="2:27" ht="16" x14ac:dyDescent="0.2">
      <c r="B2955" t="s">
        <v>35</v>
      </c>
      <c r="C2955">
        <v>40361733</v>
      </c>
      <c r="D2955" t="s">
        <v>423</v>
      </c>
      <c r="E2955">
        <v>1011127</v>
      </c>
      <c r="F2955" t="s">
        <v>228</v>
      </c>
      <c r="G2955" s="9">
        <v>44977</v>
      </c>
      <c r="H2955" s="7">
        <v>20400</v>
      </c>
      <c r="I2955" s="7"/>
      <c r="J2955" s="7"/>
      <c r="K2955" s="7"/>
      <c r="L2955" s="10">
        <v>5.4496124031007751</v>
      </c>
      <c r="M2955" s="9">
        <v>44982</v>
      </c>
      <c r="N2955" s="10">
        <v>10</v>
      </c>
      <c r="O2955" s="9">
        <v>44992</v>
      </c>
      <c r="P2955">
        <v>19</v>
      </c>
      <c r="Q2955" s="11" t="s">
        <v>49</v>
      </c>
      <c r="R2955" s="7">
        <v>20400</v>
      </c>
      <c r="S2955" s="7"/>
      <c r="T2955" s="7"/>
      <c r="U2955" s="7"/>
      <c r="V2955" s="10">
        <v>7.4496124031007751</v>
      </c>
      <c r="W2955" s="9">
        <v>44984</v>
      </c>
      <c r="X2955" s="10">
        <v>12</v>
      </c>
      <c r="Y2955" s="9">
        <v>44992</v>
      </c>
      <c r="Z2955">
        <v>19</v>
      </c>
      <c r="AA2955" s="11" t="s">
        <v>49</v>
      </c>
    </row>
    <row r="2956" spans="2:27" ht="16" x14ac:dyDescent="0.2">
      <c r="B2956" t="s">
        <v>35</v>
      </c>
      <c r="C2956">
        <v>40361732</v>
      </c>
      <c r="D2956" t="s">
        <v>423</v>
      </c>
      <c r="E2956">
        <v>1011127</v>
      </c>
      <c r="F2956" t="s">
        <v>228</v>
      </c>
      <c r="G2956" s="9">
        <v>44977</v>
      </c>
      <c r="H2956" s="7">
        <v>21600</v>
      </c>
      <c r="I2956" s="7"/>
      <c r="J2956" s="7"/>
      <c r="K2956" s="7"/>
      <c r="L2956" s="10">
        <v>5.4496124031007751</v>
      </c>
      <c r="M2956" s="9">
        <v>44982</v>
      </c>
      <c r="N2956" s="10">
        <v>10</v>
      </c>
      <c r="O2956" s="9">
        <v>44992</v>
      </c>
      <c r="P2956">
        <v>19</v>
      </c>
      <c r="Q2956" s="11" t="s">
        <v>49</v>
      </c>
      <c r="R2956" s="7">
        <v>21600</v>
      </c>
      <c r="S2956" s="7"/>
      <c r="T2956" s="7"/>
      <c r="U2956" s="7"/>
      <c r="V2956" s="10">
        <v>7.4496124031007751</v>
      </c>
      <c r="W2956" s="9">
        <v>44984</v>
      </c>
      <c r="X2956" s="10">
        <v>12</v>
      </c>
      <c r="Y2956" s="9">
        <v>44992</v>
      </c>
      <c r="Z2956">
        <v>19</v>
      </c>
      <c r="AA2956" s="11" t="s">
        <v>49</v>
      </c>
    </row>
    <row r="2957" spans="2:27" ht="16" x14ac:dyDescent="0.2">
      <c r="B2957" t="s">
        <v>35</v>
      </c>
      <c r="C2957">
        <v>40361730</v>
      </c>
      <c r="D2957" t="s">
        <v>423</v>
      </c>
      <c r="E2957">
        <v>1011127</v>
      </c>
      <c r="F2957" t="s">
        <v>228</v>
      </c>
      <c r="G2957" s="9">
        <v>44977</v>
      </c>
      <c r="H2957" s="7">
        <v>21600</v>
      </c>
      <c r="I2957" s="7"/>
      <c r="J2957" s="7"/>
      <c r="K2957" s="7"/>
      <c r="L2957" s="10">
        <v>5.4496124031007751</v>
      </c>
      <c r="M2957" s="9">
        <v>44982</v>
      </c>
      <c r="N2957" s="10">
        <v>10</v>
      </c>
      <c r="O2957" s="9">
        <v>44992</v>
      </c>
      <c r="P2957">
        <v>19</v>
      </c>
      <c r="Q2957" s="11" t="s">
        <v>49</v>
      </c>
      <c r="R2957" s="7">
        <v>21600</v>
      </c>
      <c r="S2957" s="7"/>
      <c r="T2957" s="7"/>
      <c r="U2957" s="7"/>
      <c r="V2957" s="10">
        <v>7.4496124031007751</v>
      </c>
      <c r="W2957" s="9">
        <v>44984</v>
      </c>
      <c r="X2957" s="10">
        <v>12</v>
      </c>
      <c r="Y2957" s="9">
        <v>44992</v>
      </c>
      <c r="Z2957">
        <v>19</v>
      </c>
      <c r="AA2957" s="11" t="s">
        <v>49</v>
      </c>
    </row>
    <row r="2958" spans="2:27" ht="16" x14ac:dyDescent="0.2">
      <c r="B2958" t="s">
        <v>35</v>
      </c>
      <c r="C2958">
        <v>40361727</v>
      </c>
      <c r="D2958" t="s">
        <v>423</v>
      </c>
      <c r="E2958">
        <v>1011127</v>
      </c>
      <c r="F2958" t="s">
        <v>228</v>
      </c>
      <c r="G2958" s="9">
        <v>44977</v>
      </c>
      <c r="H2958" s="7">
        <v>21600</v>
      </c>
      <c r="I2958" s="7"/>
      <c r="J2958" s="7"/>
      <c r="K2958" s="7"/>
      <c r="L2958" s="10">
        <v>5.4496124031007751</v>
      </c>
      <c r="M2958" s="9">
        <v>44982</v>
      </c>
      <c r="N2958" s="10">
        <v>10</v>
      </c>
      <c r="O2958" s="9">
        <v>44992</v>
      </c>
      <c r="P2958">
        <v>19</v>
      </c>
      <c r="Q2958" s="11" t="s">
        <v>49</v>
      </c>
      <c r="R2958" s="7">
        <v>21600</v>
      </c>
      <c r="S2958" s="7"/>
      <c r="T2958" s="7"/>
      <c r="U2958" s="7"/>
      <c r="V2958" s="10">
        <v>7.4496124031007751</v>
      </c>
      <c r="W2958" s="9">
        <v>44984</v>
      </c>
      <c r="X2958" s="10">
        <v>12</v>
      </c>
      <c r="Y2958" s="9">
        <v>44992</v>
      </c>
      <c r="Z2958">
        <v>19</v>
      </c>
      <c r="AA2958" s="11" t="s">
        <v>49</v>
      </c>
    </row>
    <row r="2959" spans="2:27" ht="16" x14ac:dyDescent="0.2">
      <c r="B2959" t="s">
        <v>35</v>
      </c>
      <c r="C2959">
        <v>40361726</v>
      </c>
      <c r="D2959" t="s">
        <v>423</v>
      </c>
      <c r="E2959">
        <v>1011127</v>
      </c>
      <c r="F2959" t="s">
        <v>228</v>
      </c>
      <c r="G2959" s="9">
        <v>44977</v>
      </c>
      <c r="H2959" s="7">
        <v>20400</v>
      </c>
      <c r="I2959" s="7"/>
      <c r="J2959" s="7"/>
      <c r="K2959" s="7"/>
      <c r="L2959" s="10">
        <v>5.4496124031007751</v>
      </c>
      <c r="M2959" s="9">
        <v>44982</v>
      </c>
      <c r="N2959" s="10">
        <v>10</v>
      </c>
      <c r="O2959" s="9">
        <v>44992</v>
      </c>
      <c r="P2959">
        <v>19</v>
      </c>
      <c r="Q2959" s="11" t="s">
        <v>49</v>
      </c>
      <c r="R2959" s="7">
        <v>20400</v>
      </c>
      <c r="S2959" s="7"/>
      <c r="T2959" s="7"/>
      <c r="U2959" s="7"/>
      <c r="V2959" s="10">
        <v>7.4496124031007751</v>
      </c>
      <c r="W2959" s="9">
        <v>44984</v>
      </c>
      <c r="X2959" s="10">
        <v>12</v>
      </c>
      <c r="Y2959" s="9">
        <v>44992</v>
      </c>
      <c r="Z2959">
        <v>19</v>
      </c>
      <c r="AA2959" s="11" t="s">
        <v>49</v>
      </c>
    </row>
    <row r="2960" spans="2:27" ht="16" x14ac:dyDescent="0.2">
      <c r="B2960" t="s">
        <v>35</v>
      </c>
      <c r="C2960">
        <v>40361724</v>
      </c>
      <c r="D2960" t="s">
        <v>423</v>
      </c>
      <c r="E2960">
        <v>1011127</v>
      </c>
      <c r="F2960" t="s">
        <v>228</v>
      </c>
      <c r="G2960" s="9">
        <v>44977</v>
      </c>
      <c r="H2960" s="7">
        <v>21600</v>
      </c>
      <c r="I2960" s="7"/>
      <c r="J2960" s="7"/>
      <c r="K2960" s="7"/>
      <c r="L2960" s="10">
        <v>5.4496124031007751</v>
      </c>
      <c r="M2960" s="9">
        <v>44982</v>
      </c>
      <c r="N2960" s="10">
        <v>10</v>
      </c>
      <c r="O2960" s="9">
        <v>44992</v>
      </c>
      <c r="P2960">
        <v>19</v>
      </c>
      <c r="Q2960" s="11" t="s">
        <v>49</v>
      </c>
      <c r="R2960" s="7">
        <v>21600</v>
      </c>
      <c r="S2960" s="7"/>
      <c r="T2960" s="7"/>
      <c r="U2960" s="7"/>
      <c r="V2960" s="10">
        <v>7.4496124031007751</v>
      </c>
      <c r="W2960" s="9">
        <v>44984</v>
      </c>
      <c r="X2960" s="10">
        <v>12</v>
      </c>
      <c r="Y2960" s="9">
        <v>44992</v>
      </c>
      <c r="Z2960">
        <v>19</v>
      </c>
      <c r="AA2960" s="11" t="s">
        <v>49</v>
      </c>
    </row>
    <row r="2961" spans="2:27" ht="16" x14ac:dyDescent="0.2">
      <c r="B2961" t="s">
        <v>35</v>
      </c>
      <c r="C2961">
        <v>40361721</v>
      </c>
      <c r="D2961" t="s">
        <v>423</v>
      </c>
      <c r="E2961">
        <v>1011127</v>
      </c>
      <c r="F2961" t="s">
        <v>228</v>
      </c>
      <c r="G2961" s="9">
        <v>44977</v>
      </c>
      <c r="H2961" s="7">
        <v>21600</v>
      </c>
      <c r="I2961" s="7"/>
      <c r="J2961" s="7"/>
      <c r="K2961" s="7"/>
      <c r="L2961" s="10">
        <v>5.4496124031007751</v>
      </c>
      <c r="M2961" s="9">
        <v>44982</v>
      </c>
      <c r="N2961" s="10">
        <v>10</v>
      </c>
      <c r="O2961" s="9">
        <v>44992</v>
      </c>
      <c r="P2961">
        <v>19</v>
      </c>
      <c r="Q2961" s="11" t="s">
        <v>49</v>
      </c>
      <c r="R2961" s="7">
        <v>21600</v>
      </c>
      <c r="S2961" s="7"/>
      <c r="T2961" s="7"/>
      <c r="U2961" s="7"/>
      <c r="V2961" s="10">
        <v>7.4496124031007751</v>
      </c>
      <c r="W2961" s="9">
        <v>44984</v>
      </c>
      <c r="X2961" s="10">
        <v>12</v>
      </c>
      <c r="Y2961" s="9">
        <v>44992</v>
      </c>
      <c r="Z2961">
        <v>19</v>
      </c>
      <c r="AA2961" s="11" t="s">
        <v>49</v>
      </c>
    </row>
    <row r="2962" spans="2:27" ht="16" x14ac:dyDescent="0.2">
      <c r="B2962" t="s">
        <v>35</v>
      </c>
      <c r="C2962">
        <v>40361718</v>
      </c>
      <c r="D2962" t="s">
        <v>423</v>
      </c>
      <c r="E2962">
        <v>1011127</v>
      </c>
      <c r="F2962" t="s">
        <v>228</v>
      </c>
      <c r="G2962" s="9">
        <v>44977</v>
      </c>
      <c r="H2962" s="7">
        <v>21600</v>
      </c>
      <c r="I2962" s="7"/>
      <c r="J2962" s="7"/>
      <c r="K2962" s="7"/>
      <c r="L2962" s="10">
        <v>5.4496124031007751</v>
      </c>
      <c r="M2962" s="9">
        <v>44982</v>
      </c>
      <c r="N2962" s="10">
        <v>10</v>
      </c>
      <c r="O2962" s="9">
        <v>44992</v>
      </c>
      <c r="P2962">
        <v>19</v>
      </c>
      <c r="Q2962" s="11" t="s">
        <v>49</v>
      </c>
      <c r="R2962" s="7">
        <v>21600</v>
      </c>
      <c r="S2962" s="7"/>
      <c r="T2962" s="7"/>
      <c r="U2962" s="7"/>
      <c r="V2962" s="10">
        <v>7.4496124031007751</v>
      </c>
      <c r="W2962" s="9">
        <v>44984</v>
      </c>
      <c r="X2962" s="10">
        <v>12</v>
      </c>
      <c r="Y2962" s="9">
        <v>44992</v>
      </c>
      <c r="Z2962">
        <v>19</v>
      </c>
      <c r="AA2962" s="11" t="s">
        <v>49</v>
      </c>
    </row>
    <row r="2963" spans="2:27" ht="16" x14ac:dyDescent="0.2">
      <c r="B2963" t="s">
        <v>35</v>
      </c>
      <c r="C2963">
        <v>40361717</v>
      </c>
      <c r="D2963" t="s">
        <v>423</v>
      </c>
      <c r="E2963">
        <v>1011127</v>
      </c>
      <c r="F2963" t="s">
        <v>228</v>
      </c>
      <c r="G2963" s="9">
        <v>44981</v>
      </c>
      <c r="H2963" s="7">
        <v>21600</v>
      </c>
      <c r="I2963" s="7"/>
      <c r="J2963" s="7"/>
      <c r="K2963" s="7"/>
      <c r="L2963" s="10">
        <v>5.4496124031007751</v>
      </c>
      <c r="M2963" s="9">
        <v>44986</v>
      </c>
      <c r="N2963" s="10">
        <v>10</v>
      </c>
      <c r="O2963" s="9">
        <v>44996</v>
      </c>
      <c r="P2963">
        <v>15</v>
      </c>
      <c r="Q2963" s="11" t="s">
        <v>49</v>
      </c>
      <c r="R2963" s="7">
        <v>21600</v>
      </c>
      <c r="S2963" s="7"/>
      <c r="T2963" s="7"/>
      <c r="U2963" s="7"/>
      <c r="V2963" s="10">
        <v>7.4496124031007751</v>
      </c>
      <c r="W2963" s="9">
        <v>44988</v>
      </c>
      <c r="X2963" s="10">
        <v>12</v>
      </c>
      <c r="Y2963" s="9">
        <v>44996</v>
      </c>
      <c r="Z2963">
        <v>15</v>
      </c>
      <c r="AA2963" s="11" t="s">
        <v>49</v>
      </c>
    </row>
    <row r="2964" spans="2:27" ht="16" x14ac:dyDescent="0.2">
      <c r="B2964" t="s">
        <v>35</v>
      </c>
      <c r="C2964">
        <v>40361715</v>
      </c>
      <c r="D2964" t="s">
        <v>423</v>
      </c>
      <c r="E2964">
        <v>1011127</v>
      </c>
      <c r="F2964" t="s">
        <v>228</v>
      </c>
      <c r="G2964" s="9">
        <v>44977</v>
      </c>
      <c r="H2964" s="7">
        <v>21600</v>
      </c>
      <c r="I2964" s="7"/>
      <c r="J2964" s="7"/>
      <c r="K2964" s="7"/>
      <c r="L2964" s="10">
        <v>5.4496124031007751</v>
      </c>
      <c r="M2964" s="9">
        <v>44982</v>
      </c>
      <c r="N2964" s="10">
        <v>10</v>
      </c>
      <c r="O2964" s="9">
        <v>44992</v>
      </c>
      <c r="P2964">
        <v>19</v>
      </c>
      <c r="Q2964" s="11" t="s">
        <v>49</v>
      </c>
      <c r="R2964" s="7">
        <v>21600</v>
      </c>
      <c r="S2964" s="7"/>
      <c r="T2964" s="7"/>
      <c r="U2964" s="7"/>
      <c r="V2964" s="10">
        <v>7.4496124031007751</v>
      </c>
      <c r="W2964" s="9">
        <v>44984</v>
      </c>
      <c r="X2964" s="10">
        <v>12</v>
      </c>
      <c r="Y2964" s="9">
        <v>44992</v>
      </c>
      <c r="Z2964">
        <v>19</v>
      </c>
      <c r="AA2964" s="11" t="s">
        <v>49</v>
      </c>
    </row>
    <row r="2965" spans="2:27" ht="16" x14ac:dyDescent="0.2">
      <c r="B2965" t="s">
        <v>35</v>
      </c>
      <c r="C2965">
        <v>40361712</v>
      </c>
      <c r="D2965" t="s">
        <v>423</v>
      </c>
      <c r="E2965">
        <v>1011127</v>
      </c>
      <c r="F2965" t="s">
        <v>228</v>
      </c>
      <c r="G2965" s="9">
        <v>44977</v>
      </c>
      <c r="H2965" s="7">
        <v>20400</v>
      </c>
      <c r="I2965" s="7"/>
      <c r="J2965" s="7"/>
      <c r="K2965" s="7"/>
      <c r="L2965" s="10">
        <v>5.4496124031007751</v>
      </c>
      <c r="M2965" s="9">
        <v>44982</v>
      </c>
      <c r="N2965" s="10">
        <v>10</v>
      </c>
      <c r="O2965" s="9">
        <v>44992</v>
      </c>
      <c r="P2965">
        <v>19</v>
      </c>
      <c r="Q2965" s="11" t="s">
        <v>49</v>
      </c>
      <c r="R2965" s="7">
        <v>20400</v>
      </c>
      <c r="S2965" s="7"/>
      <c r="T2965" s="7"/>
      <c r="U2965" s="7"/>
      <c r="V2965" s="10">
        <v>7.4496124031007751</v>
      </c>
      <c r="W2965" s="9">
        <v>44984</v>
      </c>
      <c r="X2965" s="10">
        <v>12</v>
      </c>
      <c r="Y2965" s="9">
        <v>44992</v>
      </c>
      <c r="Z2965">
        <v>19</v>
      </c>
      <c r="AA2965" s="11" t="s">
        <v>49</v>
      </c>
    </row>
    <row r="2966" spans="2:27" ht="16" x14ac:dyDescent="0.2">
      <c r="B2966" t="s">
        <v>35</v>
      </c>
      <c r="C2966">
        <v>40361704</v>
      </c>
      <c r="D2966" t="s">
        <v>423</v>
      </c>
      <c r="E2966">
        <v>1011151</v>
      </c>
      <c r="F2966" t="s">
        <v>152</v>
      </c>
      <c r="G2966" s="9">
        <v>44977</v>
      </c>
      <c r="H2966" s="7">
        <v>20007</v>
      </c>
      <c r="I2966" s="7"/>
      <c r="J2966" s="7"/>
      <c r="K2966" s="7"/>
      <c r="L2966" s="10">
        <v>5.4496124031007751</v>
      </c>
      <c r="M2966" s="9">
        <v>44982</v>
      </c>
      <c r="N2966" s="10">
        <v>10</v>
      </c>
      <c r="O2966" s="9">
        <v>44992</v>
      </c>
      <c r="P2966">
        <v>19</v>
      </c>
      <c r="Q2966" s="11" t="s">
        <v>49</v>
      </c>
      <c r="R2966" s="7">
        <v>20007</v>
      </c>
      <c r="S2966" s="7"/>
      <c r="T2966" s="7"/>
      <c r="U2966" s="7"/>
      <c r="V2966" s="10">
        <v>7.4496124031007751</v>
      </c>
      <c r="W2966" s="9">
        <v>44984</v>
      </c>
      <c r="X2966" s="10">
        <v>12</v>
      </c>
      <c r="Y2966" s="9">
        <v>44992</v>
      </c>
      <c r="Z2966">
        <v>19</v>
      </c>
      <c r="AA2966" s="11" t="s">
        <v>49</v>
      </c>
    </row>
    <row r="2967" spans="2:27" ht="16" x14ac:dyDescent="0.2">
      <c r="B2967" t="s">
        <v>35</v>
      </c>
      <c r="C2967">
        <v>40361633</v>
      </c>
      <c r="D2967" t="s">
        <v>423</v>
      </c>
      <c r="E2967">
        <v>1011150</v>
      </c>
      <c r="F2967" t="s">
        <v>149</v>
      </c>
      <c r="G2967" s="9">
        <v>44977</v>
      </c>
      <c r="H2967" s="7">
        <v>20007</v>
      </c>
      <c r="I2967" s="7"/>
      <c r="J2967" s="7"/>
      <c r="K2967" s="7"/>
      <c r="L2967" s="10">
        <v>5.4496124031007751</v>
      </c>
      <c r="M2967" s="9">
        <v>44982</v>
      </c>
      <c r="N2967" s="10">
        <v>10</v>
      </c>
      <c r="O2967" s="9">
        <v>44992</v>
      </c>
      <c r="P2967">
        <v>19</v>
      </c>
      <c r="Q2967" s="11" t="s">
        <v>49</v>
      </c>
      <c r="R2967" s="7">
        <v>20007</v>
      </c>
      <c r="S2967" s="7"/>
      <c r="T2967" s="7"/>
      <c r="U2967" s="7"/>
      <c r="V2967" s="10">
        <v>7.4496124031007751</v>
      </c>
      <c r="W2967" s="9">
        <v>44984</v>
      </c>
      <c r="X2967" s="10">
        <v>12</v>
      </c>
      <c r="Y2967" s="9">
        <v>44992</v>
      </c>
      <c r="Z2967">
        <v>19</v>
      </c>
      <c r="AA2967" s="11" t="s">
        <v>49</v>
      </c>
    </row>
    <row r="2968" spans="2:27" ht="16" x14ac:dyDescent="0.2">
      <c r="B2968" t="s">
        <v>35</v>
      </c>
      <c r="C2968">
        <v>40361628</v>
      </c>
      <c r="D2968" t="s">
        <v>423</v>
      </c>
      <c r="E2968">
        <v>1012278</v>
      </c>
      <c r="F2968" t="s">
        <v>230</v>
      </c>
      <c r="G2968" s="9">
        <v>44984</v>
      </c>
      <c r="H2968" s="7">
        <v>20007</v>
      </c>
      <c r="I2968" s="7"/>
      <c r="J2968" s="7"/>
      <c r="K2968" s="7"/>
      <c r="L2968" s="10">
        <v>5.4496124031007751</v>
      </c>
      <c r="M2968" s="9">
        <v>44989</v>
      </c>
      <c r="N2968" s="10">
        <v>10</v>
      </c>
      <c r="O2968" s="9">
        <v>44999</v>
      </c>
      <c r="P2968">
        <v>13</v>
      </c>
      <c r="Q2968" s="11" t="s">
        <v>49</v>
      </c>
      <c r="R2968" s="7">
        <v>20007</v>
      </c>
      <c r="S2968" s="7"/>
      <c r="T2968" s="7"/>
      <c r="U2968" s="7"/>
      <c r="V2968" s="10">
        <v>7.4496124031007751</v>
      </c>
      <c r="W2968" s="9">
        <v>44991</v>
      </c>
      <c r="X2968" s="10">
        <v>12</v>
      </c>
      <c r="Y2968" s="9">
        <v>44999</v>
      </c>
      <c r="Z2968">
        <v>13</v>
      </c>
      <c r="AA2968" s="11" t="s">
        <v>49</v>
      </c>
    </row>
    <row r="2969" spans="2:27" ht="16" x14ac:dyDescent="0.2">
      <c r="B2969" t="s">
        <v>35</v>
      </c>
      <c r="C2969">
        <v>40361623</v>
      </c>
      <c r="D2969" t="s">
        <v>423</v>
      </c>
      <c r="E2969">
        <v>1012278</v>
      </c>
      <c r="F2969" t="s">
        <v>230</v>
      </c>
      <c r="G2969" s="9">
        <v>44977</v>
      </c>
      <c r="H2969" s="7">
        <v>20007</v>
      </c>
      <c r="I2969" s="7"/>
      <c r="J2969" s="7"/>
      <c r="K2969" s="7"/>
      <c r="L2969" s="10">
        <v>5.4496124031007751</v>
      </c>
      <c r="M2969" s="9">
        <v>44982</v>
      </c>
      <c r="N2969" s="10">
        <v>10</v>
      </c>
      <c r="O2969" s="9">
        <v>44992</v>
      </c>
      <c r="P2969">
        <v>19</v>
      </c>
      <c r="Q2969" s="11" t="s">
        <v>49</v>
      </c>
      <c r="R2969" s="7">
        <v>20007</v>
      </c>
      <c r="S2969" s="7"/>
      <c r="T2969" s="7"/>
      <c r="U2969" s="7"/>
      <c r="V2969" s="10">
        <v>7.4496124031007751</v>
      </c>
      <c r="W2969" s="9">
        <v>44984</v>
      </c>
      <c r="X2969" s="10">
        <v>12</v>
      </c>
      <c r="Y2969" s="9">
        <v>44992</v>
      </c>
      <c r="Z2969">
        <v>19</v>
      </c>
      <c r="AA2969" s="11" t="s">
        <v>49</v>
      </c>
    </row>
    <row r="2970" spans="2:27" ht="16" x14ac:dyDescent="0.2">
      <c r="B2970" t="s">
        <v>35</v>
      </c>
      <c r="C2970">
        <v>40361443</v>
      </c>
      <c r="D2970" t="s">
        <v>386</v>
      </c>
      <c r="E2970">
        <v>1020853</v>
      </c>
      <c r="F2970" t="s">
        <v>262</v>
      </c>
      <c r="G2970" s="9">
        <v>44990</v>
      </c>
      <c r="H2970" s="7">
        <v>6870</v>
      </c>
      <c r="I2970" s="7"/>
      <c r="J2970" s="7"/>
      <c r="K2970" s="7"/>
      <c r="L2970" s="10">
        <v>5.1420118343195256</v>
      </c>
      <c r="M2970" s="9">
        <v>44995</v>
      </c>
      <c r="N2970" s="10">
        <v>7.5</v>
      </c>
      <c r="O2970" s="9">
        <v>45002</v>
      </c>
      <c r="P2970">
        <v>12</v>
      </c>
      <c r="Q2970" s="11" t="s">
        <v>49</v>
      </c>
      <c r="R2970" s="7">
        <v>6870</v>
      </c>
      <c r="S2970" s="7"/>
      <c r="T2970" s="7"/>
      <c r="U2970" s="7"/>
      <c r="V2970" s="10">
        <v>7.1420118343195256</v>
      </c>
      <c r="W2970" s="9">
        <v>44997</v>
      </c>
      <c r="X2970" s="10">
        <v>9.5</v>
      </c>
      <c r="Y2970" s="9">
        <v>45002</v>
      </c>
      <c r="Z2970">
        <v>12</v>
      </c>
      <c r="AA2970" s="11" t="s">
        <v>49</v>
      </c>
    </row>
    <row r="2971" spans="2:27" ht="16" x14ac:dyDescent="0.2">
      <c r="B2971" t="s">
        <v>35</v>
      </c>
      <c r="C2971">
        <v>40361443</v>
      </c>
      <c r="D2971" t="s">
        <v>386</v>
      </c>
      <c r="E2971">
        <v>1020853</v>
      </c>
      <c r="F2971" t="s">
        <v>262</v>
      </c>
      <c r="G2971" s="9">
        <v>44990</v>
      </c>
      <c r="H2971" s="7">
        <v>20000</v>
      </c>
      <c r="I2971" s="7"/>
      <c r="J2971" s="7"/>
      <c r="K2971" s="7"/>
      <c r="L2971" s="10">
        <v>5.1420118343195256</v>
      </c>
      <c r="M2971" s="9">
        <v>44995</v>
      </c>
      <c r="N2971" s="10">
        <v>7.5</v>
      </c>
      <c r="O2971" s="9">
        <v>45002</v>
      </c>
      <c r="P2971">
        <v>12</v>
      </c>
      <c r="Q2971" s="11" t="s">
        <v>49</v>
      </c>
      <c r="R2971" s="7">
        <v>20000</v>
      </c>
      <c r="S2971" s="7"/>
      <c r="T2971" s="7"/>
      <c r="U2971" s="7"/>
      <c r="V2971" s="10">
        <v>7.1420118343195256</v>
      </c>
      <c r="W2971" s="9">
        <v>44997</v>
      </c>
      <c r="X2971" s="10">
        <v>9.5</v>
      </c>
      <c r="Y2971" s="9">
        <v>45002</v>
      </c>
      <c r="Z2971">
        <v>12</v>
      </c>
      <c r="AA2971" s="11" t="s">
        <v>49</v>
      </c>
    </row>
    <row r="2972" spans="2:27" ht="16" x14ac:dyDescent="0.2">
      <c r="B2972" t="s">
        <v>35</v>
      </c>
      <c r="C2972">
        <v>40361442</v>
      </c>
      <c r="D2972" t="s">
        <v>386</v>
      </c>
      <c r="E2972">
        <v>1020853</v>
      </c>
      <c r="F2972" t="s">
        <v>262</v>
      </c>
      <c r="G2972" s="9">
        <v>44988</v>
      </c>
      <c r="H2972" s="7">
        <v>20000</v>
      </c>
      <c r="I2972" s="7"/>
      <c r="J2972" s="7"/>
      <c r="K2972" s="7"/>
      <c r="L2972" s="10">
        <v>5.1420118343195256</v>
      </c>
      <c r="M2972" s="9">
        <v>44993</v>
      </c>
      <c r="N2972" s="10">
        <v>7.5</v>
      </c>
      <c r="O2972" s="9">
        <v>45000</v>
      </c>
      <c r="P2972">
        <v>14</v>
      </c>
      <c r="Q2972" s="11" t="s">
        <v>49</v>
      </c>
      <c r="R2972" s="7">
        <v>20000</v>
      </c>
      <c r="S2972" s="7"/>
      <c r="T2972" s="7"/>
      <c r="U2972" s="7"/>
      <c r="V2972" s="10">
        <v>7.1420118343195256</v>
      </c>
      <c r="W2972" s="9">
        <v>44995</v>
      </c>
      <c r="X2972" s="10">
        <v>9.5</v>
      </c>
      <c r="Y2972" s="9">
        <v>45000</v>
      </c>
      <c r="Z2972">
        <v>14</v>
      </c>
      <c r="AA2972" s="11" t="s">
        <v>49</v>
      </c>
    </row>
    <row r="2973" spans="2:27" ht="16" x14ac:dyDescent="0.2">
      <c r="B2973" t="s">
        <v>35</v>
      </c>
      <c r="C2973">
        <v>40361441</v>
      </c>
      <c r="D2973" t="s">
        <v>386</v>
      </c>
      <c r="E2973">
        <v>1020853</v>
      </c>
      <c r="F2973" t="s">
        <v>262</v>
      </c>
      <c r="G2973" s="9">
        <v>44995</v>
      </c>
      <c r="H2973" s="7">
        <v>3200</v>
      </c>
      <c r="I2973" s="7"/>
      <c r="J2973" s="7"/>
      <c r="K2973" s="7"/>
      <c r="L2973" s="10">
        <v>5.1420118343195256</v>
      </c>
      <c r="M2973" s="9">
        <v>45000</v>
      </c>
      <c r="N2973" s="10">
        <v>7.5</v>
      </c>
      <c r="O2973" s="9">
        <v>45007</v>
      </c>
      <c r="P2973">
        <v>8</v>
      </c>
      <c r="Q2973" s="11" t="s">
        <v>49</v>
      </c>
      <c r="R2973" s="7">
        <v>3200</v>
      </c>
      <c r="S2973" s="7"/>
      <c r="T2973" s="7"/>
      <c r="U2973" s="7"/>
      <c r="V2973" s="10">
        <v>7.1420118343195256</v>
      </c>
      <c r="W2973" s="9">
        <v>45002</v>
      </c>
      <c r="X2973" s="10">
        <v>9.5</v>
      </c>
      <c r="Y2973" s="9">
        <v>45007</v>
      </c>
      <c r="Z2973">
        <v>8</v>
      </c>
      <c r="AA2973" s="11" t="s">
        <v>49</v>
      </c>
    </row>
    <row r="2974" spans="2:27" ht="16" x14ac:dyDescent="0.2">
      <c r="B2974" t="s">
        <v>35</v>
      </c>
      <c r="C2974">
        <v>40361441</v>
      </c>
      <c r="D2974" t="s">
        <v>386</v>
      </c>
      <c r="E2974">
        <v>1020853</v>
      </c>
      <c r="F2974" t="s">
        <v>262</v>
      </c>
      <c r="G2974" s="9">
        <v>44995</v>
      </c>
      <c r="H2974" s="7">
        <v>20000</v>
      </c>
      <c r="I2974" s="7"/>
      <c r="J2974" s="7"/>
      <c r="K2974" s="7"/>
      <c r="L2974" s="10">
        <v>5.1420118343195256</v>
      </c>
      <c r="M2974" s="9">
        <v>45000</v>
      </c>
      <c r="N2974" s="10">
        <v>7.5</v>
      </c>
      <c r="O2974" s="9">
        <v>45007</v>
      </c>
      <c r="P2974">
        <v>8</v>
      </c>
      <c r="Q2974" s="11" t="s">
        <v>49</v>
      </c>
      <c r="R2974" s="7">
        <v>20000</v>
      </c>
      <c r="S2974" s="7"/>
      <c r="T2974" s="7"/>
      <c r="U2974" s="7"/>
      <c r="V2974" s="10">
        <v>7.1420118343195256</v>
      </c>
      <c r="W2974" s="9">
        <v>45002</v>
      </c>
      <c r="X2974" s="10">
        <v>9.5</v>
      </c>
      <c r="Y2974" s="9">
        <v>45007</v>
      </c>
      <c r="Z2974">
        <v>8</v>
      </c>
      <c r="AA2974" s="11" t="s">
        <v>49</v>
      </c>
    </row>
    <row r="2975" spans="2:27" ht="16" x14ac:dyDescent="0.2">
      <c r="B2975" t="s">
        <v>35</v>
      </c>
      <c r="C2975">
        <v>40361440</v>
      </c>
      <c r="D2975" t="s">
        <v>386</v>
      </c>
      <c r="E2975">
        <v>1020853</v>
      </c>
      <c r="F2975" t="s">
        <v>262</v>
      </c>
      <c r="G2975" s="9">
        <v>44995</v>
      </c>
      <c r="H2975" s="7">
        <v>20000</v>
      </c>
      <c r="I2975" s="7"/>
      <c r="J2975" s="7"/>
      <c r="K2975" s="7"/>
      <c r="L2975" s="10">
        <v>5.1420118343195256</v>
      </c>
      <c r="M2975" s="9">
        <v>45000</v>
      </c>
      <c r="N2975" s="10">
        <v>7.5</v>
      </c>
      <c r="O2975" s="9">
        <v>45007</v>
      </c>
      <c r="P2975">
        <v>8</v>
      </c>
      <c r="Q2975" s="11" t="s">
        <v>49</v>
      </c>
      <c r="R2975" s="7">
        <v>20000</v>
      </c>
      <c r="S2975" s="7"/>
      <c r="T2975" s="7"/>
      <c r="U2975" s="7"/>
      <c r="V2975" s="10">
        <v>7.1420118343195256</v>
      </c>
      <c r="W2975" s="9">
        <v>45002</v>
      </c>
      <c r="X2975" s="10">
        <v>9.5</v>
      </c>
      <c r="Y2975" s="9">
        <v>45007</v>
      </c>
      <c r="Z2975">
        <v>8</v>
      </c>
      <c r="AA2975" s="11" t="s">
        <v>49</v>
      </c>
    </row>
    <row r="2976" spans="2:27" ht="16" x14ac:dyDescent="0.2">
      <c r="B2976" t="s">
        <v>35</v>
      </c>
      <c r="C2976">
        <v>40361248</v>
      </c>
      <c r="D2976" t="s">
        <v>409</v>
      </c>
      <c r="E2976">
        <v>1030379</v>
      </c>
      <c r="F2976" t="s">
        <v>97</v>
      </c>
      <c r="G2976" s="9">
        <v>44983</v>
      </c>
      <c r="H2976" s="7">
        <v>24022.232319999999</v>
      </c>
      <c r="I2976" s="7"/>
      <c r="J2976" s="7"/>
      <c r="K2976" s="7"/>
      <c r="L2976" s="10">
        <v>7.5</v>
      </c>
      <c r="M2976" s="9">
        <v>44990</v>
      </c>
      <c r="N2976" s="10">
        <v>9.5</v>
      </c>
      <c r="O2976" s="9">
        <v>44999</v>
      </c>
      <c r="P2976">
        <v>15</v>
      </c>
      <c r="Q2976" s="11" t="s">
        <v>49</v>
      </c>
      <c r="R2976" s="7">
        <v>24022.232319999999</v>
      </c>
      <c r="S2976" s="7"/>
      <c r="T2976" s="7"/>
      <c r="U2976" s="7"/>
      <c r="V2976" s="10">
        <v>9.5</v>
      </c>
      <c r="W2976" s="9">
        <v>44992</v>
      </c>
      <c r="X2976" s="10">
        <v>11.5</v>
      </c>
      <c r="Y2976" s="9">
        <v>44999</v>
      </c>
      <c r="Z2976">
        <v>15</v>
      </c>
      <c r="AA2976" s="11" t="s">
        <v>49</v>
      </c>
    </row>
    <row r="2977" spans="2:27" ht="16" x14ac:dyDescent="0.2">
      <c r="B2977" t="s">
        <v>35</v>
      </c>
      <c r="C2977">
        <v>40361245</v>
      </c>
      <c r="D2977" t="s">
        <v>409</v>
      </c>
      <c r="E2977">
        <v>1021538</v>
      </c>
      <c r="F2977" t="s">
        <v>256</v>
      </c>
      <c r="G2977" s="9">
        <v>44983</v>
      </c>
      <c r="H2977" s="7">
        <v>24009.24598</v>
      </c>
      <c r="I2977" s="7"/>
      <c r="J2977" s="7"/>
      <c r="K2977" s="7"/>
      <c r="L2977" s="10">
        <v>7.5</v>
      </c>
      <c r="M2977" s="9">
        <v>44990</v>
      </c>
      <c r="N2977" s="10">
        <v>9.5</v>
      </c>
      <c r="O2977" s="9">
        <v>44999</v>
      </c>
      <c r="P2977">
        <v>15</v>
      </c>
      <c r="Q2977" s="11" t="s">
        <v>49</v>
      </c>
      <c r="R2977" s="7">
        <v>24009.24598</v>
      </c>
      <c r="S2977" s="7"/>
      <c r="T2977" s="7"/>
      <c r="U2977" s="7"/>
      <c r="V2977" s="10">
        <v>9.5</v>
      </c>
      <c r="W2977" s="9">
        <v>44992</v>
      </c>
      <c r="X2977" s="10">
        <v>11.5</v>
      </c>
      <c r="Y2977" s="9">
        <v>44999</v>
      </c>
      <c r="Z2977">
        <v>15</v>
      </c>
      <c r="AA2977" s="11" t="s">
        <v>49</v>
      </c>
    </row>
    <row r="2978" spans="2:27" x14ac:dyDescent="0.2">
      <c r="B2978" t="s">
        <v>394</v>
      </c>
      <c r="C2978">
        <v>40361225</v>
      </c>
      <c r="D2978" t="s">
        <v>485</v>
      </c>
      <c r="E2978">
        <v>1020848</v>
      </c>
      <c r="F2978" t="s">
        <v>503</v>
      </c>
      <c r="G2978" s="9">
        <v>44976</v>
      </c>
      <c r="H2978" s="7"/>
      <c r="I2978" s="7"/>
      <c r="J2978" s="7"/>
      <c r="K2978" s="7"/>
      <c r="L2978" s="10"/>
      <c r="N2978" s="10"/>
      <c r="Q2978" s="11"/>
      <c r="R2978" s="7"/>
      <c r="S2978" s="7"/>
      <c r="T2978" s="7"/>
      <c r="U2978" s="7"/>
      <c r="V2978" s="10"/>
      <c r="X2978" s="10"/>
      <c r="AA2978" s="11"/>
    </row>
    <row r="2979" spans="2:27" ht="16" x14ac:dyDescent="0.2">
      <c r="B2979" t="s">
        <v>35</v>
      </c>
      <c r="C2979">
        <v>40361206</v>
      </c>
      <c r="D2979" t="s">
        <v>409</v>
      </c>
      <c r="E2979">
        <v>1012161</v>
      </c>
      <c r="F2979" t="s">
        <v>101</v>
      </c>
      <c r="G2979" s="9">
        <v>44983</v>
      </c>
      <c r="H2979" s="7">
        <v>19958.047999999999</v>
      </c>
      <c r="I2979" s="7"/>
      <c r="J2979" s="7"/>
      <c r="K2979" s="7"/>
      <c r="L2979" s="10">
        <v>7.5</v>
      </c>
      <c r="M2979" s="9">
        <v>44990</v>
      </c>
      <c r="N2979" s="10">
        <v>9.5</v>
      </c>
      <c r="O2979" s="9">
        <v>44999</v>
      </c>
      <c r="P2979">
        <v>15</v>
      </c>
      <c r="Q2979" s="11" t="s">
        <v>49</v>
      </c>
      <c r="R2979" s="7">
        <v>19958.047999999999</v>
      </c>
      <c r="S2979" s="7"/>
      <c r="T2979" s="7"/>
      <c r="U2979" s="7"/>
      <c r="V2979" s="10">
        <v>9.5</v>
      </c>
      <c r="W2979" s="9">
        <v>44992</v>
      </c>
      <c r="X2979" s="10">
        <v>11.5</v>
      </c>
      <c r="Y2979" s="9">
        <v>44999</v>
      </c>
      <c r="Z2979">
        <v>15</v>
      </c>
      <c r="AA2979" s="11" t="s">
        <v>49</v>
      </c>
    </row>
    <row r="2980" spans="2:27" ht="16" x14ac:dyDescent="0.2">
      <c r="B2980" t="s">
        <v>35</v>
      </c>
      <c r="C2980">
        <v>40361204</v>
      </c>
      <c r="D2980" t="s">
        <v>409</v>
      </c>
      <c r="E2980">
        <v>1012160</v>
      </c>
      <c r="F2980" t="s">
        <v>72</v>
      </c>
      <c r="G2980" s="9">
        <v>44991</v>
      </c>
      <c r="H2980" s="7">
        <v>8436.8112000000001</v>
      </c>
      <c r="I2980" s="7"/>
      <c r="J2980" s="7"/>
      <c r="K2980" s="7"/>
      <c r="L2980" s="10">
        <v>7.5</v>
      </c>
      <c r="M2980" s="9">
        <v>44998</v>
      </c>
      <c r="N2980" s="10">
        <v>9.5</v>
      </c>
      <c r="O2980" s="9">
        <v>45007</v>
      </c>
      <c r="P2980">
        <v>8</v>
      </c>
      <c r="Q2980" s="11" t="s">
        <v>49</v>
      </c>
      <c r="R2980" s="7">
        <v>8436.8112000000001</v>
      </c>
      <c r="S2980" s="7"/>
      <c r="T2980" s="7"/>
      <c r="U2980" s="7"/>
      <c r="V2980" s="10">
        <v>9.5</v>
      </c>
      <c r="W2980" s="9">
        <v>45000</v>
      </c>
      <c r="X2980" s="10">
        <v>11.5</v>
      </c>
      <c r="Y2980" s="9">
        <v>45007</v>
      </c>
      <c r="Z2980">
        <v>8</v>
      </c>
      <c r="AA2980" s="11" t="s">
        <v>49</v>
      </c>
    </row>
    <row r="2981" spans="2:27" ht="16" x14ac:dyDescent="0.2">
      <c r="B2981" t="s">
        <v>35</v>
      </c>
      <c r="C2981">
        <v>40361204</v>
      </c>
      <c r="D2981" t="s">
        <v>409</v>
      </c>
      <c r="E2981">
        <v>1012160</v>
      </c>
      <c r="F2981" t="s">
        <v>72</v>
      </c>
      <c r="G2981" s="9">
        <v>44991</v>
      </c>
      <c r="H2981" s="7">
        <v>18415.835200000001</v>
      </c>
      <c r="I2981" s="7"/>
      <c r="J2981" s="7"/>
      <c r="K2981" s="7"/>
      <c r="L2981" s="10">
        <v>7.5</v>
      </c>
      <c r="M2981" s="9">
        <v>44998</v>
      </c>
      <c r="N2981" s="10">
        <v>9.5</v>
      </c>
      <c r="O2981" s="9">
        <v>45007</v>
      </c>
      <c r="P2981">
        <v>8</v>
      </c>
      <c r="Q2981" s="11" t="s">
        <v>49</v>
      </c>
      <c r="R2981" s="7">
        <v>18415.835200000001</v>
      </c>
      <c r="S2981" s="7"/>
      <c r="T2981" s="7"/>
      <c r="U2981" s="7"/>
      <c r="V2981" s="10">
        <v>9.5</v>
      </c>
      <c r="W2981" s="9">
        <v>45000</v>
      </c>
      <c r="X2981" s="10">
        <v>11.5</v>
      </c>
      <c r="Y2981" s="9">
        <v>45007</v>
      </c>
      <c r="Z2981">
        <v>8</v>
      </c>
      <c r="AA2981" s="11" t="s">
        <v>49</v>
      </c>
    </row>
    <row r="2982" spans="2:27" ht="16" x14ac:dyDescent="0.2">
      <c r="B2982" t="s">
        <v>35</v>
      </c>
      <c r="C2982">
        <v>40361195</v>
      </c>
      <c r="D2982" t="s">
        <v>409</v>
      </c>
      <c r="E2982">
        <v>1012157</v>
      </c>
      <c r="F2982" t="s">
        <v>99</v>
      </c>
      <c r="G2982" s="9">
        <v>44982</v>
      </c>
      <c r="H2982" s="7">
        <v>19958.047999999999</v>
      </c>
      <c r="I2982" s="7"/>
      <c r="J2982" s="7"/>
      <c r="K2982" s="7"/>
      <c r="L2982" s="10">
        <v>7.5</v>
      </c>
      <c r="M2982" s="9">
        <v>44989</v>
      </c>
      <c r="N2982" s="10">
        <v>9.5</v>
      </c>
      <c r="O2982" s="9">
        <v>44998</v>
      </c>
      <c r="P2982">
        <v>16</v>
      </c>
      <c r="Q2982" s="11" t="s">
        <v>49</v>
      </c>
      <c r="R2982" s="7">
        <v>19958.047999999999</v>
      </c>
      <c r="S2982" s="7"/>
      <c r="T2982" s="7"/>
      <c r="U2982" s="7"/>
      <c r="V2982" s="10">
        <v>9.5</v>
      </c>
      <c r="W2982" s="9">
        <v>44991</v>
      </c>
      <c r="X2982" s="10">
        <v>11.5</v>
      </c>
      <c r="Y2982" s="9">
        <v>44998</v>
      </c>
      <c r="Z2982">
        <v>16</v>
      </c>
      <c r="AA2982" s="11" t="s">
        <v>49</v>
      </c>
    </row>
    <row r="2983" spans="2:27" x14ac:dyDescent="0.2">
      <c r="B2983" t="s">
        <v>394</v>
      </c>
      <c r="C2983">
        <v>40361182</v>
      </c>
      <c r="D2983" t="s">
        <v>485</v>
      </c>
      <c r="E2983">
        <v>1023433</v>
      </c>
      <c r="F2983" t="s">
        <v>490</v>
      </c>
      <c r="G2983" s="9">
        <v>44976</v>
      </c>
      <c r="H2983" s="7"/>
      <c r="I2983" s="7"/>
      <c r="J2983" s="7"/>
      <c r="K2983" s="7"/>
      <c r="L2983" s="10"/>
      <c r="N2983" s="10"/>
      <c r="Q2983" s="11"/>
      <c r="R2983" s="7"/>
      <c r="S2983" s="7"/>
      <c r="T2983" s="7"/>
      <c r="U2983" s="7"/>
      <c r="V2983" s="10"/>
      <c r="X2983" s="10"/>
      <c r="AA2983" s="11"/>
    </row>
    <row r="2984" spans="2:27" x14ac:dyDescent="0.2">
      <c r="B2984" t="s">
        <v>394</v>
      </c>
      <c r="C2984">
        <v>40361180</v>
      </c>
      <c r="D2984" t="s">
        <v>485</v>
      </c>
      <c r="E2984">
        <v>1021976</v>
      </c>
      <c r="F2984" t="s">
        <v>512</v>
      </c>
      <c r="G2984" s="9">
        <v>44975</v>
      </c>
      <c r="H2984" s="7"/>
      <c r="I2984" s="7"/>
      <c r="J2984" s="7"/>
      <c r="K2984" s="7"/>
      <c r="L2984" s="10"/>
      <c r="N2984" s="10"/>
      <c r="Q2984" s="11"/>
      <c r="R2984" s="7"/>
      <c r="S2984" s="7"/>
      <c r="T2984" s="7"/>
      <c r="U2984" s="7"/>
      <c r="V2984" s="10"/>
      <c r="X2984" s="10"/>
      <c r="AA2984" s="11"/>
    </row>
    <row r="2985" spans="2:27" ht="16" x14ac:dyDescent="0.2">
      <c r="B2985" t="s">
        <v>35</v>
      </c>
      <c r="C2985">
        <v>40361149</v>
      </c>
      <c r="D2985" t="s">
        <v>409</v>
      </c>
      <c r="E2985">
        <v>1012110</v>
      </c>
      <c r="F2985" t="s">
        <v>109</v>
      </c>
      <c r="G2985" s="9">
        <v>44993</v>
      </c>
      <c r="H2985" s="7">
        <v>10650.34016</v>
      </c>
      <c r="I2985" s="7"/>
      <c r="J2985" s="7"/>
      <c r="K2985" s="7"/>
      <c r="L2985" s="10">
        <v>7.5</v>
      </c>
      <c r="M2985" s="9">
        <v>45000</v>
      </c>
      <c r="N2985" s="10">
        <v>9.5</v>
      </c>
      <c r="O2985" s="9">
        <v>45009</v>
      </c>
      <c r="P2985">
        <v>6</v>
      </c>
      <c r="Q2985" s="11" t="s">
        <v>49</v>
      </c>
      <c r="R2985" s="7">
        <v>10650.34016</v>
      </c>
      <c r="S2985" s="7"/>
      <c r="T2985" s="7"/>
      <c r="U2985" s="7"/>
      <c r="V2985" s="10">
        <v>9.5</v>
      </c>
      <c r="W2985" s="9">
        <v>45002</v>
      </c>
      <c r="X2985" s="10">
        <v>11.5</v>
      </c>
      <c r="Y2985" s="9">
        <v>45009</v>
      </c>
      <c r="Z2985">
        <v>6</v>
      </c>
      <c r="AA2985" s="11" t="s">
        <v>49</v>
      </c>
    </row>
    <row r="2986" spans="2:27" ht="16" x14ac:dyDescent="0.2">
      <c r="B2986" t="s">
        <v>35</v>
      </c>
      <c r="C2986">
        <v>40361149</v>
      </c>
      <c r="D2986" t="s">
        <v>409</v>
      </c>
      <c r="E2986">
        <v>1012107</v>
      </c>
      <c r="F2986" t="s">
        <v>215</v>
      </c>
      <c r="G2986" s="9">
        <v>44993</v>
      </c>
      <c r="H2986" s="7">
        <v>9307.7078399999991</v>
      </c>
      <c r="I2986" s="7"/>
      <c r="J2986" s="7"/>
      <c r="K2986" s="7"/>
      <c r="L2986" s="10">
        <v>7.5</v>
      </c>
      <c r="M2986" s="9">
        <v>45000</v>
      </c>
      <c r="N2986" s="10">
        <v>9.5</v>
      </c>
      <c r="O2986" s="9">
        <v>45009</v>
      </c>
      <c r="P2986">
        <v>6</v>
      </c>
      <c r="Q2986" s="11" t="s">
        <v>49</v>
      </c>
      <c r="R2986" s="7">
        <v>9307.7078399999991</v>
      </c>
      <c r="S2986" s="7"/>
      <c r="T2986" s="7"/>
      <c r="U2986" s="7"/>
      <c r="V2986" s="10">
        <v>9.5</v>
      </c>
      <c r="W2986" s="9">
        <v>45002</v>
      </c>
      <c r="X2986" s="10">
        <v>11.5</v>
      </c>
      <c r="Y2986" s="9">
        <v>45009</v>
      </c>
      <c r="Z2986">
        <v>6</v>
      </c>
      <c r="AA2986" s="11" t="s">
        <v>49</v>
      </c>
    </row>
    <row r="2987" spans="2:27" x14ac:dyDescent="0.2">
      <c r="B2987" t="s">
        <v>394</v>
      </c>
      <c r="C2987">
        <v>40361094</v>
      </c>
      <c r="D2987" t="s">
        <v>485</v>
      </c>
      <c r="E2987">
        <v>1020944</v>
      </c>
      <c r="F2987" t="s">
        <v>498</v>
      </c>
      <c r="G2987" s="9">
        <v>44976</v>
      </c>
      <c r="H2987" s="7"/>
      <c r="I2987" s="7"/>
      <c r="J2987" s="7"/>
      <c r="K2987" s="7"/>
      <c r="L2987" s="10"/>
      <c r="N2987" s="10"/>
      <c r="Q2987" s="11"/>
      <c r="R2987" s="7"/>
      <c r="S2987" s="7"/>
      <c r="T2987" s="7"/>
      <c r="U2987" s="7"/>
      <c r="V2987" s="10"/>
      <c r="X2987" s="10"/>
      <c r="AA2987" s="11"/>
    </row>
    <row r="2988" spans="2:27" x14ac:dyDescent="0.2">
      <c r="B2988" t="s">
        <v>394</v>
      </c>
      <c r="C2988">
        <v>40361093</v>
      </c>
      <c r="D2988" t="s">
        <v>485</v>
      </c>
      <c r="E2988">
        <v>1020944</v>
      </c>
      <c r="F2988" t="s">
        <v>498</v>
      </c>
      <c r="G2988" s="9">
        <v>44974</v>
      </c>
      <c r="H2988" s="7"/>
      <c r="I2988" s="7"/>
      <c r="J2988" s="7"/>
      <c r="K2988" s="7"/>
      <c r="L2988" s="10"/>
      <c r="N2988" s="10"/>
      <c r="Q2988" s="11"/>
      <c r="R2988" s="7"/>
      <c r="S2988" s="7"/>
      <c r="T2988" s="7"/>
      <c r="U2988" s="7"/>
      <c r="V2988" s="10"/>
      <c r="X2988" s="10"/>
      <c r="AA2988" s="11"/>
    </row>
    <row r="2989" spans="2:27" x14ac:dyDescent="0.2">
      <c r="B2989" t="s">
        <v>394</v>
      </c>
      <c r="C2989">
        <v>40360792</v>
      </c>
      <c r="D2989" t="s">
        <v>485</v>
      </c>
      <c r="E2989">
        <v>1020944</v>
      </c>
      <c r="F2989" t="s">
        <v>498</v>
      </c>
      <c r="G2989" s="9">
        <v>44970</v>
      </c>
      <c r="H2989" s="7"/>
      <c r="I2989" s="7"/>
      <c r="J2989" s="7"/>
      <c r="K2989" s="7"/>
      <c r="L2989" s="10"/>
      <c r="N2989" s="10"/>
      <c r="Q2989" s="11"/>
      <c r="R2989" s="7"/>
      <c r="S2989" s="7"/>
      <c r="T2989" s="7"/>
      <c r="U2989" s="7"/>
      <c r="V2989" s="10"/>
      <c r="X2989" s="10"/>
      <c r="AA2989" s="11"/>
    </row>
    <row r="2990" spans="2:27" ht="16" x14ac:dyDescent="0.2">
      <c r="B2990" t="s">
        <v>35</v>
      </c>
      <c r="C2990">
        <v>40360758</v>
      </c>
      <c r="D2990" t="s">
        <v>389</v>
      </c>
      <c r="E2990">
        <v>1022753</v>
      </c>
      <c r="F2990" t="s">
        <v>320</v>
      </c>
      <c r="G2990" s="9">
        <v>45007</v>
      </c>
      <c r="H2990" s="7"/>
      <c r="I2990" s="7">
        <v>3040</v>
      </c>
      <c r="J2990" s="7"/>
      <c r="K2990" s="7"/>
      <c r="L2990" s="10">
        <v>5.5741092456127026</v>
      </c>
      <c r="M2990" s="9">
        <v>45012</v>
      </c>
      <c r="N2990" s="10">
        <v>5.5</v>
      </c>
      <c r="O2990" s="9">
        <v>45017</v>
      </c>
      <c r="P2990">
        <v>23</v>
      </c>
      <c r="Q2990" s="11" t="s">
        <v>49</v>
      </c>
      <c r="R2990" s="7"/>
      <c r="S2990" s="7">
        <v>3040</v>
      </c>
      <c r="T2990" s="7"/>
      <c r="U2990" s="7"/>
      <c r="V2990" s="10">
        <v>7.5741092456127026</v>
      </c>
      <c r="W2990" s="9">
        <v>45014</v>
      </c>
      <c r="X2990" s="10">
        <v>7.5</v>
      </c>
      <c r="Y2990" s="9">
        <v>45017</v>
      </c>
      <c r="Z2990">
        <v>23</v>
      </c>
      <c r="AA2990" s="11" t="s">
        <v>49</v>
      </c>
    </row>
    <row r="2991" spans="2:27" ht="16" x14ac:dyDescent="0.2">
      <c r="B2991" t="s">
        <v>35</v>
      </c>
      <c r="C2991">
        <v>40360758</v>
      </c>
      <c r="D2991" t="s">
        <v>389</v>
      </c>
      <c r="E2991">
        <v>1022753</v>
      </c>
      <c r="F2991" t="s">
        <v>320</v>
      </c>
      <c r="G2991" s="9">
        <v>45007</v>
      </c>
      <c r="H2991" s="7"/>
      <c r="I2991" s="7">
        <v>25000</v>
      </c>
      <c r="J2991" s="7"/>
      <c r="K2991" s="7"/>
      <c r="L2991" s="10">
        <v>5.5741092456127026</v>
      </c>
      <c r="M2991" s="9">
        <v>45012</v>
      </c>
      <c r="N2991" s="10">
        <v>5.5</v>
      </c>
      <c r="O2991" s="9">
        <v>45017</v>
      </c>
      <c r="P2991">
        <v>23</v>
      </c>
      <c r="Q2991" s="11" t="s">
        <v>49</v>
      </c>
      <c r="R2991" s="7"/>
      <c r="S2991" s="7">
        <v>25000</v>
      </c>
      <c r="T2991" s="7"/>
      <c r="U2991" s="7"/>
      <c r="V2991" s="10">
        <v>7.5741092456127026</v>
      </c>
      <c r="W2991" s="9">
        <v>45014</v>
      </c>
      <c r="X2991" s="10">
        <v>7.5</v>
      </c>
      <c r="Y2991" s="9">
        <v>45017</v>
      </c>
      <c r="Z2991">
        <v>23</v>
      </c>
      <c r="AA2991" s="11" t="s">
        <v>49</v>
      </c>
    </row>
    <row r="2992" spans="2:27" ht="16" x14ac:dyDescent="0.2">
      <c r="B2992" t="s">
        <v>35</v>
      </c>
      <c r="C2992">
        <v>40360757</v>
      </c>
      <c r="D2992" t="s">
        <v>389</v>
      </c>
      <c r="E2992">
        <v>1022753</v>
      </c>
      <c r="F2992" t="s">
        <v>320</v>
      </c>
      <c r="G2992" s="9">
        <v>45005</v>
      </c>
      <c r="H2992" s="7">
        <v>12000</v>
      </c>
      <c r="I2992" s="7"/>
      <c r="J2992" s="7"/>
      <c r="K2992" s="7"/>
      <c r="L2992" s="10">
        <v>5.5741092456127026</v>
      </c>
      <c r="M2992" s="9">
        <v>45010</v>
      </c>
      <c r="N2992" s="10">
        <v>5.5</v>
      </c>
      <c r="O2992" s="9">
        <v>45015</v>
      </c>
      <c r="P2992">
        <v>1</v>
      </c>
      <c r="Q2992" s="11" t="s">
        <v>598</v>
      </c>
      <c r="R2992" s="7">
        <v>12000</v>
      </c>
      <c r="S2992" s="7"/>
      <c r="T2992" s="7"/>
      <c r="U2992" s="7"/>
      <c r="V2992" s="10">
        <v>7.5741092456127026</v>
      </c>
      <c r="W2992" s="9">
        <v>45012</v>
      </c>
      <c r="X2992" s="10">
        <v>7.5</v>
      </c>
      <c r="Y2992" s="9">
        <v>45015</v>
      </c>
      <c r="Z2992">
        <v>1</v>
      </c>
      <c r="AA2992" s="11" t="s">
        <v>598</v>
      </c>
    </row>
    <row r="2993" spans="2:27" ht="16" x14ac:dyDescent="0.2">
      <c r="B2993" t="s">
        <v>35</v>
      </c>
      <c r="C2993">
        <v>40360757</v>
      </c>
      <c r="D2993" t="s">
        <v>389</v>
      </c>
      <c r="E2993">
        <v>1022753</v>
      </c>
      <c r="F2993" t="s">
        <v>320</v>
      </c>
      <c r="G2993" s="9">
        <v>45005</v>
      </c>
      <c r="H2993" s="7">
        <v>24000</v>
      </c>
      <c r="I2993" s="7"/>
      <c r="J2993" s="7"/>
      <c r="K2993" s="7"/>
      <c r="L2993" s="10">
        <v>5.5741092456127026</v>
      </c>
      <c r="M2993" s="9">
        <v>45010</v>
      </c>
      <c r="N2993" s="10">
        <v>5.5</v>
      </c>
      <c r="O2993" s="9">
        <v>45015</v>
      </c>
      <c r="P2993">
        <v>1</v>
      </c>
      <c r="Q2993" s="11" t="s">
        <v>598</v>
      </c>
      <c r="R2993" s="7">
        <v>24000</v>
      </c>
      <c r="S2993" s="7"/>
      <c r="T2993" s="7"/>
      <c r="U2993" s="7"/>
      <c r="V2993" s="10">
        <v>7.5741092456127026</v>
      </c>
      <c r="W2993" s="9">
        <v>45012</v>
      </c>
      <c r="X2993" s="10">
        <v>7.5</v>
      </c>
      <c r="Y2993" s="9">
        <v>45015</v>
      </c>
      <c r="Z2993">
        <v>1</v>
      </c>
      <c r="AA2993" s="11" t="s">
        <v>598</v>
      </c>
    </row>
    <row r="2994" spans="2:27" ht="16" x14ac:dyDescent="0.2">
      <c r="B2994" t="s">
        <v>35</v>
      </c>
      <c r="C2994">
        <v>40360756</v>
      </c>
      <c r="D2994" t="s">
        <v>389</v>
      </c>
      <c r="E2994">
        <v>1022753</v>
      </c>
      <c r="F2994" t="s">
        <v>320</v>
      </c>
      <c r="G2994" s="9">
        <v>45011</v>
      </c>
      <c r="H2994" s="7"/>
      <c r="I2994" s="7">
        <v>20600</v>
      </c>
      <c r="J2994" s="7"/>
      <c r="K2994" s="7"/>
      <c r="L2994" s="10">
        <v>5.5741092456127026</v>
      </c>
      <c r="M2994" s="9">
        <v>45016</v>
      </c>
      <c r="N2994" s="10">
        <v>5.5</v>
      </c>
      <c r="O2994" s="9">
        <v>45021</v>
      </c>
      <c r="P2994">
        <v>21</v>
      </c>
      <c r="Q2994" s="11" t="s">
        <v>49</v>
      </c>
      <c r="R2994" s="7"/>
      <c r="S2994" s="7">
        <v>20600</v>
      </c>
      <c r="T2994" s="7"/>
      <c r="U2994" s="7"/>
      <c r="V2994" s="10">
        <v>7.5741092456127026</v>
      </c>
      <c r="W2994" s="9">
        <v>45018</v>
      </c>
      <c r="X2994" s="10">
        <v>7.5</v>
      </c>
      <c r="Y2994" s="9">
        <v>45021</v>
      </c>
      <c r="Z2994">
        <v>21</v>
      </c>
      <c r="AA2994" s="11" t="s">
        <v>49</v>
      </c>
    </row>
    <row r="2995" spans="2:27" ht="16" x14ac:dyDescent="0.2">
      <c r="B2995" t="s">
        <v>35</v>
      </c>
      <c r="C2995">
        <v>40360756</v>
      </c>
      <c r="D2995" t="s">
        <v>389</v>
      </c>
      <c r="E2995">
        <v>1022753</v>
      </c>
      <c r="F2995" t="s">
        <v>320</v>
      </c>
      <c r="G2995" s="9">
        <v>45011</v>
      </c>
      <c r="H2995" s="7"/>
      <c r="I2995" s="7">
        <v>25000</v>
      </c>
      <c r="J2995" s="7"/>
      <c r="K2995" s="7"/>
      <c r="L2995" s="10">
        <v>5.5741092456127026</v>
      </c>
      <c r="M2995" s="9">
        <v>45016</v>
      </c>
      <c r="N2995" s="10">
        <v>5.5</v>
      </c>
      <c r="O2995" s="9">
        <v>45021</v>
      </c>
      <c r="P2995">
        <v>21</v>
      </c>
      <c r="Q2995" s="11" t="s">
        <v>49</v>
      </c>
      <c r="R2995" s="7"/>
      <c r="S2995" s="7">
        <v>25000</v>
      </c>
      <c r="T2995" s="7"/>
      <c r="U2995" s="7"/>
      <c r="V2995" s="10">
        <v>7.5741092456127026</v>
      </c>
      <c r="W2995" s="9">
        <v>45018</v>
      </c>
      <c r="X2995" s="10">
        <v>7.5</v>
      </c>
      <c r="Y2995" s="9">
        <v>45021</v>
      </c>
      <c r="Z2995">
        <v>21</v>
      </c>
      <c r="AA2995" s="11" t="s">
        <v>49</v>
      </c>
    </row>
    <row r="2996" spans="2:27" x14ac:dyDescent="0.2">
      <c r="B2996" t="s">
        <v>394</v>
      </c>
      <c r="C2996">
        <v>40360597</v>
      </c>
      <c r="D2996" t="s">
        <v>485</v>
      </c>
      <c r="E2996">
        <v>1011558</v>
      </c>
      <c r="F2996" t="s">
        <v>603</v>
      </c>
      <c r="G2996" s="9">
        <v>44981</v>
      </c>
      <c r="H2996" s="7"/>
      <c r="I2996" s="7"/>
      <c r="J2996" s="7"/>
      <c r="K2996" s="7"/>
      <c r="L2996" s="10"/>
      <c r="N2996" s="10"/>
      <c r="Q2996" s="11"/>
      <c r="R2996" s="7"/>
      <c r="S2996" s="7"/>
      <c r="T2996" s="7"/>
      <c r="U2996" s="7"/>
      <c r="V2996" s="10"/>
      <c r="X2996" s="10"/>
      <c r="AA2996" s="11"/>
    </row>
    <row r="2997" spans="2:27" x14ac:dyDescent="0.2">
      <c r="B2997" t="s">
        <v>394</v>
      </c>
      <c r="C2997">
        <v>40360596</v>
      </c>
      <c r="D2997" t="s">
        <v>485</v>
      </c>
      <c r="E2997">
        <v>1011558</v>
      </c>
      <c r="F2997" t="s">
        <v>603</v>
      </c>
      <c r="G2997" s="9">
        <v>44981</v>
      </c>
      <c r="H2997" s="7"/>
      <c r="I2997" s="7"/>
      <c r="J2997" s="7"/>
      <c r="K2997" s="7"/>
      <c r="L2997" s="10"/>
      <c r="N2997" s="10"/>
      <c r="Q2997" s="11"/>
      <c r="R2997" s="7"/>
      <c r="S2997" s="7"/>
      <c r="T2997" s="7"/>
      <c r="U2997" s="7"/>
      <c r="V2997" s="10"/>
      <c r="X2997" s="10"/>
      <c r="AA2997" s="11"/>
    </row>
    <row r="2998" spans="2:27" x14ac:dyDescent="0.2">
      <c r="B2998" t="s">
        <v>394</v>
      </c>
      <c r="C2998">
        <v>40360595</v>
      </c>
      <c r="D2998" t="s">
        <v>485</v>
      </c>
      <c r="E2998">
        <v>1011558</v>
      </c>
      <c r="F2998" t="s">
        <v>603</v>
      </c>
      <c r="G2998" s="9">
        <v>44980</v>
      </c>
      <c r="H2998" s="7"/>
      <c r="I2998" s="7"/>
      <c r="J2998" s="7"/>
      <c r="K2998" s="7"/>
      <c r="L2998" s="10"/>
      <c r="N2998" s="10"/>
      <c r="Q2998" s="11"/>
      <c r="R2998" s="7"/>
      <c r="S2998" s="7"/>
      <c r="T2998" s="7"/>
      <c r="U2998" s="7"/>
      <c r="V2998" s="10"/>
      <c r="X2998" s="10"/>
      <c r="AA2998" s="11"/>
    </row>
    <row r="2999" spans="2:27" x14ac:dyDescent="0.2">
      <c r="B2999" t="s">
        <v>394</v>
      </c>
      <c r="C2999">
        <v>40360594</v>
      </c>
      <c r="D2999" t="s">
        <v>485</v>
      </c>
      <c r="E2999">
        <v>1011558</v>
      </c>
      <c r="F2999" t="s">
        <v>603</v>
      </c>
      <c r="G2999" s="9">
        <v>44980</v>
      </c>
      <c r="H2999" s="7"/>
      <c r="I2999" s="7"/>
      <c r="J2999" s="7"/>
      <c r="K2999" s="7"/>
      <c r="L2999" s="10"/>
      <c r="N2999" s="10"/>
      <c r="Q2999" s="11"/>
      <c r="R2999" s="7"/>
      <c r="S2999" s="7"/>
      <c r="T2999" s="7"/>
      <c r="U2999" s="7"/>
      <c r="V2999" s="10"/>
      <c r="X2999" s="10"/>
      <c r="AA2999" s="11"/>
    </row>
    <row r="3000" spans="2:27" x14ac:dyDescent="0.2">
      <c r="B3000" t="s">
        <v>394</v>
      </c>
      <c r="C3000">
        <v>40360590</v>
      </c>
      <c r="D3000" t="s">
        <v>485</v>
      </c>
      <c r="E3000">
        <v>1011558</v>
      </c>
      <c r="F3000" t="s">
        <v>603</v>
      </c>
      <c r="G3000" s="9">
        <v>44980</v>
      </c>
      <c r="H3000" s="7"/>
      <c r="I3000" s="7"/>
      <c r="J3000" s="7"/>
      <c r="K3000" s="7"/>
      <c r="L3000" s="10"/>
      <c r="N3000" s="10"/>
      <c r="Q3000" s="11"/>
      <c r="R3000" s="7"/>
      <c r="S3000" s="7"/>
      <c r="T3000" s="7"/>
      <c r="U3000" s="7"/>
      <c r="V3000" s="10"/>
      <c r="X3000" s="10"/>
      <c r="AA3000" s="11"/>
    </row>
    <row r="3001" spans="2:27" x14ac:dyDescent="0.2">
      <c r="B3001" t="s">
        <v>394</v>
      </c>
      <c r="C3001">
        <v>40360534</v>
      </c>
      <c r="D3001" t="s">
        <v>485</v>
      </c>
      <c r="E3001">
        <v>1030817</v>
      </c>
      <c r="F3001" t="s">
        <v>504</v>
      </c>
      <c r="G3001" s="9">
        <v>44970</v>
      </c>
      <c r="H3001" s="7"/>
      <c r="I3001" s="7"/>
      <c r="J3001" s="7"/>
      <c r="K3001" s="7"/>
      <c r="L3001" s="10"/>
      <c r="N3001" s="10"/>
      <c r="Q3001" s="11"/>
      <c r="R3001" s="7"/>
      <c r="S3001" s="7"/>
      <c r="T3001" s="7"/>
      <c r="U3001" s="7"/>
      <c r="V3001" s="10"/>
      <c r="X3001" s="10"/>
      <c r="AA3001" s="11"/>
    </row>
    <row r="3002" spans="2:27" x14ac:dyDescent="0.2">
      <c r="B3002" t="s">
        <v>394</v>
      </c>
      <c r="C3002">
        <v>40360509</v>
      </c>
      <c r="D3002" t="s">
        <v>485</v>
      </c>
      <c r="E3002">
        <v>1012432</v>
      </c>
      <c r="F3002" t="s">
        <v>605</v>
      </c>
      <c r="G3002" s="9">
        <v>44966</v>
      </c>
      <c r="H3002" s="7"/>
      <c r="I3002" s="7"/>
      <c r="J3002" s="7"/>
      <c r="K3002" s="7"/>
      <c r="L3002" s="10"/>
      <c r="N3002" s="10"/>
      <c r="Q3002" s="11"/>
      <c r="R3002" s="7"/>
      <c r="S3002" s="7"/>
      <c r="T3002" s="7"/>
      <c r="U3002" s="7"/>
      <c r="V3002" s="10"/>
      <c r="X3002" s="10"/>
      <c r="AA3002" s="11"/>
    </row>
    <row r="3003" spans="2:27" x14ac:dyDescent="0.2">
      <c r="B3003" t="s">
        <v>394</v>
      </c>
      <c r="C3003">
        <v>40360507</v>
      </c>
      <c r="D3003" t="s">
        <v>485</v>
      </c>
      <c r="E3003">
        <v>1020944</v>
      </c>
      <c r="F3003" t="s">
        <v>498</v>
      </c>
      <c r="G3003" s="9">
        <v>44980</v>
      </c>
      <c r="H3003" s="7"/>
      <c r="I3003" s="7"/>
      <c r="J3003" s="7"/>
      <c r="K3003" s="7"/>
      <c r="L3003" s="10"/>
      <c r="N3003" s="10"/>
      <c r="Q3003" s="11"/>
      <c r="R3003" s="7"/>
      <c r="S3003" s="7"/>
      <c r="T3003" s="7"/>
      <c r="U3003" s="7"/>
      <c r="V3003" s="10"/>
      <c r="X3003" s="10"/>
      <c r="AA3003" s="11"/>
    </row>
    <row r="3004" spans="2:27" x14ac:dyDescent="0.2">
      <c r="B3004" t="s">
        <v>394</v>
      </c>
      <c r="C3004">
        <v>40359974</v>
      </c>
      <c r="D3004" t="s">
        <v>485</v>
      </c>
      <c r="E3004">
        <v>1011421</v>
      </c>
      <c r="F3004" t="s">
        <v>484</v>
      </c>
      <c r="G3004" s="9">
        <v>44975</v>
      </c>
      <c r="H3004" s="7"/>
      <c r="I3004" s="7"/>
      <c r="J3004" s="7"/>
      <c r="K3004" s="7"/>
      <c r="L3004" s="10"/>
      <c r="N3004" s="10"/>
      <c r="Q3004" s="11"/>
      <c r="R3004" s="7"/>
      <c r="S3004" s="7"/>
      <c r="T3004" s="7"/>
      <c r="U3004" s="7"/>
      <c r="V3004" s="10"/>
      <c r="X3004" s="10"/>
      <c r="AA3004" s="11"/>
    </row>
    <row r="3005" spans="2:27" x14ac:dyDescent="0.2">
      <c r="B3005" t="s">
        <v>394</v>
      </c>
      <c r="C3005">
        <v>40359973</v>
      </c>
      <c r="D3005" t="s">
        <v>485</v>
      </c>
      <c r="E3005">
        <v>1011421</v>
      </c>
      <c r="F3005" t="s">
        <v>484</v>
      </c>
      <c r="G3005" s="9">
        <v>44976</v>
      </c>
      <c r="H3005" s="7"/>
      <c r="I3005" s="7"/>
      <c r="J3005" s="7"/>
      <c r="K3005" s="7"/>
      <c r="L3005" s="10"/>
      <c r="N3005" s="10"/>
      <c r="Q3005" s="11"/>
      <c r="R3005" s="7"/>
      <c r="S3005" s="7"/>
      <c r="T3005" s="7"/>
      <c r="U3005" s="7"/>
      <c r="V3005" s="10"/>
      <c r="X3005" s="10"/>
      <c r="AA3005" s="11"/>
    </row>
    <row r="3006" spans="2:27" x14ac:dyDescent="0.2">
      <c r="B3006" t="s">
        <v>394</v>
      </c>
      <c r="C3006">
        <v>40359972</v>
      </c>
      <c r="D3006" t="s">
        <v>485</v>
      </c>
      <c r="E3006">
        <v>1011421</v>
      </c>
      <c r="F3006" t="s">
        <v>484</v>
      </c>
      <c r="G3006" s="9">
        <v>44976</v>
      </c>
      <c r="H3006" s="7"/>
      <c r="I3006" s="7"/>
      <c r="J3006" s="7"/>
      <c r="K3006" s="7"/>
      <c r="L3006" s="10"/>
      <c r="N3006" s="10"/>
      <c r="Q3006" s="11"/>
      <c r="R3006" s="7"/>
      <c r="S3006" s="7"/>
      <c r="T3006" s="7"/>
      <c r="U3006" s="7"/>
      <c r="V3006" s="10"/>
      <c r="X3006" s="10"/>
      <c r="AA3006" s="11"/>
    </row>
    <row r="3007" spans="2:27" x14ac:dyDescent="0.2">
      <c r="B3007" t="s">
        <v>394</v>
      </c>
      <c r="C3007">
        <v>40359971</v>
      </c>
      <c r="D3007" t="s">
        <v>485</v>
      </c>
      <c r="E3007">
        <v>1011421</v>
      </c>
      <c r="F3007" t="s">
        <v>484</v>
      </c>
      <c r="G3007" s="9">
        <v>44976</v>
      </c>
      <c r="H3007" s="7"/>
      <c r="I3007" s="7"/>
      <c r="J3007" s="7"/>
      <c r="K3007" s="7"/>
      <c r="L3007" s="10"/>
      <c r="N3007" s="10"/>
      <c r="Q3007" s="11"/>
      <c r="R3007" s="7"/>
      <c r="S3007" s="7"/>
      <c r="T3007" s="7"/>
      <c r="U3007" s="7"/>
      <c r="V3007" s="10"/>
      <c r="X3007" s="10"/>
      <c r="AA3007" s="11"/>
    </row>
    <row r="3008" spans="2:27" x14ac:dyDescent="0.2">
      <c r="B3008" t="s">
        <v>394</v>
      </c>
      <c r="C3008">
        <v>40359970</v>
      </c>
      <c r="D3008" t="s">
        <v>485</v>
      </c>
      <c r="E3008">
        <v>1011421</v>
      </c>
      <c r="F3008" t="s">
        <v>484</v>
      </c>
      <c r="G3008" s="9">
        <v>44976</v>
      </c>
      <c r="H3008" s="7"/>
      <c r="I3008" s="7"/>
      <c r="J3008" s="7"/>
      <c r="K3008" s="7"/>
      <c r="L3008" s="10"/>
      <c r="N3008" s="10"/>
      <c r="Q3008" s="11"/>
      <c r="R3008" s="7"/>
      <c r="S3008" s="7"/>
      <c r="T3008" s="7"/>
      <c r="U3008" s="7"/>
      <c r="V3008" s="10"/>
      <c r="X3008" s="10"/>
      <c r="AA3008" s="11"/>
    </row>
    <row r="3009" spans="2:27" x14ac:dyDescent="0.2">
      <c r="B3009" t="s">
        <v>394</v>
      </c>
      <c r="C3009">
        <v>40359472</v>
      </c>
      <c r="D3009" t="s">
        <v>485</v>
      </c>
      <c r="E3009">
        <v>1021385</v>
      </c>
      <c r="F3009" t="s">
        <v>495</v>
      </c>
      <c r="G3009" s="9">
        <v>44969</v>
      </c>
      <c r="H3009" s="7"/>
      <c r="I3009" s="7"/>
      <c r="J3009" s="7"/>
      <c r="K3009" s="7"/>
      <c r="L3009" s="10"/>
      <c r="N3009" s="10"/>
      <c r="Q3009" s="11"/>
      <c r="R3009" s="7"/>
      <c r="S3009" s="7"/>
      <c r="T3009" s="7"/>
      <c r="U3009" s="7"/>
      <c r="V3009" s="10"/>
      <c r="X3009" s="10"/>
      <c r="AA3009" s="11"/>
    </row>
    <row r="3010" spans="2:27" x14ac:dyDescent="0.2">
      <c r="B3010" t="s">
        <v>394</v>
      </c>
      <c r="C3010">
        <v>40359469</v>
      </c>
      <c r="D3010" t="s">
        <v>485</v>
      </c>
      <c r="E3010">
        <v>1021078</v>
      </c>
      <c r="F3010" t="s">
        <v>536</v>
      </c>
      <c r="G3010" s="9">
        <v>44977</v>
      </c>
      <c r="H3010" s="7"/>
      <c r="I3010" s="7"/>
      <c r="J3010" s="7"/>
      <c r="K3010" s="7"/>
      <c r="L3010" s="10"/>
      <c r="N3010" s="10"/>
      <c r="Q3010" s="11"/>
      <c r="R3010" s="7"/>
      <c r="S3010" s="7"/>
      <c r="T3010" s="7"/>
      <c r="U3010" s="7"/>
      <c r="V3010" s="10"/>
      <c r="X3010" s="10"/>
      <c r="AA3010" s="11"/>
    </row>
    <row r="3011" spans="2:27" x14ac:dyDescent="0.2">
      <c r="B3011" t="s">
        <v>394</v>
      </c>
      <c r="C3011">
        <v>40359469</v>
      </c>
      <c r="D3011" t="s">
        <v>485</v>
      </c>
      <c r="E3011">
        <v>1021078</v>
      </c>
      <c r="F3011" t="s">
        <v>536</v>
      </c>
      <c r="G3011" s="9">
        <v>44977</v>
      </c>
      <c r="H3011" s="7"/>
      <c r="I3011" s="7"/>
      <c r="J3011" s="7"/>
      <c r="K3011" s="7"/>
      <c r="L3011" s="10"/>
      <c r="N3011" s="10"/>
      <c r="Q3011" s="11"/>
      <c r="R3011" s="7"/>
      <c r="S3011" s="7"/>
      <c r="T3011" s="7"/>
      <c r="U3011" s="7"/>
      <c r="V3011" s="10"/>
      <c r="X3011" s="10"/>
      <c r="AA3011" s="11"/>
    </row>
    <row r="3012" spans="2:27" x14ac:dyDescent="0.2">
      <c r="B3012" t="s">
        <v>394</v>
      </c>
      <c r="C3012">
        <v>40359464</v>
      </c>
      <c r="D3012" t="s">
        <v>485</v>
      </c>
      <c r="E3012">
        <v>1020367</v>
      </c>
      <c r="F3012" t="s">
        <v>596</v>
      </c>
      <c r="G3012" s="9">
        <v>44976</v>
      </c>
      <c r="H3012" s="7"/>
      <c r="I3012" s="7"/>
      <c r="J3012" s="7"/>
      <c r="K3012" s="7"/>
      <c r="L3012" s="10"/>
      <c r="N3012" s="10"/>
      <c r="Q3012" s="11"/>
      <c r="R3012" s="7"/>
      <c r="S3012" s="7"/>
      <c r="T3012" s="7"/>
      <c r="U3012" s="7"/>
      <c r="V3012" s="10"/>
      <c r="X3012" s="10"/>
      <c r="AA3012" s="11"/>
    </row>
    <row r="3013" spans="2:27" ht="16" x14ac:dyDescent="0.2">
      <c r="B3013" t="s">
        <v>35</v>
      </c>
      <c r="C3013">
        <v>40358652</v>
      </c>
      <c r="D3013" t="s">
        <v>391</v>
      </c>
      <c r="E3013">
        <v>1023265</v>
      </c>
      <c r="F3013" t="s">
        <v>347</v>
      </c>
      <c r="G3013" s="9">
        <v>44998</v>
      </c>
      <c r="H3013" s="7"/>
      <c r="I3013" s="7">
        <v>2000.8</v>
      </c>
      <c r="J3013" s="7"/>
      <c r="K3013" s="7"/>
      <c r="L3013" s="10">
        <v>4.830303030303031</v>
      </c>
      <c r="M3013" s="9">
        <v>45002</v>
      </c>
      <c r="N3013" s="10">
        <v>15</v>
      </c>
      <c r="O3013" s="9">
        <v>45017</v>
      </c>
      <c r="P3013">
        <v>24</v>
      </c>
      <c r="Q3013" s="11" t="s">
        <v>49</v>
      </c>
      <c r="R3013" s="7"/>
      <c r="S3013" s="7">
        <v>2000.8</v>
      </c>
      <c r="T3013" s="7"/>
      <c r="U3013" s="7"/>
      <c r="V3013" s="10">
        <v>6.830303030303031</v>
      </c>
      <c r="W3013" s="9">
        <v>45004</v>
      </c>
      <c r="X3013" s="10">
        <v>17</v>
      </c>
      <c r="Y3013" s="9">
        <v>45017</v>
      </c>
      <c r="Z3013">
        <v>24</v>
      </c>
      <c r="AA3013" s="11" t="s">
        <v>49</v>
      </c>
    </row>
    <row r="3014" spans="2:27" ht="16" x14ac:dyDescent="0.2">
      <c r="B3014" t="s">
        <v>35</v>
      </c>
      <c r="C3014">
        <v>40358652</v>
      </c>
      <c r="D3014" t="s">
        <v>391</v>
      </c>
      <c r="E3014">
        <v>1021931</v>
      </c>
      <c r="F3014" t="s">
        <v>189</v>
      </c>
      <c r="G3014" s="9">
        <v>44998</v>
      </c>
      <c r="H3014" s="7"/>
      <c r="I3014" s="7">
        <v>2006.02</v>
      </c>
      <c r="J3014" s="7"/>
      <c r="K3014" s="7"/>
      <c r="L3014" s="10">
        <v>4.830303030303031</v>
      </c>
      <c r="M3014" s="9">
        <v>45002</v>
      </c>
      <c r="N3014" s="10">
        <v>15</v>
      </c>
      <c r="O3014" s="9">
        <v>45017</v>
      </c>
      <c r="P3014">
        <v>24</v>
      </c>
      <c r="Q3014" s="11" t="s">
        <v>49</v>
      </c>
      <c r="R3014" s="7"/>
      <c r="S3014" s="7">
        <v>2006.02</v>
      </c>
      <c r="T3014" s="7"/>
      <c r="U3014" s="7"/>
      <c r="V3014" s="10">
        <v>6.830303030303031</v>
      </c>
      <c r="W3014" s="9">
        <v>45004</v>
      </c>
      <c r="X3014" s="10">
        <v>17</v>
      </c>
      <c r="Y3014" s="9">
        <v>45017</v>
      </c>
      <c r="Z3014">
        <v>24</v>
      </c>
      <c r="AA3014" s="11" t="s">
        <v>49</v>
      </c>
    </row>
    <row r="3015" spans="2:27" ht="16" x14ac:dyDescent="0.2">
      <c r="B3015" t="s">
        <v>35</v>
      </c>
      <c r="C3015">
        <v>40358651</v>
      </c>
      <c r="D3015" t="s">
        <v>391</v>
      </c>
      <c r="E3015">
        <v>1022864</v>
      </c>
      <c r="F3015" t="s">
        <v>41</v>
      </c>
      <c r="G3015" s="9">
        <v>44998</v>
      </c>
      <c r="H3015" s="7"/>
      <c r="I3015" s="7">
        <v>1022.41</v>
      </c>
      <c r="J3015" s="7"/>
      <c r="K3015" s="7"/>
      <c r="L3015" s="10">
        <v>4.830303030303031</v>
      </c>
      <c r="M3015" s="9">
        <v>45002</v>
      </c>
      <c r="N3015" s="10">
        <v>15</v>
      </c>
      <c r="O3015" s="9">
        <v>45017</v>
      </c>
      <c r="P3015">
        <v>24</v>
      </c>
      <c r="Q3015" s="11" t="s">
        <v>49</v>
      </c>
      <c r="R3015" s="7"/>
      <c r="S3015" s="7">
        <v>1022.41</v>
      </c>
      <c r="T3015" s="7"/>
      <c r="U3015" s="7"/>
      <c r="V3015" s="10">
        <v>6.830303030303031</v>
      </c>
      <c r="W3015" s="9">
        <v>45004</v>
      </c>
      <c r="X3015" s="10">
        <v>17</v>
      </c>
      <c r="Y3015" s="9">
        <v>45017</v>
      </c>
      <c r="Z3015">
        <v>24</v>
      </c>
      <c r="AA3015" s="11" t="s">
        <v>49</v>
      </c>
    </row>
    <row r="3016" spans="2:27" ht="16" x14ac:dyDescent="0.2">
      <c r="B3016" t="s">
        <v>35</v>
      </c>
      <c r="C3016">
        <v>40358651</v>
      </c>
      <c r="D3016" t="s">
        <v>391</v>
      </c>
      <c r="E3016">
        <v>1022866</v>
      </c>
      <c r="F3016" t="s">
        <v>203</v>
      </c>
      <c r="G3016" s="9">
        <v>44998</v>
      </c>
      <c r="H3016" s="7"/>
      <c r="I3016" s="7">
        <v>4992.68</v>
      </c>
      <c r="J3016" s="7"/>
      <c r="K3016" s="7"/>
      <c r="L3016" s="10">
        <v>4.830303030303031</v>
      </c>
      <c r="M3016" s="9">
        <v>45002</v>
      </c>
      <c r="N3016" s="10">
        <v>15</v>
      </c>
      <c r="O3016" s="9">
        <v>45017</v>
      </c>
      <c r="P3016">
        <v>24</v>
      </c>
      <c r="Q3016" s="11" t="s">
        <v>49</v>
      </c>
      <c r="R3016" s="7"/>
      <c r="S3016" s="7">
        <v>4992.68</v>
      </c>
      <c r="T3016" s="7"/>
      <c r="U3016" s="7"/>
      <c r="V3016" s="10">
        <v>6.830303030303031</v>
      </c>
      <c r="W3016" s="9">
        <v>45004</v>
      </c>
      <c r="X3016" s="10">
        <v>17</v>
      </c>
      <c r="Y3016" s="9">
        <v>45017</v>
      </c>
      <c r="Z3016">
        <v>24</v>
      </c>
      <c r="AA3016" s="11" t="s">
        <v>49</v>
      </c>
    </row>
    <row r="3017" spans="2:27" ht="16" x14ac:dyDescent="0.2">
      <c r="B3017" t="s">
        <v>35</v>
      </c>
      <c r="C3017">
        <v>40358651</v>
      </c>
      <c r="D3017" t="s">
        <v>391</v>
      </c>
      <c r="E3017">
        <v>1022865</v>
      </c>
      <c r="F3017" t="s">
        <v>343</v>
      </c>
      <c r="G3017" s="9">
        <v>44998</v>
      </c>
      <c r="H3017" s="7"/>
      <c r="I3017" s="7">
        <v>5996.46</v>
      </c>
      <c r="J3017" s="7"/>
      <c r="K3017" s="7"/>
      <c r="L3017" s="10">
        <v>4.830303030303031</v>
      </c>
      <c r="M3017" s="9">
        <v>45002</v>
      </c>
      <c r="N3017" s="10">
        <v>15</v>
      </c>
      <c r="O3017" s="9">
        <v>45017</v>
      </c>
      <c r="P3017">
        <v>24</v>
      </c>
      <c r="Q3017" s="11" t="s">
        <v>49</v>
      </c>
      <c r="R3017" s="7"/>
      <c r="S3017" s="7">
        <v>5996.46</v>
      </c>
      <c r="T3017" s="7"/>
      <c r="U3017" s="7"/>
      <c r="V3017" s="10">
        <v>6.830303030303031</v>
      </c>
      <c r="W3017" s="9">
        <v>45004</v>
      </c>
      <c r="X3017" s="10">
        <v>17</v>
      </c>
      <c r="Y3017" s="9">
        <v>45017</v>
      </c>
      <c r="Z3017">
        <v>24</v>
      </c>
      <c r="AA3017" s="11" t="s">
        <v>49</v>
      </c>
    </row>
    <row r="3018" spans="2:27" ht="16" x14ac:dyDescent="0.2">
      <c r="B3018" t="s">
        <v>35</v>
      </c>
      <c r="C3018">
        <v>40358651</v>
      </c>
      <c r="D3018" t="s">
        <v>391</v>
      </c>
      <c r="E3018">
        <v>1022751</v>
      </c>
      <c r="F3018" t="s">
        <v>36</v>
      </c>
      <c r="G3018" s="9">
        <v>44998</v>
      </c>
      <c r="H3018" s="7"/>
      <c r="I3018" s="7">
        <v>7000</v>
      </c>
      <c r="J3018" s="7"/>
      <c r="K3018" s="7"/>
      <c r="L3018" s="10">
        <v>4.830303030303031</v>
      </c>
      <c r="M3018" s="9">
        <v>45002</v>
      </c>
      <c r="N3018" s="10">
        <v>15</v>
      </c>
      <c r="O3018" s="9">
        <v>45017</v>
      </c>
      <c r="P3018">
        <v>24</v>
      </c>
      <c r="Q3018" s="11" t="s">
        <v>49</v>
      </c>
      <c r="R3018" s="7"/>
      <c r="S3018" s="7">
        <v>7000</v>
      </c>
      <c r="T3018" s="7"/>
      <c r="U3018" s="7"/>
      <c r="V3018" s="10">
        <v>6.830303030303031</v>
      </c>
      <c r="W3018" s="9">
        <v>45004</v>
      </c>
      <c r="X3018" s="10">
        <v>17</v>
      </c>
      <c r="Y3018" s="9">
        <v>45017</v>
      </c>
      <c r="Z3018">
        <v>24</v>
      </c>
      <c r="AA3018" s="11" t="s">
        <v>49</v>
      </c>
    </row>
    <row r="3019" spans="2:27" ht="16" x14ac:dyDescent="0.2">
      <c r="B3019" t="s">
        <v>35</v>
      </c>
      <c r="C3019">
        <v>40358651</v>
      </c>
      <c r="D3019" t="s">
        <v>391</v>
      </c>
      <c r="E3019">
        <v>1022101</v>
      </c>
      <c r="F3019" t="s">
        <v>337</v>
      </c>
      <c r="G3019" s="9">
        <v>44998</v>
      </c>
      <c r="H3019" s="7"/>
      <c r="I3019" s="7">
        <v>827.44</v>
      </c>
      <c r="J3019" s="7"/>
      <c r="K3019" s="7"/>
      <c r="L3019" s="10">
        <v>4.830303030303031</v>
      </c>
      <c r="M3019" s="9">
        <v>45002</v>
      </c>
      <c r="N3019" s="10">
        <v>15</v>
      </c>
      <c r="O3019" s="9">
        <v>45017</v>
      </c>
      <c r="P3019">
        <v>24</v>
      </c>
      <c r="Q3019" s="11" t="s">
        <v>49</v>
      </c>
      <c r="R3019" s="7"/>
      <c r="S3019" s="7">
        <v>827.44</v>
      </c>
      <c r="T3019" s="7"/>
      <c r="U3019" s="7"/>
      <c r="V3019" s="10">
        <v>6.830303030303031</v>
      </c>
      <c r="W3019" s="9">
        <v>45004</v>
      </c>
      <c r="X3019" s="10">
        <v>17</v>
      </c>
      <c r="Y3019" s="9">
        <v>45017</v>
      </c>
      <c r="Z3019">
        <v>24</v>
      </c>
      <c r="AA3019" s="11" t="s">
        <v>49</v>
      </c>
    </row>
    <row r="3020" spans="2:27" ht="16" x14ac:dyDescent="0.2">
      <c r="B3020" t="s">
        <v>35</v>
      </c>
      <c r="C3020">
        <v>40358630</v>
      </c>
      <c r="D3020" t="s">
        <v>391</v>
      </c>
      <c r="E3020">
        <v>1022975</v>
      </c>
      <c r="F3020" t="s">
        <v>433</v>
      </c>
      <c r="G3020" s="9">
        <v>45015</v>
      </c>
      <c r="H3020" s="7"/>
      <c r="I3020" s="7">
        <v>4040</v>
      </c>
      <c r="J3020" s="7"/>
      <c r="K3020" s="7"/>
      <c r="L3020" s="10">
        <v>4.830303030303031</v>
      </c>
      <c r="M3020" s="9">
        <v>45019</v>
      </c>
      <c r="N3020" s="10">
        <v>15</v>
      </c>
      <c r="O3020" s="9">
        <v>45034</v>
      </c>
      <c r="P3020">
        <v>10</v>
      </c>
      <c r="Q3020" s="11" t="s">
        <v>49</v>
      </c>
      <c r="R3020" s="7"/>
      <c r="S3020" s="7">
        <v>4040</v>
      </c>
      <c r="T3020" s="7"/>
      <c r="U3020" s="7"/>
      <c r="V3020" s="10">
        <v>6.830303030303031</v>
      </c>
      <c r="W3020" s="9">
        <v>45021</v>
      </c>
      <c r="X3020" s="10">
        <v>17</v>
      </c>
      <c r="Y3020" s="9">
        <v>45034</v>
      </c>
      <c r="Z3020">
        <v>10</v>
      </c>
      <c r="AA3020" s="11" t="s">
        <v>49</v>
      </c>
    </row>
    <row r="3021" spans="2:27" ht="16" x14ac:dyDescent="0.2">
      <c r="B3021" t="s">
        <v>35</v>
      </c>
      <c r="C3021">
        <v>40358630</v>
      </c>
      <c r="D3021" t="s">
        <v>391</v>
      </c>
      <c r="E3021">
        <v>1022866</v>
      </c>
      <c r="F3021" t="s">
        <v>203</v>
      </c>
      <c r="G3021" s="9">
        <v>45015</v>
      </c>
      <c r="H3021" s="7"/>
      <c r="I3021" s="7">
        <v>4007.28</v>
      </c>
      <c r="J3021" s="7"/>
      <c r="K3021" s="7"/>
      <c r="L3021" s="10">
        <v>4.830303030303031</v>
      </c>
      <c r="M3021" s="9">
        <v>45019</v>
      </c>
      <c r="N3021" s="10">
        <v>15</v>
      </c>
      <c r="O3021" s="9">
        <v>45034</v>
      </c>
      <c r="P3021">
        <v>10</v>
      </c>
      <c r="Q3021" s="11" t="s">
        <v>49</v>
      </c>
      <c r="R3021" s="7"/>
      <c r="S3021" s="7">
        <v>4007.28</v>
      </c>
      <c r="T3021" s="7"/>
      <c r="U3021" s="7"/>
      <c r="V3021" s="10">
        <v>6.830303030303031</v>
      </c>
      <c r="W3021" s="9">
        <v>45021</v>
      </c>
      <c r="X3021" s="10">
        <v>17</v>
      </c>
      <c r="Y3021" s="9">
        <v>45034</v>
      </c>
      <c r="Z3021">
        <v>10</v>
      </c>
      <c r="AA3021" s="11" t="s">
        <v>49</v>
      </c>
    </row>
    <row r="3022" spans="2:27" ht="16" x14ac:dyDescent="0.2">
      <c r="B3022" t="s">
        <v>35</v>
      </c>
      <c r="C3022">
        <v>40358630</v>
      </c>
      <c r="D3022" t="s">
        <v>391</v>
      </c>
      <c r="E3022">
        <v>1022864</v>
      </c>
      <c r="F3022" t="s">
        <v>41</v>
      </c>
      <c r="G3022" s="9">
        <v>45015</v>
      </c>
      <c r="H3022" s="7"/>
      <c r="I3022" s="7">
        <v>5106.09</v>
      </c>
      <c r="J3022" s="7"/>
      <c r="K3022" s="7"/>
      <c r="L3022" s="10">
        <v>4.830303030303031</v>
      </c>
      <c r="M3022" s="9">
        <v>45019</v>
      </c>
      <c r="N3022" s="10">
        <v>15</v>
      </c>
      <c r="O3022" s="9">
        <v>45034</v>
      </c>
      <c r="P3022">
        <v>10</v>
      </c>
      <c r="Q3022" s="11" t="s">
        <v>49</v>
      </c>
      <c r="R3022" s="7"/>
      <c r="S3022" s="7">
        <v>5106.09</v>
      </c>
      <c r="T3022" s="7"/>
      <c r="U3022" s="7"/>
      <c r="V3022" s="10">
        <v>6.830303030303031</v>
      </c>
      <c r="W3022" s="9">
        <v>45021</v>
      </c>
      <c r="X3022" s="10">
        <v>17</v>
      </c>
      <c r="Y3022" s="9">
        <v>45034</v>
      </c>
      <c r="Z3022">
        <v>10</v>
      </c>
      <c r="AA3022" s="11" t="s">
        <v>49</v>
      </c>
    </row>
    <row r="3023" spans="2:27" ht="16" x14ac:dyDescent="0.2">
      <c r="B3023" t="s">
        <v>35</v>
      </c>
      <c r="C3023">
        <v>40358630</v>
      </c>
      <c r="D3023" t="s">
        <v>391</v>
      </c>
      <c r="E3023">
        <v>1022751</v>
      </c>
      <c r="F3023" t="s">
        <v>36</v>
      </c>
      <c r="G3023" s="9">
        <v>45015</v>
      </c>
      <c r="H3023" s="7"/>
      <c r="I3023" s="7">
        <v>3010</v>
      </c>
      <c r="J3023" s="7"/>
      <c r="K3023" s="7"/>
      <c r="L3023" s="10">
        <v>4.830303030303031</v>
      </c>
      <c r="M3023" s="9">
        <v>45019</v>
      </c>
      <c r="N3023" s="10">
        <v>15</v>
      </c>
      <c r="O3023" s="9">
        <v>45034</v>
      </c>
      <c r="P3023">
        <v>10</v>
      </c>
      <c r="Q3023" s="11" t="s">
        <v>49</v>
      </c>
      <c r="R3023" s="7"/>
      <c r="S3023" s="7">
        <v>3010</v>
      </c>
      <c r="T3023" s="7"/>
      <c r="U3023" s="7"/>
      <c r="V3023" s="10">
        <v>6.830303030303031</v>
      </c>
      <c r="W3023" s="9">
        <v>45021</v>
      </c>
      <c r="X3023" s="10">
        <v>17</v>
      </c>
      <c r="Y3023" s="9">
        <v>45034</v>
      </c>
      <c r="Z3023">
        <v>10</v>
      </c>
      <c r="AA3023" s="11" t="s">
        <v>49</v>
      </c>
    </row>
    <row r="3024" spans="2:27" ht="16" x14ac:dyDescent="0.2">
      <c r="B3024" t="s">
        <v>35</v>
      </c>
      <c r="C3024">
        <v>40358630</v>
      </c>
      <c r="D3024" t="s">
        <v>391</v>
      </c>
      <c r="E3024">
        <v>1022621</v>
      </c>
      <c r="F3024" t="s">
        <v>199</v>
      </c>
      <c r="G3024" s="9">
        <v>45015</v>
      </c>
      <c r="H3024" s="7"/>
      <c r="I3024" s="7">
        <v>8000.69</v>
      </c>
      <c r="J3024" s="7"/>
      <c r="K3024" s="7"/>
      <c r="L3024" s="10">
        <v>4.830303030303031</v>
      </c>
      <c r="M3024" s="9">
        <v>45019</v>
      </c>
      <c r="N3024" s="10">
        <v>15</v>
      </c>
      <c r="O3024" s="9">
        <v>45034</v>
      </c>
      <c r="P3024">
        <v>10</v>
      </c>
      <c r="Q3024" s="11" t="s">
        <v>49</v>
      </c>
      <c r="R3024" s="7"/>
      <c r="S3024" s="7">
        <v>8000.69</v>
      </c>
      <c r="T3024" s="7"/>
      <c r="U3024" s="7"/>
      <c r="V3024" s="10">
        <v>6.830303030303031</v>
      </c>
      <c r="W3024" s="9">
        <v>45021</v>
      </c>
      <c r="X3024" s="10">
        <v>17</v>
      </c>
      <c r="Y3024" s="9">
        <v>45034</v>
      </c>
      <c r="Z3024">
        <v>10</v>
      </c>
      <c r="AA3024" s="11" t="s">
        <v>49</v>
      </c>
    </row>
    <row r="3025" spans="2:27" ht="16" x14ac:dyDescent="0.2">
      <c r="B3025" t="s">
        <v>35</v>
      </c>
      <c r="C3025">
        <v>40358104</v>
      </c>
      <c r="D3025" t="s">
        <v>409</v>
      </c>
      <c r="E3025">
        <v>1012532</v>
      </c>
      <c r="F3025" t="s">
        <v>558</v>
      </c>
      <c r="G3025" s="9">
        <v>44992</v>
      </c>
      <c r="H3025" s="7">
        <v>417.30464000000001</v>
      </c>
      <c r="I3025" s="7"/>
      <c r="J3025" s="7"/>
      <c r="K3025" s="7"/>
      <c r="L3025" s="10">
        <v>7.5</v>
      </c>
      <c r="M3025" s="9">
        <v>44999</v>
      </c>
      <c r="N3025" s="10">
        <v>9.5</v>
      </c>
      <c r="O3025" s="9">
        <v>45008</v>
      </c>
      <c r="P3025">
        <v>7</v>
      </c>
      <c r="Q3025" s="11" t="s">
        <v>49</v>
      </c>
      <c r="R3025" s="7">
        <v>417.30464000000001</v>
      </c>
      <c r="S3025" s="7"/>
      <c r="T3025" s="7"/>
      <c r="U3025" s="7"/>
      <c r="V3025" s="10">
        <v>9.5</v>
      </c>
      <c r="W3025" s="9">
        <v>45001</v>
      </c>
      <c r="X3025" s="10">
        <v>11.5</v>
      </c>
      <c r="Y3025" s="9">
        <v>45008</v>
      </c>
      <c r="Z3025">
        <v>7</v>
      </c>
      <c r="AA3025" s="11" t="s">
        <v>49</v>
      </c>
    </row>
    <row r="3026" spans="2:27" ht="16" x14ac:dyDescent="0.2">
      <c r="B3026" t="s">
        <v>35</v>
      </c>
      <c r="C3026">
        <v>40358104</v>
      </c>
      <c r="D3026" t="s">
        <v>409</v>
      </c>
      <c r="E3026">
        <v>1012532</v>
      </c>
      <c r="F3026" t="s">
        <v>558</v>
      </c>
      <c r="G3026" s="9">
        <v>44992</v>
      </c>
      <c r="H3026" s="7">
        <v>3229.5750400000002</v>
      </c>
      <c r="I3026" s="7"/>
      <c r="J3026" s="7"/>
      <c r="K3026" s="7"/>
      <c r="L3026" s="10">
        <v>7.5</v>
      </c>
      <c r="M3026" s="9">
        <v>44999</v>
      </c>
      <c r="N3026" s="10">
        <v>9.5</v>
      </c>
      <c r="O3026" s="9">
        <v>45008</v>
      </c>
      <c r="P3026">
        <v>7</v>
      </c>
      <c r="Q3026" s="11" t="s">
        <v>49</v>
      </c>
      <c r="R3026" s="7">
        <v>3229.5750400000002</v>
      </c>
      <c r="S3026" s="7"/>
      <c r="T3026" s="7"/>
      <c r="U3026" s="7"/>
      <c r="V3026" s="10">
        <v>9.5</v>
      </c>
      <c r="W3026" s="9">
        <v>45001</v>
      </c>
      <c r="X3026" s="10">
        <v>11.5</v>
      </c>
      <c r="Y3026" s="9">
        <v>45008</v>
      </c>
      <c r="Z3026">
        <v>7</v>
      </c>
      <c r="AA3026" s="11" t="s">
        <v>49</v>
      </c>
    </row>
    <row r="3027" spans="2:27" ht="16" x14ac:dyDescent="0.2">
      <c r="B3027" t="s">
        <v>35</v>
      </c>
      <c r="C3027">
        <v>40358054</v>
      </c>
      <c r="D3027" t="s">
        <v>423</v>
      </c>
      <c r="E3027">
        <v>1023218</v>
      </c>
      <c r="F3027" t="s">
        <v>265</v>
      </c>
      <c r="G3027" s="9">
        <v>44977</v>
      </c>
      <c r="H3027" s="7">
        <v>15920</v>
      </c>
      <c r="I3027" s="7"/>
      <c r="J3027" s="7"/>
      <c r="K3027" s="7"/>
      <c r="L3027" s="10">
        <v>5.4496124031007751</v>
      </c>
      <c r="M3027" s="9">
        <v>44982</v>
      </c>
      <c r="N3027" s="10">
        <v>10</v>
      </c>
      <c r="O3027" s="9">
        <v>44992</v>
      </c>
      <c r="P3027">
        <v>19</v>
      </c>
      <c r="Q3027" s="11" t="s">
        <v>49</v>
      </c>
      <c r="R3027" s="7">
        <v>15920</v>
      </c>
      <c r="S3027" s="7"/>
      <c r="T3027" s="7"/>
      <c r="U3027" s="7"/>
      <c r="V3027" s="10">
        <v>7.4496124031007751</v>
      </c>
      <c r="W3027" s="9">
        <v>44984</v>
      </c>
      <c r="X3027" s="10">
        <v>12</v>
      </c>
      <c r="Y3027" s="9">
        <v>44992</v>
      </c>
      <c r="Z3027">
        <v>19</v>
      </c>
      <c r="AA3027" s="11" t="s">
        <v>49</v>
      </c>
    </row>
    <row r="3028" spans="2:27" ht="16" x14ac:dyDescent="0.2">
      <c r="B3028" t="s">
        <v>35</v>
      </c>
      <c r="C3028">
        <v>40358054</v>
      </c>
      <c r="D3028" t="s">
        <v>423</v>
      </c>
      <c r="E3028">
        <v>1023218</v>
      </c>
      <c r="F3028" t="s">
        <v>265</v>
      </c>
      <c r="G3028" s="9">
        <v>44977</v>
      </c>
      <c r="H3028" s="7">
        <v>24000</v>
      </c>
      <c r="I3028" s="7"/>
      <c r="J3028" s="7"/>
      <c r="K3028" s="7"/>
      <c r="L3028" s="10">
        <v>5.4496124031007751</v>
      </c>
      <c r="M3028" s="9">
        <v>44982</v>
      </c>
      <c r="N3028" s="10">
        <v>10</v>
      </c>
      <c r="O3028" s="9">
        <v>44992</v>
      </c>
      <c r="P3028">
        <v>19</v>
      </c>
      <c r="Q3028" s="11" t="s">
        <v>49</v>
      </c>
      <c r="R3028" s="7">
        <v>24000</v>
      </c>
      <c r="S3028" s="7"/>
      <c r="T3028" s="7"/>
      <c r="U3028" s="7"/>
      <c r="V3028" s="10">
        <v>7.4496124031007751</v>
      </c>
      <c r="W3028" s="9">
        <v>44984</v>
      </c>
      <c r="X3028" s="10">
        <v>12</v>
      </c>
      <c r="Y3028" s="9">
        <v>44992</v>
      </c>
      <c r="Z3028">
        <v>19</v>
      </c>
      <c r="AA3028" s="11" t="s">
        <v>49</v>
      </c>
    </row>
    <row r="3029" spans="2:27" ht="16" x14ac:dyDescent="0.2">
      <c r="B3029" t="s">
        <v>35</v>
      </c>
      <c r="C3029">
        <v>40358047</v>
      </c>
      <c r="D3029" t="s">
        <v>423</v>
      </c>
      <c r="E3029">
        <v>1023319</v>
      </c>
      <c r="F3029" t="s">
        <v>559</v>
      </c>
      <c r="G3029" s="9">
        <v>44977</v>
      </c>
      <c r="H3029" s="7">
        <v>13400</v>
      </c>
      <c r="I3029" s="7"/>
      <c r="J3029" s="7"/>
      <c r="K3029" s="7"/>
      <c r="L3029" s="10">
        <v>5.4496124031007751</v>
      </c>
      <c r="M3029" s="9">
        <v>44982</v>
      </c>
      <c r="N3029" s="10">
        <v>10</v>
      </c>
      <c r="O3029" s="9">
        <v>44992</v>
      </c>
      <c r="P3029">
        <v>19</v>
      </c>
      <c r="Q3029" s="11" t="s">
        <v>49</v>
      </c>
      <c r="R3029" s="7">
        <v>13400</v>
      </c>
      <c r="S3029" s="7"/>
      <c r="T3029" s="7"/>
      <c r="U3029" s="7"/>
      <c r="V3029" s="10">
        <v>7.4496124031007751</v>
      </c>
      <c r="W3029" s="9">
        <v>44984</v>
      </c>
      <c r="X3029" s="10">
        <v>12</v>
      </c>
      <c r="Y3029" s="9">
        <v>44992</v>
      </c>
      <c r="Z3029">
        <v>19</v>
      </c>
      <c r="AA3029" s="11" t="s">
        <v>49</v>
      </c>
    </row>
    <row r="3030" spans="2:27" ht="16" x14ac:dyDescent="0.2">
      <c r="B3030" t="s">
        <v>35</v>
      </c>
      <c r="C3030">
        <v>40358047</v>
      </c>
      <c r="D3030" t="s">
        <v>423</v>
      </c>
      <c r="E3030">
        <v>1023319</v>
      </c>
      <c r="F3030" t="s">
        <v>559</v>
      </c>
      <c r="G3030" s="9">
        <v>44977</v>
      </c>
      <c r="H3030" s="7">
        <v>23680</v>
      </c>
      <c r="I3030" s="7"/>
      <c r="J3030" s="7"/>
      <c r="K3030" s="7"/>
      <c r="L3030" s="10">
        <v>5.4496124031007751</v>
      </c>
      <c r="M3030" s="9">
        <v>44982</v>
      </c>
      <c r="N3030" s="10">
        <v>10</v>
      </c>
      <c r="O3030" s="9">
        <v>44992</v>
      </c>
      <c r="P3030">
        <v>19</v>
      </c>
      <c r="Q3030" s="11" t="s">
        <v>49</v>
      </c>
      <c r="R3030" s="7">
        <v>23680</v>
      </c>
      <c r="S3030" s="7"/>
      <c r="T3030" s="7"/>
      <c r="U3030" s="7"/>
      <c r="V3030" s="10">
        <v>7.4496124031007751</v>
      </c>
      <c r="W3030" s="9">
        <v>44984</v>
      </c>
      <c r="X3030" s="10">
        <v>12</v>
      </c>
      <c r="Y3030" s="9">
        <v>44992</v>
      </c>
      <c r="Z3030">
        <v>19</v>
      </c>
      <c r="AA3030" s="11" t="s">
        <v>49</v>
      </c>
    </row>
    <row r="3031" spans="2:27" ht="16" x14ac:dyDescent="0.2">
      <c r="B3031" t="s">
        <v>35</v>
      </c>
      <c r="C3031">
        <v>40358046</v>
      </c>
      <c r="D3031" t="s">
        <v>423</v>
      </c>
      <c r="E3031">
        <v>1023318</v>
      </c>
      <c r="F3031" t="s">
        <v>560</v>
      </c>
      <c r="G3031" s="9">
        <v>44974</v>
      </c>
      <c r="H3031" s="7">
        <v>12497.38</v>
      </c>
      <c r="I3031" s="7"/>
      <c r="J3031" s="7"/>
      <c r="K3031" s="7"/>
      <c r="L3031" s="10">
        <v>5.4496124031007751</v>
      </c>
      <c r="M3031" s="9">
        <v>44979</v>
      </c>
      <c r="N3031" s="10">
        <v>10</v>
      </c>
      <c r="O3031" s="9">
        <v>44989</v>
      </c>
      <c r="P3031">
        <v>21</v>
      </c>
      <c r="Q3031" s="11" t="s">
        <v>49</v>
      </c>
      <c r="R3031" s="7">
        <v>12497.38</v>
      </c>
      <c r="S3031" s="7"/>
      <c r="T3031" s="7"/>
      <c r="U3031" s="7"/>
      <c r="V3031" s="10">
        <v>7.4496124031007751</v>
      </c>
      <c r="W3031" s="9">
        <v>44981</v>
      </c>
      <c r="X3031" s="10">
        <v>12</v>
      </c>
      <c r="Y3031" s="9">
        <v>44989</v>
      </c>
      <c r="Z3031">
        <v>21</v>
      </c>
      <c r="AA3031" s="11" t="s">
        <v>49</v>
      </c>
    </row>
    <row r="3032" spans="2:27" ht="16" x14ac:dyDescent="0.2">
      <c r="B3032" t="s">
        <v>35</v>
      </c>
      <c r="C3032">
        <v>40358046</v>
      </c>
      <c r="D3032" t="s">
        <v>423</v>
      </c>
      <c r="E3032">
        <v>1023318</v>
      </c>
      <c r="F3032" t="s">
        <v>560</v>
      </c>
      <c r="G3032" s="9">
        <v>44974</v>
      </c>
      <c r="H3032" s="7">
        <v>24004.73</v>
      </c>
      <c r="I3032" s="7"/>
      <c r="J3032" s="7"/>
      <c r="K3032" s="7"/>
      <c r="L3032" s="10">
        <v>5.4496124031007751</v>
      </c>
      <c r="M3032" s="9">
        <v>44979</v>
      </c>
      <c r="N3032" s="10">
        <v>10</v>
      </c>
      <c r="O3032" s="9">
        <v>44989</v>
      </c>
      <c r="P3032">
        <v>21</v>
      </c>
      <c r="Q3032" s="11" t="s">
        <v>49</v>
      </c>
      <c r="R3032" s="7">
        <v>24004.73</v>
      </c>
      <c r="S3032" s="7"/>
      <c r="T3032" s="7"/>
      <c r="U3032" s="7"/>
      <c r="V3032" s="10">
        <v>7.4496124031007751</v>
      </c>
      <c r="W3032" s="9">
        <v>44981</v>
      </c>
      <c r="X3032" s="10">
        <v>12</v>
      </c>
      <c r="Y3032" s="9">
        <v>44989</v>
      </c>
      <c r="Z3032">
        <v>21</v>
      </c>
      <c r="AA3032" s="11" t="s">
        <v>49</v>
      </c>
    </row>
    <row r="3033" spans="2:27" ht="16" x14ac:dyDescent="0.2">
      <c r="B3033" t="s">
        <v>35</v>
      </c>
      <c r="C3033">
        <v>40323947</v>
      </c>
      <c r="D3033" t="s">
        <v>423</v>
      </c>
      <c r="E3033">
        <v>1011127</v>
      </c>
      <c r="F3033" t="s">
        <v>228</v>
      </c>
      <c r="G3033" s="9">
        <v>45284</v>
      </c>
      <c r="H3033" s="7"/>
      <c r="I3033" s="7"/>
      <c r="J3033" s="7"/>
      <c r="K3033" s="7"/>
      <c r="L3033" s="10">
        <v>5.4496124031007751</v>
      </c>
      <c r="M3033" s="9">
        <v>45289</v>
      </c>
      <c r="N3033" s="10">
        <v>10</v>
      </c>
      <c r="O3033" s="9">
        <v>45299</v>
      </c>
      <c r="P3033">
        <v>20</v>
      </c>
      <c r="Q3033" s="11" t="s">
        <v>49</v>
      </c>
      <c r="R3033" s="7"/>
      <c r="S3033" s="7"/>
      <c r="T3033" s="7"/>
      <c r="U3033" s="7"/>
      <c r="V3033" s="10">
        <v>7.4496124031007751</v>
      </c>
      <c r="W3033" s="9">
        <v>45291</v>
      </c>
      <c r="X3033" s="10">
        <v>12</v>
      </c>
      <c r="Y3033" s="9">
        <v>45299</v>
      </c>
      <c r="Z3033">
        <v>20</v>
      </c>
      <c r="AA3033" s="11" t="s">
        <v>49</v>
      </c>
    </row>
    <row r="3034" spans="2:27" ht="16" x14ac:dyDescent="0.2">
      <c r="B3034" t="s">
        <v>35</v>
      </c>
      <c r="C3034">
        <v>40357924</v>
      </c>
      <c r="D3034" t="s">
        <v>423</v>
      </c>
      <c r="E3034">
        <v>1023450</v>
      </c>
      <c r="F3034" t="s">
        <v>532</v>
      </c>
      <c r="G3034" s="9">
        <v>44981</v>
      </c>
      <c r="H3034" s="7">
        <v>17901.71</v>
      </c>
      <c r="I3034" s="7"/>
      <c r="J3034" s="7"/>
      <c r="K3034" s="7"/>
      <c r="L3034" s="10">
        <v>5.4496124031007751</v>
      </c>
      <c r="M3034" s="9">
        <v>44986</v>
      </c>
      <c r="N3034" s="10">
        <v>10</v>
      </c>
      <c r="O3034" s="9">
        <v>44996</v>
      </c>
      <c r="P3034">
        <v>15</v>
      </c>
      <c r="Q3034" s="11" t="s">
        <v>49</v>
      </c>
      <c r="R3034" s="7">
        <v>17901.71</v>
      </c>
      <c r="S3034" s="7"/>
      <c r="T3034" s="7"/>
      <c r="U3034" s="7"/>
      <c r="V3034" s="10">
        <v>7.4496124031007751</v>
      </c>
      <c r="W3034" s="9">
        <v>44988</v>
      </c>
      <c r="X3034" s="10">
        <v>12</v>
      </c>
      <c r="Y3034" s="9">
        <v>44996</v>
      </c>
      <c r="Z3034">
        <v>15</v>
      </c>
      <c r="AA3034" s="11" t="s">
        <v>49</v>
      </c>
    </row>
    <row r="3035" spans="2:27" ht="16" x14ac:dyDescent="0.2">
      <c r="B3035" t="s">
        <v>35</v>
      </c>
      <c r="C3035">
        <v>40357924</v>
      </c>
      <c r="D3035" t="s">
        <v>423</v>
      </c>
      <c r="E3035">
        <v>1023450</v>
      </c>
      <c r="F3035" t="s">
        <v>532</v>
      </c>
      <c r="G3035" s="9">
        <v>44981</v>
      </c>
      <c r="H3035" s="7">
        <v>23982.48</v>
      </c>
      <c r="I3035" s="7"/>
      <c r="J3035" s="7"/>
      <c r="K3035" s="7"/>
      <c r="L3035" s="10">
        <v>5.4496124031007751</v>
      </c>
      <c r="M3035" s="9">
        <v>44986</v>
      </c>
      <c r="N3035" s="10">
        <v>10</v>
      </c>
      <c r="O3035" s="9">
        <v>44996</v>
      </c>
      <c r="P3035">
        <v>15</v>
      </c>
      <c r="Q3035" s="11" t="s">
        <v>49</v>
      </c>
      <c r="R3035" s="7">
        <v>23982.48</v>
      </c>
      <c r="S3035" s="7"/>
      <c r="T3035" s="7"/>
      <c r="U3035" s="7"/>
      <c r="V3035" s="10">
        <v>7.4496124031007751</v>
      </c>
      <c r="W3035" s="9">
        <v>44988</v>
      </c>
      <c r="X3035" s="10">
        <v>12</v>
      </c>
      <c r="Y3035" s="9">
        <v>44996</v>
      </c>
      <c r="Z3035">
        <v>15</v>
      </c>
      <c r="AA3035" s="11" t="s">
        <v>49</v>
      </c>
    </row>
    <row r="3036" spans="2:27" ht="16" x14ac:dyDescent="0.2">
      <c r="B3036" t="s">
        <v>35</v>
      </c>
      <c r="C3036">
        <v>40357900</v>
      </c>
      <c r="D3036" t="s">
        <v>409</v>
      </c>
      <c r="E3036">
        <v>1030461</v>
      </c>
      <c r="F3036" t="s">
        <v>128</v>
      </c>
      <c r="G3036" s="9">
        <v>44992</v>
      </c>
      <c r="H3036" s="7">
        <v>7996.210075</v>
      </c>
      <c r="I3036" s="7"/>
      <c r="J3036" s="7"/>
      <c r="K3036" s="7"/>
      <c r="L3036" s="10">
        <v>7.5</v>
      </c>
      <c r="M3036" s="9">
        <v>44999</v>
      </c>
      <c r="N3036" s="10">
        <v>9.5</v>
      </c>
      <c r="O3036" s="9">
        <v>45008</v>
      </c>
      <c r="P3036">
        <v>7</v>
      </c>
      <c r="Q3036" s="11" t="s">
        <v>49</v>
      </c>
      <c r="R3036" s="7">
        <v>7996.210075</v>
      </c>
      <c r="S3036" s="7"/>
      <c r="T3036" s="7"/>
      <c r="U3036" s="7"/>
      <c r="V3036" s="10">
        <v>9.5</v>
      </c>
      <c r="W3036" s="9">
        <v>45001</v>
      </c>
      <c r="X3036" s="10">
        <v>11.5</v>
      </c>
      <c r="Y3036" s="9">
        <v>45008</v>
      </c>
      <c r="Z3036">
        <v>7</v>
      </c>
      <c r="AA3036" s="11" t="s">
        <v>49</v>
      </c>
    </row>
    <row r="3037" spans="2:27" ht="16" x14ac:dyDescent="0.2">
      <c r="B3037" t="s">
        <v>35</v>
      </c>
      <c r="C3037">
        <v>40357900</v>
      </c>
      <c r="D3037" t="s">
        <v>409</v>
      </c>
      <c r="E3037">
        <v>1030452</v>
      </c>
      <c r="F3037" t="s">
        <v>77</v>
      </c>
      <c r="G3037" s="9">
        <v>44992</v>
      </c>
      <c r="H3037" s="7">
        <v>12797.25913</v>
      </c>
      <c r="I3037" s="7"/>
      <c r="J3037" s="7"/>
      <c r="K3037" s="7"/>
      <c r="L3037" s="10">
        <v>7.5</v>
      </c>
      <c r="M3037" s="9">
        <v>44999</v>
      </c>
      <c r="N3037" s="10">
        <v>9.5</v>
      </c>
      <c r="O3037" s="9">
        <v>45008</v>
      </c>
      <c r="P3037">
        <v>7</v>
      </c>
      <c r="Q3037" s="11" t="s">
        <v>49</v>
      </c>
      <c r="R3037" s="7">
        <v>12797.25913</v>
      </c>
      <c r="S3037" s="7"/>
      <c r="T3037" s="7"/>
      <c r="U3037" s="7"/>
      <c r="V3037" s="10">
        <v>9.5</v>
      </c>
      <c r="W3037" s="9">
        <v>45001</v>
      </c>
      <c r="X3037" s="10">
        <v>11.5</v>
      </c>
      <c r="Y3037" s="9">
        <v>45008</v>
      </c>
      <c r="Z3037">
        <v>7</v>
      </c>
      <c r="AA3037" s="11" t="s">
        <v>49</v>
      </c>
    </row>
    <row r="3038" spans="2:27" ht="16" x14ac:dyDescent="0.2">
      <c r="B3038" t="s">
        <v>35</v>
      </c>
      <c r="C3038">
        <v>40357632</v>
      </c>
      <c r="D3038" t="s">
        <v>389</v>
      </c>
      <c r="E3038">
        <v>1030686</v>
      </c>
      <c r="F3038" t="s">
        <v>381</v>
      </c>
      <c r="G3038" s="9">
        <v>45007</v>
      </c>
      <c r="H3038" s="7"/>
      <c r="I3038" s="7">
        <v>24000</v>
      </c>
      <c r="J3038" s="7"/>
      <c r="K3038" s="7"/>
      <c r="L3038" s="10">
        <v>5.5741092456127026</v>
      </c>
      <c r="M3038" s="9">
        <v>45012</v>
      </c>
      <c r="N3038" s="10">
        <v>5.5</v>
      </c>
      <c r="O3038" s="9">
        <v>45017</v>
      </c>
      <c r="P3038">
        <v>23</v>
      </c>
      <c r="Q3038" s="11" t="s">
        <v>49</v>
      </c>
      <c r="R3038" s="7"/>
      <c r="S3038" s="7">
        <v>24000</v>
      </c>
      <c r="T3038" s="7"/>
      <c r="U3038" s="7"/>
      <c r="V3038" s="10">
        <v>7.5741092456127026</v>
      </c>
      <c r="W3038" s="9">
        <v>45014</v>
      </c>
      <c r="X3038" s="10">
        <v>7.5</v>
      </c>
      <c r="Y3038" s="9">
        <v>45017</v>
      </c>
      <c r="Z3038">
        <v>23</v>
      </c>
      <c r="AA3038" s="11" t="s">
        <v>49</v>
      </c>
    </row>
    <row r="3039" spans="2:27" ht="16" x14ac:dyDescent="0.2">
      <c r="B3039" t="s">
        <v>35</v>
      </c>
      <c r="C3039">
        <v>40357616</v>
      </c>
      <c r="D3039" t="s">
        <v>389</v>
      </c>
      <c r="E3039">
        <v>1023291</v>
      </c>
      <c r="F3039" t="s">
        <v>530</v>
      </c>
      <c r="G3039" s="9">
        <v>44992</v>
      </c>
      <c r="H3039" s="7">
        <v>24000</v>
      </c>
      <c r="I3039" s="7"/>
      <c r="J3039" s="7"/>
      <c r="K3039" s="7"/>
      <c r="L3039" s="10">
        <v>5.5741092456127026</v>
      </c>
      <c r="M3039" s="9">
        <v>44997</v>
      </c>
      <c r="N3039" s="10">
        <v>5.5</v>
      </c>
      <c r="O3039" s="9">
        <v>45002</v>
      </c>
      <c r="P3039">
        <v>12</v>
      </c>
      <c r="Q3039" s="11" t="s">
        <v>49</v>
      </c>
      <c r="R3039" s="7">
        <v>24000</v>
      </c>
      <c r="S3039" s="7"/>
      <c r="T3039" s="7"/>
      <c r="U3039" s="7"/>
      <c r="V3039" s="10">
        <v>7.5741092456127026</v>
      </c>
      <c r="W3039" s="9">
        <v>44999</v>
      </c>
      <c r="X3039" s="10">
        <v>7.5</v>
      </c>
      <c r="Y3039" s="9">
        <v>45002</v>
      </c>
      <c r="Z3039">
        <v>12</v>
      </c>
      <c r="AA3039" s="11" t="s">
        <v>49</v>
      </c>
    </row>
    <row r="3040" spans="2:27" ht="16" x14ac:dyDescent="0.2">
      <c r="B3040" t="s">
        <v>35</v>
      </c>
      <c r="C3040">
        <v>40357574</v>
      </c>
      <c r="D3040" t="s">
        <v>389</v>
      </c>
      <c r="E3040">
        <v>1022640</v>
      </c>
      <c r="F3040" t="s">
        <v>318</v>
      </c>
      <c r="G3040" s="9">
        <v>45011</v>
      </c>
      <c r="H3040" s="7"/>
      <c r="I3040" s="7">
        <v>22113.51</v>
      </c>
      <c r="J3040" s="7"/>
      <c r="K3040" s="7"/>
      <c r="L3040" s="10">
        <v>5.5741092456127026</v>
      </c>
      <c r="M3040" s="9">
        <v>45016</v>
      </c>
      <c r="N3040" s="10">
        <v>5.5</v>
      </c>
      <c r="O3040" s="9">
        <v>45021</v>
      </c>
      <c r="P3040">
        <v>21</v>
      </c>
      <c r="Q3040" s="11" t="s">
        <v>49</v>
      </c>
      <c r="R3040" s="7"/>
      <c r="S3040" s="7">
        <v>22113.51</v>
      </c>
      <c r="T3040" s="7"/>
      <c r="U3040" s="7"/>
      <c r="V3040" s="10">
        <v>7.5741092456127026</v>
      </c>
      <c r="W3040" s="9">
        <v>45018</v>
      </c>
      <c r="X3040" s="10">
        <v>7.5</v>
      </c>
      <c r="Y3040" s="9">
        <v>45021</v>
      </c>
      <c r="Z3040">
        <v>21</v>
      </c>
      <c r="AA3040" s="11" t="s">
        <v>49</v>
      </c>
    </row>
    <row r="3041" spans="2:27" ht="16" x14ac:dyDescent="0.2">
      <c r="B3041" t="s">
        <v>35</v>
      </c>
      <c r="C3041">
        <v>40357566</v>
      </c>
      <c r="D3041" t="s">
        <v>389</v>
      </c>
      <c r="E3041">
        <v>1022169</v>
      </c>
      <c r="F3041" t="s">
        <v>298</v>
      </c>
      <c r="G3041" s="9">
        <v>44996</v>
      </c>
      <c r="H3041" s="7">
        <v>23360</v>
      </c>
      <c r="I3041" s="7"/>
      <c r="J3041" s="7"/>
      <c r="K3041" s="7"/>
      <c r="L3041" s="10">
        <v>5.5741092456127026</v>
      </c>
      <c r="M3041" s="9">
        <v>45001</v>
      </c>
      <c r="N3041" s="10">
        <v>5.5</v>
      </c>
      <c r="O3041" s="9">
        <v>45006</v>
      </c>
      <c r="P3041">
        <v>9</v>
      </c>
      <c r="Q3041" s="11" t="s">
        <v>49</v>
      </c>
      <c r="R3041" s="7">
        <v>23360</v>
      </c>
      <c r="S3041" s="7"/>
      <c r="T3041" s="7"/>
      <c r="U3041" s="7"/>
      <c r="V3041" s="10">
        <v>7.5741092456127026</v>
      </c>
      <c r="W3041" s="9">
        <v>45003</v>
      </c>
      <c r="X3041" s="10">
        <v>7.5</v>
      </c>
      <c r="Y3041" s="9">
        <v>45006</v>
      </c>
      <c r="Z3041">
        <v>9</v>
      </c>
      <c r="AA3041" s="11" t="s">
        <v>49</v>
      </c>
    </row>
    <row r="3042" spans="2:27" ht="16" x14ac:dyDescent="0.2">
      <c r="B3042" t="s">
        <v>35</v>
      </c>
      <c r="C3042">
        <v>40357566</v>
      </c>
      <c r="D3042" t="s">
        <v>389</v>
      </c>
      <c r="E3042">
        <v>1022169</v>
      </c>
      <c r="F3042" t="s">
        <v>298</v>
      </c>
      <c r="G3042" s="9">
        <v>44996</v>
      </c>
      <c r="H3042" s="7">
        <v>24000</v>
      </c>
      <c r="I3042" s="7"/>
      <c r="J3042" s="7"/>
      <c r="K3042" s="7"/>
      <c r="L3042" s="10">
        <v>5.5741092456127026</v>
      </c>
      <c r="M3042" s="9">
        <v>45001</v>
      </c>
      <c r="N3042" s="10">
        <v>5.5</v>
      </c>
      <c r="O3042" s="9">
        <v>45006</v>
      </c>
      <c r="P3042">
        <v>9</v>
      </c>
      <c r="Q3042" s="11" t="s">
        <v>49</v>
      </c>
      <c r="R3042" s="7">
        <v>24000</v>
      </c>
      <c r="S3042" s="7"/>
      <c r="T3042" s="7"/>
      <c r="U3042" s="7"/>
      <c r="V3042" s="10">
        <v>7.5741092456127026</v>
      </c>
      <c r="W3042" s="9">
        <v>45003</v>
      </c>
      <c r="X3042" s="10">
        <v>7.5</v>
      </c>
      <c r="Y3042" s="9">
        <v>45006</v>
      </c>
      <c r="Z3042">
        <v>9</v>
      </c>
      <c r="AA3042" s="11" t="s">
        <v>49</v>
      </c>
    </row>
    <row r="3043" spans="2:27" ht="16" x14ac:dyDescent="0.2">
      <c r="B3043" t="s">
        <v>35</v>
      </c>
      <c r="C3043">
        <v>40357550</v>
      </c>
      <c r="D3043" t="s">
        <v>389</v>
      </c>
      <c r="E3043">
        <v>1022414</v>
      </c>
      <c r="F3043" t="s">
        <v>308</v>
      </c>
      <c r="G3043" s="9">
        <v>44998</v>
      </c>
      <c r="H3043" s="7">
        <v>24440</v>
      </c>
      <c r="I3043" s="7"/>
      <c r="J3043" s="7"/>
      <c r="K3043" s="7"/>
      <c r="L3043" s="10">
        <v>5.5741092456127026</v>
      </c>
      <c r="M3043" s="9">
        <v>45003</v>
      </c>
      <c r="N3043" s="10">
        <v>5.5</v>
      </c>
      <c r="O3043" s="9">
        <v>45008</v>
      </c>
      <c r="P3043">
        <v>7</v>
      </c>
      <c r="Q3043" s="11" t="s">
        <v>49</v>
      </c>
      <c r="R3043" s="7">
        <v>24440</v>
      </c>
      <c r="S3043" s="7"/>
      <c r="T3043" s="7"/>
      <c r="U3043" s="7"/>
      <c r="V3043" s="10">
        <v>7.5741092456127026</v>
      </c>
      <c r="W3043" s="9">
        <v>45005</v>
      </c>
      <c r="X3043" s="10">
        <v>7.5</v>
      </c>
      <c r="Y3043" s="9">
        <v>45008</v>
      </c>
      <c r="Z3043">
        <v>7</v>
      </c>
      <c r="AA3043" s="11" t="s">
        <v>49</v>
      </c>
    </row>
    <row r="3044" spans="2:27" ht="16" x14ac:dyDescent="0.2">
      <c r="B3044" t="s">
        <v>35</v>
      </c>
      <c r="C3044">
        <v>40357542</v>
      </c>
      <c r="D3044" t="s">
        <v>389</v>
      </c>
      <c r="E3044">
        <v>1022080</v>
      </c>
      <c r="F3044" t="s">
        <v>292</v>
      </c>
      <c r="G3044" s="9">
        <v>45011</v>
      </c>
      <c r="H3044" s="7"/>
      <c r="I3044" s="7">
        <v>24060</v>
      </c>
      <c r="J3044" s="7"/>
      <c r="K3044" s="7"/>
      <c r="L3044" s="10">
        <v>5.5741092456127026</v>
      </c>
      <c r="M3044" s="9">
        <v>45016</v>
      </c>
      <c r="N3044" s="10">
        <v>5.5</v>
      </c>
      <c r="O3044" s="9">
        <v>45021</v>
      </c>
      <c r="P3044">
        <v>21</v>
      </c>
      <c r="Q3044" s="11" t="s">
        <v>49</v>
      </c>
      <c r="R3044" s="7"/>
      <c r="S3044" s="7">
        <v>24060</v>
      </c>
      <c r="T3044" s="7"/>
      <c r="U3044" s="7"/>
      <c r="V3044" s="10">
        <v>7.5741092456127026</v>
      </c>
      <c r="W3044" s="9">
        <v>45018</v>
      </c>
      <c r="X3044" s="10">
        <v>7.5</v>
      </c>
      <c r="Y3044" s="9">
        <v>45021</v>
      </c>
      <c r="Z3044">
        <v>21</v>
      </c>
      <c r="AA3044" s="11" t="s">
        <v>49</v>
      </c>
    </row>
    <row r="3045" spans="2:27" ht="16" x14ac:dyDescent="0.2">
      <c r="B3045" t="s">
        <v>35</v>
      </c>
      <c r="C3045">
        <v>40357535</v>
      </c>
      <c r="D3045" t="s">
        <v>389</v>
      </c>
      <c r="E3045">
        <v>1022096</v>
      </c>
      <c r="F3045" t="s">
        <v>440</v>
      </c>
      <c r="G3045" s="9">
        <v>44992</v>
      </c>
      <c r="H3045" s="7">
        <v>23800</v>
      </c>
      <c r="I3045" s="7"/>
      <c r="J3045" s="7"/>
      <c r="K3045" s="7"/>
      <c r="L3045" s="10">
        <v>5.5741092456127026</v>
      </c>
      <c r="M3045" s="9">
        <v>44997</v>
      </c>
      <c r="N3045" s="10">
        <v>5.5</v>
      </c>
      <c r="O3045" s="9">
        <v>45002</v>
      </c>
      <c r="P3045">
        <v>12</v>
      </c>
      <c r="Q3045" s="11" t="s">
        <v>49</v>
      </c>
      <c r="R3045" s="7">
        <v>23800</v>
      </c>
      <c r="S3045" s="7"/>
      <c r="T3045" s="7"/>
      <c r="U3045" s="7"/>
      <c r="V3045" s="10">
        <v>7.5741092456127026</v>
      </c>
      <c r="W3045" s="9">
        <v>44999</v>
      </c>
      <c r="X3045" s="10">
        <v>7.5</v>
      </c>
      <c r="Y3045" s="9">
        <v>45002</v>
      </c>
      <c r="Z3045">
        <v>12</v>
      </c>
      <c r="AA3045" s="11" t="s">
        <v>49</v>
      </c>
    </row>
    <row r="3046" spans="2:27" ht="16" x14ac:dyDescent="0.2">
      <c r="B3046" t="s">
        <v>35</v>
      </c>
      <c r="C3046">
        <v>40357534</v>
      </c>
      <c r="D3046" t="s">
        <v>389</v>
      </c>
      <c r="E3046">
        <v>1022096</v>
      </c>
      <c r="F3046" t="s">
        <v>440</v>
      </c>
      <c r="G3046" s="9">
        <v>44992</v>
      </c>
      <c r="H3046" s="7">
        <v>16340</v>
      </c>
      <c r="I3046" s="7"/>
      <c r="J3046" s="7"/>
      <c r="K3046" s="7"/>
      <c r="L3046" s="10">
        <v>5.5741092456127026</v>
      </c>
      <c r="M3046" s="9">
        <v>44997</v>
      </c>
      <c r="N3046" s="10">
        <v>5.5</v>
      </c>
      <c r="O3046" s="9">
        <v>45002</v>
      </c>
      <c r="P3046">
        <v>12</v>
      </c>
      <c r="Q3046" s="11" t="s">
        <v>49</v>
      </c>
      <c r="R3046" s="7">
        <v>16340</v>
      </c>
      <c r="S3046" s="7"/>
      <c r="T3046" s="7"/>
      <c r="U3046" s="7"/>
      <c r="V3046" s="10">
        <v>7.5741092456127026</v>
      </c>
      <c r="W3046" s="9">
        <v>44999</v>
      </c>
      <c r="X3046" s="10">
        <v>7.5</v>
      </c>
      <c r="Y3046" s="9">
        <v>45002</v>
      </c>
      <c r="Z3046">
        <v>12</v>
      </c>
      <c r="AA3046" s="11" t="s">
        <v>49</v>
      </c>
    </row>
    <row r="3047" spans="2:27" ht="16" x14ac:dyDescent="0.2">
      <c r="B3047" t="s">
        <v>35</v>
      </c>
      <c r="C3047">
        <v>40357534</v>
      </c>
      <c r="D3047" t="s">
        <v>389</v>
      </c>
      <c r="E3047">
        <v>1022096</v>
      </c>
      <c r="F3047" t="s">
        <v>440</v>
      </c>
      <c r="G3047" s="9">
        <v>44992</v>
      </c>
      <c r="H3047" s="7">
        <v>24260</v>
      </c>
      <c r="I3047" s="7"/>
      <c r="J3047" s="7"/>
      <c r="K3047" s="7"/>
      <c r="L3047" s="10">
        <v>5.5741092456127026</v>
      </c>
      <c r="M3047" s="9">
        <v>44997</v>
      </c>
      <c r="N3047" s="10">
        <v>5.5</v>
      </c>
      <c r="O3047" s="9">
        <v>45002</v>
      </c>
      <c r="P3047">
        <v>12</v>
      </c>
      <c r="Q3047" s="11" t="s">
        <v>49</v>
      </c>
      <c r="R3047" s="7">
        <v>24260</v>
      </c>
      <c r="S3047" s="7"/>
      <c r="T3047" s="7"/>
      <c r="U3047" s="7"/>
      <c r="V3047" s="10">
        <v>7.5741092456127026</v>
      </c>
      <c r="W3047" s="9">
        <v>44999</v>
      </c>
      <c r="X3047" s="10">
        <v>7.5</v>
      </c>
      <c r="Y3047" s="9">
        <v>45002</v>
      </c>
      <c r="Z3047">
        <v>12</v>
      </c>
      <c r="AA3047" s="11" t="s">
        <v>49</v>
      </c>
    </row>
    <row r="3048" spans="2:27" ht="16" x14ac:dyDescent="0.2">
      <c r="B3048" t="s">
        <v>35</v>
      </c>
      <c r="C3048">
        <v>40357447</v>
      </c>
      <c r="D3048" t="s">
        <v>389</v>
      </c>
      <c r="E3048">
        <v>1022945</v>
      </c>
      <c r="F3048" t="s">
        <v>442</v>
      </c>
      <c r="G3048" s="9">
        <v>45007</v>
      </c>
      <c r="H3048" s="7"/>
      <c r="I3048" s="7">
        <v>24940</v>
      </c>
      <c r="J3048" s="7"/>
      <c r="K3048" s="7"/>
      <c r="L3048" s="10">
        <v>5.5741092456127026</v>
      </c>
      <c r="M3048" s="9">
        <v>45012</v>
      </c>
      <c r="N3048" s="10">
        <v>5.5</v>
      </c>
      <c r="O3048" s="9">
        <v>45017</v>
      </c>
      <c r="P3048">
        <v>23</v>
      </c>
      <c r="Q3048" s="11" t="s">
        <v>49</v>
      </c>
      <c r="R3048" s="7"/>
      <c r="S3048" s="7">
        <v>24940</v>
      </c>
      <c r="T3048" s="7"/>
      <c r="U3048" s="7"/>
      <c r="V3048" s="10">
        <v>7.5741092456127026</v>
      </c>
      <c r="W3048" s="9">
        <v>45014</v>
      </c>
      <c r="X3048" s="10">
        <v>7.5</v>
      </c>
      <c r="Y3048" s="9">
        <v>45017</v>
      </c>
      <c r="Z3048">
        <v>23</v>
      </c>
      <c r="AA3048" s="11" t="s">
        <v>49</v>
      </c>
    </row>
    <row r="3049" spans="2:27" ht="16" x14ac:dyDescent="0.2">
      <c r="B3049" t="s">
        <v>35</v>
      </c>
      <c r="C3049">
        <v>40357446</v>
      </c>
      <c r="D3049" t="s">
        <v>389</v>
      </c>
      <c r="E3049">
        <v>1022945</v>
      </c>
      <c r="F3049" t="s">
        <v>442</v>
      </c>
      <c r="G3049" s="9">
        <v>44998</v>
      </c>
      <c r="H3049" s="7">
        <v>23920</v>
      </c>
      <c r="I3049" s="7"/>
      <c r="J3049" s="7"/>
      <c r="K3049" s="7"/>
      <c r="L3049" s="10">
        <v>5.5741092456127026</v>
      </c>
      <c r="M3049" s="9">
        <v>45003</v>
      </c>
      <c r="N3049" s="10">
        <v>5.5</v>
      </c>
      <c r="O3049" s="9">
        <v>45008</v>
      </c>
      <c r="P3049">
        <v>7</v>
      </c>
      <c r="Q3049" s="11" t="s">
        <v>49</v>
      </c>
      <c r="R3049" s="7">
        <v>23920</v>
      </c>
      <c r="S3049" s="7"/>
      <c r="T3049" s="7"/>
      <c r="U3049" s="7"/>
      <c r="V3049" s="10">
        <v>7.5741092456127026</v>
      </c>
      <c r="W3049" s="9">
        <v>45005</v>
      </c>
      <c r="X3049" s="10">
        <v>7.5</v>
      </c>
      <c r="Y3049" s="9">
        <v>45008</v>
      </c>
      <c r="Z3049">
        <v>7</v>
      </c>
      <c r="AA3049" s="11" t="s">
        <v>49</v>
      </c>
    </row>
    <row r="3050" spans="2:27" ht="16" x14ac:dyDescent="0.2">
      <c r="B3050" t="s">
        <v>35</v>
      </c>
      <c r="C3050">
        <v>40357444</v>
      </c>
      <c r="D3050" t="s">
        <v>389</v>
      </c>
      <c r="E3050">
        <v>1022945</v>
      </c>
      <c r="F3050" t="s">
        <v>442</v>
      </c>
      <c r="G3050" s="9">
        <v>45005</v>
      </c>
      <c r="H3050" s="7">
        <v>4000</v>
      </c>
      <c r="I3050" s="7"/>
      <c r="J3050" s="7"/>
      <c r="K3050" s="7"/>
      <c r="L3050" s="10">
        <v>5.5741092456127026</v>
      </c>
      <c r="M3050" s="9">
        <v>45010</v>
      </c>
      <c r="N3050" s="10">
        <v>5.5</v>
      </c>
      <c r="O3050" s="9">
        <v>45015</v>
      </c>
      <c r="P3050">
        <v>1</v>
      </c>
      <c r="Q3050" s="11" t="s">
        <v>598</v>
      </c>
      <c r="R3050" s="7">
        <v>4000</v>
      </c>
      <c r="S3050" s="7"/>
      <c r="T3050" s="7"/>
      <c r="U3050" s="7"/>
      <c r="V3050" s="10">
        <v>7.5741092456127026</v>
      </c>
      <c r="W3050" s="9">
        <v>45012</v>
      </c>
      <c r="X3050" s="10">
        <v>7.5</v>
      </c>
      <c r="Y3050" s="9">
        <v>45015</v>
      </c>
      <c r="Z3050">
        <v>1</v>
      </c>
      <c r="AA3050" s="11" t="s">
        <v>598</v>
      </c>
    </row>
    <row r="3051" spans="2:27" ht="16" x14ac:dyDescent="0.2">
      <c r="B3051" t="s">
        <v>35</v>
      </c>
      <c r="C3051">
        <v>40357444</v>
      </c>
      <c r="D3051" t="s">
        <v>389</v>
      </c>
      <c r="E3051">
        <v>1022945</v>
      </c>
      <c r="F3051" t="s">
        <v>442</v>
      </c>
      <c r="G3051" s="9">
        <v>45005</v>
      </c>
      <c r="H3051" s="7">
        <v>24000</v>
      </c>
      <c r="I3051" s="7"/>
      <c r="J3051" s="7"/>
      <c r="K3051" s="7"/>
      <c r="L3051" s="10">
        <v>5.5741092456127026</v>
      </c>
      <c r="M3051" s="9">
        <v>45010</v>
      </c>
      <c r="N3051" s="10">
        <v>5.5</v>
      </c>
      <c r="O3051" s="9">
        <v>45015</v>
      </c>
      <c r="P3051">
        <v>1</v>
      </c>
      <c r="Q3051" s="11" t="s">
        <v>598</v>
      </c>
      <c r="R3051" s="7">
        <v>24000</v>
      </c>
      <c r="S3051" s="7"/>
      <c r="T3051" s="7"/>
      <c r="U3051" s="7"/>
      <c r="V3051" s="10">
        <v>7.5741092456127026</v>
      </c>
      <c r="W3051" s="9">
        <v>45012</v>
      </c>
      <c r="X3051" s="10">
        <v>7.5</v>
      </c>
      <c r="Y3051" s="9">
        <v>45015</v>
      </c>
      <c r="Z3051">
        <v>1</v>
      </c>
      <c r="AA3051" s="11" t="s">
        <v>598</v>
      </c>
    </row>
    <row r="3052" spans="2:27" ht="16" x14ac:dyDescent="0.2">
      <c r="B3052" t="s">
        <v>35</v>
      </c>
      <c r="C3052">
        <v>40357371</v>
      </c>
      <c r="D3052" t="s">
        <v>389</v>
      </c>
      <c r="E3052">
        <v>1022748</v>
      </c>
      <c r="F3052" t="s">
        <v>444</v>
      </c>
      <c r="G3052" s="9">
        <v>45011</v>
      </c>
      <c r="H3052" s="7"/>
      <c r="I3052" s="7">
        <v>23890</v>
      </c>
      <c r="J3052" s="7"/>
      <c r="K3052" s="7"/>
      <c r="L3052" s="10">
        <v>5.5741092456127026</v>
      </c>
      <c r="M3052" s="9">
        <v>45016</v>
      </c>
      <c r="N3052" s="10">
        <v>5.5</v>
      </c>
      <c r="O3052" s="9">
        <v>45021</v>
      </c>
      <c r="P3052">
        <v>21</v>
      </c>
      <c r="Q3052" s="11" t="s">
        <v>49</v>
      </c>
      <c r="R3052" s="7"/>
      <c r="S3052" s="7">
        <v>23890</v>
      </c>
      <c r="T3052" s="7"/>
      <c r="U3052" s="7"/>
      <c r="V3052" s="10">
        <v>7.5741092456127026</v>
      </c>
      <c r="W3052" s="9">
        <v>45018</v>
      </c>
      <c r="X3052" s="10">
        <v>7.5</v>
      </c>
      <c r="Y3052" s="9">
        <v>45021</v>
      </c>
      <c r="Z3052">
        <v>21</v>
      </c>
      <c r="AA3052" s="11" t="s">
        <v>49</v>
      </c>
    </row>
    <row r="3053" spans="2:27" ht="16" x14ac:dyDescent="0.2">
      <c r="B3053" t="s">
        <v>35</v>
      </c>
      <c r="C3053">
        <v>40357352</v>
      </c>
      <c r="D3053" t="s">
        <v>389</v>
      </c>
      <c r="E3053">
        <v>1021731</v>
      </c>
      <c r="F3053" t="s">
        <v>273</v>
      </c>
      <c r="G3053" s="9">
        <v>45011</v>
      </c>
      <c r="H3053" s="7"/>
      <c r="I3053" s="7">
        <v>10980</v>
      </c>
      <c r="J3053" s="7"/>
      <c r="K3053" s="7"/>
      <c r="L3053" s="10">
        <v>5.5741092456127026</v>
      </c>
      <c r="M3053" s="9">
        <v>45016</v>
      </c>
      <c r="N3053" s="10">
        <v>5.5</v>
      </c>
      <c r="O3053" s="9">
        <v>45021</v>
      </c>
      <c r="P3053">
        <v>21</v>
      </c>
      <c r="Q3053" s="11" t="s">
        <v>49</v>
      </c>
      <c r="R3053" s="7"/>
      <c r="S3053" s="7">
        <v>10980</v>
      </c>
      <c r="T3053" s="7"/>
      <c r="U3053" s="7"/>
      <c r="V3053" s="10">
        <v>7.5741092456127026</v>
      </c>
      <c r="W3053" s="9">
        <v>45018</v>
      </c>
      <c r="X3053" s="10">
        <v>7.5</v>
      </c>
      <c r="Y3053" s="9">
        <v>45021</v>
      </c>
      <c r="Z3053">
        <v>21</v>
      </c>
      <c r="AA3053" s="11" t="s">
        <v>49</v>
      </c>
    </row>
    <row r="3054" spans="2:27" ht="16" x14ac:dyDescent="0.2">
      <c r="B3054" t="s">
        <v>35</v>
      </c>
      <c r="C3054">
        <v>40357352</v>
      </c>
      <c r="D3054" t="s">
        <v>389</v>
      </c>
      <c r="E3054">
        <v>1021731</v>
      </c>
      <c r="F3054" t="s">
        <v>273</v>
      </c>
      <c r="G3054" s="9">
        <v>45011</v>
      </c>
      <c r="H3054" s="7"/>
      <c r="I3054" s="7">
        <v>25020</v>
      </c>
      <c r="J3054" s="7"/>
      <c r="K3054" s="7"/>
      <c r="L3054" s="10">
        <v>5.5741092456127026</v>
      </c>
      <c r="M3054" s="9">
        <v>45016</v>
      </c>
      <c r="N3054" s="10">
        <v>5.5</v>
      </c>
      <c r="O3054" s="9">
        <v>45021</v>
      </c>
      <c r="P3054">
        <v>21</v>
      </c>
      <c r="Q3054" s="11" t="s">
        <v>49</v>
      </c>
      <c r="R3054" s="7"/>
      <c r="S3054" s="7">
        <v>25020</v>
      </c>
      <c r="T3054" s="7"/>
      <c r="U3054" s="7"/>
      <c r="V3054" s="10">
        <v>7.5741092456127026</v>
      </c>
      <c r="W3054" s="9">
        <v>45018</v>
      </c>
      <c r="X3054" s="10">
        <v>7.5</v>
      </c>
      <c r="Y3054" s="9">
        <v>45021</v>
      </c>
      <c r="Z3054">
        <v>21</v>
      </c>
      <c r="AA3054" s="11" t="s">
        <v>49</v>
      </c>
    </row>
    <row r="3055" spans="2:27" ht="16" x14ac:dyDescent="0.2">
      <c r="B3055" t="s">
        <v>35</v>
      </c>
      <c r="C3055">
        <v>40357312</v>
      </c>
      <c r="D3055" t="s">
        <v>389</v>
      </c>
      <c r="E3055">
        <v>1022381</v>
      </c>
      <c r="F3055" t="s">
        <v>447</v>
      </c>
      <c r="G3055" s="9">
        <v>44996</v>
      </c>
      <c r="H3055" s="7">
        <v>24260</v>
      </c>
      <c r="I3055" s="7"/>
      <c r="J3055" s="7"/>
      <c r="K3055" s="7"/>
      <c r="L3055" s="10">
        <v>5.5741092456127026</v>
      </c>
      <c r="M3055" s="9">
        <v>45001</v>
      </c>
      <c r="N3055" s="10">
        <v>5.5</v>
      </c>
      <c r="O3055" s="9">
        <v>45006</v>
      </c>
      <c r="P3055">
        <v>9</v>
      </c>
      <c r="Q3055" s="11" t="s">
        <v>49</v>
      </c>
      <c r="R3055" s="7">
        <v>24260</v>
      </c>
      <c r="S3055" s="7"/>
      <c r="T3055" s="7"/>
      <c r="U3055" s="7"/>
      <c r="V3055" s="10">
        <v>7.5741092456127026</v>
      </c>
      <c r="W3055" s="9">
        <v>45003</v>
      </c>
      <c r="X3055" s="10">
        <v>7.5</v>
      </c>
      <c r="Y3055" s="9">
        <v>45006</v>
      </c>
      <c r="Z3055">
        <v>9</v>
      </c>
      <c r="AA3055" s="11" t="s">
        <v>49</v>
      </c>
    </row>
    <row r="3056" spans="2:27" ht="16" x14ac:dyDescent="0.2">
      <c r="B3056" t="s">
        <v>35</v>
      </c>
      <c r="C3056">
        <v>40357232</v>
      </c>
      <c r="D3056" t="s">
        <v>389</v>
      </c>
      <c r="E3056">
        <v>1012455</v>
      </c>
      <c r="F3056" t="s">
        <v>450</v>
      </c>
      <c r="G3056" s="9">
        <v>45007</v>
      </c>
      <c r="H3056" s="7"/>
      <c r="I3056" s="7">
        <v>24000</v>
      </c>
      <c r="J3056" s="7"/>
      <c r="K3056" s="7"/>
      <c r="L3056" s="10">
        <v>5.5741092456127026</v>
      </c>
      <c r="M3056" s="9">
        <v>45012</v>
      </c>
      <c r="N3056" s="10">
        <v>5.5</v>
      </c>
      <c r="O3056" s="9">
        <v>45017</v>
      </c>
      <c r="P3056">
        <v>23</v>
      </c>
      <c r="Q3056" s="11" t="s">
        <v>49</v>
      </c>
      <c r="R3056" s="7"/>
      <c r="S3056" s="7">
        <v>24000</v>
      </c>
      <c r="T3056" s="7"/>
      <c r="U3056" s="7"/>
      <c r="V3056" s="10">
        <v>7.5741092456127026</v>
      </c>
      <c r="W3056" s="9">
        <v>45014</v>
      </c>
      <c r="X3056" s="10">
        <v>7.5</v>
      </c>
      <c r="Y3056" s="9">
        <v>45017</v>
      </c>
      <c r="Z3056">
        <v>23</v>
      </c>
      <c r="AA3056" s="11" t="s">
        <v>49</v>
      </c>
    </row>
    <row r="3057" spans="2:27" ht="16" x14ac:dyDescent="0.2">
      <c r="B3057" t="s">
        <v>35</v>
      </c>
      <c r="C3057">
        <v>40357226</v>
      </c>
      <c r="D3057" t="s">
        <v>389</v>
      </c>
      <c r="E3057">
        <v>1012448</v>
      </c>
      <c r="F3057" t="s">
        <v>451</v>
      </c>
      <c r="G3057" s="9">
        <v>44992</v>
      </c>
      <c r="H3057" s="7">
        <v>24000</v>
      </c>
      <c r="I3057" s="7"/>
      <c r="J3057" s="7"/>
      <c r="K3057" s="7"/>
      <c r="L3057" s="10">
        <v>5.5741092456127026</v>
      </c>
      <c r="M3057" s="9">
        <v>44997</v>
      </c>
      <c r="N3057" s="10">
        <v>5.5</v>
      </c>
      <c r="O3057" s="9">
        <v>45002</v>
      </c>
      <c r="P3057">
        <v>12</v>
      </c>
      <c r="Q3057" s="11" t="s">
        <v>49</v>
      </c>
      <c r="R3057" s="7">
        <v>24000</v>
      </c>
      <c r="S3057" s="7"/>
      <c r="T3057" s="7"/>
      <c r="U3057" s="7"/>
      <c r="V3057" s="10">
        <v>7.5741092456127026</v>
      </c>
      <c r="W3057" s="9">
        <v>44999</v>
      </c>
      <c r="X3057" s="10">
        <v>7.5</v>
      </c>
      <c r="Y3057" s="9">
        <v>45002</v>
      </c>
      <c r="Z3057">
        <v>12</v>
      </c>
      <c r="AA3057" s="11" t="s">
        <v>49</v>
      </c>
    </row>
    <row r="3058" spans="2:27" x14ac:dyDescent="0.2">
      <c r="B3058" t="s">
        <v>394</v>
      </c>
      <c r="C3058">
        <v>40357216</v>
      </c>
      <c r="D3058" t="s">
        <v>396</v>
      </c>
      <c r="E3058">
        <v>1021156</v>
      </c>
      <c r="F3058" t="s">
        <v>515</v>
      </c>
      <c r="G3058" s="9">
        <v>45005</v>
      </c>
      <c r="H3058" s="7">
        <v>24000</v>
      </c>
      <c r="I3058" s="7"/>
      <c r="J3058" s="7"/>
      <c r="K3058" s="7"/>
      <c r="L3058" s="10"/>
      <c r="N3058" s="10"/>
      <c r="Q3058" s="11"/>
      <c r="R3058" s="7">
        <v>24000</v>
      </c>
      <c r="S3058" s="7"/>
      <c r="T3058" s="7"/>
      <c r="U3058" s="7"/>
      <c r="V3058" s="10"/>
      <c r="X3058" s="10"/>
      <c r="AA3058" s="11"/>
    </row>
    <row r="3059" spans="2:27" x14ac:dyDescent="0.2">
      <c r="B3059" t="s">
        <v>394</v>
      </c>
      <c r="C3059">
        <v>40357134</v>
      </c>
      <c r="D3059" t="s">
        <v>396</v>
      </c>
      <c r="E3059">
        <v>1021664</v>
      </c>
      <c r="F3059" t="s">
        <v>452</v>
      </c>
      <c r="G3059" s="9">
        <v>45001</v>
      </c>
      <c r="H3059" s="7">
        <v>21941.040000000001</v>
      </c>
      <c r="I3059" s="7"/>
      <c r="J3059" s="7"/>
      <c r="K3059" s="7"/>
      <c r="L3059" s="10"/>
      <c r="N3059" s="10"/>
      <c r="Q3059" s="11"/>
      <c r="R3059" s="7">
        <v>21941.040000000001</v>
      </c>
      <c r="S3059" s="7"/>
      <c r="T3059" s="7"/>
      <c r="U3059" s="7"/>
      <c r="V3059" s="10"/>
      <c r="X3059" s="10"/>
      <c r="AA3059" s="11"/>
    </row>
    <row r="3060" spans="2:27" x14ac:dyDescent="0.2">
      <c r="B3060" t="s">
        <v>394</v>
      </c>
      <c r="C3060">
        <v>40357120</v>
      </c>
      <c r="D3060" t="s">
        <v>396</v>
      </c>
      <c r="E3060">
        <v>1021665</v>
      </c>
      <c r="F3060" t="s">
        <v>453</v>
      </c>
      <c r="G3060" s="9">
        <v>45001</v>
      </c>
      <c r="H3060" s="7">
        <v>22420.26</v>
      </c>
      <c r="I3060" s="7"/>
      <c r="J3060" s="7"/>
      <c r="K3060" s="7"/>
      <c r="L3060" s="10"/>
      <c r="N3060" s="10"/>
      <c r="Q3060" s="11"/>
      <c r="R3060" s="7">
        <v>22420.26</v>
      </c>
      <c r="S3060" s="7"/>
      <c r="T3060" s="7"/>
      <c r="U3060" s="7"/>
      <c r="V3060" s="10"/>
      <c r="X3060" s="10"/>
      <c r="AA3060" s="11"/>
    </row>
    <row r="3061" spans="2:27" x14ac:dyDescent="0.2">
      <c r="B3061" t="s">
        <v>394</v>
      </c>
      <c r="C3061">
        <v>40357119</v>
      </c>
      <c r="D3061" t="s">
        <v>396</v>
      </c>
      <c r="E3061">
        <v>1021665</v>
      </c>
      <c r="F3061" t="s">
        <v>453</v>
      </c>
      <c r="G3061" s="9">
        <v>45001</v>
      </c>
      <c r="H3061" s="7">
        <v>21992.95</v>
      </c>
      <c r="I3061" s="7"/>
      <c r="J3061" s="7"/>
      <c r="K3061" s="7"/>
      <c r="L3061" s="10"/>
      <c r="N3061" s="10"/>
      <c r="Q3061" s="11"/>
      <c r="R3061" s="7">
        <v>21992.95</v>
      </c>
      <c r="S3061" s="7"/>
      <c r="T3061" s="7"/>
      <c r="U3061" s="7"/>
      <c r="V3061" s="10"/>
      <c r="X3061" s="10"/>
      <c r="AA3061" s="11"/>
    </row>
    <row r="3062" spans="2:27" ht="16" x14ac:dyDescent="0.2">
      <c r="B3062" t="s">
        <v>35</v>
      </c>
      <c r="C3062">
        <v>40357091</v>
      </c>
      <c r="D3062" t="s">
        <v>409</v>
      </c>
      <c r="E3062">
        <v>1012110</v>
      </c>
      <c r="F3062" t="s">
        <v>109</v>
      </c>
      <c r="G3062" s="9">
        <v>44984</v>
      </c>
      <c r="H3062" s="7">
        <v>18143.68</v>
      </c>
      <c r="I3062" s="7"/>
      <c r="J3062" s="7"/>
      <c r="K3062" s="7"/>
      <c r="L3062" s="10">
        <v>7.5</v>
      </c>
      <c r="M3062" s="9">
        <v>44991</v>
      </c>
      <c r="N3062" s="10">
        <v>9.5</v>
      </c>
      <c r="O3062" s="9">
        <v>45000</v>
      </c>
      <c r="P3062">
        <v>14</v>
      </c>
      <c r="Q3062" s="11" t="s">
        <v>49</v>
      </c>
      <c r="R3062" s="7">
        <v>18143.68</v>
      </c>
      <c r="S3062" s="7"/>
      <c r="T3062" s="7"/>
      <c r="U3062" s="7"/>
      <c r="V3062" s="10">
        <v>9.5</v>
      </c>
      <c r="W3062" s="9">
        <v>44993</v>
      </c>
      <c r="X3062" s="10">
        <v>11.5</v>
      </c>
      <c r="Y3062" s="9">
        <v>45000</v>
      </c>
      <c r="Z3062">
        <v>14</v>
      </c>
      <c r="AA3062" s="11" t="s">
        <v>49</v>
      </c>
    </row>
    <row r="3063" spans="2:27" ht="16" x14ac:dyDescent="0.2">
      <c r="B3063" t="s">
        <v>35</v>
      </c>
      <c r="C3063">
        <v>40357089</v>
      </c>
      <c r="D3063" t="s">
        <v>409</v>
      </c>
      <c r="E3063">
        <v>1012107</v>
      </c>
      <c r="F3063" t="s">
        <v>215</v>
      </c>
      <c r="G3063" s="9">
        <v>44983</v>
      </c>
      <c r="H3063" s="7">
        <v>8164.6559999999999</v>
      </c>
      <c r="I3063" s="7"/>
      <c r="J3063" s="7"/>
      <c r="K3063" s="7"/>
      <c r="L3063" s="10">
        <v>7.5</v>
      </c>
      <c r="M3063" s="9">
        <v>44990</v>
      </c>
      <c r="N3063" s="10">
        <v>9.5</v>
      </c>
      <c r="O3063" s="9">
        <v>44999</v>
      </c>
      <c r="P3063">
        <v>15</v>
      </c>
      <c r="Q3063" s="11" t="s">
        <v>49</v>
      </c>
      <c r="R3063" s="7">
        <v>8164.6559999999999</v>
      </c>
      <c r="S3063" s="7"/>
      <c r="T3063" s="7"/>
      <c r="U3063" s="7"/>
      <c r="V3063" s="10">
        <v>9.5</v>
      </c>
      <c r="W3063" s="9">
        <v>44992</v>
      </c>
      <c r="X3063" s="10">
        <v>11.5</v>
      </c>
      <c r="Y3063" s="9">
        <v>44999</v>
      </c>
      <c r="Z3063">
        <v>15</v>
      </c>
      <c r="AA3063" s="11" t="s">
        <v>49</v>
      </c>
    </row>
    <row r="3064" spans="2:27" ht="16" x14ac:dyDescent="0.2">
      <c r="B3064" t="s">
        <v>35</v>
      </c>
      <c r="C3064">
        <v>40357089</v>
      </c>
      <c r="D3064" t="s">
        <v>409</v>
      </c>
      <c r="E3064">
        <v>1012110</v>
      </c>
      <c r="F3064" t="s">
        <v>109</v>
      </c>
      <c r="G3064" s="9">
        <v>44983</v>
      </c>
      <c r="H3064" s="7">
        <v>11793.392</v>
      </c>
      <c r="I3064" s="7"/>
      <c r="J3064" s="7"/>
      <c r="K3064" s="7"/>
      <c r="L3064" s="10">
        <v>7.5</v>
      </c>
      <c r="M3064" s="9">
        <v>44990</v>
      </c>
      <c r="N3064" s="10">
        <v>9.5</v>
      </c>
      <c r="O3064" s="9">
        <v>44999</v>
      </c>
      <c r="P3064">
        <v>15</v>
      </c>
      <c r="Q3064" s="11" t="s">
        <v>49</v>
      </c>
      <c r="R3064" s="7">
        <v>11793.392</v>
      </c>
      <c r="S3064" s="7"/>
      <c r="T3064" s="7"/>
      <c r="U3064" s="7"/>
      <c r="V3064" s="10">
        <v>9.5</v>
      </c>
      <c r="W3064" s="9">
        <v>44992</v>
      </c>
      <c r="X3064" s="10">
        <v>11.5</v>
      </c>
      <c r="Y3064" s="9">
        <v>44999</v>
      </c>
      <c r="Z3064">
        <v>15</v>
      </c>
      <c r="AA3064" s="11" t="s">
        <v>49</v>
      </c>
    </row>
    <row r="3065" spans="2:27" ht="16" x14ac:dyDescent="0.2">
      <c r="B3065" t="s">
        <v>35</v>
      </c>
      <c r="C3065">
        <v>40356947</v>
      </c>
      <c r="D3065" t="s">
        <v>386</v>
      </c>
      <c r="E3065">
        <v>1012432</v>
      </c>
      <c r="F3065" t="s">
        <v>454</v>
      </c>
      <c r="G3065" s="9">
        <v>44988</v>
      </c>
      <c r="H3065" s="7">
        <v>21600</v>
      </c>
      <c r="I3065" s="7"/>
      <c r="J3065" s="7"/>
      <c r="K3065" s="7"/>
      <c r="L3065" s="10">
        <v>5.1420118343195256</v>
      </c>
      <c r="M3065" s="9">
        <v>44993</v>
      </c>
      <c r="N3065" s="10">
        <v>7.5</v>
      </c>
      <c r="O3065" s="9">
        <v>45000</v>
      </c>
      <c r="P3065">
        <v>14</v>
      </c>
      <c r="Q3065" s="11" t="s">
        <v>49</v>
      </c>
      <c r="R3065" s="7">
        <v>21600</v>
      </c>
      <c r="S3065" s="7"/>
      <c r="T3065" s="7"/>
      <c r="U3065" s="7"/>
      <c r="V3065" s="10">
        <v>7.1420118343195256</v>
      </c>
      <c r="W3065" s="9">
        <v>44995</v>
      </c>
      <c r="X3065" s="10">
        <v>9.5</v>
      </c>
      <c r="Y3065" s="9">
        <v>45000</v>
      </c>
      <c r="Z3065">
        <v>14</v>
      </c>
      <c r="AA3065" s="11" t="s">
        <v>49</v>
      </c>
    </row>
    <row r="3066" spans="2:27" ht="16" x14ac:dyDescent="0.2">
      <c r="B3066" t="s">
        <v>35</v>
      </c>
      <c r="C3066">
        <v>40356946</v>
      </c>
      <c r="D3066" t="s">
        <v>386</v>
      </c>
      <c r="E3066">
        <v>1012432</v>
      </c>
      <c r="F3066" t="s">
        <v>454</v>
      </c>
      <c r="G3066" s="9">
        <v>44988</v>
      </c>
      <c r="H3066" s="7">
        <v>21600</v>
      </c>
      <c r="I3066" s="7"/>
      <c r="J3066" s="7"/>
      <c r="K3066" s="7"/>
      <c r="L3066" s="10">
        <v>5.1420118343195256</v>
      </c>
      <c r="M3066" s="9">
        <v>44993</v>
      </c>
      <c r="N3066" s="10">
        <v>7.5</v>
      </c>
      <c r="O3066" s="9">
        <v>45000</v>
      </c>
      <c r="P3066">
        <v>14</v>
      </c>
      <c r="Q3066" s="11" t="s">
        <v>49</v>
      </c>
      <c r="R3066" s="7">
        <v>21600</v>
      </c>
      <c r="S3066" s="7"/>
      <c r="T3066" s="7"/>
      <c r="U3066" s="7"/>
      <c r="V3066" s="10">
        <v>7.1420118343195256</v>
      </c>
      <c r="W3066" s="9">
        <v>44995</v>
      </c>
      <c r="X3066" s="10">
        <v>9.5</v>
      </c>
      <c r="Y3066" s="9">
        <v>45000</v>
      </c>
      <c r="Z3066">
        <v>14</v>
      </c>
      <c r="AA3066" s="11" t="s">
        <v>49</v>
      </c>
    </row>
    <row r="3067" spans="2:27" ht="16" x14ac:dyDescent="0.2">
      <c r="B3067" t="s">
        <v>35</v>
      </c>
      <c r="C3067">
        <v>40356928</v>
      </c>
      <c r="D3067" t="s">
        <v>386</v>
      </c>
      <c r="E3067">
        <v>1011748</v>
      </c>
      <c r="F3067" t="s">
        <v>225</v>
      </c>
      <c r="G3067" s="9">
        <v>44997</v>
      </c>
      <c r="H3067" s="7">
        <v>22800</v>
      </c>
      <c r="I3067" s="7"/>
      <c r="J3067" s="7"/>
      <c r="K3067" s="7"/>
      <c r="L3067" s="10">
        <v>5.1420118343195256</v>
      </c>
      <c r="M3067" s="9">
        <v>45002</v>
      </c>
      <c r="N3067" s="10">
        <v>7.5</v>
      </c>
      <c r="O3067" s="9">
        <v>45009</v>
      </c>
      <c r="P3067">
        <v>6</v>
      </c>
      <c r="Q3067" s="11" t="s">
        <v>49</v>
      </c>
      <c r="R3067" s="7">
        <v>22800</v>
      </c>
      <c r="S3067" s="7"/>
      <c r="T3067" s="7"/>
      <c r="U3067" s="7"/>
      <c r="V3067" s="10">
        <v>7.1420118343195256</v>
      </c>
      <c r="W3067" s="9">
        <v>45004</v>
      </c>
      <c r="X3067" s="10">
        <v>9.5</v>
      </c>
      <c r="Y3067" s="9">
        <v>45009</v>
      </c>
      <c r="Z3067">
        <v>6</v>
      </c>
      <c r="AA3067" s="11" t="s">
        <v>49</v>
      </c>
    </row>
    <row r="3068" spans="2:27" ht="16" x14ac:dyDescent="0.2">
      <c r="B3068" t="s">
        <v>35</v>
      </c>
      <c r="C3068">
        <v>40356927</v>
      </c>
      <c r="D3068" t="s">
        <v>386</v>
      </c>
      <c r="E3068">
        <v>1011748</v>
      </c>
      <c r="F3068" t="s">
        <v>225</v>
      </c>
      <c r="G3068" s="9">
        <v>44997</v>
      </c>
      <c r="H3068" s="7">
        <v>22800</v>
      </c>
      <c r="I3068" s="7"/>
      <c r="J3068" s="7"/>
      <c r="K3068" s="7"/>
      <c r="L3068" s="10">
        <v>5.1420118343195256</v>
      </c>
      <c r="M3068" s="9">
        <v>45002</v>
      </c>
      <c r="N3068" s="10">
        <v>7.5</v>
      </c>
      <c r="O3068" s="9">
        <v>45009</v>
      </c>
      <c r="P3068">
        <v>6</v>
      </c>
      <c r="Q3068" s="11" t="s">
        <v>49</v>
      </c>
      <c r="R3068" s="7">
        <v>22800</v>
      </c>
      <c r="S3068" s="7"/>
      <c r="T3068" s="7"/>
      <c r="U3068" s="7"/>
      <c r="V3068" s="10">
        <v>7.1420118343195256</v>
      </c>
      <c r="W3068" s="9">
        <v>45004</v>
      </c>
      <c r="X3068" s="10">
        <v>9.5</v>
      </c>
      <c r="Y3068" s="9">
        <v>45009</v>
      </c>
      <c r="Z3068">
        <v>6</v>
      </c>
      <c r="AA3068" s="11" t="s">
        <v>49</v>
      </c>
    </row>
    <row r="3069" spans="2:27" ht="16" x14ac:dyDescent="0.2">
      <c r="B3069" t="s">
        <v>35</v>
      </c>
      <c r="C3069">
        <v>40356926</v>
      </c>
      <c r="D3069" t="s">
        <v>386</v>
      </c>
      <c r="E3069">
        <v>1011748</v>
      </c>
      <c r="F3069" t="s">
        <v>225</v>
      </c>
      <c r="G3069" s="9">
        <v>44997</v>
      </c>
      <c r="H3069" s="7">
        <v>22800</v>
      </c>
      <c r="I3069" s="7"/>
      <c r="J3069" s="7"/>
      <c r="K3069" s="7"/>
      <c r="L3069" s="10">
        <v>5.1420118343195256</v>
      </c>
      <c r="M3069" s="9">
        <v>45002</v>
      </c>
      <c r="N3069" s="10">
        <v>7.5</v>
      </c>
      <c r="O3069" s="9">
        <v>45009</v>
      </c>
      <c r="P3069">
        <v>6</v>
      </c>
      <c r="Q3069" s="11" t="s">
        <v>49</v>
      </c>
      <c r="R3069" s="7">
        <v>22800</v>
      </c>
      <c r="S3069" s="7"/>
      <c r="T3069" s="7"/>
      <c r="U3069" s="7"/>
      <c r="V3069" s="10">
        <v>7.1420118343195256</v>
      </c>
      <c r="W3069" s="9">
        <v>45004</v>
      </c>
      <c r="X3069" s="10">
        <v>9.5</v>
      </c>
      <c r="Y3069" s="9">
        <v>45009</v>
      </c>
      <c r="Z3069">
        <v>6</v>
      </c>
      <c r="AA3069" s="11" t="s">
        <v>49</v>
      </c>
    </row>
    <row r="3070" spans="2:27" x14ac:dyDescent="0.2">
      <c r="B3070" t="s">
        <v>394</v>
      </c>
      <c r="C3070">
        <v>40356306</v>
      </c>
      <c r="D3070" t="s">
        <v>396</v>
      </c>
      <c r="E3070">
        <v>1012612</v>
      </c>
      <c r="F3070" t="s">
        <v>429</v>
      </c>
      <c r="G3070" s="9">
        <v>45016</v>
      </c>
      <c r="H3070" s="7">
        <v>24731</v>
      </c>
      <c r="I3070" s="7"/>
      <c r="J3070" s="7"/>
      <c r="K3070" s="7"/>
      <c r="L3070" s="10"/>
      <c r="N3070" s="10"/>
      <c r="Q3070" s="11"/>
      <c r="R3070" s="7">
        <v>24731</v>
      </c>
      <c r="S3070" s="7"/>
      <c r="T3070" s="7"/>
      <c r="U3070" s="7"/>
      <c r="V3070" s="10"/>
      <c r="X3070" s="10"/>
      <c r="AA3070" s="11"/>
    </row>
    <row r="3071" spans="2:27" x14ac:dyDescent="0.2">
      <c r="B3071" t="s">
        <v>394</v>
      </c>
      <c r="C3071">
        <v>40356225</v>
      </c>
      <c r="D3071" t="s">
        <v>396</v>
      </c>
      <c r="E3071">
        <v>1022930</v>
      </c>
      <c r="F3071" t="s">
        <v>456</v>
      </c>
      <c r="G3071" s="9">
        <v>45008</v>
      </c>
      <c r="H3071" s="7">
        <v>22004.400000000001</v>
      </c>
      <c r="I3071" s="7"/>
      <c r="J3071" s="7"/>
      <c r="K3071" s="7"/>
      <c r="L3071" s="10"/>
      <c r="N3071" s="10"/>
      <c r="Q3071" s="11"/>
      <c r="R3071" s="7">
        <v>22004.400000000001</v>
      </c>
      <c r="S3071" s="7"/>
      <c r="T3071" s="7"/>
      <c r="U3071" s="7"/>
      <c r="V3071" s="10"/>
      <c r="X3071" s="10"/>
      <c r="AA3071" s="11"/>
    </row>
    <row r="3072" spans="2:27" x14ac:dyDescent="0.2">
      <c r="B3072" t="s">
        <v>394</v>
      </c>
      <c r="C3072">
        <v>40356224</v>
      </c>
      <c r="D3072" t="s">
        <v>396</v>
      </c>
      <c r="E3072">
        <v>1022930</v>
      </c>
      <c r="F3072" t="s">
        <v>456</v>
      </c>
      <c r="G3072" s="9">
        <v>45001</v>
      </c>
      <c r="H3072" s="7">
        <v>22011.919999999998</v>
      </c>
      <c r="I3072" s="7"/>
      <c r="J3072" s="7"/>
      <c r="K3072" s="7"/>
      <c r="L3072" s="10"/>
      <c r="N3072" s="10"/>
      <c r="Q3072" s="11"/>
      <c r="R3072" s="7">
        <v>22011.919999999998</v>
      </c>
      <c r="S3072" s="7"/>
      <c r="T3072" s="7"/>
      <c r="U3072" s="7"/>
      <c r="V3072" s="10"/>
      <c r="X3072" s="10"/>
      <c r="AA3072" s="11"/>
    </row>
    <row r="3073" spans="2:27" x14ac:dyDescent="0.2">
      <c r="B3073" t="s">
        <v>394</v>
      </c>
      <c r="C3073">
        <v>40355358</v>
      </c>
      <c r="D3073" t="s">
        <v>485</v>
      </c>
      <c r="E3073">
        <v>1011421</v>
      </c>
      <c r="F3073" t="s">
        <v>484</v>
      </c>
      <c r="G3073" s="9">
        <v>44976</v>
      </c>
      <c r="H3073" s="7"/>
      <c r="I3073" s="7"/>
      <c r="J3073" s="7"/>
      <c r="K3073" s="7"/>
      <c r="L3073" s="10"/>
      <c r="N3073" s="10"/>
      <c r="Q3073" s="11"/>
      <c r="R3073" s="7"/>
      <c r="S3073" s="7"/>
      <c r="T3073" s="7"/>
      <c r="U3073" s="7"/>
      <c r="V3073" s="10"/>
      <c r="X3073" s="10"/>
      <c r="AA3073" s="11"/>
    </row>
    <row r="3074" spans="2:27" ht="16" x14ac:dyDescent="0.2">
      <c r="B3074" t="s">
        <v>35</v>
      </c>
      <c r="C3074">
        <v>40354725</v>
      </c>
      <c r="D3074" t="s">
        <v>409</v>
      </c>
      <c r="E3074">
        <v>1012161</v>
      </c>
      <c r="F3074" t="s">
        <v>101</v>
      </c>
      <c r="G3074" s="9">
        <v>44991</v>
      </c>
      <c r="H3074" s="7">
        <v>907.18399999999997</v>
      </c>
      <c r="I3074" s="7"/>
      <c r="J3074" s="7"/>
      <c r="K3074" s="7"/>
      <c r="L3074" s="10">
        <v>7.5</v>
      </c>
      <c r="M3074" s="9">
        <v>44998</v>
      </c>
      <c r="N3074" s="10">
        <v>9.5</v>
      </c>
      <c r="O3074" s="9">
        <v>45007</v>
      </c>
      <c r="P3074">
        <v>8</v>
      </c>
      <c r="Q3074" s="11" t="s">
        <v>49</v>
      </c>
      <c r="R3074" s="7">
        <v>907.18399999999997</v>
      </c>
      <c r="S3074" s="7"/>
      <c r="T3074" s="7"/>
      <c r="U3074" s="7"/>
      <c r="V3074" s="10">
        <v>9.5</v>
      </c>
      <c r="W3074" s="9">
        <v>45000</v>
      </c>
      <c r="X3074" s="10">
        <v>11.5</v>
      </c>
      <c r="Y3074" s="9">
        <v>45007</v>
      </c>
      <c r="Z3074">
        <v>8</v>
      </c>
      <c r="AA3074" s="11" t="s">
        <v>49</v>
      </c>
    </row>
    <row r="3075" spans="2:27" ht="16" x14ac:dyDescent="0.2">
      <c r="B3075" t="s">
        <v>35</v>
      </c>
      <c r="C3075">
        <v>40354725</v>
      </c>
      <c r="D3075" t="s">
        <v>409</v>
      </c>
      <c r="E3075">
        <v>1012167</v>
      </c>
      <c r="F3075" t="s">
        <v>70</v>
      </c>
      <c r="G3075" s="9">
        <v>44991</v>
      </c>
      <c r="H3075" s="7">
        <v>1814.3679999999999</v>
      </c>
      <c r="I3075" s="7"/>
      <c r="J3075" s="7"/>
      <c r="K3075" s="7"/>
      <c r="L3075" s="10">
        <v>7.5</v>
      </c>
      <c r="M3075" s="9">
        <v>44998</v>
      </c>
      <c r="N3075" s="10">
        <v>9.5</v>
      </c>
      <c r="O3075" s="9">
        <v>45007</v>
      </c>
      <c r="P3075">
        <v>8</v>
      </c>
      <c r="Q3075" s="11" t="s">
        <v>49</v>
      </c>
      <c r="R3075" s="7">
        <v>1814.3679999999999</v>
      </c>
      <c r="S3075" s="7"/>
      <c r="T3075" s="7"/>
      <c r="U3075" s="7"/>
      <c r="V3075" s="10">
        <v>9.5</v>
      </c>
      <c r="W3075" s="9">
        <v>45000</v>
      </c>
      <c r="X3075" s="10">
        <v>11.5</v>
      </c>
      <c r="Y3075" s="9">
        <v>45007</v>
      </c>
      <c r="Z3075">
        <v>8</v>
      </c>
      <c r="AA3075" s="11" t="s">
        <v>49</v>
      </c>
    </row>
    <row r="3076" spans="2:27" ht="16" x14ac:dyDescent="0.2">
      <c r="B3076" t="s">
        <v>35</v>
      </c>
      <c r="C3076">
        <v>40354725</v>
      </c>
      <c r="D3076" t="s">
        <v>409</v>
      </c>
      <c r="E3076">
        <v>1012159</v>
      </c>
      <c r="F3076" t="s">
        <v>88</v>
      </c>
      <c r="G3076" s="9">
        <v>44991</v>
      </c>
      <c r="H3076" s="7">
        <v>907.18399999999997</v>
      </c>
      <c r="I3076" s="7"/>
      <c r="J3076" s="7"/>
      <c r="K3076" s="7"/>
      <c r="L3076" s="10">
        <v>7.5</v>
      </c>
      <c r="M3076" s="9">
        <v>44998</v>
      </c>
      <c r="N3076" s="10">
        <v>9.5</v>
      </c>
      <c r="O3076" s="9">
        <v>45007</v>
      </c>
      <c r="P3076">
        <v>8</v>
      </c>
      <c r="Q3076" s="11" t="s">
        <v>49</v>
      </c>
      <c r="R3076" s="7">
        <v>907.18399999999997</v>
      </c>
      <c r="S3076" s="7"/>
      <c r="T3076" s="7"/>
      <c r="U3076" s="7"/>
      <c r="V3076" s="10">
        <v>9.5</v>
      </c>
      <c r="W3076" s="9">
        <v>45000</v>
      </c>
      <c r="X3076" s="10">
        <v>11.5</v>
      </c>
      <c r="Y3076" s="9">
        <v>45007</v>
      </c>
      <c r="Z3076">
        <v>8</v>
      </c>
      <c r="AA3076" s="11" t="s">
        <v>49</v>
      </c>
    </row>
    <row r="3077" spans="2:27" ht="16" x14ac:dyDescent="0.2">
      <c r="B3077" t="s">
        <v>35</v>
      </c>
      <c r="C3077">
        <v>40354725</v>
      </c>
      <c r="D3077" t="s">
        <v>409</v>
      </c>
      <c r="E3077">
        <v>1012158</v>
      </c>
      <c r="F3077" t="s">
        <v>86</v>
      </c>
      <c r="G3077" s="9">
        <v>44991</v>
      </c>
      <c r="H3077" s="7">
        <v>907.18399999999997</v>
      </c>
      <c r="I3077" s="7"/>
      <c r="J3077" s="7"/>
      <c r="K3077" s="7"/>
      <c r="L3077" s="10">
        <v>7.5</v>
      </c>
      <c r="M3077" s="9">
        <v>44998</v>
      </c>
      <c r="N3077" s="10">
        <v>9.5</v>
      </c>
      <c r="O3077" s="9">
        <v>45007</v>
      </c>
      <c r="P3077">
        <v>8</v>
      </c>
      <c r="Q3077" s="11" t="s">
        <v>49</v>
      </c>
      <c r="R3077" s="7">
        <v>907.18399999999997</v>
      </c>
      <c r="S3077" s="7"/>
      <c r="T3077" s="7"/>
      <c r="U3077" s="7"/>
      <c r="V3077" s="10">
        <v>9.5</v>
      </c>
      <c r="W3077" s="9">
        <v>45000</v>
      </c>
      <c r="X3077" s="10">
        <v>11.5</v>
      </c>
      <c r="Y3077" s="9">
        <v>45007</v>
      </c>
      <c r="Z3077">
        <v>8</v>
      </c>
      <c r="AA3077" s="11" t="s">
        <v>49</v>
      </c>
    </row>
    <row r="3078" spans="2:27" ht="16" x14ac:dyDescent="0.2">
      <c r="B3078" t="s">
        <v>35</v>
      </c>
      <c r="C3078">
        <v>40354725</v>
      </c>
      <c r="D3078" t="s">
        <v>409</v>
      </c>
      <c r="E3078">
        <v>1012160</v>
      </c>
      <c r="F3078" t="s">
        <v>72</v>
      </c>
      <c r="G3078" s="9">
        <v>44991</v>
      </c>
      <c r="H3078" s="7">
        <v>907.18399999999997</v>
      </c>
      <c r="I3078" s="7"/>
      <c r="J3078" s="7"/>
      <c r="K3078" s="7"/>
      <c r="L3078" s="10">
        <v>7.5</v>
      </c>
      <c r="M3078" s="9">
        <v>44998</v>
      </c>
      <c r="N3078" s="10">
        <v>9.5</v>
      </c>
      <c r="O3078" s="9">
        <v>45007</v>
      </c>
      <c r="P3078">
        <v>8</v>
      </c>
      <c r="Q3078" s="11" t="s">
        <v>49</v>
      </c>
      <c r="R3078" s="7">
        <v>907.18399999999997</v>
      </c>
      <c r="S3078" s="7"/>
      <c r="T3078" s="7"/>
      <c r="U3078" s="7"/>
      <c r="V3078" s="10">
        <v>9.5</v>
      </c>
      <c r="W3078" s="9">
        <v>45000</v>
      </c>
      <c r="X3078" s="10">
        <v>11.5</v>
      </c>
      <c r="Y3078" s="9">
        <v>45007</v>
      </c>
      <c r="Z3078">
        <v>8</v>
      </c>
      <c r="AA3078" s="11" t="s">
        <v>49</v>
      </c>
    </row>
    <row r="3079" spans="2:27" ht="16" x14ac:dyDescent="0.2">
      <c r="B3079" t="s">
        <v>35</v>
      </c>
      <c r="C3079">
        <v>40354725</v>
      </c>
      <c r="D3079" t="s">
        <v>409</v>
      </c>
      <c r="E3079">
        <v>1012165</v>
      </c>
      <c r="F3079" t="s">
        <v>61</v>
      </c>
      <c r="G3079" s="9">
        <v>44991</v>
      </c>
      <c r="H3079" s="7">
        <v>12700.575999999999</v>
      </c>
      <c r="I3079" s="7"/>
      <c r="J3079" s="7"/>
      <c r="K3079" s="7"/>
      <c r="L3079" s="10">
        <v>7.5</v>
      </c>
      <c r="M3079" s="9">
        <v>44998</v>
      </c>
      <c r="N3079" s="10">
        <v>9.5</v>
      </c>
      <c r="O3079" s="9">
        <v>45007</v>
      </c>
      <c r="P3079">
        <v>8</v>
      </c>
      <c r="Q3079" s="11" t="s">
        <v>49</v>
      </c>
      <c r="R3079" s="7">
        <v>12700.575999999999</v>
      </c>
      <c r="S3079" s="7"/>
      <c r="T3079" s="7"/>
      <c r="U3079" s="7"/>
      <c r="V3079" s="10">
        <v>9.5</v>
      </c>
      <c r="W3079" s="9">
        <v>45000</v>
      </c>
      <c r="X3079" s="10">
        <v>11.5</v>
      </c>
      <c r="Y3079" s="9">
        <v>45007</v>
      </c>
      <c r="Z3079">
        <v>8</v>
      </c>
      <c r="AA3079" s="11" t="s">
        <v>49</v>
      </c>
    </row>
    <row r="3080" spans="2:27" ht="16" x14ac:dyDescent="0.2">
      <c r="B3080" t="s">
        <v>35</v>
      </c>
      <c r="C3080">
        <v>40354655</v>
      </c>
      <c r="D3080" t="s">
        <v>391</v>
      </c>
      <c r="E3080">
        <v>1022989</v>
      </c>
      <c r="F3080" t="s">
        <v>561</v>
      </c>
      <c r="G3080" s="9">
        <v>44998</v>
      </c>
      <c r="H3080" s="7"/>
      <c r="I3080" s="7">
        <v>18129.43</v>
      </c>
      <c r="J3080" s="7"/>
      <c r="K3080" s="7"/>
      <c r="L3080" s="10">
        <v>4.830303030303031</v>
      </c>
      <c r="M3080" s="9">
        <v>45002</v>
      </c>
      <c r="N3080" s="10">
        <v>15</v>
      </c>
      <c r="O3080" s="9">
        <v>45017</v>
      </c>
      <c r="P3080">
        <v>24</v>
      </c>
      <c r="Q3080" s="11" t="s">
        <v>49</v>
      </c>
      <c r="R3080" s="7"/>
      <c r="S3080" s="7">
        <v>18129.43</v>
      </c>
      <c r="T3080" s="7"/>
      <c r="U3080" s="7"/>
      <c r="V3080" s="10">
        <v>6.830303030303031</v>
      </c>
      <c r="W3080" s="9">
        <v>45004</v>
      </c>
      <c r="X3080" s="10">
        <v>17</v>
      </c>
      <c r="Y3080" s="9">
        <v>45017</v>
      </c>
      <c r="Z3080">
        <v>24</v>
      </c>
      <c r="AA3080" s="11" t="s">
        <v>49</v>
      </c>
    </row>
    <row r="3081" spans="2:27" ht="16" x14ac:dyDescent="0.2">
      <c r="B3081" t="s">
        <v>35</v>
      </c>
      <c r="C3081">
        <v>40354655</v>
      </c>
      <c r="D3081" t="s">
        <v>391</v>
      </c>
      <c r="E3081">
        <v>1022398</v>
      </c>
      <c r="F3081" t="s">
        <v>431</v>
      </c>
      <c r="G3081" s="9">
        <v>44998</v>
      </c>
      <c r="H3081" s="7"/>
      <c r="I3081" s="7">
        <v>3700.77</v>
      </c>
      <c r="J3081" s="7"/>
      <c r="K3081" s="7"/>
      <c r="L3081" s="10">
        <v>4.830303030303031</v>
      </c>
      <c r="M3081" s="9">
        <v>45002</v>
      </c>
      <c r="N3081" s="10">
        <v>15</v>
      </c>
      <c r="O3081" s="9">
        <v>45017</v>
      </c>
      <c r="P3081">
        <v>24</v>
      </c>
      <c r="Q3081" s="11" t="s">
        <v>49</v>
      </c>
      <c r="R3081" s="7"/>
      <c r="S3081" s="7">
        <v>3700.77</v>
      </c>
      <c r="T3081" s="7"/>
      <c r="U3081" s="7"/>
      <c r="V3081" s="10">
        <v>6.830303030303031</v>
      </c>
      <c r="W3081" s="9">
        <v>45004</v>
      </c>
      <c r="X3081" s="10">
        <v>17</v>
      </c>
      <c r="Y3081" s="9">
        <v>45017</v>
      </c>
      <c r="Z3081">
        <v>24</v>
      </c>
      <c r="AA3081" s="11" t="s">
        <v>49</v>
      </c>
    </row>
    <row r="3082" spans="2:27" ht="16" x14ac:dyDescent="0.2">
      <c r="B3082" t="s">
        <v>35</v>
      </c>
      <c r="C3082">
        <v>40354655</v>
      </c>
      <c r="D3082" t="s">
        <v>391</v>
      </c>
      <c r="E3082">
        <v>1022141</v>
      </c>
      <c r="F3082" t="s">
        <v>126</v>
      </c>
      <c r="G3082" s="9">
        <v>44998</v>
      </c>
      <c r="H3082" s="7"/>
      <c r="I3082" s="7">
        <v>2007.19</v>
      </c>
      <c r="J3082" s="7"/>
      <c r="K3082" s="7"/>
      <c r="L3082" s="10">
        <v>4.830303030303031</v>
      </c>
      <c r="M3082" s="9">
        <v>45002</v>
      </c>
      <c r="N3082" s="10">
        <v>15</v>
      </c>
      <c r="O3082" s="9">
        <v>45017</v>
      </c>
      <c r="P3082">
        <v>24</v>
      </c>
      <c r="Q3082" s="11" t="s">
        <v>49</v>
      </c>
      <c r="R3082" s="7"/>
      <c r="S3082" s="7">
        <v>2007.19</v>
      </c>
      <c r="T3082" s="7"/>
      <c r="U3082" s="7"/>
      <c r="V3082" s="10">
        <v>6.830303030303031</v>
      </c>
      <c r="W3082" s="9">
        <v>45004</v>
      </c>
      <c r="X3082" s="10">
        <v>17</v>
      </c>
      <c r="Y3082" s="9">
        <v>45017</v>
      </c>
      <c r="Z3082">
        <v>24</v>
      </c>
      <c r="AA3082" s="11" t="s">
        <v>49</v>
      </c>
    </row>
    <row r="3083" spans="2:27" ht="16" x14ac:dyDescent="0.2">
      <c r="B3083" t="s">
        <v>35</v>
      </c>
      <c r="C3083">
        <v>40354632</v>
      </c>
      <c r="D3083" t="s">
        <v>391</v>
      </c>
      <c r="E3083">
        <v>1021931</v>
      </c>
      <c r="F3083" t="s">
        <v>189</v>
      </c>
      <c r="G3083" s="9">
        <v>44998</v>
      </c>
      <c r="H3083" s="7"/>
      <c r="I3083" s="7">
        <v>2043.96</v>
      </c>
      <c r="J3083" s="7"/>
      <c r="K3083" s="7"/>
      <c r="L3083" s="10">
        <v>4.830303030303031</v>
      </c>
      <c r="M3083" s="9">
        <v>45002</v>
      </c>
      <c r="N3083" s="10">
        <v>15</v>
      </c>
      <c r="O3083" s="9">
        <v>45017</v>
      </c>
      <c r="P3083">
        <v>24</v>
      </c>
      <c r="Q3083" s="11" t="s">
        <v>49</v>
      </c>
      <c r="R3083" s="7"/>
      <c r="S3083" s="7">
        <v>2043.96</v>
      </c>
      <c r="T3083" s="7"/>
      <c r="U3083" s="7"/>
      <c r="V3083" s="10">
        <v>6.830303030303031</v>
      </c>
      <c r="W3083" s="9">
        <v>45004</v>
      </c>
      <c r="X3083" s="10">
        <v>17</v>
      </c>
      <c r="Y3083" s="9">
        <v>45017</v>
      </c>
      <c r="Z3083">
        <v>24</v>
      </c>
      <c r="AA3083" s="11" t="s">
        <v>49</v>
      </c>
    </row>
    <row r="3084" spans="2:27" ht="16" x14ac:dyDescent="0.2">
      <c r="B3084" t="s">
        <v>35</v>
      </c>
      <c r="C3084">
        <v>40354631</v>
      </c>
      <c r="D3084" t="s">
        <v>391</v>
      </c>
      <c r="E3084">
        <v>1022975</v>
      </c>
      <c r="F3084" t="s">
        <v>433</v>
      </c>
      <c r="G3084" s="9">
        <v>44998</v>
      </c>
      <c r="H3084" s="7"/>
      <c r="I3084" s="7">
        <v>5000</v>
      </c>
      <c r="J3084" s="7"/>
      <c r="K3084" s="7"/>
      <c r="L3084" s="10">
        <v>4.830303030303031</v>
      </c>
      <c r="M3084" s="9">
        <v>45002</v>
      </c>
      <c r="N3084" s="10">
        <v>15</v>
      </c>
      <c r="O3084" s="9">
        <v>45017</v>
      </c>
      <c r="P3084">
        <v>24</v>
      </c>
      <c r="Q3084" s="11" t="s">
        <v>49</v>
      </c>
      <c r="R3084" s="7"/>
      <c r="S3084" s="7">
        <v>5000</v>
      </c>
      <c r="T3084" s="7"/>
      <c r="U3084" s="7"/>
      <c r="V3084" s="10">
        <v>6.830303030303031</v>
      </c>
      <c r="W3084" s="9">
        <v>45004</v>
      </c>
      <c r="X3084" s="10">
        <v>17</v>
      </c>
      <c r="Y3084" s="9">
        <v>45017</v>
      </c>
      <c r="Z3084">
        <v>24</v>
      </c>
      <c r="AA3084" s="11" t="s">
        <v>49</v>
      </c>
    </row>
    <row r="3085" spans="2:27" ht="16" x14ac:dyDescent="0.2">
      <c r="B3085" t="s">
        <v>35</v>
      </c>
      <c r="C3085">
        <v>40354631</v>
      </c>
      <c r="D3085" t="s">
        <v>391</v>
      </c>
      <c r="E3085">
        <v>1022865</v>
      </c>
      <c r="F3085" t="s">
        <v>343</v>
      </c>
      <c r="G3085" s="9">
        <v>44998</v>
      </c>
      <c r="H3085" s="7"/>
      <c r="I3085" s="7">
        <v>5015.46</v>
      </c>
      <c r="J3085" s="7"/>
      <c r="K3085" s="7"/>
      <c r="L3085" s="10">
        <v>4.830303030303031</v>
      </c>
      <c r="M3085" s="9">
        <v>45002</v>
      </c>
      <c r="N3085" s="10">
        <v>15</v>
      </c>
      <c r="O3085" s="9">
        <v>45017</v>
      </c>
      <c r="P3085">
        <v>24</v>
      </c>
      <c r="Q3085" s="11" t="s">
        <v>49</v>
      </c>
      <c r="R3085" s="7"/>
      <c r="S3085" s="7">
        <v>5015.46</v>
      </c>
      <c r="T3085" s="7"/>
      <c r="U3085" s="7"/>
      <c r="V3085" s="10">
        <v>6.830303030303031</v>
      </c>
      <c r="W3085" s="9">
        <v>45004</v>
      </c>
      <c r="X3085" s="10">
        <v>17</v>
      </c>
      <c r="Y3085" s="9">
        <v>45017</v>
      </c>
      <c r="Z3085">
        <v>24</v>
      </c>
      <c r="AA3085" s="11" t="s">
        <v>49</v>
      </c>
    </row>
    <row r="3086" spans="2:27" ht="16" x14ac:dyDescent="0.2">
      <c r="B3086" t="s">
        <v>35</v>
      </c>
      <c r="C3086">
        <v>40354631</v>
      </c>
      <c r="D3086" t="s">
        <v>391</v>
      </c>
      <c r="E3086">
        <v>1022863</v>
      </c>
      <c r="F3086" t="s">
        <v>201</v>
      </c>
      <c r="G3086" s="9">
        <v>44998</v>
      </c>
      <c r="H3086" s="7"/>
      <c r="I3086" s="7">
        <v>3003.73</v>
      </c>
      <c r="J3086" s="7"/>
      <c r="K3086" s="7"/>
      <c r="L3086" s="10">
        <v>4.830303030303031</v>
      </c>
      <c r="M3086" s="9">
        <v>45002</v>
      </c>
      <c r="N3086" s="10">
        <v>15</v>
      </c>
      <c r="O3086" s="9">
        <v>45017</v>
      </c>
      <c r="P3086">
        <v>24</v>
      </c>
      <c r="Q3086" s="11" t="s">
        <v>49</v>
      </c>
      <c r="R3086" s="7"/>
      <c r="S3086" s="7">
        <v>3003.73</v>
      </c>
      <c r="T3086" s="7"/>
      <c r="U3086" s="7"/>
      <c r="V3086" s="10">
        <v>6.830303030303031</v>
      </c>
      <c r="W3086" s="9">
        <v>45004</v>
      </c>
      <c r="X3086" s="10">
        <v>17</v>
      </c>
      <c r="Y3086" s="9">
        <v>45017</v>
      </c>
      <c r="Z3086">
        <v>24</v>
      </c>
      <c r="AA3086" s="11" t="s">
        <v>49</v>
      </c>
    </row>
    <row r="3087" spans="2:27" ht="16" x14ac:dyDescent="0.2">
      <c r="B3087" t="s">
        <v>35</v>
      </c>
      <c r="C3087">
        <v>40354631</v>
      </c>
      <c r="D3087" t="s">
        <v>391</v>
      </c>
      <c r="E3087">
        <v>1022621</v>
      </c>
      <c r="F3087" t="s">
        <v>199</v>
      </c>
      <c r="G3087" s="9">
        <v>44998</v>
      </c>
      <c r="H3087" s="7"/>
      <c r="I3087" s="7">
        <v>4008.07</v>
      </c>
      <c r="J3087" s="7"/>
      <c r="K3087" s="7"/>
      <c r="L3087" s="10">
        <v>4.830303030303031</v>
      </c>
      <c r="M3087" s="9">
        <v>45002</v>
      </c>
      <c r="N3087" s="10">
        <v>15</v>
      </c>
      <c r="O3087" s="9">
        <v>45017</v>
      </c>
      <c r="P3087">
        <v>24</v>
      </c>
      <c r="Q3087" s="11" t="s">
        <v>49</v>
      </c>
      <c r="R3087" s="7"/>
      <c r="S3087" s="7">
        <v>4008.07</v>
      </c>
      <c r="T3087" s="7"/>
      <c r="U3087" s="7"/>
      <c r="V3087" s="10">
        <v>6.830303030303031</v>
      </c>
      <c r="W3087" s="9">
        <v>45004</v>
      </c>
      <c r="X3087" s="10">
        <v>17</v>
      </c>
      <c r="Y3087" s="9">
        <v>45017</v>
      </c>
      <c r="Z3087">
        <v>24</v>
      </c>
      <c r="AA3087" s="11" t="s">
        <v>49</v>
      </c>
    </row>
    <row r="3088" spans="2:27" ht="16" x14ac:dyDescent="0.2">
      <c r="B3088" t="s">
        <v>35</v>
      </c>
      <c r="C3088">
        <v>40354631</v>
      </c>
      <c r="D3088" t="s">
        <v>391</v>
      </c>
      <c r="E3088">
        <v>1021924</v>
      </c>
      <c r="F3088" t="s">
        <v>187</v>
      </c>
      <c r="G3088" s="9">
        <v>44998</v>
      </c>
      <c r="H3088" s="7"/>
      <c r="I3088" s="7">
        <v>5002.8</v>
      </c>
      <c r="J3088" s="7"/>
      <c r="K3088" s="7"/>
      <c r="L3088" s="10">
        <v>4.830303030303031</v>
      </c>
      <c r="M3088" s="9">
        <v>45002</v>
      </c>
      <c r="N3088" s="10">
        <v>15</v>
      </c>
      <c r="O3088" s="9">
        <v>45017</v>
      </c>
      <c r="P3088">
        <v>24</v>
      </c>
      <c r="Q3088" s="11" t="s">
        <v>49</v>
      </c>
      <c r="R3088" s="7"/>
      <c r="S3088" s="7">
        <v>5002.8</v>
      </c>
      <c r="T3088" s="7"/>
      <c r="U3088" s="7"/>
      <c r="V3088" s="10">
        <v>6.830303030303031</v>
      </c>
      <c r="W3088" s="9">
        <v>45004</v>
      </c>
      <c r="X3088" s="10">
        <v>17</v>
      </c>
      <c r="Y3088" s="9">
        <v>45017</v>
      </c>
      <c r="Z3088">
        <v>24</v>
      </c>
      <c r="AA3088" s="11" t="s">
        <v>49</v>
      </c>
    </row>
    <row r="3089" spans="2:27" x14ac:dyDescent="0.2">
      <c r="B3089" t="s">
        <v>394</v>
      </c>
      <c r="C3089">
        <v>40354439</v>
      </c>
      <c r="D3089" t="s">
        <v>396</v>
      </c>
      <c r="E3089">
        <v>1012612</v>
      </c>
      <c r="F3089" t="s">
        <v>429</v>
      </c>
      <c r="G3089" s="9">
        <v>45014</v>
      </c>
      <c r="H3089" s="7">
        <v>24514.94</v>
      </c>
      <c r="I3089" s="7"/>
      <c r="J3089" s="7"/>
      <c r="K3089" s="7"/>
      <c r="L3089" s="10"/>
      <c r="N3089" s="10"/>
      <c r="Q3089" s="11"/>
      <c r="R3089" s="7">
        <v>24514.94</v>
      </c>
      <c r="S3089" s="7"/>
      <c r="T3089" s="7"/>
      <c r="U3089" s="7"/>
      <c r="V3089" s="10"/>
      <c r="X3089" s="10"/>
      <c r="AA3089" s="11"/>
    </row>
    <row r="3090" spans="2:27" x14ac:dyDescent="0.2">
      <c r="B3090" t="s">
        <v>394</v>
      </c>
      <c r="C3090">
        <v>40354354</v>
      </c>
      <c r="D3090" t="s">
        <v>485</v>
      </c>
      <c r="E3090">
        <v>1020848</v>
      </c>
      <c r="F3090" t="s">
        <v>503</v>
      </c>
      <c r="G3090" s="9">
        <v>44974</v>
      </c>
      <c r="H3090" s="7"/>
      <c r="I3090" s="7"/>
      <c r="J3090" s="7"/>
      <c r="K3090" s="7"/>
      <c r="L3090" s="10"/>
      <c r="N3090" s="10"/>
      <c r="Q3090" s="11"/>
      <c r="R3090" s="7"/>
      <c r="S3090" s="7"/>
      <c r="T3090" s="7"/>
      <c r="U3090" s="7"/>
      <c r="V3090" s="10"/>
      <c r="X3090" s="10"/>
      <c r="AA3090" s="11"/>
    </row>
    <row r="3091" spans="2:27" x14ac:dyDescent="0.2">
      <c r="B3091" t="s">
        <v>394</v>
      </c>
      <c r="C3091">
        <v>40353138</v>
      </c>
      <c r="D3091" t="s">
        <v>485</v>
      </c>
      <c r="E3091">
        <v>1022847</v>
      </c>
      <c r="F3091" t="s">
        <v>562</v>
      </c>
      <c r="G3091" s="9">
        <v>44994</v>
      </c>
      <c r="H3091" s="7">
        <v>12981.61</v>
      </c>
      <c r="I3091" s="7"/>
      <c r="J3091" s="7"/>
      <c r="K3091" s="7"/>
      <c r="L3091" s="10"/>
      <c r="N3091" s="10"/>
      <c r="Q3091" s="11"/>
      <c r="R3091" s="7">
        <v>12981.61</v>
      </c>
      <c r="S3091" s="7"/>
      <c r="T3091" s="7"/>
      <c r="U3091" s="7"/>
      <c r="V3091" s="10"/>
      <c r="X3091" s="10"/>
      <c r="AA3091" s="11"/>
    </row>
    <row r="3092" spans="2:27" x14ac:dyDescent="0.2">
      <c r="B3092" t="s">
        <v>394</v>
      </c>
      <c r="C3092">
        <v>40353138</v>
      </c>
      <c r="D3092" t="s">
        <v>485</v>
      </c>
      <c r="E3092">
        <v>1022847</v>
      </c>
      <c r="F3092" t="s">
        <v>562</v>
      </c>
      <c r="G3092" s="9">
        <v>44994</v>
      </c>
      <c r="H3092" s="7">
        <v>24023.33</v>
      </c>
      <c r="I3092" s="7"/>
      <c r="J3092" s="7"/>
      <c r="K3092" s="7"/>
      <c r="L3092" s="10"/>
      <c r="N3092" s="10"/>
      <c r="Q3092" s="11"/>
      <c r="R3092" s="7">
        <v>24023.33</v>
      </c>
      <c r="S3092" s="7"/>
      <c r="T3092" s="7"/>
      <c r="U3092" s="7"/>
      <c r="V3092" s="10"/>
      <c r="X3092" s="10"/>
      <c r="AA3092" s="11"/>
    </row>
    <row r="3093" spans="2:27" x14ac:dyDescent="0.2">
      <c r="B3093" t="s">
        <v>394</v>
      </c>
      <c r="C3093">
        <v>40353115</v>
      </c>
      <c r="D3093" t="s">
        <v>485</v>
      </c>
      <c r="E3093">
        <v>1011421</v>
      </c>
      <c r="F3093" t="s">
        <v>484</v>
      </c>
      <c r="G3093" s="9">
        <v>44976</v>
      </c>
      <c r="H3093" s="7"/>
      <c r="I3093" s="7"/>
      <c r="J3093" s="7"/>
      <c r="K3093" s="7"/>
      <c r="L3093" s="10"/>
      <c r="N3093" s="10"/>
      <c r="Q3093" s="11"/>
      <c r="R3093" s="7"/>
      <c r="S3093" s="7"/>
      <c r="T3093" s="7"/>
      <c r="U3093" s="7"/>
      <c r="V3093" s="10"/>
      <c r="X3093" s="10"/>
      <c r="AA3093" s="11"/>
    </row>
    <row r="3094" spans="2:27" x14ac:dyDescent="0.2">
      <c r="B3094" t="s">
        <v>394</v>
      </c>
      <c r="C3094">
        <v>40353114</v>
      </c>
      <c r="D3094" t="s">
        <v>485</v>
      </c>
      <c r="E3094">
        <v>1011421</v>
      </c>
      <c r="F3094" t="s">
        <v>484</v>
      </c>
      <c r="G3094" s="9">
        <v>44974</v>
      </c>
      <c r="H3094" s="7"/>
      <c r="I3094" s="7"/>
      <c r="J3094" s="7"/>
      <c r="K3094" s="7"/>
      <c r="L3094" s="10"/>
      <c r="N3094" s="10"/>
      <c r="Q3094" s="11"/>
      <c r="R3094" s="7"/>
      <c r="S3094" s="7"/>
      <c r="T3094" s="7"/>
      <c r="U3094" s="7"/>
      <c r="V3094" s="10"/>
      <c r="X3094" s="10"/>
      <c r="AA3094" s="11"/>
    </row>
    <row r="3095" spans="2:27" x14ac:dyDescent="0.2">
      <c r="B3095" t="s">
        <v>394</v>
      </c>
      <c r="C3095">
        <v>40353113</v>
      </c>
      <c r="D3095" t="s">
        <v>485</v>
      </c>
      <c r="E3095">
        <v>1011421</v>
      </c>
      <c r="F3095" t="s">
        <v>484</v>
      </c>
      <c r="G3095" s="9">
        <v>44974</v>
      </c>
      <c r="H3095" s="7"/>
      <c r="I3095" s="7"/>
      <c r="J3095" s="7"/>
      <c r="K3095" s="7"/>
      <c r="L3095" s="10"/>
      <c r="N3095" s="10"/>
      <c r="Q3095" s="11"/>
      <c r="R3095" s="7"/>
      <c r="S3095" s="7"/>
      <c r="T3095" s="7"/>
      <c r="U3095" s="7"/>
      <c r="V3095" s="10"/>
      <c r="X3095" s="10"/>
      <c r="AA3095" s="11"/>
    </row>
    <row r="3096" spans="2:27" x14ac:dyDescent="0.2">
      <c r="B3096" t="s">
        <v>394</v>
      </c>
      <c r="C3096">
        <v>40353111</v>
      </c>
      <c r="D3096" t="s">
        <v>485</v>
      </c>
      <c r="E3096">
        <v>1011421</v>
      </c>
      <c r="F3096" t="s">
        <v>484</v>
      </c>
      <c r="G3096" s="9">
        <v>44976</v>
      </c>
      <c r="H3096" s="7"/>
      <c r="I3096" s="7"/>
      <c r="J3096" s="7"/>
      <c r="K3096" s="7"/>
      <c r="L3096" s="10"/>
      <c r="N3096" s="10"/>
      <c r="Q3096" s="11"/>
      <c r="R3096" s="7"/>
      <c r="S3096" s="7"/>
      <c r="T3096" s="7"/>
      <c r="U3096" s="7"/>
      <c r="V3096" s="10"/>
      <c r="X3096" s="10"/>
      <c r="AA3096" s="11"/>
    </row>
    <row r="3097" spans="2:27" x14ac:dyDescent="0.2">
      <c r="B3097" t="s">
        <v>394</v>
      </c>
      <c r="C3097">
        <v>40353110</v>
      </c>
      <c r="D3097" t="s">
        <v>485</v>
      </c>
      <c r="E3097">
        <v>1011421</v>
      </c>
      <c r="F3097" t="s">
        <v>484</v>
      </c>
      <c r="G3097" s="9">
        <v>44976</v>
      </c>
      <c r="H3097" s="7"/>
      <c r="I3097" s="7"/>
      <c r="J3097" s="7"/>
      <c r="K3097" s="7"/>
      <c r="L3097" s="10"/>
      <c r="N3097" s="10"/>
      <c r="Q3097" s="11"/>
      <c r="R3097" s="7"/>
      <c r="S3097" s="7"/>
      <c r="T3097" s="7"/>
      <c r="U3097" s="7"/>
      <c r="V3097" s="10"/>
      <c r="X3097" s="10"/>
      <c r="AA3097" s="11"/>
    </row>
    <row r="3098" spans="2:27" x14ac:dyDescent="0.2">
      <c r="B3098" t="s">
        <v>394</v>
      </c>
      <c r="C3098">
        <v>40353107</v>
      </c>
      <c r="D3098" t="s">
        <v>485</v>
      </c>
      <c r="E3098">
        <v>1011421</v>
      </c>
      <c r="F3098" t="s">
        <v>484</v>
      </c>
      <c r="G3098" s="9">
        <v>44976</v>
      </c>
      <c r="H3098" s="7"/>
      <c r="I3098" s="7"/>
      <c r="J3098" s="7"/>
      <c r="K3098" s="7"/>
      <c r="L3098" s="10"/>
      <c r="N3098" s="10"/>
      <c r="Q3098" s="11"/>
      <c r="R3098" s="7"/>
      <c r="S3098" s="7"/>
      <c r="T3098" s="7"/>
      <c r="U3098" s="7"/>
      <c r="V3098" s="10"/>
      <c r="X3098" s="10"/>
      <c r="AA3098" s="11"/>
    </row>
    <row r="3099" spans="2:27" x14ac:dyDescent="0.2">
      <c r="B3099" t="s">
        <v>394</v>
      </c>
      <c r="C3099">
        <v>40352529</v>
      </c>
      <c r="D3099" t="s">
        <v>485</v>
      </c>
      <c r="E3099">
        <v>1021105</v>
      </c>
      <c r="F3099" t="s">
        <v>499</v>
      </c>
      <c r="G3099" s="9">
        <v>44976</v>
      </c>
      <c r="H3099" s="7"/>
      <c r="I3099" s="7"/>
      <c r="J3099" s="7"/>
      <c r="K3099" s="7"/>
      <c r="L3099" s="10"/>
      <c r="N3099" s="10"/>
      <c r="Q3099" s="11"/>
      <c r="R3099" s="7"/>
      <c r="S3099" s="7"/>
      <c r="T3099" s="7"/>
      <c r="U3099" s="7"/>
      <c r="V3099" s="10"/>
      <c r="X3099" s="10"/>
      <c r="AA3099" s="11"/>
    </row>
    <row r="3100" spans="2:27" x14ac:dyDescent="0.2">
      <c r="B3100" t="s">
        <v>394</v>
      </c>
      <c r="C3100">
        <v>40352529</v>
      </c>
      <c r="D3100" t="s">
        <v>485</v>
      </c>
      <c r="E3100">
        <v>1023433</v>
      </c>
      <c r="F3100" t="s">
        <v>490</v>
      </c>
      <c r="G3100" s="9">
        <v>44976</v>
      </c>
      <c r="H3100" s="7"/>
      <c r="I3100" s="7"/>
      <c r="J3100" s="7"/>
      <c r="K3100" s="7"/>
      <c r="L3100" s="10"/>
      <c r="N3100" s="10"/>
      <c r="Q3100" s="11"/>
      <c r="R3100" s="7"/>
      <c r="S3100" s="7"/>
      <c r="T3100" s="7"/>
      <c r="U3100" s="7"/>
      <c r="V3100" s="10"/>
      <c r="X3100" s="10"/>
      <c r="AA3100" s="11"/>
    </row>
    <row r="3101" spans="2:27" x14ac:dyDescent="0.2">
      <c r="B3101" t="s">
        <v>394</v>
      </c>
      <c r="C3101">
        <v>40352355</v>
      </c>
      <c r="D3101" t="s">
        <v>485</v>
      </c>
      <c r="E3101">
        <v>1012719</v>
      </c>
      <c r="F3101" t="s">
        <v>545</v>
      </c>
      <c r="G3101" s="9">
        <v>44970</v>
      </c>
      <c r="H3101" s="7"/>
      <c r="I3101" s="7"/>
      <c r="J3101" s="7"/>
      <c r="K3101" s="7"/>
      <c r="L3101" s="10"/>
      <c r="N3101" s="10"/>
      <c r="Q3101" s="11"/>
      <c r="R3101" s="7"/>
      <c r="S3101" s="7"/>
      <c r="T3101" s="7"/>
      <c r="U3101" s="7"/>
      <c r="V3101" s="10"/>
      <c r="X3101" s="10"/>
      <c r="AA3101" s="11"/>
    </row>
    <row r="3102" spans="2:27" x14ac:dyDescent="0.2">
      <c r="B3102" t="s">
        <v>394</v>
      </c>
      <c r="C3102">
        <v>40352354</v>
      </c>
      <c r="D3102" t="s">
        <v>485</v>
      </c>
      <c r="E3102">
        <v>1012719</v>
      </c>
      <c r="F3102" t="s">
        <v>545</v>
      </c>
      <c r="G3102" s="9">
        <v>44966</v>
      </c>
      <c r="H3102" s="7"/>
      <c r="I3102" s="7"/>
      <c r="J3102" s="7"/>
      <c r="K3102" s="7"/>
      <c r="L3102" s="10"/>
      <c r="N3102" s="10"/>
      <c r="Q3102" s="11"/>
      <c r="R3102" s="7"/>
      <c r="S3102" s="7"/>
      <c r="T3102" s="7"/>
      <c r="U3102" s="7"/>
      <c r="V3102" s="10"/>
      <c r="X3102" s="10"/>
      <c r="AA3102" s="11"/>
    </row>
    <row r="3103" spans="2:27" x14ac:dyDescent="0.2">
      <c r="B3103" t="s">
        <v>394</v>
      </c>
      <c r="C3103">
        <v>40352353</v>
      </c>
      <c r="D3103" t="s">
        <v>485</v>
      </c>
      <c r="E3103">
        <v>1012719</v>
      </c>
      <c r="F3103" t="s">
        <v>545</v>
      </c>
      <c r="G3103" s="9">
        <v>44970</v>
      </c>
      <c r="H3103" s="7"/>
      <c r="I3103" s="7"/>
      <c r="J3103" s="7"/>
      <c r="K3103" s="7"/>
      <c r="L3103" s="10"/>
      <c r="N3103" s="10"/>
      <c r="Q3103" s="11"/>
      <c r="R3103" s="7"/>
      <c r="S3103" s="7"/>
      <c r="T3103" s="7"/>
      <c r="U3103" s="7"/>
      <c r="V3103" s="10"/>
      <c r="X3103" s="10"/>
      <c r="AA3103" s="11"/>
    </row>
    <row r="3104" spans="2:27" x14ac:dyDescent="0.2">
      <c r="B3104" t="s">
        <v>394</v>
      </c>
      <c r="C3104">
        <v>40352348</v>
      </c>
      <c r="D3104" t="s">
        <v>485</v>
      </c>
      <c r="E3104">
        <v>1012719</v>
      </c>
      <c r="F3104" t="s">
        <v>545</v>
      </c>
      <c r="G3104" s="9">
        <v>44970</v>
      </c>
      <c r="H3104" s="7"/>
      <c r="I3104" s="7"/>
      <c r="J3104" s="7"/>
      <c r="K3104" s="7"/>
      <c r="L3104" s="10"/>
      <c r="N3104" s="10"/>
      <c r="Q3104" s="11"/>
      <c r="R3104" s="7"/>
      <c r="S3104" s="7"/>
      <c r="T3104" s="7"/>
      <c r="U3104" s="7"/>
      <c r="V3104" s="10"/>
      <c r="X3104" s="10"/>
      <c r="AA3104" s="11"/>
    </row>
    <row r="3105" spans="2:27" ht="16" x14ac:dyDescent="0.2">
      <c r="B3105" t="s">
        <v>35</v>
      </c>
      <c r="C3105">
        <v>40351782</v>
      </c>
      <c r="D3105" t="s">
        <v>409</v>
      </c>
      <c r="E3105">
        <v>1030424</v>
      </c>
      <c r="F3105" t="s">
        <v>359</v>
      </c>
      <c r="G3105" s="9">
        <v>44992</v>
      </c>
      <c r="H3105" s="7">
        <v>22579.641930000002</v>
      </c>
      <c r="I3105" s="7"/>
      <c r="J3105" s="7"/>
      <c r="K3105" s="7"/>
      <c r="L3105" s="10">
        <v>7.5</v>
      </c>
      <c r="M3105" s="9">
        <v>44999</v>
      </c>
      <c r="N3105" s="10">
        <v>9.5</v>
      </c>
      <c r="O3105" s="9">
        <v>45008</v>
      </c>
      <c r="P3105">
        <v>7</v>
      </c>
      <c r="Q3105" s="11" t="s">
        <v>49</v>
      </c>
      <c r="R3105" s="7">
        <v>22579.641930000002</v>
      </c>
      <c r="S3105" s="7"/>
      <c r="T3105" s="7"/>
      <c r="U3105" s="7"/>
      <c r="V3105" s="10">
        <v>9.5</v>
      </c>
      <c r="W3105" s="9">
        <v>45001</v>
      </c>
      <c r="X3105" s="10">
        <v>11.5</v>
      </c>
      <c r="Y3105" s="9">
        <v>45008</v>
      </c>
      <c r="Z3105">
        <v>7</v>
      </c>
      <c r="AA3105" s="11" t="s">
        <v>49</v>
      </c>
    </row>
    <row r="3106" spans="2:27" ht="16" x14ac:dyDescent="0.2">
      <c r="B3106" t="s">
        <v>35</v>
      </c>
      <c r="C3106">
        <v>40351280</v>
      </c>
      <c r="D3106" t="s">
        <v>389</v>
      </c>
      <c r="E3106">
        <v>1012504</v>
      </c>
      <c r="F3106" t="s">
        <v>563</v>
      </c>
      <c r="G3106" s="9">
        <v>44992</v>
      </c>
      <c r="H3106" s="7">
        <v>24000</v>
      </c>
      <c r="I3106" s="7"/>
      <c r="J3106" s="7"/>
      <c r="K3106" s="7"/>
      <c r="L3106" s="10">
        <v>5.5741092456127026</v>
      </c>
      <c r="M3106" s="9">
        <v>44997</v>
      </c>
      <c r="N3106" s="10">
        <v>5.5</v>
      </c>
      <c r="O3106" s="9">
        <v>45002</v>
      </c>
      <c r="P3106">
        <v>12</v>
      </c>
      <c r="Q3106" s="11" t="s">
        <v>49</v>
      </c>
      <c r="R3106" s="7">
        <v>24000</v>
      </c>
      <c r="S3106" s="7"/>
      <c r="T3106" s="7"/>
      <c r="U3106" s="7"/>
      <c r="V3106" s="10">
        <v>7.5741092456127026</v>
      </c>
      <c r="W3106" s="9">
        <v>44999</v>
      </c>
      <c r="X3106" s="10">
        <v>7.5</v>
      </c>
      <c r="Y3106" s="9">
        <v>45002</v>
      </c>
      <c r="Z3106">
        <v>12</v>
      </c>
      <c r="AA3106" s="11" t="s">
        <v>49</v>
      </c>
    </row>
    <row r="3107" spans="2:27" ht="16" x14ac:dyDescent="0.2">
      <c r="B3107" t="s">
        <v>35</v>
      </c>
      <c r="C3107">
        <v>40348988</v>
      </c>
      <c r="D3107" t="s">
        <v>391</v>
      </c>
      <c r="E3107">
        <v>1021944</v>
      </c>
      <c r="F3107" t="s">
        <v>192</v>
      </c>
      <c r="G3107" s="9">
        <v>44998</v>
      </c>
      <c r="H3107" s="7"/>
      <c r="I3107" s="7">
        <v>2000</v>
      </c>
      <c r="J3107" s="7"/>
      <c r="K3107" s="7"/>
      <c r="L3107" s="10">
        <v>4.830303030303031</v>
      </c>
      <c r="M3107" s="9">
        <v>45002</v>
      </c>
      <c r="N3107" s="10">
        <v>15</v>
      </c>
      <c r="O3107" s="9">
        <v>45017</v>
      </c>
      <c r="P3107">
        <v>24</v>
      </c>
      <c r="Q3107" s="11" t="s">
        <v>49</v>
      </c>
      <c r="R3107" s="7"/>
      <c r="S3107" s="7">
        <v>2000</v>
      </c>
      <c r="T3107" s="7"/>
      <c r="U3107" s="7"/>
      <c r="V3107" s="10">
        <v>6.830303030303031</v>
      </c>
      <c r="W3107" s="9">
        <v>45004</v>
      </c>
      <c r="X3107" s="10">
        <v>17</v>
      </c>
      <c r="Y3107" s="9">
        <v>45017</v>
      </c>
      <c r="Z3107">
        <v>24</v>
      </c>
      <c r="AA3107" s="11" t="s">
        <v>49</v>
      </c>
    </row>
    <row r="3108" spans="2:27" ht="16" x14ac:dyDescent="0.2">
      <c r="B3108" t="s">
        <v>35</v>
      </c>
      <c r="C3108">
        <v>40348987</v>
      </c>
      <c r="D3108" t="s">
        <v>391</v>
      </c>
      <c r="E3108">
        <v>1021925</v>
      </c>
      <c r="F3108" t="s">
        <v>432</v>
      </c>
      <c r="G3108" s="9">
        <v>44998</v>
      </c>
      <c r="H3108" s="7"/>
      <c r="I3108" s="7">
        <v>6004</v>
      </c>
      <c r="J3108" s="7"/>
      <c r="K3108" s="7"/>
      <c r="L3108" s="10">
        <v>4.830303030303031</v>
      </c>
      <c r="M3108" s="9">
        <v>45002</v>
      </c>
      <c r="N3108" s="10">
        <v>15</v>
      </c>
      <c r="O3108" s="9">
        <v>45017</v>
      </c>
      <c r="P3108">
        <v>24</v>
      </c>
      <c r="Q3108" s="11" t="s">
        <v>49</v>
      </c>
      <c r="R3108" s="7"/>
      <c r="S3108" s="7">
        <v>6004</v>
      </c>
      <c r="T3108" s="7"/>
      <c r="U3108" s="7"/>
      <c r="V3108" s="10">
        <v>6.830303030303031</v>
      </c>
      <c r="W3108" s="9">
        <v>45004</v>
      </c>
      <c r="X3108" s="10">
        <v>17</v>
      </c>
      <c r="Y3108" s="9">
        <v>45017</v>
      </c>
      <c r="Z3108">
        <v>24</v>
      </c>
      <c r="AA3108" s="11" t="s">
        <v>49</v>
      </c>
    </row>
    <row r="3109" spans="2:27" ht="16" x14ac:dyDescent="0.2">
      <c r="B3109" t="s">
        <v>35</v>
      </c>
      <c r="C3109">
        <v>40348987</v>
      </c>
      <c r="D3109" t="s">
        <v>391</v>
      </c>
      <c r="E3109">
        <v>1022293</v>
      </c>
      <c r="F3109" t="s">
        <v>339</v>
      </c>
      <c r="G3109" s="9">
        <v>44998</v>
      </c>
      <c r="H3109" s="7"/>
      <c r="I3109" s="7">
        <v>990</v>
      </c>
      <c r="J3109" s="7"/>
      <c r="K3109" s="7"/>
      <c r="L3109" s="10">
        <v>4.830303030303031</v>
      </c>
      <c r="M3109" s="9">
        <v>45002</v>
      </c>
      <c r="N3109" s="10">
        <v>15</v>
      </c>
      <c r="O3109" s="9">
        <v>45017</v>
      </c>
      <c r="P3109">
        <v>24</v>
      </c>
      <c r="Q3109" s="11" t="s">
        <v>49</v>
      </c>
      <c r="R3109" s="7"/>
      <c r="S3109" s="7">
        <v>990</v>
      </c>
      <c r="T3109" s="7"/>
      <c r="U3109" s="7"/>
      <c r="V3109" s="10">
        <v>6.830303030303031</v>
      </c>
      <c r="W3109" s="9">
        <v>45004</v>
      </c>
      <c r="X3109" s="10">
        <v>17</v>
      </c>
      <c r="Y3109" s="9">
        <v>45017</v>
      </c>
      <c r="Z3109">
        <v>24</v>
      </c>
      <c r="AA3109" s="11" t="s">
        <v>49</v>
      </c>
    </row>
    <row r="3110" spans="2:27" ht="16" x14ac:dyDescent="0.2">
      <c r="B3110" t="s">
        <v>35</v>
      </c>
      <c r="C3110">
        <v>40348987</v>
      </c>
      <c r="D3110" t="s">
        <v>391</v>
      </c>
      <c r="E3110">
        <v>1022515</v>
      </c>
      <c r="F3110" t="s">
        <v>197</v>
      </c>
      <c r="G3110" s="9">
        <v>44998</v>
      </c>
      <c r="H3110" s="7"/>
      <c r="I3110" s="7">
        <v>3004.41</v>
      </c>
      <c r="J3110" s="7"/>
      <c r="K3110" s="7"/>
      <c r="L3110" s="10">
        <v>4.830303030303031</v>
      </c>
      <c r="M3110" s="9">
        <v>45002</v>
      </c>
      <c r="N3110" s="10">
        <v>15</v>
      </c>
      <c r="O3110" s="9">
        <v>45017</v>
      </c>
      <c r="P3110">
        <v>24</v>
      </c>
      <c r="Q3110" s="11" t="s">
        <v>49</v>
      </c>
      <c r="R3110" s="7"/>
      <c r="S3110" s="7">
        <v>3004.41</v>
      </c>
      <c r="T3110" s="7"/>
      <c r="U3110" s="7"/>
      <c r="V3110" s="10">
        <v>6.830303030303031</v>
      </c>
      <c r="W3110" s="9">
        <v>45004</v>
      </c>
      <c r="X3110" s="10">
        <v>17</v>
      </c>
      <c r="Y3110" s="9">
        <v>45017</v>
      </c>
      <c r="Z3110">
        <v>24</v>
      </c>
      <c r="AA3110" s="11" t="s">
        <v>49</v>
      </c>
    </row>
    <row r="3111" spans="2:27" ht="16" x14ac:dyDescent="0.2">
      <c r="B3111" t="s">
        <v>35</v>
      </c>
      <c r="C3111">
        <v>40348987</v>
      </c>
      <c r="D3111" t="s">
        <v>391</v>
      </c>
      <c r="E3111">
        <v>1022863</v>
      </c>
      <c r="F3111" t="s">
        <v>201</v>
      </c>
      <c r="G3111" s="9">
        <v>44998</v>
      </c>
      <c r="H3111" s="7"/>
      <c r="I3111" s="7">
        <v>10000.11</v>
      </c>
      <c r="J3111" s="7"/>
      <c r="K3111" s="7"/>
      <c r="L3111" s="10">
        <v>4.830303030303031</v>
      </c>
      <c r="M3111" s="9">
        <v>45002</v>
      </c>
      <c r="N3111" s="10">
        <v>15</v>
      </c>
      <c r="O3111" s="9">
        <v>45017</v>
      </c>
      <c r="P3111">
        <v>24</v>
      </c>
      <c r="Q3111" s="11" t="s">
        <v>49</v>
      </c>
      <c r="R3111" s="7"/>
      <c r="S3111" s="7">
        <v>10000.11</v>
      </c>
      <c r="T3111" s="7"/>
      <c r="U3111" s="7"/>
      <c r="V3111" s="10">
        <v>6.830303030303031</v>
      </c>
      <c r="W3111" s="9">
        <v>45004</v>
      </c>
      <c r="X3111" s="10">
        <v>17</v>
      </c>
      <c r="Y3111" s="9">
        <v>45017</v>
      </c>
      <c r="Z3111">
        <v>24</v>
      </c>
      <c r="AA3111" s="11" t="s">
        <v>49</v>
      </c>
    </row>
    <row r="3112" spans="2:27" ht="16" x14ac:dyDescent="0.2">
      <c r="B3112" t="s">
        <v>35</v>
      </c>
      <c r="C3112">
        <v>40348987</v>
      </c>
      <c r="D3112" t="s">
        <v>391</v>
      </c>
      <c r="E3112">
        <v>1022864</v>
      </c>
      <c r="F3112" t="s">
        <v>41</v>
      </c>
      <c r="G3112" s="9">
        <v>44998</v>
      </c>
      <c r="H3112" s="7"/>
      <c r="I3112" s="7">
        <v>2052.94</v>
      </c>
      <c r="J3112" s="7"/>
      <c r="K3112" s="7"/>
      <c r="L3112" s="10">
        <v>4.830303030303031</v>
      </c>
      <c r="M3112" s="9">
        <v>45002</v>
      </c>
      <c r="N3112" s="10">
        <v>15</v>
      </c>
      <c r="O3112" s="9">
        <v>45017</v>
      </c>
      <c r="P3112">
        <v>24</v>
      </c>
      <c r="Q3112" s="11" t="s">
        <v>49</v>
      </c>
      <c r="R3112" s="7"/>
      <c r="S3112" s="7">
        <v>2052.94</v>
      </c>
      <c r="T3112" s="7"/>
      <c r="U3112" s="7"/>
      <c r="V3112" s="10">
        <v>6.830303030303031</v>
      </c>
      <c r="W3112" s="9">
        <v>45004</v>
      </c>
      <c r="X3112" s="10">
        <v>17</v>
      </c>
      <c r="Y3112" s="9">
        <v>45017</v>
      </c>
      <c r="Z3112">
        <v>24</v>
      </c>
      <c r="AA3112" s="11" t="s">
        <v>49</v>
      </c>
    </row>
    <row r="3113" spans="2:27" x14ac:dyDescent="0.2">
      <c r="B3113" t="s">
        <v>394</v>
      </c>
      <c r="C3113">
        <v>40345625</v>
      </c>
      <c r="D3113" t="s">
        <v>485</v>
      </c>
      <c r="E3113">
        <v>1022418</v>
      </c>
      <c r="F3113" t="s">
        <v>645</v>
      </c>
      <c r="G3113" s="9">
        <v>44978</v>
      </c>
      <c r="H3113" s="7"/>
      <c r="I3113" s="7"/>
      <c r="J3113" s="7"/>
      <c r="K3113" s="7"/>
      <c r="L3113" s="10"/>
      <c r="N3113" s="10"/>
      <c r="Q3113" s="11"/>
      <c r="R3113" s="7"/>
      <c r="S3113" s="7"/>
      <c r="T3113" s="7"/>
      <c r="U3113" s="7"/>
      <c r="V3113" s="10"/>
      <c r="X3113" s="10"/>
      <c r="AA3113" s="11"/>
    </row>
    <row r="3114" spans="2:27" x14ac:dyDescent="0.2">
      <c r="B3114" t="s">
        <v>394</v>
      </c>
      <c r="C3114">
        <v>40345625</v>
      </c>
      <c r="D3114" t="s">
        <v>485</v>
      </c>
      <c r="E3114">
        <v>1022409</v>
      </c>
      <c r="F3114" t="s">
        <v>646</v>
      </c>
      <c r="G3114" s="9">
        <v>44978</v>
      </c>
      <c r="H3114" s="7"/>
      <c r="I3114" s="7"/>
      <c r="J3114" s="7"/>
      <c r="K3114" s="7"/>
      <c r="L3114" s="10"/>
      <c r="N3114" s="10"/>
      <c r="Q3114" s="11"/>
      <c r="R3114" s="7"/>
      <c r="S3114" s="7"/>
      <c r="T3114" s="7"/>
      <c r="U3114" s="7"/>
      <c r="V3114" s="10"/>
      <c r="X3114" s="10"/>
      <c r="AA3114" s="11"/>
    </row>
    <row r="3115" spans="2:27" ht="16" x14ac:dyDescent="0.2">
      <c r="B3115" t="s">
        <v>35</v>
      </c>
      <c r="C3115">
        <v>40342683</v>
      </c>
      <c r="D3115" t="s">
        <v>386</v>
      </c>
      <c r="E3115">
        <v>1030355</v>
      </c>
      <c r="F3115" t="s">
        <v>385</v>
      </c>
      <c r="G3115" s="9">
        <v>45042</v>
      </c>
      <c r="H3115" s="7"/>
      <c r="I3115" s="7"/>
      <c r="J3115" s="7">
        <v>12000</v>
      </c>
      <c r="K3115" s="7"/>
      <c r="L3115" s="10">
        <v>5.1420118343195256</v>
      </c>
      <c r="M3115" s="9">
        <v>45047</v>
      </c>
      <c r="N3115" s="10">
        <v>7.5</v>
      </c>
      <c r="O3115" s="9">
        <v>45054</v>
      </c>
      <c r="P3115">
        <v>20</v>
      </c>
      <c r="Q3115" s="11" t="s">
        <v>49</v>
      </c>
      <c r="R3115" s="7"/>
      <c r="S3115" s="7"/>
      <c r="T3115" s="7">
        <v>12000</v>
      </c>
      <c r="U3115" s="7"/>
      <c r="V3115" s="10">
        <v>7.1420118343195256</v>
      </c>
      <c r="W3115" s="9">
        <v>45049</v>
      </c>
      <c r="X3115" s="10">
        <v>9.5</v>
      </c>
      <c r="Y3115" s="9">
        <v>45054</v>
      </c>
      <c r="Z3115">
        <v>20</v>
      </c>
      <c r="AA3115" s="11" t="s">
        <v>49</v>
      </c>
    </row>
    <row r="3116" spans="2:27" ht="16" x14ac:dyDescent="0.2">
      <c r="B3116" t="s">
        <v>35</v>
      </c>
      <c r="C3116">
        <v>40342683</v>
      </c>
      <c r="D3116" t="s">
        <v>386</v>
      </c>
      <c r="E3116">
        <v>1030224</v>
      </c>
      <c r="F3116" t="s">
        <v>527</v>
      </c>
      <c r="G3116" s="9">
        <v>45042</v>
      </c>
      <c r="H3116" s="7"/>
      <c r="I3116" s="7"/>
      <c r="J3116" s="7">
        <v>11999.57</v>
      </c>
      <c r="K3116" s="7"/>
      <c r="L3116" s="10">
        <v>5.1420118343195256</v>
      </c>
      <c r="M3116" s="9">
        <v>45047</v>
      </c>
      <c r="N3116" s="10">
        <v>7.5</v>
      </c>
      <c r="O3116" s="9">
        <v>45054</v>
      </c>
      <c r="P3116">
        <v>20</v>
      </c>
      <c r="Q3116" s="11" t="s">
        <v>49</v>
      </c>
      <c r="R3116" s="7"/>
      <c r="S3116" s="7"/>
      <c r="T3116" s="7">
        <v>11999.57</v>
      </c>
      <c r="U3116" s="7"/>
      <c r="V3116" s="10">
        <v>7.1420118343195256</v>
      </c>
      <c r="W3116" s="9">
        <v>45049</v>
      </c>
      <c r="X3116" s="10">
        <v>9.5</v>
      </c>
      <c r="Y3116" s="9">
        <v>45054</v>
      </c>
      <c r="Z3116">
        <v>20</v>
      </c>
      <c r="AA3116" s="11" t="s">
        <v>49</v>
      </c>
    </row>
    <row r="3117" spans="2:27" ht="16" x14ac:dyDescent="0.2">
      <c r="B3117" t="s">
        <v>35</v>
      </c>
      <c r="C3117">
        <v>40366511</v>
      </c>
      <c r="D3117" t="s">
        <v>389</v>
      </c>
      <c r="E3117">
        <v>1022099</v>
      </c>
      <c r="F3117" t="s">
        <v>294</v>
      </c>
      <c r="G3117" s="9">
        <v>45017</v>
      </c>
      <c r="H3117" s="7"/>
      <c r="I3117" s="7">
        <v>25000</v>
      </c>
      <c r="J3117" s="7"/>
      <c r="K3117" s="7"/>
      <c r="L3117" s="10">
        <v>5.5741092456127026</v>
      </c>
      <c r="M3117" s="9">
        <v>45022</v>
      </c>
      <c r="N3117" s="10">
        <v>5.5</v>
      </c>
      <c r="O3117" s="9">
        <v>45027</v>
      </c>
      <c r="P3117">
        <v>16</v>
      </c>
      <c r="Q3117" s="11" t="s">
        <v>49</v>
      </c>
      <c r="R3117" s="7"/>
      <c r="S3117" s="7">
        <v>25000</v>
      </c>
      <c r="T3117" s="7"/>
      <c r="U3117" s="7"/>
      <c r="V3117" s="10">
        <v>7.5741092456127026</v>
      </c>
      <c r="W3117" s="9">
        <v>45024</v>
      </c>
      <c r="X3117" s="10">
        <v>7.5</v>
      </c>
      <c r="Y3117" s="9">
        <v>45027</v>
      </c>
      <c r="Z3117">
        <v>16</v>
      </c>
      <c r="AA3117" s="11" t="s">
        <v>49</v>
      </c>
    </row>
    <row r="3118" spans="2:27" ht="16" x14ac:dyDescent="0.2">
      <c r="B3118" t="s">
        <v>35</v>
      </c>
      <c r="C3118">
        <v>40369611</v>
      </c>
      <c r="D3118" t="s">
        <v>389</v>
      </c>
      <c r="E3118">
        <v>1022183</v>
      </c>
      <c r="F3118" t="s">
        <v>165</v>
      </c>
      <c r="G3118" s="9">
        <v>45017</v>
      </c>
      <c r="H3118" s="7"/>
      <c r="I3118" s="7">
        <v>24470.17</v>
      </c>
      <c r="J3118" s="7"/>
      <c r="K3118" s="7"/>
      <c r="L3118" s="10">
        <v>5.5741092456127026</v>
      </c>
      <c r="M3118" s="9">
        <v>45022</v>
      </c>
      <c r="N3118" s="10">
        <v>5.5</v>
      </c>
      <c r="O3118" s="9">
        <v>45027</v>
      </c>
      <c r="P3118">
        <v>16</v>
      </c>
      <c r="Q3118" s="11" t="s">
        <v>49</v>
      </c>
      <c r="R3118" s="7"/>
      <c r="S3118" s="7">
        <v>24470.17</v>
      </c>
      <c r="T3118" s="7"/>
      <c r="U3118" s="7"/>
      <c r="V3118" s="10">
        <v>7.5741092456127026</v>
      </c>
      <c r="W3118" s="9">
        <v>45024</v>
      </c>
      <c r="X3118" s="10">
        <v>7.5</v>
      </c>
      <c r="Y3118" s="9">
        <v>45027</v>
      </c>
      <c r="Z3118">
        <v>16</v>
      </c>
      <c r="AA3118" s="11" t="s">
        <v>49</v>
      </c>
    </row>
    <row r="3119" spans="2:27" ht="16" x14ac:dyDescent="0.2">
      <c r="B3119" t="s">
        <v>35</v>
      </c>
      <c r="C3119">
        <v>40368633</v>
      </c>
      <c r="D3119" t="s">
        <v>391</v>
      </c>
      <c r="E3119">
        <v>1021936</v>
      </c>
      <c r="F3119" t="s">
        <v>411</v>
      </c>
      <c r="G3119" s="9">
        <v>45038</v>
      </c>
      <c r="H3119" s="7"/>
      <c r="I3119" s="7"/>
      <c r="J3119" s="7">
        <v>24000</v>
      </c>
      <c r="K3119" s="7"/>
      <c r="L3119" s="10">
        <v>4.830303030303031</v>
      </c>
      <c r="M3119" s="9">
        <v>45042</v>
      </c>
      <c r="N3119" s="10">
        <v>15</v>
      </c>
      <c r="O3119" s="9">
        <v>45057</v>
      </c>
      <c r="P3119">
        <v>16</v>
      </c>
      <c r="Q3119" s="11" t="s">
        <v>49</v>
      </c>
      <c r="R3119" s="7"/>
      <c r="S3119" s="7"/>
      <c r="T3119" s="7">
        <v>24000</v>
      </c>
      <c r="U3119" s="7"/>
      <c r="V3119" s="10">
        <v>6.830303030303031</v>
      </c>
      <c r="W3119" s="9">
        <v>45044</v>
      </c>
      <c r="X3119" s="10">
        <v>17</v>
      </c>
      <c r="Y3119" s="9">
        <v>45057</v>
      </c>
      <c r="Z3119">
        <v>16</v>
      </c>
      <c r="AA3119" s="11" t="s">
        <v>49</v>
      </c>
    </row>
    <row r="3120" spans="2:27" x14ac:dyDescent="0.2">
      <c r="B3120" t="s">
        <v>394</v>
      </c>
      <c r="C3120">
        <v>40367667</v>
      </c>
      <c r="D3120" t="s">
        <v>396</v>
      </c>
      <c r="E3120">
        <v>1012612</v>
      </c>
      <c r="F3120" t="s">
        <v>429</v>
      </c>
      <c r="G3120" s="9">
        <v>45040</v>
      </c>
      <c r="H3120" s="7"/>
      <c r="I3120" s="7">
        <v>24648.26</v>
      </c>
      <c r="J3120" s="7"/>
      <c r="K3120" s="7"/>
      <c r="L3120" s="10"/>
      <c r="N3120" s="10"/>
      <c r="Q3120" s="11"/>
      <c r="R3120" s="7"/>
      <c r="S3120" s="7">
        <v>24648.26</v>
      </c>
      <c r="T3120" s="7"/>
      <c r="U3120" s="7"/>
      <c r="V3120" s="10"/>
      <c r="X3120" s="10"/>
      <c r="AA3120" s="11"/>
    </row>
    <row r="3121" spans="2:27" x14ac:dyDescent="0.2">
      <c r="B3121" t="s">
        <v>394</v>
      </c>
      <c r="C3121">
        <v>40366887</v>
      </c>
      <c r="D3121" t="s">
        <v>396</v>
      </c>
      <c r="E3121">
        <v>1021664</v>
      </c>
      <c r="F3121" t="s">
        <v>452</v>
      </c>
      <c r="G3121" s="9">
        <v>45023</v>
      </c>
      <c r="H3121" s="7"/>
      <c r="I3121" s="7">
        <v>22017.19</v>
      </c>
      <c r="J3121" s="7"/>
      <c r="K3121" s="7"/>
      <c r="L3121" s="10"/>
      <c r="N3121" s="10"/>
      <c r="Q3121" s="11"/>
      <c r="R3121" s="7"/>
      <c r="S3121" s="7">
        <v>22017.19</v>
      </c>
      <c r="T3121" s="7"/>
      <c r="U3121" s="7"/>
      <c r="V3121" s="10"/>
      <c r="X3121" s="10"/>
      <c r="AA3121" s="11"/>
    </row>
    <row r="3122" spans="2:27" x14ac:dyDescent="0.2">
      <c r="B3122" t="s">
        <v>394</v>
      </c>
      <c r="C3122">
        <v>40366841</v>
      </c>
      <c r="D3122" t="s">
        <v>396</v>
      </c>
      <c r="E3122">
        <v>1022887</v>
      </c>
      <c r="F3122" t="s">
        <v>404</v>
      </c>
      <c r="G3122" s="9">
        <v>45023</v>
      </c>
      <c r="H3122" s="7"/>
      <c r="I3122" s="7">
        <v>22001.97</v>
      </c>
      <c r="J3122" s="7"/>
      <c r="K3122" s="7"/>
      <c r="L3122" s="10"/>
      <c r="N3122" s="10"/>
      <c r="Q3122" s="11"/>
      <c r="R3122" s="7"/>
      <c r="S3122" s="7">
        <v>22001.97</v>
      </c>
      <c r="T3122" s="7"/>
      <c r="U3122" s="7"/>
      <c r="V3122" s="10"/>
      <c r="X3122" s="10"/>
      <c r="AA3122" s="11"/>
    </row>
    <row r="3123" spans="2:27" ht="16" x14ac:dyDescent="0.2">
      <c r="B3123" t="s">
        <v>35</v>
      </c>
      <c r="C3123">
        <v>40366676</v>
      </c>
      <c r="D3123" t="s">
        <v>389</v>
      </c>
      <c r="E3123">
        <v>1012452</v>
      </c>
      <c r="F3123" t="s">
        <v>419</v>
      </c>
      <c r="G3123" s="9">
        <v>45020</v>
      </c>
      <c r="H3123" s="7"/>
      <c r="I3123" s="7">
        <v>19976</v>
      </c>
      <c r="J3123" s="7"/>
      <c r="K3123" s="7"/>
      <c r="L3123" s="10">
        <v>5.5741092456127026</v>
      </c>
      <c r="M3123" s="9">
        <v>45025</v>
      </c>
      <c r="N3123" s="10">
        <v>5.5</v>
      </c>
      <c r="O3123" s="9">
        <v>45030</v>
      </c>
      <c r="P3123">
        <v>13</v>
      </c>
      <c r="Q3123" s="11" t="s">
        <v>49</v>
      </c>
      <c r="R3123" s="7"/>
      <c r="S3123" s="7">
        <v>19976</v>
      </c>
      <c r="T3123" s="7"/>
      <c r="U3123" s="7"/>
      <c r="V3123" s="10">
        <v>7.5741092456127026</v>
      </c>
      <c r="W3123" s="9">
        <v>45027</v>
      </c>
      <c r="X3123" s="10">
        <v>7.5</v>
      </c>
      <c r="Y3123" s="9">
        <v>45030</v>
      </c>
      <c r="Z3123">
        <v>13</v>
      </c>
      <c r="AA3123" s="11" t="s">
        <v>49</v>
      </c>
    </row>
    <row r="3124" spans="2:27" ht="16" x14ac:dyDescent="0.2">
      <c r="B3124" t="s">
        <v>35</v>
      </c>
      <c r="C3124">
        <v>40366657</v>
      </c>
      <c r="D3124" t="s">
        <v>389</v>
      </c>
      <c r="E3124">
        <v>1021774</v>
      </c>
      <c r="F3124" t="s">
        <v>443</v>
      </c>
      <c r="G3124" s="9">
        <v>45020</v>
      </c>
      <c r="H3124" s="7"/>
      <c r="I3124" s="7">
        <v>23940</v>
      </c>
      <c r="J3124" s="7"/>
      <c r="K3124" s="7"/>
      <c r="L3124" s="10">
        <v>5.5741092456127026</v>
      </c>
      <c r="M3124" s="9">
        <v>45025</v>
      </c>
      <c r="N3124" s="10">
        <v>5.5</v>
      </c>
      <c r="O3124" s="9">
        <v>45030</v>
      </c>
      <c r="P3124">
        <v>13</v>
      </c>
      <c r="Q3124" s="11" t="s">
        <v>49</v>
      </c>
      <c r="R3124" s="7"/>
      <c r="S3124" s="7">
        <v>23940</v>
      </c>
      <c r="T3124" s="7"/>
      <c r="U3124" s="7"/>
      <c r="V3124" s="10">
        <v>7.5741092456127026</v>
      </c>
      <c r="W3124" s="9">
        <v>45027</v>
      </c>
      <c r="X3124" s="10">
        <v>7.5</v>
      </c>
      <c r="Y3124" s="9">
        <v>45030</v>
      </c>
      <c r="Z3124">
        <v>13</v>
      </c>
      <c r="AA3124" s="11" t="s">
        <v>49</v>
      </c>
    </row>
    <row r="3125" spans="2:27" ht="16" x14ac:dyDescent="0.2">
      <c r="B3125" t="s">
        <v>35</v>
      </c>
      <c r="C3125">
        <v>40366631</v>
      </c>
      <c r="D3125" t="s">
        <v>389</v>
      </c>
      <c r="E3125">
        <v>1011586</v>
      </c>
      <c r="F3125" t="s">
        <v>420</v>
      </c>
      <c r="G3125" s="9">
        <v>45017</v>
      </c>
      <c r="H3125" s="7"/>
      <c r="I3125" s="7">
        <v>19954</v>
      </c>
      <c r="J3125" s="7"/>
      <c r="K3125" s="7"/>
      <c r="L3125" s="10">
        <v>5.5741092456127026</v>
      </c>
      <c r="M3125" s="9">
        <v>45022</v>
      </c>
      <c r="N3125" s="10">
        <v>5.5</v>
      </c>
      <c r="O3125" s="9">
        <v>45027</v>
      </c>
      <c r="P3125">
        <v>16</v>
      </c>
      <c r="Q3125" s="11" t="s">
        <v>49</v>
      </c>
      <c r="R3125" s="7"/>
      <c r="S3125" s="7">
        <v>19954</v>
      </c>
      <c r="T3125" s="7"/>
      <c r="U3125" s="7"/>
      <c r="V3125" s="10">
        <v>7.5741092456127026</v>
      </c>
      <c r="W3125" s="9">
        <v>45024</v>
      </c>
      <c r="X3125" s="10">
        <v>7.5</v>
      </c>
      <c r="Y3125" s="9">
        <v>45027</v>
      </c>
      <c r="Z3125">
        <v>16</v>
      </c>
      <c r="AA3125" s="11" t="s">
        <v>49</v>
      </c>
    </row>
    <row r="3126" spans="2:27" ht="16" x14ac:dyDescent="0.2">
      <c r="B3126" t="s">
        <v>35</v>
      </c>
      <c r="C3126">
        <v>40366628</v>
      </c>
      <c r="D3126" t="s">
        <v>389</v>
      </c>
      <c r="E3126">
        <v>1011586</v>
      </c>
      <c r="F3126" t="s">
        <v>420</v>
      </c>
      <c r="G3126" s="9">
        <v>45020</v>
      </c>
      <c r="H3126" s="7"/>
      <c r="I3126" s="7">
        <v>19954</v>
      </c>
      <c r="J3126" s="7"/>
      <c r="K3126" s="7"/>
      <c r="L3126" s="10">
        <v>5.5741092456127026</v>
      </c>
      <c r="M3126" s="9">
        <v>45025</v>
      </c>
      <c r="N3126" s="10">
        <v>5.5</v>
      </c>
      <c r="O3126" s="9">
        <v>45030</v>
      </c>
      <c r="P3126">
        <v>13</v>
      </c>
      <c r="Q3126" s="11" t="s">
        <v>49</v>
      </c>
      <c r="R3126" s="7"/>
      <c r="S3126" s="7">
        <v>19954</v>
      </c>
      <c r="T3126" s="7"/>
      <c r="U3126" s="7"/>
      <c r="V3126" s="10">
        <v>7.5741092456127026</v>
      </c>
      <c r="W3126" s="9">
        <v>45027</v>
      </c>
      <c r="X3126" s="10">
        <v>7.5</v>
      </c>
      <c r="Y3126" s="9">
        <v>45030</v>
      </c>
      <c r="Z3126">
        <v>13</v>
      </c>
      <c r="AA3126" s="11" t="s">
        <v>49</v>
      </c>
    </row>
    <row r="3127" spans="2:27" ht="16" x14ac:dyDescent="0.2">
      <c r="B3127" t="s">
        <v>35</v>
      </c>
      <c r="C3127">
        <v>40366625</v>
      </c>
      <c r="D3127" t="s">
        <v>389</v>
      </c>
      <c r="E3127">
        <v>1011417</v>
      </c>
      <c r="F3127" t="s">
        <v>421</v>
      </c>
      <c r="G3127" s="9">
        <v>45020</v>
      </c>
      <c r="H3127" s="7"/>
      <c r="I3127" s="7">
        <v>19800</v>
      </c>
      <c r="J3127" s="7"/>
      <c r="K3127" s="7"/>
      <c r="L3127" s="10">
        <v>5.5741092456127026</v>
      </c>
      <c r="M3127" s="9">
        <v>45025</v>
      </c>
      <c r="N3127" s="10">
        <v>5.5</v>
      </c>
      <c r="O3127" s="9">
        <v>45030</v>
      </c>
      <c r="P3127">
        <v>13</v>
      </c>
      <c r="Q3127" s="11" t="s">
        <v>49</v>
      </c>
      <c r="R3127" s="7"/>
      <c r="S3127" s="7">
        <v>19800</v>
      </c>
      <c r="T3127" s="7"/>
      <c r="U3127" s="7"/>
      <c r="V3127" s="10">
        <v>7.5741092456127026</v>
      </c>
      <c r="W3127" s="9">
        <v>45027</v>
      </c>
      <c r="X3127" s="10">
        <v>7.5</v>
      </c>
      <c r="Y3127" s="9">
        <v>45030</v>
      </c>
      <c r="Z3127">
        <v>13</v>
      </c>
      <c r="AA3127" s="11" t="s">
        <v>49</v>
      </c>
    </row>
    <row r="3128" spans="2:27" ht="16" x14ac:dyDescent="0.2">
      <c r="B3128" t="s">
        <v>35</v>
      </c>
      <c r="C3128">
        <v>40366618</v>
      </c>
      <c r="D3128" t="s">
        <v>389</v>
      </c>
      <c r="E3128">
        <v>1023411</v>
      </c>
      <c r="F3128" t="s">
        <v>331</v>
      </c>
      <c r="G3128" s="9">
        <v>45020</v>
      </c>
      <c r="H3128" s="7"/>
      <c r="I3128" s="7">
        <v>24045.77</v>
      </c>
      <c r="J3128" s="7"/>
      <c r="K3128" s="7"/>
      <c r="L3128" s="10">
        <v>5.5741092456127026</v>
      </c>
      <c r="M3128" s="9">
        <v>45025</v>
      </c>
      <c r="N3128" s="10">
        <v>5.5</v>
      </c>
      <c r="O3128" s="9">
        <v>45030</v>
      </c>
      <c r="P3128">
        <v>13</v>
      </c>
      <c r="Q3128" s="11" t="s">
        <v>49</v>
      </c>
      <c r="R3128" s="7"/>
      <c r="S3128" s="7">
        <v>24045.77</v>
      </c>
      <c r="T3128" s="7"/>
      <c r="U3128" s="7"/>
      <c r="V3128" s="10">
        <v>7.5741092456127026</v>
      </c>
      <c r="W3128" s="9">
        <v>45027</v>
      </c>
      <c r="X3128" s="10">
        <v>7.5</v>
      </c>
      <c r="Y3128" s="9">
        <v>45030</v>
      </c>
      <c r="Z3128">
        <v>13</v>
      </c>
      <c r="AA3128" s="11" t="s">
        <v>49</v>
      </c>
    </row>
    <row r="3129" spans="2:27" ht="16" x14ac:dyDescent="0.2">
      <c r="B3129" t="s">
        <v>35</v>
      </c>
      <c r="C3129">
        <v>40366617</v>
      </c>
      <c r="D3129" t="s">
        <v>389</v>
      </c>
      <c r="E3129">
        <v>1030685</v>
      </c>
      <c r="F3129" t="s">
        <v>413</v>
      </c>
      <c r="G3129" s="9">
        <v>45033</v>
      </c>
      <c r="H3129" s="7"/>
      <c r="I3129" s="7">
        <v>24000</v>
      </c>
      <c r="J3129" s="7"/>
      <c r="K3129" s="7"/>
      <c r="L3129" s="10">
        <v>5.5741092456127026</v>
      </c>
      <c r="M3129" s="9">
        <v>45038</v>
      </c>
      <c r="N3129" s="10">
        <v>5.5</v>
      </c>
      <c r="O3129" s="9">
        <v>45043</v>
      </c>
      <c r="P3129">
        <v>2</v>
      </c>
      <c r="Q3129" s="11" t="s">
        <v>647</v>
      </c>
      <c r="R3129" s="7"/>
      <c r="S3129" s="7">
        <v>24000</v>
      </c>
      <c r="T3129" s="7"/>
      <c r="U3129" s="7"/>
      <c r="V3129" s="10">
        <v>7.5741092456127026</v>
      </c>
      <c r="W3129" s="9">
        <v>45040</v>
      </c>
      <c r="X3129" s="10">
        <v>7.5</v>
      </c>
      <c r="Y3129" s="9">
        <v>45043</v>
      </c>
      <c r="Z3129">
        <v>2</v>
      </c>
      <c r="AA3129" s="11" t="s">
        <v>647</v>
      </c>
    </row>
    <row r="3130" spans="2:27" ht="16" x14ac:dyDescent="0.2">
      <c r="B3130" t="s">
        <v>35</v>
      </c>
      <c r="C3130">
        <v>40366612</v>
      </c>
      <c r="D3130" t="s">
        <v>389</v>
      </c>
      <c r="E3130">
        <v>1011969</v>
      </c>
      <c r="F3130" t="s">
        <v>417</v>
      </c>
      <c r="G3130" s="9">
        <v>45017</v>
      </c>
      <c r="H3130" s="7"/>
      <c r="I3130" s="7">
        <v>24000</v>
      </c>
      <c r="J3130" s="7"/>
      <c r="K3130" s="7"/>
      <c r="L3130" s="10">
        <v>5.5741092456127026</v>
      </c>
      <c r="M3130" s="9">
        <v>45022</v>
      </c>
      <c r="N3130" s="10">
        <v>5.5</v>
      </c>
      <c r="O3130" s="9">
        <v>45027</v>
      </c>
      <c r="P3130">
        <v>16</v>
      </c>
      <c r="Q3130" s="11" t="s">
        <v>49</v>
      </c>
      <c r="R3130" s="7"/>
      <c r="S3130" s="7">
        <v>24000</v>
      </c>
      <c r="T3130" s="7"/>
      <c r="U3130" s="7"/>
      <c r="V3130" s="10">
        <v>7.5741092456127026</v>
      </c>
      <c r="W3130" s="9">
        <v>45024</v>
      </c>
      <c r="X3130" s="10">
        <v>7.5</v>
      </c>
      <c r="Y3130" s="9">
        <v>45027</v>
      </c>
      <c r="Z3130">
        <v>16</v>
      </c>
      <c r="AA3130" s="11" t="s">
        <v>49</v>
      </c>
    </row>
    <row r="3131" spans="2:27" ht="16" x14ac:dyDescent="0.2">
      <c r="B3131" t="s">
        <v>35</v>
      </c>
      <c r="C3131">
        <v>40366606</v>
      </c>
      <c r="D3131" t="s">
        <v>389</v>
      </c>
      <c r="E3131">
        <v>1022125</v>
      </c>
      <c r="F3131" t="s">
        <v>296</v>
      </c>
      <c r="G3131" s="9">
        <v>45017</v>
      </c>
      <c r="H3131" s="7"/>
      <c r="I3131" s="7">
        <v>24276.37</v>
      </c>
      <c r="J3131" s="7"/>
      <c r="K3131" s="7"/>
      <c r="L3131" s="10">
        <v>5.5741092456127026</v>
      </c>
      <c r="M3131" s="9">
        <v>45022</v>
      </c>
      <c r="N3131" s="10">
        <v>5.5</v>
      </c>
      <c r="O3131" s="9">
        <v>45027</v>
      </c>
      <c r="P3131">
        <v>16</v>
      </c>
      <c r="Q3131" s="11" t="s">
        <v>49</v>
      </c>
      <c r="R3131" s="7"/>
      <c r="S3131" s="7">
        <v>24276.37</v>
      </c>
      <c r="T3131" s="7"/>
      <c r="U3131" s="7"/>
      <c r="V3131" s="10">
        <v>7.5741092456127026</v>
      </c>
      <c r="W3131" s="9">
        <v>45024</v>
      </c>
      <c r="X3131" s="10">
        <v>7.5</v>
      </c>
      <c r="Y3131" s="9">
        <v>45027</v>
      </c>
      <c r="Z3131">
        <v>16</v>
      </c>
      <c r="AA3131" s="11" t="s">
        <v>49</v>
      </c>
    </row>
    <row r="3132" spans="2:27" ht="16" x14ac:dyDescent="0.2">
      <c r="B3132" t="s">
        <v>35</v>
      </c>
      <c r="C3132">
        <v>40366605</v>
      </c>
      <c r="D3132" t="s">
        <v>389</v>
      </c>
      <c r="E3132">
        <v>1022125</v>
      </c>
      <c r="F3132" t="s">
        <v>296</v>
      </c>
      <c r="G3132" s="9">
        <v>45017</v>
      </c>
      <c r="H3132" s="7"/>
      <c r="I3132" s="7">
        <v>24536.51</v>
      </c>
      <c r="J3132" s="7"/>
      <c r="K3132" s="7"/>
      <c r="L3132" s="10">
        <v>5.5741092456127026</v>
      </c>
      <c r="M3132" s="9">
        <v>45022</v>
      </c>
      <c r="N3132" s="10">
        <v>5.5</v>
      </c>
      <c r="O3132" s="9">
        <v>45027</v>
      </c>
      <c r="P3132">
        <v>16</v>
      </c>
      <c r="Q3132" s="11" t="s">
        <v>49</v>
      </c>
      <c r="R3132" s="7"/>
      <c r="S3132" s="7">
        <v>24536.51</v>
      </c>
      <c r="T3132" s="7"/>
      <c r="U3132" s="7"/>
      <c r="V3132" s="10">
        <v>7.5741092456127026</v>
      </c>
      <c r="W3132" s="9">
        <v>45024</v>
      </c>
      <c r="X3132" s="10">
        <v>7.5</v>
      </c>
      <c r="Y3132" s="9">
        <v>45027</v>
      </c>
      <c r="Z3132">
        <v>16</v>
      </c>
      <c r="AA3132" s="11" t="s">
        <v>49</v>
      </c>
    </row>
    <row r="3133" spans="2:27" ht="16" x14ac:dyDescent="0.2">
      <c r="B3133" t="s">
        <v>35</v>
      </c>
      <c r="C3133">
        <v>40366603</v>
      </c>
      <c r="D3133" t="s">
        <v>389</v>
      </c>
      <c r="E3133">
        <v>1022125</v>
      </c>
      <c r="F3133" t="s">
        <v>296</v>
      </c>
      <c r="G3133" s="9">
        <v>45020</v>
      </c>
      <c r="H3133" s="7"/>
      <c r="I3133" s="7">
        <v>25008.33</v>
      </c>
      <c r="J3133" s="7"/>
      <c r="K3133" s="7"/>
      <c r="L3133" s="10">
        <v>5.5741092456127026</v>
      </c>
      <c r="M3133" s="9">
        <v>45025</v>
      </c>
      <c r="N3133" s="10">
        <v>5.5</v>
      </c>
      <c r="O3133" s="9">
        <v>45030</v>
      </c>
      <c r="P3133">
        <v>13</v>
      </c>
      <c r="Q3133" s="11" t="s">
        <v>49</v>
      </c>
      <c r="R3133" s="7"/>
      <c r="S3133" s="7">
        <v>25008.33</v>
      </c>
      <c r="T3133" s="7"/>
      <c r="U3133" s="7"/>
      <c r="V3133" s="10">
        <v>7.5741092456127026</v>
      </c>
      <c r="W3133" s="9">
        <v>45027</v>
      </c>
      <c r="X3133" s="10">
        <v>7.5</v>
      </c>
      <c r="Y3133" s="9">
        <v>45030</v>
      </c>
      <c r="Z3133">
        <v>13</v>
      </c>
      <c r="AA3133" s="11" t="s">
        <v>49</v>
      </c>
    </row>
    <row r="3134" spans="2:27" ht="16" x14ac:dyDescent="0.2">
      <c r="B3134" t="s">
        <v>35</v>
      </c>
      <c r="C3134">
        <v>40366573</v>
      </c>
      <c r="D3134" t="s">
        <v>389</v>
      </c>
      <c r="E3134">
        <v>1022388</v>
      </c>
      <c r="F3134" t="s">
        <v>170</v>
      </c>
      <c r="G3134" s="9">
        <v>45017</v>
      </c>
      <c r="H3134" s="7"/>
      <c r="I3134" s="7">
        <v>24020</v>
      </c>
      <c r="J3134" s="7"/>
      <c r="K3134" s="7"/>
      <c r="L3134" s="10">
        <v>5.5741092456127026</v>
      </c>
      <c r="M3134" s="9">
        <v>45022</v>
      </c>
      <c r="N3134" s="10">
        <v>5.5</v>
      </c>
      <c r="O3134" s="9">
        <v>45027</v>
      </c>
      <c r="P3134">
        <v>16</v>
      </c>
      <c r="Q3134" s="11" t="s">
        <v>49</v>
      </c>
      <c r="R3134" s="7"/>
      <c r="S3134" s="7">
        <v>24020</v>
      </c>
      <c r="T3134" s="7"/>
      <c r="U3134" s="7"/>
      <c r="V3134" s="10">
        <v>7.5741092456127026</v>
      </c>
      <c r="W3134" s="9">
        <v>45024</v>
      </c>
      <c r="X3134" s="10">
        <v>7.5</v>
      </c>
      <c r="Y3134" s="9">
        <v>45027</v>
      </c>
      <c r="Z3134">
        <v>16</v>
      </c>
      <c r="AA3134" s="11" t="s">
        <v>49</v>
      </c>
    </row>
    <row r="3135" spans="2:27" ht="16" x14ac:dyDescent="0.2">
      <c r="B3135" t="s">
        <v>35</v>
      </c>
      <c r="C3135">
        <v>40366557</v>
      </c>
      <c r="D3135" t="s">
        <v>389</v>
      </c>
      <c r="E3135">
        <v>1022169</v>
      </c>
      <c r="F3135" t="s">
        <v>298</v>
      </c>
      <c r="G3135" s="9">
        <v>45021</v>
      </c>
      <c r="H3135" s="7"/>
      <c r="I3135" s="7">
        <v>23950</v>
      </c>
      <c r="J3135" s="7"/>
      <c r="K3135" s="7"/>
      <c r="L3135" s="10">
        <v>5.5741092456127026</v>
      </c>
      <c r="M3135" s="9">
        <v>45026</v>
      </c>
      <c r="N3135" s="10">
        <v>5.5</v>
      </c>
      <c r="O3135" s="9">
        <v>45031</v>
      </c>
      <c r="P3135">
        <v>12</v>
      </c>
      <c r="Q3135" s="11" t="s">
        <v>49</v>
      </c>
      <c r="R3135" s="7"/>
      <c r="S3135" s="7">
        <v>23950</v>
      </c>
      <c r="T3135" s="7"/>
      <c r="U3135" s="7"/>
      <c r="V3135" s="10">
        <v>7.5741092456127026</v>
      </c>
      <c r="W3135" s="9">
        <v>45028</v>
      </c>
      <c r="X3135" s="10">
        <v>7.5</v>
      </c>
      <c r="Y3135" s="9">
        <v>45031</v>
      </c>
      <c r="Z3135">
        <v>12</v>
      </c>
      <c r="AA3135" s="11" t="s">
        <v>49</v>
      </c>
    </row>
    <row r="3136" spans="2:27" ht="16" x14ac:dyDescent="0.2">
      <c r="B3136" t="s">
        <v>35</v>
      </c>
      <c r="C3136">
        <v>40366548</v>
      </c>
      <c r="D3136" t="s">
        <v>389</v>
      </c>
      <c r="E3136">
        <v>1021735</v>
      </c>
      <c r="F3136" t="s">
        <v>278</v>
      </c>
      <c r="G3136" s="9">
        <v>45020</v>
      </c>
      <c r="H3136" s="7"/>
      <c r="I3136" s="7">
        <v>24460</v>
      </c>
      <c r="J3136" s="7"/>
      <c r="K3136" s="7"/>
      <c r="L3136" s="10">
        <v>5.5741092456127026</v>
      </c>
      <c r="M3136" s="9">
        <v>45025</v>
      </c>
      <c r="N3136" s="10">
        <v>5.5</v>
      </c>
      <c r="O3136" s="9">
        <v>45030</v>
      </c>
      <c r="P3136">
        <v>13</v>
      </c>
      <c r="Q3136" s="11" t="s">
        <v>49</v>
      </c>
      <c r="R3136" s="7"/>
      <c r="S3136" s="7">
        <v>24460</v>
      </c>
      <c r="T3136" s="7"/>
      <c r="U3136" s="7"/>
      <c r="V3136" s="10">
        <v>7.5741092456127026</v>
      </c>
      <c r="W3136" s="9">
        <v>45027</v>
      </c>
      <c r="X3136" s="10">
        <v>7.5</v>
      </c>
      <c r="Y3136" s="9">
        <v>45030</v>
      </c>
      <c r="Z3136">
        <v>13</v>
      </c>
      <c r="AA3136" s="11" t="s">
        <v>49</v>
      </c>
    </row>
    <row r="3137" spans="2:27" ht="16" x14ac:dyDescent="0.2">
      <c r="B3137" t="s">
        <v>35</v>
      </c>
      <c r="C3137">
        <v>40366542</v>
      </c>
      <c r="D3137" t="s">
        <v>389</v>
      </c>
      <c r="E3137">
        <v>1022378</v>
      </c>
      <c r="F3137" t="s">
        <v>304</v>
      </c>
      <c r="G3137" s="9">
        <v>45017</v>
      </c>
      <c r="H3137" s="7"/>
      <c r="I3137" s="7">
        <v>11000</v>
      </c>
      <c r="J3137" s="7"/>
      <c r="K3137" s="7"/>
      <c r="L3137" s="10">
        <v>5.5741092456127026</v>
      </c>
      <c r="M3137" s="9">
        <v>45022</v>
      </c>
      <c r="N3137" s="10">
        <v>5.5</v>
      </c>
      <c r="O3137" s="9">
        <v>45027</v>
      </c>
      <c r="P3137">
        <v>16</v>
      </c>
      <c r="Q3137" s="11" t="s">
        <v>49</v>
      </c>
      <c r="R3137" s="7"/>
      <c r="S3137" s="7">
        <v>11000</v>
      </c>
      <c r="T3137" s="7"/>
      <c r="U3137" s="7"/>
      <c r="V3137" s="10">
        <v>7.5741092456127026</v>
      </c>
      <c r="W3137" s="9">
        <v>45024</v>
      </c>
      <c r="X3137" s="10">
        <v>7.5</v>
      </c>
      <c r="Y3137" s="9">
        <v>45027</v>
      </c>
      <c r="Z3137">
        <v>16</v>
      </c>
      <c r="AA3137" s="11" t="s">
        <v>49</v>
      </c>
    </row>
    <row r="3138" spans="2:27" ht="16" x14ac:dyDescent="0.2">
      <c r="B3138" t="s">
        <v>35</v>
      </c>
      <c r="C3138">
        <v>40366542</v>
      </c>
      <c r="D3138" t="s">
        <v>389</v>
      </c>
      <c r="E3138">
        <v>1022378</v>
      </c>
      <c r="F3138" t="s">
        <v>304</v>
      </c>
      <c r="G3138" s="9">
        <v>45017</v>
      </c>
      <c r="H3138" s="7"/>
      <c r="I3138" s="7">
        <v>24000</v>
      </c>
      <c r="J3138" s="7"/>
      <c r="K3138" s="7"/>
      <c r="L3138" s="10">
        <v>5.5741092456127026</v>
      </c>
      <c r="M3138" s="9">
        <v>45022</v>
      </c>
      <c r="N3138" s="10">
        <v>5.5</v>
      </c>
      <c r="O3138" s="9">
        <v>45027</v>
      </c>
      <c r="P3138">
        <v>16</v>
      </c>
      <c r="Q3138" s="11" t="s">
        <v>49</v>
      </c>
      <c r="R3138" s="7"/>
      <c r="S3138" s="7">
        <v>24000</v>
      </c>
      <c r="T3138" s="7"/>
      <c r="U3138" s="7"/>
      <c r="V3138" s="10">
        <v>7.5741092456127026</v>
      </c>
      <c r="W3138" s="9">
        <v>45024</v>
      </c>
      <c r="X3138" s="10">
        <v>7.5</v>
      </c>
      <c r="Y3138" s="9">
        <v>45027</v>
      </c>
      <c r="Z3138">
        <v>16</v>
      </c>
      <c r="AA3138" s="11" t="s">
        <v>49</v>
      </c>
    </row>
    <row r="3139" spans="2:27" ht="16" x14ac:dyDescent="0.2">
      <c r="B3139" t="s">
        <v>35</v>
      </c>
      <c r="C3139">
        <v>40366489</v>
      </c>
      <c r="D3139" t="s">
        <v>389</v>
      </c>
      <c r="E3139">
        <v>1023034</v>
      </c>
      <c r="F3139" t="s">
        <v>441</v>
      </c>
      <c r="G3139" s="9">
        <v>45020</v>
      </c>
      <c r="H3139" s="7"/>
      <c r="I3139" s="7">
        <v>25000</v>
      </c>
      <c r="J3139" s="7"/>
      <c r="K3139" s="7"/>
      <c r="L3139" s="10">
        <v>5.5741092456127026</v>
      </c>
      <c r="M3139" s="9">
        <v>45025</v>
      </c>
      <c r="N3139" s="10">
        <v>5.5</v>
      </c>
      <c r="O3139" s="9">
        <v>45030</v>
      </c>
      <c r="P3139">
        <v>13</v>
      </c>
      <c r="Q3139" s="11" t="s">
        <v>49</v>
      </c>
      <c r="R3139" s="7"/>
      <c r="S3139" s="7">
        <v>25000</v>
      </c>
      <c r="T3139" s="7"/>
      <c r="U3139" s="7"/>
      <c r="V3139" s="10">
        <v>7.5741092456127026</v>
      </c>
      <c r="W3139" s="9">
        <v>45027</v>
      </c>
      <c r="X3139" s="10">
        <v>7.5</v>
      </c>
      <c r="Y3139" s="9">
        <v>45030</v>
      </c>
      <c r="Z3139">
        <v>13</v>
      </c>
      <c r="AA3139" s="11" t="s">
        <v>49</v>
      </c>
    </row>
    <row r="3140" spans="2:27" ht="16" x14ac:dyDescent="0.2">
      <c r="B3140" t="s">
        <v>35</v>
      </c>
      <c r="C3140">
        <v>40366484</v>
      </c>
      <c r="D3140" t="s">
        <v>389</v>
      </c>
      <c r="E3140">
        <v>1021767</v>
      </c>
      <c r="F3140" t="s">
        <v>288</v>
      </c>
      <c r="G3140" s="9">
        <v>45017</v>
      </c>
      <c r="H3140" s="7"/>
      <c r="I3140" s="7">
        <v>23958</v>
      </c>
      <c r="J3140" s="7"/>
      <c r="K3140" s="7"/>
      <c r="L3140" s="10">
        <v>5.5741092456127026</v>
      </c>
      <c r="M3140" s="9">
        <v>45022</v>
      </c>
      <c r="N3140" s="10">
        <v>5.5</v>
      </c>
      <c r="O3140" s="9">
        <v>45027</v>
      </c>
      <c r="P3140">
        <v>16</v>
      </c>
      <c r="Q3140" s="11" t="s">
        <v>49</v>
      </c>
      <c r="R3140" s="7"/>
      <c r="S3140" s="7">
        <v>23958</v>
      </c>
      <c r="T3140" s="7"/>
      <c r="U3140" s="7"/>
      <c r="V3140" s="10">
        <v>7.5741092456127026</v>
      </c>
      <c r="W3140" s="9">
        <v>45024</v>
      </c>
      <c r="X3140" s="10">
        <v>7.5</v>
      </c>
      <c r="Y3140" s="9">
        <v>45027</v>
      </c>
      <c r="Z3140">
        <v>16</v>
      </c>
      <c r="AA3140" s="11" t="s">
        <v>49</v>
      </c>
    </row>
    <row r="3141" spans="2:27" ht="16" x14ac:dyDescent="0.2">
      <c r="B3141" t="s">
        <v>35</v>
      </c>
      <c r="C3141">
        <v>40366480</v>
      </c>
      <c r="D3141" t="s">
        <v>389</v>
      </c>
      <c r="E3141">
        <v>1021767</v>
      </c>
      <c r="F3141" t="s">
        <v>288</v>
      </c>
      <c r="G3141" s="9">
        <v>45033</v>
      </c>
      <c r="H3141" s="7"/>
      <c r="I3141" s="7">
        <v>25002</v>
      </c>
      <c r="J3141" s="7"/>
      <c r="K3141" s="7"/>
      <c r="L3141" s="10">
        <v>5.5741092456127026</v>
      </c>
      <c r="M3141" s="9">
        <v>45038</v>
      </c>
      <c r="N3141" s="10">
        <v>5.5</v>
      </c>
      <c r="O3141" s="9">
        <v>45043</v>
      </c>
      <c r="P3141">
        <v>2</v>
      </c>
      <c r="Q3141" s="11" t="s">
        <v>647</v>
      </c>
      <c r="R3141" s="7"/>
      <c r="S3141" s="7">
        <v>25002</v>
      </c>
      <c r="T3141" s="7"/>
      <c r="U3141" s="7"/>
      <c r="V3141" s="10">
        <v>7.5741092456127026</v>
      </c>
      <c r="W3141" s="9">
        <v>45040</v>
      </c>
      <c r="X3141" s="10">
        <v>7.5</v>
      </c>
      <c r="Y3141" s="9">
        <v>45043</v>
      </c>
      <c r="Z3141">
        <v>2</v>
      </c>
      <c r="AA3141" s="11" t="s">
        <v>647</v>
      </c>
    </row>
    <row r="3142" spans="2:27" ht="16" x14ac:dyDescent="0.2">
      <c r="B3142" t="s">
        <v>35</v>
      </c>
      <c r="C3142">
        <v>40366463</v>
      </c>
      <c r="D3142" t="s">
        <v>389</v>
      </c>
      <c r="E3142">
        <v>1021766</v>
      </c>
      <c r="F3142" t="s">
        <v>286</v>
      </c>
      <c r="G3142" s="9">
        <v>45033</v>
      </c>
      <c r="H3142" s="7"/>
      <c r="I3142" s="7">
        <v>23400</v>
      </c>
      <c r="J3142" s="7"/>
      <c r="K3142" s="7"/>
      <c r="L3142" s="10">
        <v>5.5741092456127026</v>
      </c>
      <c r="M3142" s="9">
        <v>45038</v>
      </c>
      <c r="N3142" s="10">
        <v>5.5</v>
      </c>
      <c r="O3142" s="9">
        <v>45043</v>
      </c>
      <c r="P3142">
        <v>2</v>
      </c>
      <c r="Q3142" s="11" t="s">
        <v>647</v>
      </c>
      <c r="R3142" s="7"/>
      <c r="S3142" s="7">
        <v>23400</v>
      </c>
      <c r="T3142" s="7"/>
      <c r="U3142" s="7"/>
      <c r="V3142" s="10">
        <v>7.5741092456127026</v>
      </c>
      <c r="W3142" s="9">
        <v>45040</v>
      </c>
      <c r="X3142" s="10">
        <v>7.5</v>
      </c>
      <c r="Y3142" s="9">
        <v>45043</v>
      </c>
      <c r="Z3142">
        <v>2</v>
      </c>
      <c r="AA3142" s="11" t="s">
        <v>647</v>
      </c>
    </row>
    <row r="3143" spans="2:27" ht="16" x14ac:dyDescent="0.2">
      <c r="B3143" t="s">
        <v>35</v>
      </c>
      <c r="C3143">
        <v>40366461</v>
      </c>
      <c r="D3143" t="s">
        <v>389</v>
      </c>
      <c r="E3143">
        <v>1021766</v>
      </c>
      <c r="F3143" t="s">
        <v>286</v>
      </c>
      <c r="G3143" s="9">
        <v>45033</v>
      </c>
      <c r="H3143" s="7"/>
      <c r="I3143" s="7">
        <v>24174</v>
      </c>
      <c r="J3143" s="7"/>
      <c r="K3143" s="7"/>
      <c r="L3143" s="10">
        <v>5.5741092456127026</v>
      </c>
      <c r="M3143" s="9">
        <v>45038</v>
      </c>
      <c r="N3143" s="10">
        <v>5.5</v>
      </c>
      <c r="O3143" s="9">
        <v>45043</v>
      </c>
      <c r="P3143">
        <v>2</v>
      </c>
      <c r="Q3143" s="11" t="s">
        <v>647</v>
      </c>
      <c r="R3143" s="7"/>
      <c r="S3143" s="7">
        <v>24174</v>
      </c>
      <c r="T3143" s="7"/>
      <c r="U3143" s="7"/>
      <c r="V3143" s="10">
        <v>7.5741092456127026</v>
      </c>
      <c r="W3143" s="9">
        <v>45040</v>
      </c>
      <c r="X3143" s="10">
        <v>7.5</v>
      </c>
      <c r="Y3143" s="9">
        <v>45043</v>
      </c>
      <c r="Z3143">
        <v>2</v>
      </c>
      <c r="AA3143" s="11" t="s">
        <v>647</v>
      </c>
    </row>
    <row r="3144" spans="2:27" ht="16" x14ac:dyDescent="0.2">
      <c r="B3144" t="s">
        <v>35</v>
      </c>
      <c r="C3144">
        <v>40366455</v>
      </c>
      <c r="D3144" t="s">
        <v>389</v>
      </c>
      <c r="E3144">
        <v>1023093</v>
      </c>
      <c r="F3144" t="s">
        <v>179</v>
      </c>
      <c r="G3144" s="9">
        <v>45020</v>
      </c>
      <c r="H3144" s="7"/>
      <c r="I3144" s="7">
        <v>25000</v>
      </c>
      <c r="J3144" s="7"/>
      <c r="K3144" s="7"/>
      <c r="L3144" s="10">
        <v>5.5741092456127026</v>
      </c>
      <c r="M3144" s="9">
        <v>45025</v>
      </c>
      <c r="N3144" s="10">
        <v>5.5</v>
      </c>
      <c r="O3144" s="9">
        <v>45030</v>
      </c>
      <c r="P3144">
        <v>13</v>
      </c>
      <c r="Q3144" s="11" t="s">
        <v>49</v>
      </c>
      <c r="R3144" s="7"/>
      <c r="S3144" s="7">
        <v>25000</v>
      </c>
      <c r="T3144" s="7"/>
      <c r="U3144" s="7"/>
      <c r="V3144" s="10">
        <v>7.5741092456127026</v>
      </c>
      <c r="W3144" s="9">
        <v>45027</v>
      </c>
      <c r="X3144" s="10">
        <v>7.5</v>
      </c>
      <c r="Y3144" s="9">
        <v>45030</v>
      </c>
      <c r="Z3144">
        <v>13</v>
      </c>
      <c r="AA3144" s="11" t="s">
        <v>49</v>
      </c>
    </row>
    <row r="3145" spans="2:27" ht="16" x14ac:dyDescent="0.2">
      <c r="B3145" t="s">
        <v>35</v>
      </c>
      <c r="C3145">
        <v>40366451</v>
      </c>
      <c r="D3145" t="s">
        <v>389</v>
      </c>
      <c r="E3145">
        <v>1021732</v>
      </c>
      <c r="F3145" t="s">
        <v>275</v>
      </c>
      <c r="G3145" s="9">
        <v>45033</v>
      </c>
      <c r="H3145" s="7"/>
      <c r="I3145" s="7">
        <v>24000</v>
      </c>
      <c r="J3145" s="7"/>
      <c r="K3145" s="7"/>
      <c r="L3145" s="10">
        <v>5.5741092456127026</v>
      </c>
      <c r="M3145" s="9">
        <v>45038</v>
      </c>
      <c r="N3145" s="10">
        <v>5.5</v>
      </c>
      <c r="O3145" s="9">
        <v>45043</v>
      </c>
      <c r="P3145">
        <v>2</v>
      </c>
      <c r="Q3145" s="11" t="s">
        <v>647</v>
      </c>
      <c r="R3145" s="7"/>
      <c r="S3145" s="7">
        <v>24000</v>
      </c>
      <c r="T3145" s="7"/>
      <c r="U3145" s="7"/>
      <c r="V3145" s="10">
        <v>7.5741092456127026</v>
      </c>
      <c r="W3145" s="9">
        <v>45040</v>
      </c>
      <c r="X3145" s="10">
        <v>7.5</v>
      </c>
      <c r="Y3145" s="9">
        <v>45043</v>
      </c>
      <c r="Z3145">
        <v>2</v>
      </c>
      <c r="AA3145" s="11" t="s">
        <v>647</v>
      </c>
    </row>
    <row r="3146" spans="2:27" ht="16" x14ac:dyDescent="0.2">
      <c r="B3146" t="s">
        <v>35</v>
      </c>
      <c r="C3146">
        <v>40366450</v>
      </c>
      <c r="D3146" t="s">
        <v>389</v>
      </c>
      <c r="E3146">
        <v>1021732</v>
      </c>
      <c r="F3146" t="s">
        <v>275</v>
      </c>
      <c r="G3146" s="9">
        <v>45033</v>
      </c>
      <c r="H3146" s="7"/>
      <c r="I3146" s="7">
        <v>25000</v>
      </c>
      <c r="J3146" s="7"/>
      <c r="K3146" s="7"/>
      <c r="L3146" s="10">
        <v>5.5741092456127026</v>
      </c>
      <c r="M3146" s="9">
        <v>45038</v>
      </c>
      <c r="N3146" s="10">
        <v>5.5</v>
      </c>
      <c r="O3146" s="9">
        <v>45043</v>
      </c>
      <c r="P3146">
        <v>2</v>
      </c>
      <c r="Q3146" s="11" t="s">
        <v>647</v>
      </c>
      <c r="R3146" s="7"/>
      <c r="S3146" s="7">
        <v>25000</v>
      </c>
      <c r="T3146" s="7"/>
      <c r="U3146" s="7"/>
      <c r="V3146" s="10">
        <v>7.5741092456127026</v>
      </c>
      <c r="W3146" s="9">
        <v>45040</v>
      </c>
      <c r="X3146" s="10">
        <v>7.5</v>
      </c>
      <c r="Y3146" s="9">
        <v>45043</v>
      </c>
      <c r="Z3146">
        <v>2</v>
      </c>
      <c r="AA3146" s="11" t="s">
        <v>647</v>
      </c>
    </row>
    <row r="3147" spans="2:27" ht="16" x14ac:dyDescent="0.2">
      <c r="B3147" t="s">
        <v>35</v>
      </c>
      <c r="C3147">
        <v>40366415</v>
      </c>
      <c r="D3147" t="s">
        <v>389</v>
      </c>
      <c r="E3147">
        <v>1022212</v>
      </c>
      <c r="F3147" t="s">
        <v>300</v>
      </c>
      <c r="G3147" s="9">
        <v>45021</v>
      </c>
      <c r="H3147" s="7"/>
      <c r="I3147" s="7">
        <v>23475.65</v>
      </c>
      <c r="J3147" s="7"/>
      <c r="K3147" s="7"/>
      <c r="L3147" s="10">
        <v>5.5741092456127026</v>
      </c>
      <c r="M3147" s="9">
        <v>45026</v>
      </c>
      <c r="N3147" s="10">
        <v>5.5</v>
      </c>
      <c r="O3147" s="9">
        <v>45031</v>
      </c>
      <c r="P3147">
        <v>12</v>
      </c>
      <c r="Q3147" s="11" t="s">
        <v>49</v>
      </c>
      <c r="R3147" s="7"/>
      <c r="S3147" s="7">
        <v>23475.65</v>
      </c>
      <c r="T3147" s="7"/>
      <c r="U3147" s="7"/>
      <c r="V3147" s="10">
        <v>7.5741092456127026</v>
      </c>
      <c r="W3147" s="9">
        <v>45028</v>
      </c>
      <c r="X3147" s="10">
        <v>7.5</v>
      </c>
      <c r="Y3147" s="9">
        <v>45031</v>
      </c>
      <c r="Z3147">
        <v>12</v>
      </c>
      <c r="AA3147" s="11" t="s">
        <v>49</v>
      </c>
    </row>
    <row r="3148" spans="2:27" ht="16" x14ac:dyDescent="0.2">
      <c r="B3148" t="s">
        <v>35</v>
      </c>
      <c r="C3148">
        <v>40366413</v>
      </c>
      <c r="D3148" t="s">
        <v>389</v>
      </c>
      <c r="E3148">
        <v>1022212</v>
      </c>
      <c r="F3148" t="s">
        <v>300</v>
      </c>
      <c r="G3148" s="9">
        <v>45020</v>
      </c>
      <c r="H3148" s="7"/>
      <c r="I3148" s="7">
        <v>23807.71</v>
      </c>
      <c r="J3148" s="7"/>
      <c r="K3148" s="7"/>
      <c r="L3148" s="10">
        <v>5.5741092456127026</v>
      </c>
      <c r="M3148" s="9">
        <v>45025</v>
      </c>
      <c r="N3148" s="10">
        <v>5.5</v>
      </c>
      <c r="O3148" s="9">
        <v>45030</v>
      </c>
      <c r="P3148">
        <v>13</v>
      </c>
      <c r="Q3148" s="11" t="s">
        <v>49</v>
      </c>
      <c r="R3148" s="7"/>
      <c r="S3148" s="7">
        <v>23807.71</v>
      </c>
      <c r="T3148" s="7"/>
      <c r="U3148" s="7"/>
      <c r="V3148" s="10">
        <v>7.5741092456127026</v>
      </c>
      <c r="W3148" s="9">
        <v>45027</v>
      </c>
      <c r="X3148" s="10">
        <v>7.5</v>
      </c>
      <c r="Y3148" s="9">
        <v>45030</v>
      </c>
      <c r="Z3148">
        <v>13</v>
      </c>
      <c r="AA3148" s="11" t="s">
        <v>49</v>
      </c>
    </row>
    <row r="3149" spans="2:27" ht="16" x14ac:dyDescent="0.2">
      <c r="B3149" t="s">
        <v>35</v>
      </c>
      <c r="C3149">
        <v>40366412</v>
      </c>
      <c r="D3149" t="s">
        <v>389</v>
      </c>
      <c r="E3149">
        <v>1022212</v>
      </c>
      <c r="F3149" t="s">
        <v>300</v>
      </c>
      <c r="G3149" s="9">
        <v>45020</v>
      </c>
      <c r="H3149" s="7"/>
      <c r="I3149" s="7">
        <v>23547.35</v>
      </c>
      <c r="J3149" s="7"/>
      <c r="K3149" s="7"/>
      <c r="L3149" s="10">
        <v>5.5741092456127026</v>
      </c>
      <c r="M3149" s="9">
        <v>45025</v>
      </c>
      <c r="N3149" s="10">
        <v>5.5</v>
      </c>
      <c r="O3149" s="9">
        <v>45030</v>
      </c>
      <c r="P3149">
        <v>13</v>
      </c>
      <c r="Q3149" s="11" t="s">
        <v>49</v>
      </c>
      <c r="R3149" s="7"/>
      <c r="S3149" s="7">
        <v>23547.35</v>
      </c>
      <c r="T3149" s="7"/>
      <c r="U3149" s="7"/>
      <c r="V3149" s="10">
        <v>7.5741092456127026</v>
      </c>
      <c r="W3149" s="9">
        <v>45027</v>
      </c>
      <c r="X3149" s="10">
        <v>7.5</v>
      </c>
      <c r="Y3149" s="9">
        <v>45030</v>
      </c>
      <c r="Z3149">
        <v>13</v>
      </c>
      <c r="AA3149" s="11" t="s">
        <v>49</v>
      </c>
    </row>
    <row r="3150" spans="2:27" ht="16" x14ac:dyDescent="0.2">
      <c r="B3150" t="s">
        <v>35</v>
      </c>
      <c r="C3150">
        <v>40366398</v>
      </c>
      <c r="D3150" t="s">
        <v>389</v>
      </c>
      <c r="E3150">
        <v>1022183</v>
      </c>
      <c r="F3150" t="s">
        <v>165</v>
      </c>
      <c r="G3150" s="9">
        <v>45017</v>
      </c>
      <c r="H3150" s="7"/>
      <c r="I3150" s="7">
        <v>24099.32</v>
      </c>
      <c r="J3150" s="7"/>
      <c r="K3150" s="7"/>
      <c r="L3150" s="10">
        <v>5.5741092456127026</v>
      </c>
      <c r="M3150" s="9">
        <v>45022</v>
      </c>
      <c r="N3150" s="10">
        <v>5.5</v>
      </c>
      <c r="O3150" s="9">
        <v>45027</v>
      </c>
      <c r="P3150">
        <v>16</v>
      </c>
      <c r="Q3150" s="11" t="s">
        <v>49</v>
      </c>
      <c r="R3150" s="7"/>
      <c r="S3150" s="7">
        <v>24099.32</v>
      </c>
      <c r="T3150" s="7"/>
      <c r="U3150" s="7"/>
      <c r="V3150" s="10">
        <v>7.5741092456127026</v>
      </c>
      <c r="W3150" s="9">
        <v>45024</v>
      </c>
      <c r="X3150" s="10">
        <v>7.5</v>
      </c>
      <c r="Y3150" s="9">
        <v>45027</v>
      </c>
      <c r="Z3150">
        <v>16</v>
      </c>
      <c r="AA3150" s="11" t="s">
        <v>49</v>
      </c>
    </row>
    <row r="3151" spans="2:27" ht="16" x14ac:dyDescent="0.2">
      <c r="B3151" t="s">
        <v>35</v>
      </c>
      <c r="C3151">
        <v>40366397</v>
      </c>
      <c r="D3151" t="s">
        <v>389</v>
      </c>
      <c r="E3151">
        <v>1022183</v>
      </c>
      <c r="F3151" t="s">
        <v>165</v>
      </c>
      <c r="G3151" s="9">
        <v>45017</v>
      </c>
      <c r="H3151" s="7"/>
      <c r="I3151" s="7">
        <v>25007.08</v>
      </c>
      <c r="J3151" s="7"/>
      <c r="K3151" s="7"/>
      <c r="L3151" s="10">
        <v>5.5741092456127026</v>
      </c>
      <c r="M3151" s="9">
        <v>45022</v>
      </c>
      <c r="N3151" s="10">
        <v>5.5</v>
      </c>
      <c r="O3151" s="9">
        <v>45027</v>
      </c>
      <c r="P3151">
        <v>16</v>
      </c>
      <c r="Q3151" s="11" t="s">
        <v>49</v>
      </c>
      <c r="R3151" s="7"/>
      <c r="S3151" s="7">
        <v>25007.08</v>
      </c>
      <c r="T3151" s="7"/>
      <c r="U3151" s="7"/>
      <c r="V3151" s="10">
        <v>7.5741092456127026</v>
      </c>
      <c r="W3151" s="9">
        <v>45024</v>
      </c>
      <c r="X3151" s="10">
        <v>7.5</v>
      </c>
      <c r="Y3151" s="9">
        <v>45027</v>
      </c>
      <c r="Z3151">
        <v>16</v>
      </c>
      <c r="AA3151" s="11" t="s">
        <v>49</v>
      </c>
    </row>
    <row r="3152" spans="2:27" ht="16" x14ac:dyDescent="0.2">
      <c r="B3152" t="s">
        <v>35</v>
      </c>
      <c r="C3152">
        <v>40366354</v>
      </c>
      <c r="D3152" t="s">
        <v>389</v>
      </c>
      <c r="E3152">
        <v>1022639</v>
      </c>
      <c r="F3152" t="s">
        <v>316</v>
      </c>
      <c r="G3152" s="9">
        <v>45033</v>
      </c>
      <c r="H3152" s="7"/>
      <c r="I3152" s="7">
        <v>22289.83</v>
      </c>
      <c r="J3152" s="7"/>
      <c r="K3152" s="7"/>
      <c r="L3152" s="10">
        <v>5.5741092456127026</v>
      </c>
      <c r="M3152" s="9">
        <v>45038</v>
      </c>
      <c r="N3152" s="10">
        <v>5.5</v>
      </c>
      <c r="O3152" s="9">
        <v>45043</v>
      </c>
      <c r="P3152">
        <v>2</v>
      </c>
      <c r="Q3152" s="11" t="s">
        <v>647</v>
      </c>
      <c r="R3152" s="7"/>
      <c r="S3152" s="7">
        <v>22289.83</v>
      </c>
      <c r="T3152" s="7"/>
      <c r="U3152" s="7"/>
      <c r="V3152" s="10">
        <v>7.5741092456127026</v>
      </c>
      <c r="W3152" s="9">
        <v>45040</v>
      </c>
      <c r="X3152" s="10">
        <v>7.5</v>
      </c>
      <c r="Y3152" s="9">
        <v>45043</v>
      </c>
      <c r="Z3152">
        <v>2</v>
      </c>
      <c r="AA3152" s="11" t="s">
        <v>647</v>
      </c>
    </row>
    <row r="3153" spans="2:27" ht="16" x14ac:dyDescent="0.2">
      <c r="B3153" t="s">
        <v>35</v>
      </c>
      <c r="C3153">
        <v>40366353</v>
      </c>
      <c r="D3153" t="s">
        <v>389</v>
      </c>
      <c r="E3153">
        <v>1022639</v>
      </c>
      <c r="F3153" t="s">
        <v>316</v>
      </c>
      <c r="G3153" s="9">
        <v>45033</v>
      </c>
      <c r="H3153" s="7"/>
      <c r="I3153" s="7">
        <v>22111.98</v>
      </c>
      <c r="J3153" s="7"/>
      <c r="K3153" s="7"/>
      <c r="L3153" s="10">
        <v>5.5741092456127026</v>
      </c>
      <c r="M3153" s="9">
        <v>45038</v>
      </c>
      <c r="N3153" s="10">
        <v>5.5</v>
      </c>
      <c r="O3153" s="9">
        <v>45043</v>
      </c>
      <c r="P3153">
        <v>2</v>
      </c>
      <c r="Q3153" s="11" t="s">
        <v>647</v>
      </c>
      <c r="R3153" s="7"/>
      <c r="S3153" s="7">
        <v>22111.98</v>
      </c>
      <c r="T3153" s="7"/>
      <c r="U3153" s="7"/>
      <c r="V3153" s="10">
        <v>7.5741092456127026</v>
      </c>
      <c r="W3153" s="9">
        <v>45040</v>
      </c>
      <c r="X3153" s="10">
        <v>7.5</v>
      </c>
      <c r="Y3153" s="9">
        <v>45043</v>
      </c>
      <c r="Z3153">
        <v>2</v>
      </c>
      <c r="AA3153" s="11" t="s">
        <v>647</v>
      </c>
    </row>
    <row r="3154" spans="2:27" ht="16" x14ac:dyDescent="0.2">
      <c r="B3154" t="s">
        <v>35</v>
      </c>
      <c r="C3154">
        <v>40366352</v>
      </c>
      <c r="D3154" t="s">
        <v>389</v>
      </c>
      <c r="E3154">
        <v>1022639</v>
      </c>
      <c r="F3154" t="s">
        <v>316</v>
      </c>
      <c r="G3154" s="9">
        <v>45033</v>
      </c>
      <c r="H3154" s="7"/>
      <c r="I3154" s="7">
        <v>22085.84</v>
      </c>
      <c r="J3154" s="7"/>
      <c r="K3154" s="7"/>
      <c r="L3154" s="10">
        <v>5.5741092456127026</v>
      </c>
      <c r="M3154" s="9">
        <v>45038</v>
      </c>
      <c r="N3154" s="10">
        <v>5.5</v>
      </c>
      <c r="O3154" s="9">
        <v>45043</v>
      </c>
      <c r="P3154">
        <v>2</v>
      </c>
      <c r="Q3154" s="11" t="s">
        <v>647</v>
      </c>
      <c r="R3154" s="7"/>
      <c r="S3154" s="7">
        <v>22085.84</v>
      </c>
      <c r="T3154" s="7"/>
      <c r="U3154" s="7"/>
      <c r="V3154" s="10">
        <v>7.5741092456127026</v>
      </c>
      <c r="W3154" s="9">
        <v>45040</v>
      </c>
      <c r="X3154" s="10">
        <v>7.5</v>
      </c>
      <c r="Y3154" s="9">
        <v>45043</v>
      </c>
      <c r="Z3154">
        <v>2</v>
      </c>
      <c r="AA3154" s="11" t="s">
        <v>647</v>
      </c>
    </row>
    <row r="3155" spans="2:27" ht="16" x14ac:dyDescent="0.2">
      <c r="B3155" t="s">
        <v>35</v>
      </c>
      <c r="C3155">
        <v>40366349</v>
      </c>
      <c r="D3155" t="s">
        <v>389</v>
      </c>
      <c r="E3155">
        <v>1022639</v>
      </c>
      <c r="F3155" t="s">
        <v>316</v>
      </c>
      <c r="G3155" s="9">
        <v>45033</v>
      </c>
      <c r="H3155" s="7"/>
      <c r="I3155" s="7">
        <v>22307.79</v>
      </c>
      <c r="J3155" s="7"/>
      <c r="K3155" s="7"/>
      <c r="L3155" s="10">
        <v>5.5741092456127026</v>
      </c>
      <c r="M3155" s="9">
        <v>45038</v>
      </c>
      <c r="N3155" s="10">
        <v>5.5</v>
      </c>
      <c r="O3155" s="9">
        <v>45043</v>
      </c>
      <c r="P3155">
        <v>2</v>
      </c>
      <c r="Q3155" s="11" t="s">
        <v>647</v>
      </c>
      <c r="R3155" s="7"/>
      <c r="S3155" s="7">
        <v>22307.79</v>
      </c>
      <c r="T3155" s="7"/>
      <c r="U3155" s="7"/>
      <c r="V3155" s="10">
        <v>7.5741092456127026</v>
      </c>
      <c r="W3155" s="9">
        <v>45040</v>
      </c>
      <c r="X3155" s="10">
        <v>7.5</v>
      </c>
      <c r="Y3155" s="9">
        <v>45043</v>
      </c>
      <c r="Z3155">
        <v>2</v>
      </c>
      <c r="AA3155" s="11" t="s">
        <v>647</v>
      </c>
    </row>
    <row r="3156" spans="2:27" ht="16" x14ac:dyDescent="0.2">
      <c r="B3156" t="s">
        <v>35</v>
      </c>
      <c r="C3156">
        <v>40365512</v>
      </c>
      <c r="D3156" t="s">
        <v>389</v>
      </c>
      <c r="E3156">
        <v>1022096</v>
      </c>
      <c r="F3156" t="s">
        <v>440</v>
      </c>
      <c r="G3156" s="9">
        <v>45017</v>
      </c>
      <c r="H3156" s="7"/>
      <c r="I3156" s="7">
        <v>24170</v>
      </c>
      <c r="J3156" s="7"/>
      <c r="K3156" s="7"/>
      <c r="L3156" s="10">
        <v>5.5741092456127026</v>
      </c>
      <c r="M3156" s="9">
        <v>45022</v>
      </c>
      <c r="N3156" s="10">
        <v>5.5</v>
      </c>
      <c r="O3156" s="9">
        <v>45027</v>
      </c>
      <c r="P3156">
        <v>16</v>
      </c>
      <c r="Q3156" s="11" t="s">
        <v>49</v>
      </c>
      <c r="R3156" s="7"/>
      <c r="S3156" s="7">
        <v>24170</v>
      </c>
      <c r="T3156" s="7"/>
      <c r="U3156" s="7"/>
      <c r="V3156" s="10">
        <v>7.5741092456127026</v>
      </c>
      <c r="W3156" s="9">
        <v>45024</v>
      </c>
      <c r="X3156" s="10">
        <v>7.5</v>
      </c>
      <c r="Y3156" s="9">
        <v>45027</v>
      </c>
      <c r="Z3156">
        <v>16</v>
      </c>
      <c r="AA3156" s="11" t="s">
        <v>49</v>
      </c>
    </row>
    <row r="3157" spans="2:27" x14ac:dyDescent="0.2">
      <c r="B3157" t="s">
        <v>394</v>
      </c>
      <c r="C3157">
        <v>40363559</v>
      </c>
      <c r="D3157" t="s">
        <v>396</v>
      </c>
      <c r="E3157">
        <v>1012612</v>
      </c>
      <c r="F3157" t="s">
        <v>429</v>
      </c>
      <c r="G3157" s="9">
        <v>45040</v>
      </c>
      <c r="H3157" s="7"/>
      <c r="I3157" s="7">
        <v>24453.26</v>
      </c>
      <c r="J3157" s="7"/>
      <c r="K3157" s="7"/>
      <c r="L3157" s="10"/>
      <c r="N3157" s="10"/>
      <c r="Q3157" s="11"/>
      <c r="R3157" s="7"/>
      <c r="S3157" s="7">
        <v>24453.26</v>
      </c>
      <c r="T3157" s="7"/>
      <c r="U3157" s="7"/>
      <c r="V3157" s="10"/>
      <c r="X3157" s="10"/>
      <c r="AA3157" s="11"/>
    </row>
    <row r="3158" spans="2:27" x14ac:dyDescent="0.2">
      <c r="B3158" t="s">
        <v>394</v>
      </c>
      <c r="C3158">
        <v>40363548</v>
      </c>
      <c r="D3158" t="s">
        <v>485</v>
      </c>
      <c r="E3158">
        <v>1021385</v>
      </c>
      <c r="F3158" t="s">
        <v>495</v>
      </c>
      <c r="G3158" s="9">
        <v>44991</v>
      </c>
      <c r="H3158" s="7">
        <v>962.26</v>
      </c>
      <c r="I3158" s="7"/>
      <c r="J3158" s="7"/>
      <c r="K3158" s="7"/>
      <c r="L3158" s="10"/>
      <c r="N3158" s="10"/>
      <c r="Q3158" s="11"/>
      <c r="R3158" s="7">
        <v>962.26</v>
      </c>
      <c r="S3158" s="7"/>
      <c r="T3158" s="7"/>
      <c r="U3158" s="7"/>
      <c r="V3158" s="10"/>
      <c r="X3158" s="10"/>
      <c r="AA3158" s="11"/>
    </row>
    <row r="3159" spans="2:27" x14ac:dyDescent="0.2">
      <c r="B3159" t="s">
        <v>394</v>
      </c>
      <c r="C3159">
        <v>40363548</v>
      </c>
      <c r="D3159" t="s">
        <v>485</v>
      </c>
      <c r="E3159">
        <v>1020944</v>
      </c>
      <c r="F3159" t="s">
        <v>498</v>
      </c>
      <c r="G3159" s="9">
        <v>44991</v>
      </c>
      <c r="H3159" s="7">
        <v>11983.35</v>
      </c>
      <c r="I3159" s="7"/>
      <c r="J3159" s="7"/>
      <c r="K3159" s="7"/>
      <c r="L3159" s="10"/>
      <c r="N3159" s="10"/>
      <c r="Q3159" s="11"/>
      <c r="R3159" s="7">
        <v>11983.35</v>
      </c>
      <c r="S3159" s="7"/>
      <c r="T3159" s="7"/>
      <c r="U3159" s="7"/>
      <c r="V3159" s="10"/>
      <c r="X3159" s="10"/>
      <c r="AA3159" s="11"/>
    </row>
    <row r="3160" spans="2:27" x14ac:dyDescent="0.2">
      <c r="B3160" t="s">
        <v>394</v>
      </c>
      <c r="C3160">
        <v>40363548</v>
      </c>
      <c r="D3160" t="s">
        <v>485</v>
      </c>
      <c r="E3160">
        <v>1021385</v>
      </c>
      <c r="F3160" t="s">
        <v>495</v>
      </c>
      <c r="G3160" s="9">
        <v>44991</v>
      </c>
      <c r="H3160" s="7">
        <v>11960.68</v>
      </c>
      <c r="I3160" s="7"/>
      <c r="J3160" s="7"/>
      <c r="K3160" s="7"/>
      <c r="L3160" s="10"/>
      <c r="N3160" s="10"/>
      <c r="Q3160" s="11"/>
      <c r="R3160" s="7">
        <v>11960.68</v>
      </c>
      <c r="S3160" s="7"/>
      <c r="T3160" s="7"/>
      <c r="U3160" s="7"/>
      <c r="V3160" s="10"/>
      <c r="X3160" s="10"/>
      <c r="AA3160" s="11"/>
    </row>
    <row r="3161" spans="2:27" x14ac:dyDescent="0.2">
      <c r="B3161" t="s">
        <v>394</v>
      </c>
      <c r="C3161">
        <v>40363546</v>
      </c>
      <c r="D3161" t="s">
        <v>485</v>
      </c>
      <c r="E3161">
        <v>1021078</v>
      </c>
      <c r="F3161" t="s">
        <v>536</v>
      </c>
      <c r="G3161" s="9">
        <v>44991</v>
      </c>
      <c r="H3161" s="7">
        <v>14648.37</v>
      </c>
      <c r="I3161" s="7"/>
      <c r="J3161" s="7"/>
      <c r="K3161" s="7"/>
      <c r="L3161" s="10"/>
      <c r="N3161" s="10"/>
      <c r="Q3161" s="11"/>
      <c r="R3161" s="7">
        <v>14648.37</v>
      </c>
      <c r="S3161" s="7"/>
      <c r="T3161" s="7"/>
      <c r="U3161" s="7"/>
      <c r="V3161" s="10"/>
      <c r="X3161" s="10"/>
      <c r="AA3161" s="11"/>
    </row>
    <row r="3162" spans="2:27" x14ac:dyDescent="0.2">
      <c r="B3162" t="s">
        <v>394</v>
      </c>
      <c r="C3162">
        <v>40363546</v>
      </c>
      <c r="D3162" t="s">
        <v>485</v>
      </c>
      <c r="E3162">
        <v>1021078</v>
      </c>
      <c r="F3162" t="s">
        <v>536</v>
      </c>
      <c r="G3162" s="9">
        <v>44991</v>
      </c>
      <c r="H3162" s="7">
        <v>23987.24</v>
      </c>
      <c r="I3162" s="7"/>
      <c r="J3162" s="7"/>
      <c r="K3162" s="7"/>
      <c r="L3162" s="10"/>
      <c r="N3162" s="10"/>
      <c r="Q3162" s="11"/>
      <c r="R3162" s="7">
        <v>23987.24</v>
      </c>
      <c r="S3162" s="7"/>
      <c r="T3162" s="7"/>
      <c r="U3162" s="7"/>
      <c r="V3162" s="10"/>
      <c r="X3162" s="10"/>
      <c r="AA3162" s="11"/>
    </row>
    <row r="3163" spans="2:27" x14ac:dyDescent="0.2">
      <c r="B3163" t="s">
        <v>394</v>
      </c>
      <c r="C3163">
        <v>40363237</v>
      </c>
      <c r="D3163" t="s">
        <v>396</v>
      </c>
      <c r="E3163">
        <v>1023283</v>
      </c>
      <c r="F3163" t="s">
        <v>468</v>
      </c>
      <c r="G3163" s="9">
        <v>45041</v>
      </c>
      <c r="H3163" s="7"/>
      <c r="I3163" s="7">
        <v>16005.41</v>
      </c>
      <c r="J3163" s="7"/>
      <c r="K3163" s="7"/>
      <c r="L3163" s="10"/>
      <c r="N3163" s="10"/>
      <c r="Q3163" s="11"/>
      <c r="R3163" s="7"/>
      <c r="S3163" s="7">
        <v>16005.41</v>
      </c>
      <c r="T3163" s="7"/>
      <c r="U3163" s="7"/>
      <c r="V3163" s="10"/>
      <c r="X3163" s="10"/>
      <c r="AA3163" s="11"/>
    </row>
    <row r="3164" spans="2:27" x14ac:dyDescent="0.2">
      <c r="B3164" t="s">
        <v>394</v>
      </c>
      <c r="C3164">
        <v>40363237</v>
      </c>
      <c r="D3164" t="s">
        <v>396</v>
      </c>
      <c r="E3164">
        <v>1023283</v>
      </c>
      <c r="F3164" t="s">
        <v>468</v>
      </c>
      <c r="G3164" s="9">
        <v>45041</v>
      </c>
      <c r="H3164" s="7"/>
      <c r="I3164" s="7">
        <v>24026.720000000001</v>
      </c>
      <c r="J3164" s="7"/>
      <c r="K3164" s="7"/>
      <c r="L3164" s="10"/>
      <c r="N3164" s="10"/>
      <c r="Q3164" s="11"/>
      <c r="R3164" s="7"/>
      <c r="S3164" s="7">
        <v>24026.720000000001</v>
      </c>
      <c r="T3164" s="7"/>
      <c r="U3164" s="7"/>
      <c r="V3164" s="10"/>
      <c r="X3164" s="10"/>
      <c r="AA3164" s="11"/>
    </row>
    <row r="3165" spans="2:27" x14ac:dyDescent="0.2">
      <c r="B3165" t="s">
        <v>394</v>
      </c>
      <c r="C3165">
        <v>40363228</v>
      </c>
      <c r="D3165" t="s">
        <v>396</v>
      </c>
      <c r="E3165">
        <v>1012012</v>
      </c>
      <c r="F3165" t="s">
        <v>564</v>
      </c>
      <c r="G3165" s="9">
        <v>45022</v>
      </c>
      <c r="H3165" s="7"/>
      <c r="I3165" s="7">
        <v>19394.88</v>
      </c>
      <c r="J3165" s="7"/>
      <c r="K3165" s="7"/>
      <c r="L3165" s="10"/>
      <c r="N3165" s="10"/>
      <c r="Q3165" s="11"/>
      <c r="R3165" s="7"/>
      <c r="S3165" s="7">
        <v>19394.88</v>
      </c>
      <c r="T3165" s="7"/>
      <c r="U3165" s="7"/>
      <c r="V3165" s="10"/>
      <c r="X3165" s="10"/>
      <c r="AA3165" s="11"/>
    </row>
    <row r="3166" spans="2:27" ht="16" x14ac:dyDescent="0.2">
      <c r="B3166" t="s">
        <v>35</v>
      </c>
      <c r="C3166">
        <v>40362155</v>
      </c>
      <c r="D3166" t="s">
        <v>389</v>
      </c>
      <c r="E3166">
        <v>1022096</v>
      </c>
      <c r="F3166" t="s">
        <v>440</v>
      </c>
      <c r="G3166" s="9">
        <v>45017</v>
      </c>
      <c r="H3166" s="7"/>
      <c r="I3166" s="7">
        <v>24000</v>
      </c>
      <c r="J3166" s="7"/>
      <c r="K3166" s="7"/>
      <c r="L3166" s="10">
        <v>5.5741092456127026</v>
      </c>
      <c r="M3166" s="9">
        <v>45022</v>
      </c>
      <c r="N3166" s="10">
        <v>5.5</v>
      </c>
      <c r="O3166" s="9">
        <v>45027</v>
      </c>
      <c r="P3166">
        <v>16</v>
      </c>
      <c r="Q3166" s="11" t="s">
        <v>49</v>
      </c>
      <c r="R3166" s="7"/>
      <c r="S3166" s="7">
        <v>24000</v>
      </c>
      <c r="T3166" s="7"/>
      <c r="U3166" s="7"/>
      <c r="V3166" s="10">
        <v>7.5741092456127026</v>
      </c>
      <c r="W3166" s="9">
        <v>45024</v>
      </c>
      <c r="X3166" s="10">
        <v>7.5</v>
      </c>
      <c r="Y3166" s="9">
        <v>45027</v>
      </c>
      <c r="Z3166">
        <v>16</v>
      </c>
      <c r="AA3166" s="11" t="s">
        <v>49</v>
      </c>
    </row>
    <row r="3167" spans="2:27" ht="16" x14ac:dyDescent="0.2">
      <c r="B3167" t="s">
        <v>35</v>
      </c>
      <c r="C3167">
        <v>40362132</v>
      </c>
      <c r="D3167" t="s">
        <v>389</v>
      </c>
      <c r="E3167">
        <v>1023306</v>
      </c>
      <c r="F3167" t="s">
        <v>330</v>
      </c>
      <c r="G3167" s="9">
        <v>45020</v>
      </c>
      <c r="H3167" s="7"/>
      <c r="I3167" s="7">
        <v>24260</v>
      </c>
      <c r="J3167" s="7"/>
      <c r="K3167" s="7"/>
      <c r="L3167" s="10">
        <v>5.5741092456127026</v>
      </c>
      <c r="M3167" s="9">
        <v>45025</v>
      </c>
      <c r="N3167" s="10">
        <v>5.5</v>
      </c>
      <c r="O3167" s="9">
        <v>45030</v>
      </c>
      <c r="P3167">
        <v>13</v>
      </c>
      <c r="Q3167" s="11" t="s">
        <v>49</v>
      </c>
      <c r="R3167" s="7"/>
      <c r="S3167" s="7">
        <v>24260</v>
      </c>
      <c r="T3167" s="7"/>
      <c r="U3167" s="7"/>
      <c r="V3167" s="10">
        <v>7.5741092456127026</v>
      </c>
      <c r="W3167" s="9">
        <v>45027</v>
      </c>
      <c r="X3167" s="10">
        <v>7.5</v>
      </c>
      <c r="Y3167" s="9">
        <v>45030</v>
      </c>
      <c r="Z3167">
        <v>13</v>
      </c>
      <c r="AA3167" s="11" t="s">
        <v>49</v>
      </c>
    </row>
    <row r="3168" spans="2:27" ht="16" x14ac:dyDescent="0.2">
      <c r="B3168" t="s">
        <v>35</v>
      </c>
      <c r="C3168">
        <v>40361987</v>
      </c>
      <c r="D3168" t="s">
        <v>389</v>
      </c>
      <c r="E3168">
        <v>1022748</v>
      </c>
      <c r="F3168" t="s">
        <v>444</v>
      </c>
      <c r="G3168" s="9">
        <v>45033</v>
      </c>
      <c r="H3168" s="7"/>
      <c r="I3168" s="7">
        <v>24000</v>
      </c>
      <c r="J3168" s="7"/>
      <c r="K3168" s="7"/>
      <c r="L3168" s="10">
        <v>5.5741092456127026</v>
      </c>
      <c r="M3168" s="9">
        <v>45038</v>
      </c>
      <c r="N3168" s="10">
        <v>5.5</v>
      </c>
      <c r="O3168" s="9">
        <v>45043</v>
      </c>
      <c r="P3168">
        <v>2</v>
      </c>
      <c r="Q3168" s="11" t="s">
        <v>647</v>
      </c>
      <c r="R3168" s="7"/>
      <c r="S3168" s="7">
        <v>24000</v>
      </c>
      <c r="T3168" s="7"/>
      <c r="U3168" s="7"/>
      <c r="V3168" s="10">
        <v>7.5741092456127026</v>
      </c>
      <c r="W3168" s="9">
        <v>45040</v>
      </c>
      <c r="X3168" s="10">
        <v>7.5</v>
      </c>
      <c r="Y3168" s="9">
        <v>45043</v>
      </c>
      <c r="Z3168">
        <v>2</v>
      </c>
      <c r="AA3168" s="11" t="s">
        <v>647</v>
      </c>
    </row>
    <row r="3169" spans="2:27" ht="16" x14ac:dyDescent="0.2">
      <c r="B3169" t="s">
        <v>35</v>
      </c>
      <c r="C3169">
        <v>40361980</v>
      </c>
      <c r="D3169" t="s">
        <v>389</v>
      </c>
      <c r="E3169">
        <v>1022753</v>
      </c>
      <c r="F3169" t="s">
        <v>320</v>
      </c>
      <c r="G3169" s="9">
        <v>45033</v>
      </c>
      <c r="H3169" s="7"/>
      <c r="I3169" s="7">
        <v>25000</v>
      </c>
      <c r="J3169" s="7"/>
      <c r="K3169" s="7"/>
      <c r="L3169" s="10">
        <v>5.5741092456127026</v>
      </c>
      <c r="M3169" s="9">
        <v>45038</v>
      </c>
      <c r="N3169" s="10">
        <v>5.5</v>
      </c>
      <c r="O3169" s="9">
        <v>45043</v>
      </c>
      <c r="P3169">
        <v>2</v>
      </c>
      <c r="Q3169" s="11" t="s">
        <v>647</v>
      </c>
      <c r="R3169" s="7"/>
      <c r="S3169" s="7">
        <v>25000</v>
      </c>
      <c r="T3169" s="7"/>
      <c r="U3169" s="7"/>
      <c r="V3169" s="10">
        <v>7.5741092456127026</v>
      </c>
      <c r="W3169" s="9">
        <v>45040</v>
      </c>
      <c r="X3169" s="10">
        <v>7.5</v>
      </c>
      <c r="Y3169" s="9">
        <v>45043</v>
      </c>
      <c r="Z3169">
        <v>2</v>
      </c>
      <c r="AA3169" s="11" t="s">
        <v>647</v>
      </c>
    </row>
    <row r="3170" spans="2:27" ht="16" x14ac:dyDescent="0.2">
      <c r="B3170" t="s">
        <v>35</v>
      </c>
      <c r="C3170">
        <v>40361952</v>
      </c>
      <c r="D3170" t="s">
        <v>389</v>
      </c>
      <c r="E3170">
        <v>1022541</v>
      </c>
      <c r="F3170" t="s">
        <v>445</v>
      </c>
      <c r="G3170" s="9">
        <v>45020</v>
      </c>
      <c r="H3170" s="7"/>
      <c r="I3170" s="7">
        <v>24504.94</v>
      </c>
      <c r="J3170" s="7"/>
      <c r="K3170" s="7"/>
      <c r="L3170" s="10">
        <v>5.5741092456127026</v>
      </c>
      <c r="M3170" s="9">
        <v>45025</v>
      </c>
      <c r="N3170" s="10">
        <v>5.5</v>
      </c>
      <c r="O3170" s="9">
        <v>45030</v>
      </c>
      <c r="P3170">
        <v>13</v>
      </c>
      <c r="Q3170" s="11" t="s">
        <v>49</v>
      </c>
      <c r="R3170" s="7"/>
      <c r="S3170" s="7">
        <v>24504.94</v>
      </c>
      <c r="T3170" s="7"/>
      <c r="U3170" s="7"/>
      <c r="V3170" s="10">
        <v>7.5741092456127026</v>
      </c>
      <c r="W3170" s="9">
        <v>45027</v>
      </c>
      <c r="X3170" s="10">
        <v>7.5</v>
      </c>
      <c r="Y3170" s="9">
        <v>45030</v>
      </c>
      <c r="Z3170">
        <v>13</v>
      </c>
      <c r="AA3170" s="11" t="s">
        <v>49</v>
      </c>
    </row>
    <row r="3171" spans="2:27" ht="16" x14ac:dyDescent="0.2">
      <c r="B3171" t="s">
        <v>35</v>
      </c>
      <c r="C3171">
        <v>40361910</v>
      </c>
      <c r="D3171" t="s">
        <v>389</v>
      </c>
      <c r="E3171">
        <v>1012448</v>
      </c>
      <c r="F3171" t="s">
        <v>451</v>
      </c>
      <c r="G3171" s="9">
        <v>45017</v>
      </c>
      <c r="H3171" s="7"/>
      <c r="I3171" s="7">
        <v>24000</v>
      </c>
      <c r="J3171" s="7"/>
      <c r="K3171" s="7"/>
      <c r="L3171" s="10">
        <v>5.5741092456127026</v>
      </c>
      <c r="M3171" s="9">
        <v>45022</v>
      </c>
      <c r="N3171" s="10">
        <v>5.5</v>
      </c>
      <c r="O3171" s="9">
        <v>45027</v>
      </c>
      <c r="P3171">
        <v>16</v>
      </c>
      <c r="Q3171" s="11" t="s">
        <v>49</v>
      </c>
      <c r="R3171" s="7"/>
      <c r="S3171" s="7">
        <v>24000</v>
      </c>
      <c r="T3171" s="7"/>
      <c r="U3171" s="7"/>
      <c r="V3171" s="10">
        <v>7.5741092456127026</v>
      </c>
      <c r="W3171" s="9">
        <v>45024</v>
      </c>
      <c r="X3171" s="10">
        <v>7.5</v>
      </c>
      <c r="Y3171" s="9">
        <v>45027</v>
      </c>
      <c r="Z3171">
        <v>16</v>
      </c>
      <c r="AA3171" s="11" t="s">
        <v>49</v>
      </c>
    </row>
    <row r="3172" spans="2:27" ht="16" x14ac:dyDescent="0.2">
      <c r="B3172" t="s">
        <v>35</v>
      </c>
      <c r="C3172">
        <v>40357668</v>
      </c>
      <c r="D3172" t="s">
        <v>389</v>
      </c>
      <c r="E3172">
        <v>1012502</v>
      </c>
      <c r="F3172" t="s">
        <v>565</v>
      </c>
      <c r="G3172" s="9">
        <v>45017</v>
      </c>
      <c r="H3172" s="7"/>
      <c r="I3172" s="7">
        <v>23720</v>
      </c>
      <c r="J3172" s="7"/>
      <c r="K3172" s="7"/>
      <c r="L3172" s="10">
        <v>5.5741092456127026</v>
      </c>
      <c r="M3172" s="9">
        <v>45022</v>
      </c>
      <c r="N3172" s="10">
        <v>5.5</v>
      </c>
      <c r="O3172" s="9">
        <v>45027</v>
      </c>
      <c r="P3172">
        <v>16</v>
      </c>
      <c r="Q3172" s="11" t="s">
        <v>49</v>
      </c>
      <c r="R3172" s="7"/>
      <c r="S3172" s="7">
        <v>23720</v>
      </c>
      <c r="T3172" s="7"/>
      <c r="U3172" s="7"/>
      <c r="V3172" s="10">
        <v>7.5741092456127026</v>
      </c>
      <c r="W3172" s="9">
        <v>45024</v>
      </c>
      <c r="X3172" s="10">
        <v>7.5</v>
      </c>
      <c r="Y3172" s="9">
        <v>45027</v>
      </c>
      <c r="Z3172">
        <v>16</v>
      </c>
      <c r="AA3172" s="11" t="s">
        <v>49</v>
      </c>
    </row>
    <row r="3173" spans="2:27" ht="16" x14ac:dyDescent="0.2">
      <c r="B3173" t="s">
        <v>35</v>
      </c>
      <c r="C3173">
        <v>40357233</v>
      </c>
      <c r="D3173" t="s">
        <v>389</v>
      </c>
      <c r="E3173">
        <v>1012595</v>
      </c>
      <c r="F3173" t="s">
        <v>248</v>
      </c>
      <c r="G3173" s="9">
        <v>45020</v>
      </c>
      <c r="H3173" s="7"/>
      <c r="I3173" s="7">
        <v>12000</v>
      </c>
      <c r="J3173" s="7"/>
      <c r="K3173" s="7"/>
      <c r="L3173" s="10">
        <v>5.5741092456127026</v>
      </c>
      <c r="M3173" s="9">
        <v>45025</v>
      </c>
      <c r="N3173" s="10">
        <v>5.5</v>
      </c>
      <c r="O3173" s="9">
        <v>45030</v>
      </c>
      <c r="P3173">
        <v>13</v>
      </c>
      <c r="Q3173" s="11" t="s">
        <v>49</v>
      </c>
      <c r="R3173" s="7"/>
      <c r="S3173" s="7">
        <v>12000</v>
      </c>
      <c r="T3173" s="7"/>
      <c r="U3173" s="7"/>
      <c r="V3173" s="10">
        <v>7.5741092456127026</v>
      </c>
      <c r="W3173" s="9">
        <v>45027</v>
      </c>
      <c r="X3173" s="10">
        <v>7.5</v>
      </c>
      <c r="Y3173" s="9">
        <v>45030</v>
      </c>
      <c r="Z3173">
        <v>13</v>
      </c>
      <c r="AA3173" s="11" t="s">
        <v>49</v>
      </c>
    </row>
    <row r="3174" spans="2:27" ht="16" x14ac:dyDescent="0.2">
      <c r="B3174" t="s">
        <v>35</v>
      </c>
      <c r="C3174">
        <v>40357233</v>
      </c>
      <c r="D3174" t="s">
        <v>389</v>
      </c>
      <c r="E3174">
        <v>1012453</v>
      </c>
      <c r="F3174" t="s">
        <v>241</v>
      </c>
      <c r="G3174" s="9">
        <v>45020</v>
      </c>
      <c r="H3174" s="7"/>
      <c r="I3174" s="7">
        <v>998.8</v>
      </c>
      <c r="J3174" s="7"/>
      <c r="K3174" s="7"/>
      <c r="L3174" s="10">
        <v>5.5741092456127026</v>
      </c>
      <c r="M3174" s="9">
        <v>45025</v>
      </c>
      <c r="N3174" s="10">
        <v>5.5</v>
      </c>
      <c r="O3174" s="9">
        <v>45030</v>
      </c>
      <c r="P3174">
        <v>13</v>
      </c>
      <c r="Q3174" s="11" t="s">
        <v>49</v>
      </c>
      <c r="R3174" s="7"/>
      <c r="S3174" s="7">
        <v>998.8</v>
      </c>
      <c r="T3174" s="7"/>
      <c r="U3174" s="7"/>
      <c r="V3174" s="10">
        <v>7.5741092456127026</v>
      </c>
      <c r="W3174" s="9">
        <v>45027</v>
      </c>
      <c r="X3174" s="10">
        <v>7.5</v>
      </c>
      <c r="Y3174" s="9">
        <v>45030</v>
      </c>
      <c r="Z3174">
        <v>13</v>
      </c>
      <c r="AA3174" s="11" t="s">
        <v>49</v>
      </c>
    </row>
    <row r="3175" spans="2:27" ht="16" x14ac:dyDescent="0.2">
      <c r="B3175" t="s">
        <v>35</v>
      </c>
      <c r="C3175">
        <v>40357233</v>
      </c>
      <c r="D3175" t="s">
        <v>389</v>
      </c>
      <c r="E3175">
        <v>1012451</v>
      </c>
      <c r="F3175" t="s">
        <v>156</v>
      </c>
      <c r="G3175" s="9">
        <v>45020</v>
      </c>
      <c r="H3175" s="7"/>
      <c r="I3175" s="7">
        <v>870</v>
      </c>
      <c r="J3175" s="7"/>
      <c r="K3175" s="7"/>
      <c r="L3175" s="10">
        <v>5.5741092456127026</v>
      </c>
      <c r="M3175" s="9">
        <v>45025</v>
      </c>
      <c r="N3175" s="10">
        <v>5.5</v>
      </c>
      <c r="O3175" s="9">
        <v>45030</v>
      </c>
      <c r="P3175">
        <v>13</v>
      </c>
      <c r="Q3175" s="11" t="s">
        <v>49</v>
      </c>
      <c r="R3175" s="7"/>
      <c r="S3175" s="7">
        <v>870</v>
      </c>
      <c r="T3175" s="7"/>
      <c r="U3175" s="7"/>
      <c r="V3175" s="10">
        <v>7.5741092456127026</v>
      </c>
      <c r="W3175" s="9">
        <v>45027</v>
      </c>
      <c r="X3175" s="10">
        <v>7.5</v>
      </c>
      <c r="Y3175" s="9">
        <v>45030</v>
      </c>
      <c r="Z3175">
        <v>13</v>
      </c>
      <c r="AA3175" s="11" t="s">
        <v>49</v>
      </c>
    </row>
    <row r="3176" spans="2:27" ht="16" x14ac:dyDescent="0.2">
      <c r="B3176" t="s">
        <v>35</v>
      </c>
      <c r="C3176">
        <v>40357233</v>
      </c>
      <c r="D3176" t="s">
        <v>389</v>
      </c>
      <c r="E3176">
        <v>1012005</v>
      </c>
      <c r="F3176" t="s">
        <v>531</v>
      </c>
      <c r="G3176" s="9">
        <v>45020</v>
      </c>
      <c r="H3176" s="7"/>
      <c r="I3176" s="7">
        <v>2080</v>
      </c>
      <c r="J3176" s="7"/>
      <c r="K3176" s="7"/>
      <c r="L3176" s="10">
        <v>5.5741092456127026</v>
      </c>
      <c r="M3176" s="9">
        <v>45025</v>
      </c>
      <c r="N3176" s="10">
        <v>5.5</v>
      </c>
      <c r="O3176" s="9">
        <v>45030</v>
      </c>
      <c r="P3176">
        <v>13</v>
      </c>
      <c r="Q3176" s="11" t="s">
        <v>49</v>
      </c>
      <c r="R3176" s="7"/>
      <c r="S3176" s="7">
        <v>2080</v>
      </c>
      <c r="T3176" s="7"/>
      <c r="U3176" s="7"/>
      <c r="V3176" s="10">
        <v>7.5741092456127026</v>
      </c>
      <c r="W3176" s="9">
        <v>45027</v>
      </c>
      <c r="X3176" s="10">
        <v>7.5</v>
      </c>
      <c r="Y3176" s="9">
        <v>45030</v>
      </c>
      <c r="Z3176">
        <v>13</v>
      </c>
      <c r="AA3176" s="11" t="s">
        <v>49</v>
      </c>
    </row>
    <row r="3177" spans="2:27" x14ac:dyDescent="0.2">
      <c r="B3177" t="s">
        <v>394</v>
      </c>
      <c r="C3177">
        <v>40356315</v>
      </c>
      <c r="D3177" t="s">
        <v>396</v>
      </c>
      <c r="E3177">
        <v>1012612</v>
      </c>
      <c r="F3177" t="s">
        <v>429</v>
      </c>
      <c r="G3177" s="9">
        <v>45040</v>
      </c>
      <c r="H3177" s="7"/>
      <c r="I3177" s="7">
        <v>24725.84</v>
      </c>
      <c r="J3177" s="7"/>
      <c r="K3177" s="7"/>
      <c r="L3177" s="10"/>
      <c r="N3177" s="10"/>
      <c r="Q3177" s="11"/>
      <c r="R3177" s="7"/>
      <c r="S3177" s="7">
        <v>24725.84</v>
      </c>
      <c r="T3177" s="7"/>
      <c r="U3177" s="7"/>
      <c r="V3177" s="10"/>
      <c r="X3177" s="10"/>
      <c r="AA3177" s="11"/>
    </row>
    <row r="3178" spans="2:27" x14ac:dyDescent="0.2">
      <c r="B3178" t="s">
        <v>394</v>
      </c>
      <c r="C3178">
        <v>40356226</v>
      </c>
      <c r="D3178" t="s">
        <v>396</v>
      </c>
      <c r="E3178">
        <v>1022930</v>
      </c>
      <c r="F3178" t="s">
        <v>456</v>
      </c>
      <c r="G3178" s="9">
        <v>45023</v>
      </c>
      <c r="H3178" s="7"/>
      <c r="I3178" s="7">
        <v>22004.31</v>
      </c>
      <c r="J3178" s="7"/>
      <c r="K3178" s="7"/>
      <c r="L3178" s="10"/>
      <c r="N3178" s="10"/>
      <c r="Q3178" s="11"/>
      <c r="R3178" s="7"/>
      <c r="S3178" s="7">
        <v>22004.31</v>
      </c>
      <c r="T3178" s="7"/>
      <c r="U3178" s="7"/>
      <c r="V3178" s="10"/>
      <c r="X3178" s="10"/>
      <c r="AA3178" s="11"/>
    </row>
    <row r="3179" spans="2:27" ht="16" x14ac:dyDescent="0.2">
      <c r="B3179" t="s">
        <v>35</v>
      </c>
      <c r="C3179">
        <v>40357500</v>
      </c>
      <c r="D3179" t="s">
        <v>389</v>
      </c>
      <c r="E3179">
        <v>1021766</v>
      </c>
      <c r="F3179" t="s">
        <v>286</v>
      </c>
      <c r="G3179" s="9">
        <v>44951</v>
      </c>
      <c r="H3179" s="7"/>
      <c r="I3179" s="7"/>
      <c r="J3179" s="7"/>
      <c r="K3179" s="7"/>
      <c r="L3179" s="10">
        <v>5.5741092456127026</v>
      </c>
      <c r="M3179" s="9">
        <v>44956</v>
      </c>
      <c r="N3179" s="10">
        <v>5.5</v>
      </c>
      <c r="O3179" s="9">
        <v>44961</v>
      </c>
      <c r="P3179">
        <v>20</v>
      </c>
      <c r="Q3179" s="11" t="s">
        <v>49</v>
      </c>
      <c r="R3179" s="7"/>
      <c r="S3179" s="7"/>
      <c r="T3179" s="7"/>
      <c r="U3179" s="7"/>
      <c r="V3179" s="10">
        <v>7.5741092456127026</v>
      </c>
      <c r="W3179" s="9">
        <v>44958</v>
      </c>
      <c r="X3179" s="10">
        <v>7.5</v>
      </c>
      <c r="Y3179" s="9">
        <v>44961</v>
      </c>
      <c r="Z3179">
        <v>20</v>
      </c>
      <c r="AA3179" s="11" t="s">
        <v>49</v>
      </c>
    </row>
    <row r="3180" spans="2:27" ht="16" x14ac:dyDescent="0.2">
      <c r="B3180" t="s">
        <v>35</v>
      </c>
      <c r="C3180">
        <v>40357488</v>
      </c>
      <c r="D3180" t="s">
        <v>389</v>
      </c>
      <c r="E3180">
        <v>1022417</v>
      </c>
      <c r="F3180" t="s">
        <v>173</v>
      </c>
      <c r="G3180" s="9">
        <v>44960</v>
      </c>
      <c r="H3180" s="7"/>
      <c r="I3180" s="7"/>
      <c r="J3180" s="7"/>
      <c r="K3180" s="7"/>
      <c r="L3180" s="10">
        <v>5.5741092456127026</v>
      </c>
      <c r="M3180" s="9">
        <v>44965</v>
      </c>
      <c r="N3180" s="10">
        <v>5.5</v>
      </c>
      <c r="O3180" s="9">
        <v>44970</v>
      </c>
      <c r="P3180">
        <v>13</v>
      </c>
      <c r="Q3180" s="11" t="s">
        <v>49</v>
      </c>
      <c r="R3180" s="7"/>
      <c r="S3180" s="7"/>
      <c r="T3180" s="7"/>
      <c r="U3180" s="7"/>
      <c r="V3180" s="10">
        <v>7.5741092456127026</v>
      </c>
      <c r="W3180" s="9">
        <v>44967</v>
      </c>
      <c r="X3180" s="10">
        <v>7.5</v>
      </c>
      <c r="Y3180" s="9">
        <v>44970</v>
      </c>
      <c r="Z3180">
        <v>13</v>
      </c>
      <c r="AA3180" s="11" t="s">
        <v>49</v>
      </c>
    </row>
    <row r="3181" spans="2:27" ht="16" x14ac:dyDescent="0.2">
      <c r="B3181" t="s">
        <v>35</v>
      </c>
      <c r="C3181">
        <v>40357486</v>
      </c>
      <c r="D3181" t="s">
        <v>389</v>
      </c>
      <c r="E3181">
        <v>1022417</v>
      </c>
      <c r="F3181" t="s">
        <v>173</v>
      </c>
      <c r="G3181" s="9">
        <v>44959</v>
      </c>
      <c r="H3181" s="7"/>
      <c r="I3181" s="7"/>
      <c r="J3181" s="7"/>
      <c r="K3181" s="7"/>
      <c r="L3181" s="10">
        <v>5.5741092456127026</v>
      </c>
      <c r="M3181" s="9">
        <v>44964</v>
      </c>
      <c r="N3181" s="10">
        <v>5.5</v>
      </c>
      <c r="O3181" s="9">
        <v>44969</v>
      </c>
      <c r="P3181">
        <v>14</v>
      </c>
      <c r="Q3181" s="11" t="s">
        <v>49</v>
      </c>
      <c r="R3181" s="7"/>
      <c r="S3181" s="7"/>
      <c r="T3181" s="7"/>
      <c r="U3181" s="7"/>
      <c r="V3181" s="10">
        <v>7.5741092456127026</v>
      </c>
      <c r="W3181" s="9">
        <v>44966</v>
      </c>
      <c r="X3181" s="10">
        <v>7.5</v>
      </c>
      <c r="Y3181" s="9">
        <v>44969</v>
      </c>
      <c r="Z3181">
        <v>14</v>
      </c>
      <c r="AA3181" s="11" t="s">
        <v>49</v>
      </c>
    </row>
    <row r="3182" spans="2:27" ht="16" x14ac:dyDescent="0.2">
      <c r="B3182" t="s">
        <v>35</v>
      </c>
      <c r="C3182">
        <v>40357485</v>
      </c>
      <c r="D3182" t="s">
        <v>389</v>
      </c>
      <c r="E3182">
        <v>1022417</v>
      </c>
      <c r="F3182" t="s">
        <v>173</v>
      </c>
      <c r="G3182" s="9">
        <v>44955</v>
      </c>
      <c r="H3182" s="7"/>
      <c r="I3182" s="7"/>
      <c r="J3182" s="7"/>
      <c r="K3182" s="7"/>
      <c r="L3182" s="10">
        <v>5.5741092456127026</v>
      </c>
      <c r="M3182" s="9">
        <v>44960</v>
      </c>
      <c r="N3182" s="10">
        <v>5.5</v>
      </c>
      <c r="O3182" s="9">
        <v>44965</v>
      </c>
      <c r="P3182">
        <v>17</v>
      </c>
      <c r="Q3182" s="11" t="s">
        <v>49</v>
      </c>
      <c r="R3182" s="7"/>
      <c r="S3182" s="7"/>
      <c r="T3182" s="7"/>
      <c r="U3182" s="7"/>
      <c r="V3182" s="10">
        <v>7.5741092456127026</v>
      </c>
      <c r="W3182" s="9">
        <v>44962</v>
      </c>
      <c r="X3182" s="10">
        <v>7.5</v>
      </c>
      <c r="Y3182" s="9">
        <v>44965</v>
      </c>
      <c r="Z3182">
        <v>17</v>
      </c>
      <c r="AA3182" s="11" t="s">
        <v>49</v>
      </c>
    </row>
    <row r="3183" spans="2:27" ht="16" x14ac:dyDescent="0.2">
      <c r="B3183" t="s">
        <v>35</v>
      </c>
      <c r="C3183">
        <v>40357484</v>
      </c>
      <c r="D3183" t="s">
        <v>389</v>
      </c>
      <c r="E3183">
        <v>1022417</v>
      </c>
      <c r="F3183" t="s">
        <v>173</v>
      </c>
      <c r="G3183" s="9">
        <v>44955</v>
      </c>
      <c r="H3183" s="7"/>
      <c r="I3183" s="7"/>
      <c r="J3183" s="7"/>
      <c r="K3183" s="7"/>
      <c r="L3183" s="10">
        <v>5.5741092456127026</v>
      </c>
      <c r="M3183" s="9">
        <v>44960</v>
      </c>
      <c r="N3183" s="10">
        <v>5.5</v>
      </c>
      <c r="O3183" s="9">
        <v>44965</v>
      </c>
      <c r="P3183">
        <v>17</v>
      </c>
      <c r="Q3183" s="11" t="s">
        <v>49</v>
      </c>
      <c r="R3183" s="7"/>
      <c r="S3183" s="7"/>
      <c r="T3183" s="7"/>
      <c r="U3183" s="7"/>
      <c r="V3183" s="10">
        <v>7.5741092456127026</v>
      </c>
      <c r="W3183" s="9">
        <v>44962</v>
      </c>
      <c r="X3183" s="10">
        <v>7.5</v>
      </c>
      <c r="Y3183" s="9">
        <v>44965</v>
      </c>
      <c r="Z3183">
        <v>17</v>
      </c>
      <c r="AA3183" s="11" t="s">
        <v>49</v>
      </c>
    </row>
    <row r="3184" spans="2:27" ht="16" x14ac:dyDescent="0.2">
      <c r="B3184" t="s">
        <v>35</v>
      </c>
      <c r="C3184">
        <v>40357484</v>
      </c>
      <c r="D3184" t="s">
        <v>389</v>
      </c>
      <c r="E3184">
        <v>1022417</v>
      </c>
      <c r="F3184" t="s">
        <v>173</v>
      </c>
      <c r="G3184" s="9">
        <v>44955</v>
      </c>
      <c r="H3184" s="7"/>
      <c r="I3184" s="7"/>
      <c r="J3184" s="7"/>
      <c r="K3184" s="7"/>
      <c r="L3184" s="10">
        <v>5.5741092456127026</v>
      </c>
      <c r="M3184" s="9">
        <v>44960</v>
      </c>
      <c r="N3184" s="10">
        <v>5.5</v>
      </c>
      <c r="O3184" s="9">
        <v>44965</v>
      </c>
      <c r="P3184">
        <v>17</v>
      </c>
      <c r="Q3184" s="11" t="s">
        <v>49</v>
      </c>
      <c r="R3184" s="7"/>
      <c r="S3184" s="7"/>
      <c r="T3184" s="7"/>
      <c r="U3184" s="7"/>
      <c r="V3184" s="10">
        <v>7.5741092456127026</v>
      </c>
      <c r="W3184" s="9">
        <v>44962</v>
      </c>
      <c r="X3184" s="10">
        <v>7.5</v>
      </c>
      <c r="Y3184" s="9">
        <v>44965</v>
      </c>
      <c r="Z3184">
        <v>17</v>
      </c>
      <c r="AA3184" s="11" t="s">
        <v>49</v>
      </c>
    </row>
    <row r="3185" spans="2:27" ht="16" x14ac:dyDescent="0.2">
      <c r="B3185" t="s">
        <v>35</v>
      </c>
      <c r="C3185">
        <v>40357479</v>
      </c>
      <c r="D3185" t="s">
        <v>389</v>
      </c>
      <c r="E3185">
        <v>1022388</v>
      </c>
      <c r="F3185" t="s">
        <v>170</v>
      </c>
      <c r="G3185" s="9">
        <v>44958</v>
      </c>
      <c r="H3185" s="7"/>
      <c r="I3185" s="7"/>
      <c r="J3185" s="7"/>
      <c r="K3185" s="7"/>
      <c r="L3185" s="10">
        <v>5.5741092456127026</v>
      </c>
      <c r="M3185" s="9">
        <v>44963</v>
      </c>
      <c r="N3185" s="10">
        <v>5.5</v>
      </c>
      <c r="O3185" s="9">
        <v>44968</v>
      </c>
      <c r="P3185">
        <v>14</v>
      </c>
      <c r="Q3185" s="11" t="s">
        <v>49</v>
      </c>
      <c r="R3185" s="7"/>
      <c r="S3185" s="7"/>
      <c r="T3185" s="7"/>
      <c r="U3185" s="7"/>
      <c r="V3185" s="10">
        <v>7.5741092456127026</v>
      </c>
      <c r="W3185" s="9">
        <v>44965</v>
      </c>
      <c r="X3185" s="10">
        <v>7.5</v>
      </c>
      <c r="Y3185" s="9">
        <v>44968</v>
      </c>
      <c r="Z3185">
        <v>14</v>
      </c>
      <c r="AA3185" s="11" t="s">
        <v>49</v>
      </c>
    </row>
    <row r="3186" spans="2:27" ht="16" x14ac:dyDescent="0.2">
      <c r="B3186" t="s">
        <v>35</v>
      </c>
      <c r="C3186">
        <v>40357476</v>
      </c>
      <c r="D3186" t="s">
        <v>389</v>
      </c>
      <c r="E3186">
        <v>1023093</v>
      </c>
      <c r="F3186" t="s">
        <v>179</v>
      </c>
      <c r="G3186" s="9">
        <v>44955</v>
      </c>
      <c r="H3186" s="7"/>
      <c r="I3186" s="7"/>
      <c r="J3186" s="7"/>
      <c r="K3186" s="7"/>
      <c r="L3186" s="10">
        <v>5.5741092456127026</v>
      </c>
      <c r="M3186" s="9">
        <v>44960</v>
      </c>
      <c r="N3186" s="10">
        <v>5.5</v>
      </c>
      <c r="O3186" s="9">
        <v>44965</v>
      </c>
      <c r="P3186">
        <v>17</v>
      </c>
      <c r="Q3186" s="11" t="s">
        <v>49</v>
      </c>
      <c r="R3186" s="7"/>
      <c r="S3186" s="7"/>
      <c r="T3186" s="7"/>
      <c r="U3186" s="7"/>
      <c r="V3186" s="10">
        <v>7.5741092456127026</v>
      </c>
      <c r="W3186" s="9">
        <v>44962</v>
      </c>
      <c r="X3186" s="10">
        <v>7.5</v>
      </c>
      <c r="Y3186" s="9">
        <v>44965</v>
      </c>
      <c r="Z3186">
        <v>17</v>
      </c>
      <c r="AA3186" s="11" t="s">
        <v>49</v>
      </c>
    </row>
    <row r="3187" spans="2:27" ht="16" x14ac:dyDescent="0.2">
      <c r="B3187" t="s">
        <v>35</v>
      </c>
      <c r="C3187">
        <v>40357476</v>
      </c>
      <c r="D3187" t="s">
        <v>389</v>
      </c>
      <c r="E3187">
        <v>1023093</v>
      </c>
      <c r="F3187" t="s">
        <v>179</v>
      </c>
      <c r="G3187" s="9">
        <v>44955</v>
      </c>
      <c r="H3187" s="7"/>
      <c r="I3187" s="7"/>
      <c r="J3187" s="7"/>
      <c r="K3187" s="7"/>
      <c r="L3187" s="10">
        <v>5.5741092456127026</v>
      </c>
      <c r="M3187" s="9">
        <v>44960</v>
      </c>
      <c r="N3187" s="10">
        <v>5.5</v>
      </c>
      <c r="O3187" s="9">
        <v>44965</v>
      </c>
      <c r="P3187">
        <v>17</v>
      </c>
      <c r="Q3187" s="11" t="s">
        <v>49</v>
      </c>
      <c r="R3187" s="7"/>
      <c r="S3187" s="7"/>
      <c r="T3187" s="7"/>
      <c r="U3187" s="7"/>
      <c r="V3187" s="10">
        <v>7.5741092456127026</v>
      </c>
      <c r="W3187" s="9">
        <v>44962</v>
      </c>
      <c r="X3187" s="10">
        <v>7.5</v>
      </c>
      <c r="Y3187" s="9">
        <v>44965</v>
      </c>
      <c r="Z3187">
        <v>17</v>
      </c>
      <c r="AA3187" s="11" t="s">
        <v>49</v>
      </c>
    </row>
    <row r="3188" spans="2:27" ht="16" x14ac:dyDescent="0.2">
      <c r="B3188" t="s">
        <v>35</v>
      </c>
      <c r="C3188">
        <v>40357473</v>
      </c>
      <c r="D3188" t="s">
        <v>389</v>
      </c>
      <c r="E3188">
        <v>1022125</v>
      </c>
      <c r="F3188" t="s">
        <v>296</v>
      </c>
      <c r="G3188" s="9">
        <v>44958</v>
      </c>
      <c r="H3188" s="7"/>
      <c r="I3188" s="7"/>
      <c r="J3188" s="7"/>
      <c r="K3188" s="7"/>
      <c r="L3188" s="10">
        <v>5.5741092456127026</v>
      </c>
      <c r="M3188" s="9">
        <v>44963</v>
      </c>
      <c r="N3188" s="10">
        <v>5.5</v>
      </c>
      <c r="O3188" s="9">
        <v>44968</v>
      </c>
      <c r="P3188">
        <v>14</v>
      </c>
      <c r="Q3188" s="11" t="s">
        <v>49</v>
      </c>
      <c r="R3188" s="7"/>
      <c r="S3188" s="7"/>
      <c r="T3188" s="7"/>
      <c r="U3188" s="7"/>
      <c r="V3188" s="10">
        <v>7.5741092456127026</v>
      </c>
      <c r="W3188" s="9">
        <v>44965</v>
      </c>
      <c r="X3188" s="10">
        <v>7.5</v>
      </c>
      <c r="Y3188" s="9">
        <v>44968</v>
      </c>
      <c r="Z3188">
        <v>14</v>
      </c>
      <c r="AA3188" s="11" t="s">
        <v>49</v>
      </c>
    </row>
    <row r="3189" spans="2:27" ht="16" x14ac:dyDescent="0.2">
      <c r="B3189" t="s">
        <v>35</v>
      </c>
      <c r="C3189">
        <v>40357464</v>
      </c>
      <c r="D3189" t="s">
        <v>389</v>
      </c>
      <c r="E3189">
        <v>1021740</v>
      </c>
      <c r="F3189" t="s">
        <v>284</v>
      </c>
      <c r="G3189" s="9">
        <v>44975</v>
      </c>
      <c r="H3189" s="7"/>
      <c r="I3189" s="7"/>
      <c r="J3189" s="7"/>
      <c r="K3189" s="7"/>
      <c r="L3189" s="10">
        <v>5.5741092456127026</v>
      </c>
      <c r="M3189" s="9">
        <v>44980</v>
      </c>
      <c r="N3189" s="10">
        <v>5.5</v>
      </c>
      <c r="O3189" s="9">
        <v>44985</v>
      </c>
      <c r="P3189">
        <v>0</v>
      </c>
      <c r="Q3189" s="11" t="s">
        <v>594</v>
      </c>
      <c r="R3189" s="7"/>
      <c r="S3189" s="7"/>
      <c r="T3189" s="7"/>
      <c r="U3189" s="7"/>
      <c r="V3189" s="10">
        <v>7.5741092456127026</v>
      </c>
      <c r="W3189" s="9">
        <v>44982</v>
      </c>
      <c r="X3189" s="10">
        <v>7.5</v>
      </c>
      <c r="Y3189" s="9">
        <v>44985</v>
      </c>
      <c r="Z3189">
        <v>0</v>
      </c>
      <c r="AA3189" s="11" t="s">
        <v>594</v>
      </c>
    </row>
    <row r="3190" spans="2:27" ht="16" x14ac:dyDescent="0.2">
      <c r="B3190" t="s">
        <v>35</v>
      </c>
      <c r="C3190">
        <v>40357463</v>
      </c>
      <c r="D3190" t="s">
        <v>389</v>
      </c>
      <c r="E3190">
        <v>1021740</v>
      </c>
      <c r="F3190" t="s">
        <v>284</v>
      </c>
      <c r="G3190" s="9">
        <v>44975</v>
      </c>
      <c r="H3190" s="7"/>
      <c r="I3190" s="7"/>
      <c r="J3190" s="7"/>
      <c r="K3190" s="7"/>
      <c r="L3190" s="10">
        <v>5.5741092456127026</v>
      </c>
      <c r="M3190" s="9">
        <v>44980</v>
      </c>
      <c r="N3190" s="10">
        <v>5.5</v>
      </c>
      <c r="O3190" s="9">
        <v>44985</v>
      </c>
      <c r="P3190">
        <v>0</v>
      </c>
      <c r="Q3190" s="11" t="s">
        <v>594</v>
      </c>
      <c r="R3190" s="7"/>
      <c r="S3190" s="7"/>
      <c r="T3190" s="7"/>
      <c r="U3190" s="7"/>
      <c r="V3190" s="10">
        <v>7.5741092456127026</v>
      </c>
      <c r="W3190" s="9">
        <v>44982</v>
      </c>
      <c r="X3190" s="10">
        <v>7.5</v>
      </c>
      <c r="Y3190" s="9">
        <v>44985</v>
      </c>
      <c r="Z3190">
        <v>0</v>
      </c>
      <c r="AA3190" s="11" t="s">
        <v>594</v>
      </c>
    </row>
    <row r="3191" spans="2:27" ht="16" x14ac:dyDescent="0.2">
      <c r="B3191" t="s">
        <v>35</v>
      </c>
      <c r="C3191">
        <v>40357462</v>
      </c>
      <c r="D3191" t="s">
        <v>389</v>
      </c>
      <c r="E3191">
        <v>1021740</v>
      </c>
      <c r="F3191" t="s">
        <v>284</v>
      </c>
      <c r="G3191" s="9">
        <v>44968</v>
      </c>
      <c r="H3191" s="7"/>
      <c r="I3191" s="7"/>
      <c r="J3191" s="7"/>
      <c r="K3191" s="7"/>
      <c r="L3191" s="10">
        <v>5.5741092456127026</v>
      </c>
      <c r="M3191" s="9">
        <v>44973</v>
      </c>
      <c r="N3191" s="10">
        <v>5.5</v>
      </c>
      <c r="O3191" s="9">
        <v>44978</v>
      </c>
      <c r="P3191">
        <v>6</v>
      </c>
      <c r="Q3191" s="11" t="s">
        <v>49</v>
      </c>
      <c r="R3191" s="7"/>
      <c r="S3191" s="7"/>
      <c r="T3191" s="7"/>
      <c r="U3191" s="7"/>
      <c r="V3191" s="10">
        <v>7.5741092456127026</v>
      </c>
      <c r="W3191" s="9">
        <v>44975</v>
      </c>
      <c r="X3191" s="10">
        <v>7.5</v>
      </c>
      <c r="Y3191" s="9">
        <v>44978</v>
      </c>
      <c r="Z3191">
        <v>6</v>
      </c>
      <c r="AA3191" s="11" t="s">
        <v>49</v>
      </c>
    </row>
    <row r="3192" spans="2:27" ht="16" x14ac:dyDescent="0.2">
      <c r="B3192" t="s">
        <v>35</v>
      </c>
      <c r="C3192">
        <v>40357461</v>
      </c>
      <c r="D3192" t="s">
        <v>389</v>
      </c>
      <c r="E3192">
        <v>1021740</v>
      </c>
      <c r="F3192" t="s">
        <v>284</v>
      </c>
      <c r="G3192" s="9">
        <v>44968</v>
      </c>
      <c r="H3192" s="7"/>
      <c r="I3192" s="7"/>
      <c r="J3192" s="7"/>
      <c r="K3192" s="7"/>
      <c r="L3192" s="10">
        <v>5.5741092456127026</v>
      </c>
      <c r="M3192" s="9">
        <v>44973</v>
      </c>
      <c r="N3192" s="10">
        <v>5.5</v>
      </c>
      <c r="O3192" s="9">
        <v>44978</v>
      </c>
      <c r="P3192">
        <v>6</v>
      </c>
      <c r="Q3192" s="11" t="s">
        <v>49</v>
      </c>
      <c r="R3192" s="7"/>
      <c r="S3192" s="7"/>
      <c r="T3192" s="7"/>
      <c r="U3192" s="7"/>
      <c r="V3192" s="10">
        <v>7.5741092456127026</v>
      </c>
      <c r="W3192" s="9">
        <v>44975</v>
      </c>
      <c r="X3192" s="10">
        <v>7.5</v>
      </c>
      <c r="Y3192" s="9">
        <v>44978</v>
      </c>
      <c r="Z3192">
        <v>6</v>
      </c>
      <c r="AA3192" s="11" t="s">
        <v>49</v>
      </c>
    </row>
    <row r="3193" spans="2:27" ht="16" x14ac:dyDescent="0.2">
      <c r="B3193" t="s">
        <v>35</v>
      </c>
      <c r="C3193">
        <v>40357461</v>
      </c>
      <c r="D3193" t="s">
        <v>389</v>
      </c>
      <c r="E3193">
        <v>1021740</v>
      </c>
      <c r="F3193" t="s">
        <v>284</v>
      </c>
      <c r="G3193" s="9">
        <v>44968</v>
      </c>
      <c r="H3193" s="7"/>
      <c r="I3193" s="7"/>
      <c r="J3193" s="7"/>
      <c r="K3193" s="7"/>
      <c r="L3193" s="10">
        <v>5.5741092456127026</v>
      </c>
      <c r="M3193" s="9">
        <v>44973</v>
      </c>
      <c r="N3193" s="10">
        <v>5.5</v>
      </c>
      <c r="O3193" s="9">
        <v>44978</v>
      </c>
      <c r="P3193">
        <v>6</v>
      </c>
      <c r="Q3193" s="11" t="s">
        <v>49</v>
      </c>
      <c r="R3193" s="7"/>
      <c r="S3193" s="7"/>
      <c r="T3193" s="7"/>
      <c r="U3193" s="7"/>
      <c r="V3193" s="10">
        <v>7.5741092456127026</v>
      </c>
      <c r="W3193" s="9">
        <v>44975</v>
      </c>
      <c r="X3193" s="10">
        <v>7.5</v>
      </c>
      <c r="Y3193" s="9">
        <v>44978</v>
      </c>
      <c r="Z3193">
        <v>6</v>
      </c>
      <c r="AA3193" s="11" t="s">
        <v>49</v>
      </c>
    </row>
    <row r="3194" spans="2:27" ht="16" x14ac:dyDescent="0.2">
      <c r="B3194" t="s">
        <v>35</v>
      </c>
      <c r="C3194">
        <v>40357454</v>
      </c>
      <c r="D3194" t="s">
        <v>389</v>
      </c>
      <c r="E3194">
        <v>1021733</v>
      </c>
      <c r="F3194" t="s">
        <v>277</v>
      </c>
      <c r="G3194" s="9">
        <v>44961</v>
      </c>
      <c r="H3194" s="7"/>
      <c r="I3194" s="7"/>
      <c r="J3194" s="7"/>
      <c r="K3194" s="7"/>
      <c r="L3194" s="10">
        <v>5.5741092456127026</v>
      </c>
      <c r="M3194" s="9">
        <v>44966</v>
      </c>
      <c r="N3194" s="10">
        <v>5.5</v>
      </c>
      <c r="O3194" s="9">
        <v>44971</v>
      </c>
      <c r="P3194">
        <v>12</v>
      </c>
      <c r="Q3194" s="11" t="s">
        <v>49</v>
      </c>
      <c r="R3194" s="7"/>
      <c r="S3194" s="7"/>
      <c r="T3194" s="7"/>
      <c r="U3194" s="7"/>
      <c r="V3194" s="10">
        <v>7.5741092456127026</v>
      </c>
      <c r="W3194" s="9">
        <v>44968</v>
      </c>
      <c r="X3194" s="10">
        <v>7.5</v>
      </c>
      <c r="Y3194" s="9">
        <v>44971</v>
      </c>
      <c r="Z3194">
        <v>12</v>
      </c>
      <c r="AA3194" s="11" t="s">
        <v>49</v>
      </c>
    </row>
    <row r="3195" spans="2:27" ht="16" x14ac:dyDescent="0.2">
      <c r="B3195" t="s">
        <v>35</v>
      </c>
      <c r="C3195">
        <v>40357453</v>
      </c>
      <c r="D3195" t="s">
        <v>389</v>
      </c>
      <c r="E3195">
        <v>1021733</v>
      </c>
      <c r="F3195" t="s">
        <v>277</v>
      </c>
      <c r="G3195" s="9">
        <v>44961</v>
      </c>
      <c r="H3195" s="7"/>
      <c r="I3195" s="7"/>
      <c r="J3195" s="7"/>
      <c r="K3195" s="7"/>
      <c r="L3195" s="10">
        <v>5.5741092456127026</v>
      </c>
      <c r="M3195" s="9">
        <v>44966</v>
      </c>
      <c r="N3195" s="10">
        <v>5.5</v>
      </c>
      <c r="O3195" s="9">
        <v>44971</v>
      </c>
      <c r="P3195">
        <v>12</v>
      </c>
      <c r="Q3195" s="11" t="s">
        <v>49</v>
      </c>
      <c r="R3195" s="7"/>
      <c r="S3195" s="7"/>
      <c r="T3195" s="7"/>
      <c r="U3195" s="7"/>
      <c r="V3195" s="10">
        <v>7.5741092456127026</v>
      </c>
      <c r="W3195" s="9">
        <v>44968</v>
      </c>
      <c r="X3195" s="10">
        <v>7.5</v>
      </c>
      <c r="Y3195" s="9">
        <v>44971</v>
      </c>
      <c r="Z3195">
        <v>12</v>
      </c>
      <c r="AA3195" s="11" t="s">
        <v>49</v>
      </c>
    </row>
    <row r="3196" spans="2:27" ht="16" x14ac:dyDescent="0.2">
      <c r="B3196" t="s">
        <v>35</v>
      </c>
      <c r="C3196">
        <v>40357452</v>
      </c>
      <c r="D3196" t="s">
        <v>389</v>
      </c>
      <c r="E3196">
        <v>1021733</v>
      </c>
      <c r="F3196" t="s">
        <v>277</v>
      </c>
      <c r="G3196" s="9">
        <v>44961</v>
      </c>
      <c r="H3196" s="7"/>
      <c r="I3196" s="7"/>
      <c r="J3196" s="7"/>
      <c r="K3196" s="7"/>
      <c r="L3196" s="10">
        <v>5.5741092456127026</v>
      </c>
      <c r="M3196" s="9">
        <v>44966</v>
      </c>
      <c r="N3196" s="10">
        <v>5.5</v>
      </c>
      <c r="O3196" s="9">
        <v>44971</v>
      </c>
      <c r="P3196">
        <v>12</v>
      </c>
      <c r="Q3196" s="11" t="s">
        <v>49</v>
      </c>
      <c r="R3196" s="7"/>
      <c r="S3196" s="7"/>
      <c r="T3196" s="7"/>
      <c r="U3196" s="7"/>
      <c r="V3196" s="10">
        <v>7.5741092456127026</v>
      </c>
      <c r="W3196" s="9">
        <v>44968</v>
      </c>
      <c r="X3196" s="10">
        <v>7.5</v>
      </c>
      <c r="Y3196" s="9">
        <v>44971</v>
      </c>
      <c r="Z3196">
        <v>12</v>
      </c>
      <c r="AA3196" s="11" t="s">
        <v>49</v>
      </c>
    </row>
    <row r="3197" spans="2:27" ht="16" x14ac:dyDescent="0.2">
      <c r="B3197" t="s">
        <v>35</v>
      </c>
      <c r="C3197">
        <v>40357450</v>
      </c>
      <c r="D3197" t="s">
        <v>389</v>
      </c>
      <c r="E3197">
        <v>1021733</v>
      </c>
      <c r="F3197" t="s">
        <v>277</v>
      </c>
      <c r="G3197" s="9">
        <v>44960</v>
      </c>
      <c r="H3197" s="7"/>
      <c r="I3197" s="7"/>
      <c r="J3197" s="7"/>
      <c r="K3197" s="7"/>
      <c r="L3197" s="10">
        <v>5.5741092456127026</v>
      </c>
      <c r="M3197" s="9">
        <v>44965</v>
      </c>
      <c r="N3197" s="10">
        <v>5.5</v>
      </c>
      <c r="O3197" s="9">
        <v>44970</v>
      </c>
      <c r="P3197">
        <v>13</v>
      </c>
      <c r="Q3197" s="11" t="s">
        <v>49</v>
      </c>
      <c r="R3197" s="7"/>
      <c r="S3197" s="7"/>
      <c r="T3197" s="7"/>
      <c r="U3197" s="7"/>
      <c r="V3197" s="10">
        <v>7.5741092456127026</v>
      </c>
      <c r="W3197" s="9">
        <v>44967</v>
      </c>
      <c r="X3197" s="10">
        <v>7.5</v>
      </c>
      <c r="Y3197" s="9">
        <v>44970</v>
      </c>
      <c r="Z3197">
        <v>13</v>
      </c>
      <c r="AA3197" s="11" t="s">
        <v>49</v>
      </c>
    </row>
    <row r="3198" spans="2:27" ht="16" x14ac:dyDescent="0.2">
      <c r="B3198" t="s">
        <v>35</v>
      </c>
      <c r="C3198">
        <v>40357449</v>
      </c>
      <c r="D3198" t="s">
        <v>389</v>
      </c>
      <c r="E3198">
        <v>1021733</v>
      </c>
      <c r="F3198" t="s">
        <v>277</v>
      </c>
      <c r="G3198" s="9">
        <v>44952</v>
      </c>
      <c r="H3198" s="7"/>
      <c r="I3198" s="7"/>
      <c r="J3198" s="7"/>
      <c r="K3198" s="7"/>
      <c r="L3198" s="10">
        <v>5.5741092456127026</v>
      </c>
      <c r="M3198" s="9">
        <v>44957</v>
      </c>
      <c r="N3198" s="10">
        <v>5.5</v>
      </c>
      <c r="O3198" s="9">
        <v>44962</v>
      </c>
      <c r="P3198">
        <v>20</v>
      </c>
      <c r="Q3198" s="11" t="s">
        <v>49</v>
      </c>
      <c r="R3198" s="7"/>
      <c r="S3198" s="7"/>
      <c r="T3198" s="7"/>
      <c r="U3198" s="7"/>
      <c r="V3198" s="10">
        <v>7.5741092456127026</v>
      </c>
      <c r="W3198" s="9">
        <v>44959</v>
      </c>
      <c r="X3198" s="10">
        <v>7.5</v>
      </c>
      <c r="Y3198" s="9">
        <v>44962</v>
      </c>
      <c r="Z3198">
        <v>20</v>
      </c>
      <c r="AA3198" s="11" t="s">
        <v>49</v>
      </c>
    </row>
    <row r="3199" spans="2:27" ht="16" x14ac:dyDescent="0.2">
      <c r="B3199" t="s">
        <v>35</v>
      </c>
      <c r="C3199">
        <v>40357448</v>
      </c>
      <c r="D3199" t="s">
        <v>389</v>
      </c>
      <c r="E3199">
        <v>1021733</v>
      </c>
      <c r="F3199" t="s">
        <v>277</v>
      </c>
      <c r="G3199" s="9">
        <v>44952</v>
      </c>
      <c r="H3199" s="7"/>
      <c r="I3199" s="7"/>
      <c r="J3199" s="7"/>
      <c r="K3199" s="7"/>
      <c r="L3199" s="10">
        <v>5.5741092456127026</v>
      </c>
      <c r="M3199" s="9">
        <v>44957</v>
      </c>
      <c r="N3199" s="10">
        <v>5.5</v>
      </c>
      <c r="O3199" s="9">
        <v>44962</v>
      </c>
      <c r="P3199">
        <v>20</v>
      </c>
      <c r="Q3199" s="11" t="s">
        <v>49</v>
      </c>
      <c r="R3199" s="7"/>
      <c r="S3199" s="7"/>
      <c r="T3199" s="7"/>
      <c r="U3199" s="7"/>
      <c r="V3199" s="10">
        <v>7.5741092456127026</v>
      </c>
      <c r="W3199" s="9">
        <v>44959</v>
      </c>
      <c r="X3199" s="10">
        <v>7.5</v>
      </c>
      <c r="Y3199" s="9">
        <v>44962</v>
      </c>
      <c r="Z3199">
        <v>20</v>
      </c>
      <c r="AA3199" s="11" t="s">
        <v>49</v>
      </c>
    </row>
    <row r="3200" spans="2:27" ht="16" x14ac:dyDescent="0.2">
      <c r="B3200" t="s">
        <v>35</v>
      </c>
      <c r="C3200">
        <v>40357439</v>
      </c>
      <c r="D3200" t="s">
        <v>389</v>
      </c>
      <c r="E3200">
        <v>1022945</v>
      </c>
      <c r="F3200" t="s">
        <v>442</v>
      </c>
      <c r="G3200" s="9">
        <v>44958</v>
      </c>
      <c r="H3200" s="7"/>
      <c r="I3200" s="7"/>
      <c r="J3200" s="7"/>
      <c r="K3200" s="7"/>
      <c r="L3200" s="10">
        <v>5.5741092456127026</v>
      </c>
      <c r="M3200" s="9">
        <v>44963</v>
      </c>
      <c r="N3200" s="10">
        <v>5.5</v>
      </c>
      <c r="O3200" s="9">
        <v>44968</v>
      </c>
      <c r="P3200">
        <v>14</v>
      </c>
      <c r="Q3200" s="11" t="s">
        <v>49</v>
      </c>
      <c r="R3200" s="7"/>
      <c r="S3200" s="7"/>
      <c r="T3200" s="7"/>
      <c r="U3200" s="7"/>
      <c r="V3200" s="10">
        <v>7.5741092456127026</v>
      </c>
      <c r="W3200" s="9">
        <v>44965</v>
      </c>
      <c r="X3200" s="10">
        <v>7.5</v>
      </c>
      <c r="Y3200" s="9">
        <v>44968</v>
      </c>
      <c r="Z3200">
        <v>14</v>
      </c>
      <c r="AA3200" s="11" t="s">
        <v>49</v>
      </c>
    </row>
    <row r="3201" spans="2:27" ht="16" x14ac:dyDescent="0.2">
      <c r="B3201" t="s">
        <v>35</v>
      </c>
      <c r="C3201">
        <v>40357436</v>
      </c>
      <c r="D3201" t="s">
        <v>389</v>
      </c>
      <c r="E3201">
        <v>1022945</v>
      </c>
      <c r="F3201" t="s">
        <v>442</v>
      </c>
      <c r="G3201" s="9">
        <v>44952</v>
      </c>
      <c r="H3201" s="7"/>
      <c r="I3201" s="7"/>
      <c r="J3201" s="7"/>
      <c r="K3201" s="7"/>
      <c r="L3201" s="10">
        <v>5.5741092456127026</v>
      </c>
      <c r="M3201" s="9">
        <v>44957</v>
      </c>
      <c r="N3201" s="10">
        <v>5.5</v>
      </c>
      <c r="O3201" s="9">
        <v>44962</v>
      </c>
      <c r="P3201">
        <v>20</v>
      </c>
      <c r="Q3201" s="11" t="s">
        <v>49</v>
      </c>
      <c r="R3201" s="7"/>
      <c r="S3201" s="7"/>
      <c r="T3201" s="7"/>
      <c r="U3201" s="7"/>
      <c r="V3201" s="10">
        <v>7.5741092456127026</v>
      </c>
      <c r="W3201" s="9">
        <v>44959</v>
      </c>
      <c r="X3201" s="10">
        <v>7.5</v>
      </c>
      <c r="Y3201" s="9">
        <v>44962</v>
      </c>
      <c r="Z3201">
        <v>20</v>
      </c>
      <c r="AA3201" s="11" t="s">
        <v>49</v>
      </c>
    </row>
    <row r="3202" spans="2:27" ht="16" x14ac:dyDescent="0.2">
      <c r="B3202" t="s">
        <v>35</v>
      </c>
      <c r="C3202">
        <v>40357430</v>
      </c>
      <c r="D3202" t="s">
        <v>389</v>
      </c>
      <c r="E3202">
        <v>1022073</v>
      </c>
      <c r="F3202" t="s">
        <v>45</v>
      </c>
      <c r="G3202" s="9">
        <v>44952</v>
      </c>
      <c r="H3202" s="7"/>
      <c r="I3202" s="7"/>
      <c r="J3202" s="7"/>
      <c r="K3202" s="7"/>
      <c r="L3202" s="10">
        <v>5.5741092456127026</v>
      </c>
      <c r="M3202" s="9">
        <v>44957</v>
      </c>
      <c r="N3202" s="10">
        <v>5.5</v>
      </c>
      <c r="O3202" s="9">
        <v>44962</v>
      </c>
      <c r="P3202">
        <v>20</v>
      </c>
      <c r="Q3202" s="11" t="s">
        <v>49</v>
      </c>
      <c r="R3202" s="7"/>
      <c r="S3202" s="7"/>
      <c r="T3202" s="7"/>
      <c r="U3202" s="7"/>
      <c r="V3202" s="10">
        <v>7.5741092456127026</v>
      </c>
      <c r="W3202" s="9">
        <v>44959</v>
      </c>
      <c r="X3202" s="10">
        <v>7.5</v>
      </c>
      <c r="Y3202" s="9">
        <v>44962</v>
      </c>
      <c r="Z3202">
        <v>20</v>
      </c>
      <c r="AA3202" s="11" t="s">
        <v>49</v>
      </c>
    </row>
    <row r="3203" spans="2:27" ht="16" x14ac:dyDescent="0.2">
      <c r="B3203" t="s">
        <v>35</v>
      </c>
      <c r="C3203">
        <v>40357429</v>
      </c>
      <c r="D3203" t="s">
        <v>389</v>
      </c>
      <c r="E3203">
        <v>1022073</v>
      </c>
      <c r="F3203" t="s">
        <v>45</v>
      </c>
      <c r="G3203" s="9">
        <v>44950</v>
      </c>
      <c r="H3203" s="7"/>
      <c r="I3203" s="7"/>
      <c r="J3203" s="7"/>
      <c r="K3203" s="7"/>
      <c r="L3203" s="10">
        <v>5.5741092456127026</v>
      </c>
      <c r="M3203" s="9">
        <v>44955</v>
      </c>
      <c r="N3203" s="10">
        <v>5.5</v>
      </c>
      <c r="O3203" s="9">
        <v>44960</v>
      </c>
      <c r="P3203">
        <v>21</v>
      </c>
      <c r="Q3203" s="11" t="s">
        <v>49</v>
      </c>
      <c r="R3203" s="7"/>
      <c r="S3203" s="7"/>
      <c r="T3203" s="7"/>
      <c r="U3203" s="7"/>
      <c r="V3203" s="10">
        <v>7.5741092456127026</v>
      </c>
      <c r="W3203" s="9">
        <v>44957</v>
      </c>
      <c r="X3203" s="10">
        <v>7.5</v>
      </c>
      <c r="Y3203" s="9">
        <v>44960</v>
      </c>
      <c r="Z3203">
        <v>21</v>
      </c>
      <c r="AA3203" s="11" t="s">
        <v>49</v>
      </c>
    </row>
    <row r="3204" spans="2:27" ht="16" x14ac:dyDescent="0.2">
      <c r="B3204" t="s">
        <v>35</v>
      </c>
      <c r="C3204">
        <v>40357402</v>
      </c>
      <c r="D3204" t="s">
        <v>389</v>
      </c>
      <c r="E3204">
        <v>1022183</v>
      </c>
      <c r="F3204" t="s">
        <v>165</v>
      </c>
      <c r="G3204" s="9">
        <v>44958</v>
      </c>
      <c r="H3204" s="7"/>
      <c r="I3204" s="7"/>
      <c r="J3204" s="7"/>
      <c r="K3204" s="7"/>
      <c r="L3204" s="10">
        <v>5.5741092456127026</v>
      </c>
      <c r="M3204" s="9">
        <v>44963</v>
      </c>
      <c r="N3204" s="10">
        <v>5.5</v>
      </c>
      <c r="O3204" s="9">
        <v>44968</v>
      </c>
      <c r="P3204">
        <v>14</v>
      </c>
      <c r="Q3204" s="11" t="s">
        <v>49</v>
      </c>
      <c r="R3204" s="7"/>
      <c r="S3204" s="7"/>
      <c r="T3204" s="7"/>
      <c r="U3204" s="7"/>
      <c r="V3204" s="10">
        <v>7.5741092456127026</v>
      </c>
      <c r="W3204" s="9">
        <v>44965</v>
      </c>
      <c r="X3204" s="10">
        <v>7.5</v>
      </c>
      <c r="Y3204" s="9">
        <v>44968</v>
      </c>
      <c r="Z3204">
        <v>14</v>
      </c>
      <c r="AA3204" s="11" t="s">
        <v>49</v>
      </c>
    </row>
    <row r="3205" spans="2:27" ht="16" x14ac:dyDescent="0.2">
      <c r="B3205" t="s">
        <v>35</v>
      </c>
      <c r="C3205">
        <v>40357401</v>
      </c>
      <c r="D3205" t="s">
        <v>389</v>
      </c>
      <c r="E3205">
        <v>1022183</v>
      </c>
      <c r="F3205" t="s">
        <v>165</v>
      </c>
      <c r="G3205" s="9">
        <v>44956</v>
      </c>
      <c r="H3205" s="7"/>
      <c r="I3205" s="7"/>
      <c r="J3205" s="7"/>
      <c r="K3205" s="7"/>
      <c r="L3205" s="10">
        <v>5.5741092456127026</v>
      </c>
      <c r="M3205" s="9">
        <v>44961</v>
      </c>
      <c r="N3205" s="10">
        <v>5.5</v>
      </c>
      <c r="O3205" s="9">
        <v>44966</v>
      </c>
      <c r="P3205">
        <v>16</v>
      </c>
      <c r="Q3205" s="11" t="s">
        <v>49</v>
      </c>
      <c r="R3205" s="7"/>
      <c r="S3205" s="7"/>
      <c r="T3205" s="7"/>
      <c r="U3205" s="7"/>
      <c r="V3205" s="10">
        <v>7.5741092456127026</v>
      </c>
      <c r="W3205" s="9">
        <v>44963</v>
      </c>
      <c r="X3205" s="10">
        <v>7.5</v>
      </c>
      <c r="Y3205" s="9">
        <v>44966</v>
      </c>
      <c r="Z3205">
        <v>16</v>
      </c>
      <c r="AA3205" s="11" t="s">
        <v>49</v>
      </c>
    </row>
    <row r="3206" spans="2:27" ht="16" x14ac:dyDescent="0.2">
      <c r="B3206" t="s">
        <v>35</v>
      </c>
      <c r="C3206">
        <v>40357400</v>
      </c>
      <c r="D3206" t="s">
        <v>389</v>
      </c>
      <c r="E3206">
        <v>1022183</v>
      </c>
      <c r="F3206" t="s">
        <v>165</v>
      </c>
      <c r="G3206" s="9">
        <v>44958</v>
      </c>
      <c r="H3206" s="7"/>
      <c r="I3206" s="7"/>
      <c r="J3206" s="7"/>
      <c r="K3206" s="7"/>
      <c r="L3206" s="10">
        <v>5.5741092456127026</v>
      </c>
      <c r="M3206" s="9">
        <v>44963</v>
      </c>
      <c r="N3206" s="10">
        <v>5.5</v>
      </c>
      <c r="O3206" s="9">
        <v>44968</v>
      </c>
      <c r="P3206">
        <v>14</v>
      </c>
      <c r="Q3206" s="11" t="s">
        <v>49</v>
      </c>
      <c r="R3206" s="7"/>
      <c r="S3206" s="7"/>
      <c r="T3206" s="7"/>
      <c r="U3206" s="7"/>
      <c r="V3206" s="10">
        <v>7.5741092456127026</v>
      </c>
      <c r="W3206" s="9">
        <v>44965</v>
      </c>
      <c r="X3206" s="10">
        <v>7.5</v>
      </c>
      <c r="Y3206" s="9">
        <v>44968</v>
      </c>
      <c r="Z3206">
        <v>14</v>
      </c>
      <c r="AA3206" s="11" t="s">
        <v>49</v>
      </c>
    </row>
    <row r="3207" spans="2:27" ht="16" x14ac:dyDescent="0.2">
      <c r="B3207" t="s">
        <v>35</v>
      </c>
      <c r="C3207">
        <v>40357399</v>
      </c>
      <c r="D3207" t="s">
        <v>389</v>
      </c>
      <c r="E3207">
        <v>1022183</v>
      </c>
      <c r="F3207" t="s">
        <v>165</v>
      </c>
      <c r="G3207" s="9">
        <v>44956</v>
      </c>
      <c r="H3207" s="7"/>
      <c r="I3207" s="7"/>
      <c r="J3207" s="7"/>
      <c r="K3207" s="7"/>
      <c r="L3207" s="10">
        <v>5.5741092456127026</v>
      </c>
      <c r="M3207" s="9">
        <v>44961</v>
      </c>
      <c r="N3207" s="10">
        <v>5.5</v>
      </c>
      <c r="O3207" s="9">
        <v>44966</v>
      </c>
      <c r="P3207">
        <v>16</v>
      </c>
      <c r="Q3207" s="11" t="s">
        <v>49</v>
      </c>
      <c r="R3207" s="7"/>
      <c r="S3207" s="7"/>
      <c r="T3207" s="7"/>
      <c r="U3207" s="7"/>
      <c r="V3207" s="10">
        <v>7.5741092456127026</v>
      </c>
      <c r="W3207" s="9">
        <v>44963</v>
      </c>
      <c r="X3207" s="10">
        <v>7.5</v>
      </c>
      <c r="Y3207" s="9">
        <v>44966</v>
      </c>
      <c r="Z3207">
        <v>16</v>
      </c>
      <c r="AA3207" s="11" t="s">
        <v>49</v>
      </c>
    </row>
    <row r="3208" spans="2:27" ht="16" x14ac:dyDescent="0.2">
      <c r="B3208" t="s">
        <v>35</v>
      </c>
      <c r="C3208">
        <v>40357398</v>
      </c>
      <c r="D3208" t="s">
        <v>389</v>
      </c>
      <c r="E3208">
        <v>1022183</v>
      </c>
      <c r="F3208" t="s">
        <v>165</v>
      </c>
      <c r="G3208" s="9">
        <v>44958</v>
      </c>
      <c r="H3208" s="7"/>
      <c r="I3208" s="7"/>
      <c r="J3208" s="7"/>
      <c r="K3208" s="7"/>
      <c r="L3208" s="10">
        <v>5.5741092456127026</v>
      </c>
      <c r="M3208" s="9">
        <v>44963</v>
      </c>
      <c r="N3208" s="10">
        <v>5.5</v>
      </c>
      <c r="O3208" s="9">
        <v>44968</v>
      </c>
      <c r="P3208">
        <v>14</v>
      </c>
      <c r="Q3208" s="11" t="s">
        <v>49</v>
      </c>
      <c r="R3208" s="7"/>
      <c r="S3208" s="7"/>
      <c r="T3208" s="7"/>
      <c r="U3208" s="7"/>
      <c r="V3208" s="10">
        <v>7.5741092456127026</v>
      </c>
      <c r="W3208" s="9">
        <v>44965</v>
      </c>
      <c r="X3208" s="10">
        <v>7.5</v>
      </c>
      <c r="Y3208" s="9">
        <v>44968</v>
      </c>
      <c r="Z3208">
        <v>14</v>
      </c>
      <c r="AA3208" s="11" t="s">
        <v>49</v>
      </c>
    </row>
    <row r="3209" spans="2:27" ht="16" x14ac:dyDescent="0.2">
      <c r="B3209" t="s">
        <v>35</v>
      </c>
      <c r="C3209">
        <v>40357397</v>
      </c>
      <c r="D3209" t="s">
        <v>389</v>
      </c>
      <c r="E3209">
        <v>1022183</v>
      </c>
      <c r="F3209" t="s">
        <v>165</v>
      </c>
      <c r="G3209" s="9">
        <v>44958</v>
      </c>
      <c r="H3209" s="7"/>
      <c r="I3209" s="7"/>
      <c r="J3209" s="7"/>
      <c r="K3209" s="7"/>
      <c r="L3209" s="10">
        <v>5.5741092456127026</v>
      </c>
      <c r="M3209" s="9">
        <v>44963</v>
      </c>
      <c r="N3209" s="10">
        <v>5.5</v>
      </c>
      <c r="O3209" s="9">
        <v>44968</v>
      </c>
      <c r="P3209">
        <v>14</v>
      </c>
      <c r="Q3209" s="11" t="s">
        <v>49</v>
      </c>
      <c r="R3209" s="7"/>
      <c r="S3209" s="7"/>
      <c r="T3209" s="7"/>
      <c r="U3209" s="7"/>
      <c r="V3209" s="10">
        <v>7.5741092456127026</v>
      </c>
      <c r="W3209" s="9">
        <v>44965</v>
      </c>
      <c r="X3209" s="10">
        <v>7.5</v>
      </c>
      <c r="Y3209" s="9">
        <v>44968</v>
      </c>
      <c r="Z3209">
        <v>14</v>
      </c>
      <c r="AA3209" s="11" t="s">
        <v>49</v>
      </c>
    </row>
    <row r="3210" spans="2:27" ht="16" x14ac:dyDescent="0.2">
      <c r="B3210" t="s">
        <v>35</v>
      </c>
      <c r="C3210">
        <v>40357396</v>
      </c>
      <c r="D3210" t="s">
        <v>389</v>
      </c>
      <c r="E3210">
        <v>1022183</v>
      </c>
      <c r="F3210" t="s">
        <v>165</v>
      </c>
      <c r="G3210" s="9">
        <v>44958</v>
      </c>
      <c r="H3210" s="7"/>
      <c r="I3210" s="7"/>
      <c r="J3210" s="7"/>
      <c r="K3210" s="7"/>
      <c r="L3210" s="10">
        <v>5.5741092456127026</v>
      </c>
      <c r="M3210" s="9">
        <v>44963</v>
      </c>
      <c r="N3210" s="10">
        <v>5.5</v>
      </c>
      <c r="O3210" s="9">
        <v>44968</v>
      </c>
      <c r="P3210">
        <v>14</v>
      </c>
      <c r="Q3210" s="11" t="s">
        <v>49</v>
      </c>
      <c r="R3210" s="7"/>
      <c r="S3210" s="7"/>
      <c r="T3210" s="7"/>
      <c r="U3210" s="7"/>
      <c r="V3210" s="10">
        <v>7.5741092456127026</v>
      </c>
      <c r="W3210" s="9">
        <v>44965</v>
      </c>
      <c r="X3210" s="10">
        <v>7.5</v>
      </c>
      <c r="Y3210" s="9">
        <v>44968</v>
      </c>
      <c r="Z3210">
        <v>14</v>
      </c>
      <c r="AA3210" s="11" t="s">
        <v>49</v>
      </c>
    </row>
    <row r="3211" spans="2:27" ht="16" x14ac:dyDescent="0.2">
      <c r="B3211" t="s">
        <v>35</v>
      </c>
      <c r="C3211">
        <v>40357395</v>
      </c>
      <c r="D3211" t="s">
        <v>389</v>
      </c>
      <c r="E3211">
        <v>1022183</v>
      </c>
      <c r="F3211" t="s">
        <v>165</v>
      </c>
      <c r="G3211" s="9">
        <v>44958</v>
      </c>
      <c r="H3211" s="7"/>
      <c r="I3211" s="7"/>
      <c r="J3211" s="7"/>
      <c r="K3211" s="7"/>
      <c r="L3211" s="10">
        <v>5.5741092456127026</v>
      </c>
      <c r="M3211" s="9">
        <v>44963</v>
      </c>
      <c r="N3211" s="10">
        <v>5.5</v>
      </c>
      <c r="O3211" s="9">
        <v>44968</v>
      </c>
      <c r="P3211">
        <v>14</v>
      </c>
      <c r="Q3211" s="11" t="s">
        <v>49</v>
      </c>
      <c r="R3211" s="7"/>
      <c r="S3211" s="7"/>
      <c r="T3211" s="7"/>
      <c r="U3211" s="7"/>
      <c r="V3211" s="10">
        <v>7.5741092456127026</v>
      </c>
      <c r="W3211" s="9">
        <v>44965</v>
      </c>
      <c r="X3211" s="10">
        <v>7.5</v>
      </c>
      <c r="Y3211" s="9">
        <v>44968</v>
      </c>
      <c r="Z3211">
        <v>14</v>
      </c>
      <c r="AA3211" s="11" t="s">
        <v>49</v>
      </c>
    </row>
    <row r="3212" spans="2:27" ht="16" x14ac:dyDescent="0.2">
      <c r="B3212" t="s">
        <v>35</v>
      </c>
      <c r="C3212">
        <v>40357394</v>
      </c>
      <c r="D3212" t="s">
        <v>389</v>
      </c>
      <c r="E3212">
        <v>1022183</v>
      </c>
      <c r="F3212" t="s">
        <v>165</v>
      </c>
      <c r="G3212" s="9">
        <v>44956</v>
      </c>
      <c r="H3212" s="7"/>
      <c r="I3212" s="7"/>
      <c r="J3212" s="7"/>
      <c r="K3212" s="7"/>
      <c r="L3212" s="10">
        <v>5.5741092456127026</v>
      </c>
      <c r="M3212" s="9">
        <v>44961</v>
      </c>
      <c r="N3212" s="10">
        <v>5.5</v>
      </c>
      <c r="O3212" s="9">
        <v>44966</v>
      </c>
      <c r="P3212">
        <v>16</v>
      </c>
      <c r="Q3212" s="11" t="s">
        <v>49</v>
      </c>
      <c r="R3212" s="7"/>
      <c r="S3212" s="7"/>
      <c r="T3212" s="7"/>
      <c r="U3212" s="7"/>
      <c r="V3212" s="10">
        <v>7.5741092456127026</v>
      </c>
      <c r="W3212" s="9">
        <v>44963</v>
      </c>
      <c r="X3212" s="10">
        <v>7.5</v>
      </c>
      <c r="Y3212" s="9">
        <v>44966</v>
      </c>
      <c r="Z3212">
        <v>16</v>
      </c>
      <c r="AA3212" s="11" t="s">
        <v>49</v>
      </c>
    </row>
    <row r="3213" spans="2:27" ht="16" x14ac:dyDescent="0.2">
      <c r="B3213" t="s">
        <v>35</v>
      </c>
      <c r="C3213">
        <v>40357393</v>
      </c>
      <c r="D3213" t="s">
        <v>389</v>
      </c>
      <c r="E3213">
        <v>1022183</v>
      </c>
      <c r="F3213" t="s">
        <v>165</v>
      </c>
      <c r="G3213" s="9">
        <v>44956</v>
      </c>
      <c r="H3213" s="7"/>
      <c r="I3213" s="7"/>
      <c r="J3213" s="7"/>
      <c r="K3213" s="7"/>
      <c r="L3213" s="10">
        <v>5.5741092456127026</v>
      </c>
      <c r="M3213" s="9">
        <v>44961</v>
      </c>
      <c r="N3213" s="10">
        <v>5.5</v>
      </c>
      <c r="O3213" s="9">
        <v>44966</v>
      </c>
      <c r="P3213">
        <v>16</v>
      </c>
      <c r="Q3213" s="11" t="s">
        <v>49</v>
      </c>
      <c r="R3213" s="7"/>
      <c r="S3213" s="7"/>
      <c r="T3213" s="7"/>
      <c r="U3213" s="7"/>
      <c r="V3213" s="10">
        <v>7.5741092456127026</v>
      </c>
      <c r="W3213" s="9">
        <v>44963</v>
      </c>
      <c r="X3213" s="10">
        <v>7.5</v>
      </c>
      <c r="Y3213" s="9">
        <v>44966</v>
      </c>
      <c r="Z3213">
        <v>16</v>
      </c>
      <c r="AA3213" s="11" t="s">
        <v>49</v>
      </c>
    </row>
    <row r="3214" spans="2:27" ht="16" x14ac:dyDescent="0.2">
      <c r="B3214" t="s">
        <v>35</v>
      </c>
      <c r="C3214">
        <v>40357392</v>
      </c>
      <c r="D3214" t="s">
        <v>389</v>
      </c>
      <c r="E3214">
        <v>1022183</v>
      </c>
      <c r="F3214" t="s">
        <v>165</v>
      </c>
      <c r="G3214" s="9">
        <v>44952</v>
      </c>
      <c r="H3214" s="7"/>
      <c r="I3214" s="7"/>
      <c r="J3214" s="7"/>
      <c r="K3214" s="7"/>
      <c r="L3214" s="10">
        <v>5.5741092456127026</v>
      </c>
      <c r="M3214" s="9">
        <v>44957</v>
      </c>
      <c r="N3214" s="10">
        <v>5.5</v>
      </c>
      <c r="O3214" s="9">
        <v>44962</v>
      </c>
      <c r="P3214">
        <v>20</v>
      </c>
      <c r="Q3214" s="11" t="s">
        <v>49</v>
      </c>
      <c r="R3214" s="7"/>
      <c r="S3214" s="7"/>
      <c r="T3214" s="7"/>
      <c r="U3214" s="7"/>
      <c r="V3214" s="10">
        <v>7.5741092456127026</v>
      </c>
      <c r="W3214" s="9">
        <v>44959</v>
      </c>
      <c r="X3214" s="10">
        <v>7.5</v>
      </c>
      <c r="Y3214" s="9">
        <v>44962</v>
      </c>
      <c r="Z3214">
        <v>20</v>
      </c>
      <c r="AA3214" s="11" t="s">
        <v>49</v>
      </c>
    </row>
    <row r="3215" spans="2:27" ht="16" x14ac:dyDescent="0.2">
      <c r="B3215" t="s">
        <v>35</v>
      </c>
      <c r="C3215">
        <v>40357391</v>
      </c>
      <c r="D3215" t="s">
        <v>389</v>
      </c>
      <c r="E3215">
        <v>1022183</v>
      </c>
      <c r="F3215" t="s">
        <v>165</v>
      </c>
      <c r="G3215" s="9">
        <v>44952</v>
      </c>
      <c r="H3215" s="7"/>
      <c r="I3215" s="7"/>
      <c r="J3215" s="7"/>
      <c r="K3215" s="7"/>
      <c r="L3215" s="10">
        <v>5.5741092456127026</v>
      </c>
      <c r="M3215" s="9">
        <v>44957</v>
      </c>
      <c r="N3215" s="10">
        <v>5.5</v>
      </c>
      <c r="O3215" s="9">
        <v>44962</v>
      </c>
      <c r="P3215">
        <v>20</v>
      </c>
      <c r="Q3215" s="11" t="s">
        <v>49</v>
      </c>
      <c r="R3215" s="7"/>
      <c r="S3215" s="7"/>
      <c r="T3215" s="7"/>
      <c r="U3215" s="7"/>
      <c r="V3215" s="10">
        <v>7.5741092456127026</v>
      </c>
      <c r="W3215" s="9">
        <v>44959</v>
      </c>
      <c r="X3215" s="10">
        <v>7.5</v>
      </c>
      <c r="Y3215" s="9">
        <v>44962</v>
      </c>
      <c r="Z3215">
        <v>20</v>
      </c>
      <c r="AA3215" s="11" t="s">
        <v>49</v>
      </c>
    </row>
    <row r="3216" spans="2:27" ht="16" x14ac:dyDescent="0.2">
      <c r="B3216" t="s">
        <v>35</v>
      </c>
      <c r="C3216">
        <v>40357925</v>
      </c>
      <c r="D3216" t="s">
        <v>409</v>
      </c>
      <c r="E3216">
        <v>1012158</v>
      </c>
      <c r="F3216" t="s">
        <v>86</v>
      </c>
      <c r="G3216" s="9">
        <v>44957</v>
      </c>
      <c r="H3216" s="7"/>
      <c r="I3216" s="7"/>
      <c r="J3216" s="7"/>
      <c r="K3216" s="7"/>
      <c r="L3216" s="10">
        <v>7.5</v>
      </c>
      <c r="M3216" s="9">
        <v>44964</v>
      </c>
      <c r="N3216" s="10">
        <v>9.5</v>
      </c>
      <c r="O3216" s="9">
        <v>44973</v>
      </c>
      <c r="P3216">
        <v>9</v>
      </c>
      <c r="Q3216" s="11" t="s">
        <v>49</v>
      </c>
      <c r="R3216" s="7"/>
      <c r="S3216" s="7"/>
      <c r="T3216" s="7"/>
      <c r="U3216" s="7"/>
      <c r="V3216" s="10">
        <v>9.5</v>
      </c>
      <c r="W3216" s="9">
        <v>44966</v>
      </c>
      <c r="X3216" s="10">
        <v>11.5</v>
      </c>
      <c r="Y3216" s="9">
        <v>44973</v>
      </c>
      <c r="Z3216">
        <v>9</v>
      </c>
      <c r="AA3216" s="11" t="s">
        <v>49</v>
      </c>
    </row>
    <row r="3217" spans="2:27" ht="16" x14ac:dyDescent="0.2">
      <c r="B3217" t="s">
        <v>35</v>
      </c>
      <c r="C3217">
        <v>40357923</v>
      </c>
      <c r="D3217" t="s">
        <v>409</v>
      </c>
      <c r="E3217">
        <v>1012483</v>
      </c>
      <c r="F3217" t="s">
        <v>90</v>
      </c>
      <c r="G3217" s="9">
        <v>44942</v>
      </c>
      <c r="H3217" s="7"/>
      <c r="I3217" s="7"/>
      <c r="J3217" s="7"/>
      <c r="K3217" s="7"/>
      <c r="L3217" s="10">
        <v>7.5</v>
      </c>
      <c r="M3217" s="9">
        <v>44949</v>
      </c>
      <c r="N3217" s="10">
        <v>9.5</v>
      </c>
      <c r="O3217" s="9">
        <v>44958</v>
      </c>
      <c r="P3217">
        <v>22</v>
      </c>
      <c r="Q3217" s="11" t="s">
        <v>49</v>
      </c>
      <c r="R3217" s="7"/>
      <c r="S3217" s="7"/>
      <c r="T3217" s="7"/>
      <c r="U3217" s="7"/>
      <c r="V3217" s="10">
        <v>9.5</v>
      </c>
      <c r="W3217" s="9">
        <v>44951</v>
      </c>
      <c r="X3217" s="10">
        <v>11.5</v>
      </c>
      <c r="Y3217" s="9">
        <v>44958</v>
      </c>
      <c r="Z3217">
        <v>22</v>
      </c>
      <c r="AA3217" s="11" t="s">
        <v>49</v>
      </c>
    </row>
    <row r="3218" spans="2:27" ht="16" x14ac:dyDescent="0.2">
      <c r="B3218" t="s">
        <v>35</v>
      </c>
      <c r="C3218">
        <v>40357922</v>
      </c>
      <c r="D3218" t="s">
        <v>409</v>
      </c>
      <c r="E3218">
        <v>1012158</v>
      </c>
      <c r="F3218" t="s">
        <v>86</v>
      </c>
      <c r="G3218" s="9">
        <v>44951</v>
      </c>
      <c r="H3218" s="7"/>
      <c r="I3218" s="7"/>
      <c r="J3218" s="7"/>
      <c r="K3218" s="7"/>
      <c r="L3218" s="10">
        <v>7.5</v>
      </c>
      <c r="M3218" s="9">
        <v>44958</v>
      </c>
      <c r="N3218" s="10">
        <v>9.5</v>
      </c>
      <c r="O3218" s="9">
        <v>44967</v>
      </c>
      <c r="P3218">
        <v>14</v>
      </c>
      <c r="Q3218" s="11" t="s">
        <v>49</v>
      </c>
      <c r="R3218" s="7"/>
      <c r="S3218" s="7"/>
      <c r="T3218" s="7"/>
      <c r="U3218" s="7"/>
      <c r="V3218" s="10">
        <v>9.5</v>
      </c>
      <c r="W3218" s="9">
        <v>44960</v>
      </c>
      <c r="X3218" s="10">
        <v>11.5</v>
      </c>
      <c r="Y3218" s="9">
        <v>44967</v>
      </c>
      <c r="Z3218">
        <v>14</v>
      </c>
      <c r="AA3218" s="11" t="s">
        <v>49</v>
      </c>
    </row>
    <row r="3219" spans="2:27" ht="16" x14ac:dyDescent="0.2">
      <c r="B3219" t="s">
        <v>35</v>
      </c>
      <c r="C3219">
        <v>40357921</v>
      </c>
      <c r="D3219" t="s">
        <v>409</v>
      </c>
      <c r="E3219">
        <v>1012483</v>
      </c>
      <c r="F3219" t="s">
        <v>90</v>
      </c>
      <c r="G3219" s="9">
        <v>44932</v>
      </c>
      <c r="H3219" s="7"/>
      <c r="I3219" s="7"/>
      <c r="J3219" s="7"/>
      <c r="K3219" s="7"/>
      <c r="L3219" s="10">
        <v>7.5</v>
      </c>
      <c r="M3219" s="9">
        <v>44939</v>
      </c>
      <c r="N3219" s="10">
        <v>9.5</v>
      </c>
      <c r="O3219" s="9">
        <v>44948</v>
      </c>
      <c r="P3219">
        <v>8</v>
      </c>
      <c r="Q3219" s="11" t="s">
        <v>49</v>
      </c>
      <c r="R3219" s="7"/>
      <c r="S3219" s="7"/>
      <c r="T3219" s="7"/>
      <c r="U3219" s="7"/>
      <c r="V3219" s="10">
        <v>9.5</v>
      </c>
      <c r="W3219" s="9">
        <v>44941</v>
      </c>
      <c r="X3219" s="10">
        <v>11.5</v>
      </c>
      <c r="Y3219" s="9">
        <v>44948</v>
      </c>
      <c r="Z3219">
        <v>8</v>
      </c>
      <c r="AA3219" s="11" t="s">
        <v>49</v>
      </c>
    </row>
    <row r="3220" spans="2:27" ht="16" x14ac:dyDescent="0.2">
      <c r="B3220" t="s">
        <v>35</v>
      </c>
      <c r="C3220">
        <v>40357917</v>
      </c>
      <c r="D3220" t="s">
        <v>409</v>
      </c>
      <c r="E3220">
        <v>1012165</v>
      </c>
      <c r="F3220" t="s">
        <v>61</v>
      </c>
      <c r="G3220" s="9">
        <v>44955</v>
      </c>
      <c r="H3220" s="7"/>
      <c r="I3220" s="7"/>
      <c r="J3220" s="7"/>
      <c r="K3220" s="7"/>
      <c r="L3220" s="10">
        <v>7.5</v>
      </c>
      <c r="M3220" s="9">
        <v>44962</v>
      </c>
      <c r="N3220" s="10">
        <v>9.5</v>
      </c>
      <c r="O3220" s="9">
        <v>44971</v>
      </c>
      <c r="P3220">
        <v>11</v>
      </c>
      <c r="Q3220" s="11" t="s">
        <v>49</v>
      </c>
      <c r="R3220" s="7"/>
      <c r="S3220" s="7"/>
      <c r="T3220" s="7"/>
      <c r="U3220" s="7"/>
      <c r="V3220" s="10">
        <v>9.5</v>
      </c>
      <c r="W3220" s="9">
        <v>44964</v>
      </c>
      <c r="X3220" s="10">
        <v>11.5</v>
      </c>
      <c r="Y3220" s="9">
        <v>44971</v>
      </c>
      <c r="Z3220">
        <v>11</v>
      </c>
      <c r="AA3220" s="11" t="s">
        <v>49</v>
      </c>
    </row>
    <row r="3221" spans="2:27" ht="16" x14ac:dyDescent="0.2">
      <c r="B3221" t="s">
        <v>35</v>
      </c>
      <c r="C3221">
        <v>40357916</v>
      </c>
      <c r="D3221" t="s">
        <v>409</v>
      </c>
      <c r="E3221">
        <v>1012165</v>
      </c>
      <c r="F3221" t="s">
        <v>61</v>
      </c>
      <c r="G3221" s="9">
        <v>44949</v>
      </c>
      <c r="H3221" s="7"/>
      <c r="I3221" s="7"/>
      <c r="J3221" s="7"/>
      <c r="K3221" s="7"/>
      <c r="L3221" s="10">
        <v>7.5</v>
      </c>
      <c r="M3221" s="9">
        <v>44956</v>
      </c>
      <c r="N3221" s="10">
        <v>9.5</v>
      </c>
      <c r="O3221" s="9">
        <v>44965</v>
      </c>
      <c r="P3221">
        <v>16</v>
      </c>
      <c r="Q3221" s="11" t="s">
        <v>49</v>
      </c>
      <c r="R3221" s="7"/>
      <c r="S3221" s="7"/>
      <c r="T3221" s="7"/>
      <c r="U3221" s="7"/>
      <c r="V3221" s="10">
        <v>9.5</v>
      </c>
      <c r="W3221" s="9">
        <v>44958</v>
      </c>
      <c r="X3221" s="10">
        <v>11.5</v>
      </c>
      <c r="Y3221" s="9">
        <v>44965</v>
      </c>
      <c r="Z3221">
        <v>16</v>
      </c>
      <c r="AA3221" s="11" t="s">
        <v>49</v>
      </c>
    </row>
    <row r="3222" spans="2:27" ht="16" x14ac:dyDescent="0.2">
      <c r="B3222" t="s">
        <v>35</v>
      </c>
      <c r="C3222">
        <v>40357915</v>
      </c>
      <c r="D3222" t="s">
        <v>409</v>
      </c>
      <c r="E3222">
        <v>1012165</v>
      </c>
      <c r="F3222" t="s">
        <v>61</v>
      </c>
      <c r="G3222" s="9">
        <v>44956</v>
      </c>
      <c r="H3222" s="7"/>
      <c r="I3222" s="7"/>
      <c r="J3222" s="7"/>
      <c r="K3222" s="7"/>
      <c r="L3222" s="10">
        <v>7.5</v>
      </c>
      <c r="M3222" s="9">
        <v>44963</v>
      </c>
      <c r="N3222" s="10">
        <v>9.5</v>
      </c>
      <c r="O3222" s="9">
        <v>44972</v>
      </c>
      <c r="P3222">
        <v>10</v>
      </c>
      <c r="Q3222" s="11" t="s">
        <v>49</v>
      </c>
      <c r="R3222" s="7"/>
      <c r="S3222" s="7"/>
      <c r="T3222" s="7"/>
      <c r="U3222" s="7"/>
      <c r="V3222" s="10">
        <v>9.5</v>
      </c>
      <c r="W3222" s="9">
        <v>44965</v>
      </c>
      <c r="X3222" s="10">
        <v>11.5</v>
      </c>
      <c r="Y3222" s="9">
        <v>44972</v>
      </c>
      <c r="Z3222">
        <v>10</v>
      </c>
      <c r="AA3222" s="11" t="s">
        <v>49</v>
      </c>
    </row>
    <row r="3223" spans="2:27" ht="16" x14ac:dyDescent="0.2">
      <c r="B3223" t="s">
        <v>35</v>
      </c>
      <c r="C3223">
        <v>40357914</v>
      </c>
      <c r="D3223" t="s">
        <v>409</v>
      </c>
      <c r="E3223">
        <v>1012165</v>
      </c>
      <c r="F3223" t="s">
        <v>61</v>
      </c>
      <c r="G3223" s="9">
        <v>44957</v>
      </c>
      <c r="H3223" s="7"/>
      <c r="I3223" s="7"/>
      <c r="J3223" s="7"/>
      <c r="K3223" s="7"/>
      <c r="L3223" s="10">
        <v>7.5</v>
      </c>
      <c r="M3223" s="9">
        <v>44964</v>
      </c>
      <c r="N3223" s="10">
        <v>9.5</v>
      </c>
      <c r="O3223" s="9">
        <v>44973</v>
      </c>
      <c r="P3223">
        <v>9</v>
      </c>
      <c r="Q3223" s="11" t="s">
        <v>49</v>
      </c>
      <c r="R3223" s="7"/>
      <c r="S3223" s="7"/>
      <c r="T3223" s="7"/>
      <c r="U3223" s="7"/>
      <c r="V3223" s="10">
        <v>9.5</v>
      </c>
      <c r="W3223" s="9">
        <v>44966</v>
      </c>
      <c r="X3223" s="10">
        <v>11.5</v>
      </c>
      <c r="Y3223" s="9">
        <v>44973</v>
      </c>
      <c r="Z3223">
        <v>9</v>
      </c>
      <c r="AA3223" s="11" t="s">
        <v>49</v>
      </c>
    </row>
    <row r="3224" spans="2:27" ht="16" x14ac:dyDescent="0.2">
      <c r="B3224" t="s">
        <v>35</v>
      </c>
      <c r="C3224">
        <v>40357913</v>
      </c>
      <c r="D3224" t="s">
        <v>409</v>
      </c>
      <c r="E3224">
        <v>1012165</v>
      </c>
      <c r="F3224" t="s">
        <v>61</v>
      </c>
      <c r="G3224" s="9">
        <v>44949</v>
      </c>
      <c r="H3224" s="7"/>
      <c r="I3224" s="7"/>
      <c r="J3224" s="7"/>
      <c r="K3224" s="7"/>
      <c r="L3224" s="10">
        <v>7.5</v>
      </c>
      <c r="M3224" s="9">
        <v>44956</v>
      </c>
      <c r="N3224" s="10">
        <v>9.5</v>
      </c>
      <c r="O3224" s="9">
        <v>44965</v>
      </c>
      <c r="P3224">
        <v>16</v>
      </c>
      <c r="Q3224" s="11" t="s">
        <v>49</v>
      </c>
      <c r="R3224" s="7"/>
      <c r="S3224" s="7"/>
      <c r="T3224" s="7"/>
      <c r="U3224" s="7"/>
      <c r="V3224" s="10">
        <v>9.5</v>
      </c>
      <c r="W3224" s="9">
        <v>44958</v>
      </c>
      <c r="X3224" s="10">
        <v>11.5</v>
      </c>
      <c r="Y3224" s="9">
        <v>44965</v>
      </c>
      <c r="Z3224">
        <v>16</v>
      </c>
      <c r="AA3224" s="11" t="s">
        <v>49</v>
      </c>
    </row>
    <row r="3225" spans="2:27" ht="16" x14ac:dyDescent="0.2">
      <c r="B3225" t="s">
        <v>35</v>
      </c>
      <c r="C3225">
        <v>40357911</v>
      </c>
      <c r="D3225" t="s">
        <v>409</v>
      </c>
      <c r="E3225">
        <v>1012159</v>
      </c>
      <c r="F3225" t="s">
        <v>88</v>
      </c>
      <c r="G3225" s="9">
        <v>44949</v>
      </c>
      <c r="H3225" s="7"/>
      <c r="I3225" s="7"/>
      <c r="J3225" s="7"/>
      <c r="K3225" s="7"/>
      <c r="L3225" s="10">
        <v>7.5</v>
      </c>
      <c r="M3225" s="9">
        <v>44956</v>
      </c>
      <c r="N3225" s="10">
        <v>9.5</v>
      </c>
      <c r="O3225" s="9">
        <v>44965</v>
      </c>
      <c r="P3225">
        <v>16</v>
      </c>
      <c r="Q3225" s="11" t="s">
        <v>49</v>
      </c>
      <c r="R3225" s="7"/>
      <c r="S3225" s="7"/>
      <c r="T3225" s="7"/>
      <c r="U3225" s="7"/>
      <c r="V3225" s="10">
        <v>9.5</v>
      </c>
      <c r="W3225" s="9">
        <v>44958</v>
      </c>
      <c r="X3225" s="10">
        <v>11.5</v>
      </c>
      <c r="Y3225" s="9">
        <v>44965</v>
      </c>
      <c r="Z3225">
        <v>16</v>
      </c>
      <c r="AA3225" s="11" t="s">
        <v>49</v>
      </c>
    </row>
    <row r="3226" spans="2:27" ht="16" x14ac:dyDescent="0.2">
      <c r="B3226" t="s">
        <v>35</v>
      </c>
      <c r="C3226">
        <v>40357908</v>
      </c>
      <c r="D3226" t="s">
        <v>409</v>
      </c>
      <c r="E3226">
        <v>1012148</v>
      </c>
      <c r="F3226" t="s">
        <v>111</v>
      </c>
      <c r="G3226" s="9">
        <v>44948</v>
      </c>
      <c r="H3226" s="7"/>
      <c r="I3226" s="7"/>
      <c r="J3226" s="7"/>
      <c r="K3226" s="7"/>
      <c r="L3226" s="10">
        <v>7.5</v>
      </c>
      <c r="M3226" s="9">
        <v>44955</v>
      </c>
      <c r="N3226" s="10">
        <v>9.5</v>
      </c>
      <c r="O3226" s="9">
        <v>44964</v>
      </c>
      <c r="P3226">
        <v>17</v>
      </c>
      <c r="Q3226" s="11" t="s">
        <v>49</v>
      </c>
      <c r="R3226" s="7"/>
      <c r="S3226" s="7"/>
      <c r="T3226" s="7"/>
      <c r="U3226" s="7"/>
      <c r="V3226" s="10">
        <v>9.5</v>
      </c>
      <c r="W3226" s="9">
        <v>44957</v>
      </c>
      <c r="X3226" s="10">
        <v>11.5</v>
      </c>
      <c r="Y3226" s="9">
        <v>44964</v>
      </c>
      <c r="Z3226">
        <v>17</v>
      </c>
      <c r="AA3226" s="11" t="s">
        <v>49</v>
      </c>
    </row>
    <row r="3227" spans="2:27" ht="16" x14ac:dyDescent="0.2">
      <c r="B3227" t="s">
        <v>35</v>
      </c>
      <c r="C3227">
        <v>40357906</v>
      </c>
      <c r="D3227" t="s">
        <v>409</v>
      </c>
      <c r="E3227">
        <v>1012110</v>
      </c>
      <c r="F3227" t="s">
        <v>109</v>
      </c>
      <c r="G3227" s="9">
        <v>44943</v>
      </c>
      <c r="H3227" s="7"/>
      <c r="I3227" s="7"/>
      <c r="J3227" s="7"/>
      <c r="K3227" s="7"/>
      <c r="L3227" s="10">
        <v>7.5</v>
      </c>
      <c r="M3227" s="9">
        <v>44950</v>
      </c>
      <c r="N3227" s="10">
        <v>9.5</v>
      </c>
      <c r="O3227" s="9">
        <v>44959</v>
      </c>
      <c r="P3227">
        <v>21</v>
      </c>
      <c r="Q3227" s="11" t="s">
        <v>49</v>
      </c>
      <c r="R3227" s="7"/>
      <c r="S3227" s="7"/>
      <c r="T3227" s="7"/>
      <c r="U3227" s="7"/>
      <c r="V3227" s="10">
        <v>9.5</v>
      </c>
      <c r="W3227" s="9">
        <v>44952</v>
      </c>
      <c r="X3227" s="10">
        <v>11.5</v>
      </c>
      <c r="Y3227" s="9">
        <v>44959</v>
      </c>
      <c r="Z3227">
        <v>21</v>
      </c>
      <c r="AA3227" s="11" t="s">
        <v>49</v>
      </c>
    </row>
    <row r="3228" spans="2:27" ht="16" x14ac:dyDescent="0.2">
      <c r="B3228" t="s">
        <v>35</v>
      </c>
      <c r="C3228">
        <v>40357906</v>
      </c>
      <c r="D3228" t="s">
        <v>409</v>
      </c>
      <c r="E3228">
        <v>1012164</v>
      </c>
      <c r="F3228" t="s">
        <v>142</v>
      </c>
      <c r="G3228" s="9">
        <v>44943</v>
      </c>
      <c r="H3228" s="7"/>
      <c r="I3228" s="7"/>
      <c r="J3228" s="7"/>
      <c r="K3228" s="7"/>
      <c r="L3228" s="10">
        <v>7.5</v>
      </c>
      <c r="M3228" s="9">
        <v>44950</v>
      </c>
      <c r="N3228" s="10">
        <v>9.5</v>
      </c>
      <c r="O3228" s="9">
        <v>44959</v>
      </c>
      <c r="P3228">
        <v>21</v>
      </c>
      <c r="Q3228" s="11" t="s">
        <v>49</v>
      </c>
      <c r="R3228" s="7"/>
      <c r="S3228" s="7"/>
      <c r="T3228" s="7"/>
      <c r="U3228" s="7"/>
      <c r="V3228" s="10">
        <v>9.5</v>
      </c>
      <c r="W3228" s="9">
        <v>44952</v>
      </c>
      <c r="X3228" s="10">
        <v>11.5</v>
      </c>
      <c r="Y3228" s="9">
        <v>44959</v>
      </c>
      <c r="Z3228">
        <v>21</v>
      </c>
      <c r="AA3228" s="11" t="s">
        <v>49</v>
      </c>
    </row>
    <row r="3229" spans="2:27" ht="16" x14ac:dyDescent="0.2">
      <c r="B3229" t="s">
        <v>35</v>
      </c>
      <c r="C3229">
        <v>40357902</v>
      </c>
      <c r="D3229" t="s">
        <v>409</v>
      </c>
      <c r="E3229">
        <v>1030239</v>
      </c>
      <c r="F3229" t="s">
        <v>208</v>
      </c>
      <c r="G3229" s="9">
        <v>44957</v>
      </c>
      <c r="H3229" s="7"/>
      <c r="I3229" s="7"/>
      <c r="J3229" s="7"/>
      <c r="K3229" s="7"/>
      <c r="L3229" s="10">
        <v>7.5</v>
      </c>
      <c r="M3229" s="9">
        <v>44964</v>
      </c>
      <c r="N3229" s="10">
        <v>9.5</v>
      </c>
      <c r="O3229" s="9">
        <v>44973</v>
      </c>
      <c r="P3229">
        <v>9</v>
      </c>
      <c r="Q3229" s="11" t="s">
        <v>49</v>
      </c>
      <c r="R3229" s="7"/>
      <c r="S3229" s="7"/>
      <c r="T3229" s="7"/>
      <c r="U3229" s="7"/>
      <c r="V3229" s="10">
        <v>9.5</v>
      </c>
      <c r="W3229" s="9">
        <v>44966</v>
      </c>
      <c r="X3229" s="10">
        <v>11.5</v>
      </c>
      <c r="Y3229" s="9">
        <v>44973</v>
      </c>
      <c r="Z3229">
        <v>9</v>
      </c>
      <c r="AA3229" s="11" t="s">
        <v>49</v>
      </c>
    </row>
    <row r="3230" spans="2:27" ht="16" x14ac:dyDescent="0.2">
      <c r="B3230" t="s">
        <v>35</v>
      </c>
      <c r="C3230">
        <v>40357895</v>
      </c>
      <c r="D3230" t="s">
        <v>409</v>
      </c>
      <c r="E3230">
        <v>1030379</v>
      </c>
      <c r="F3230" t="s">
        <v>97</v>
      </c>
      <c r="G3230" s="9">
        <v>44957</v>
      </c>
      <c r="H3230" s="7"/>
      <c r="I3230" s="7"/>
      <c r="J3230" s="7"/>
      <c r="K3230" s="7"/>
      <c r="L3230" s="10">
        <v>7.5</v>
      </c>
      <c r="M3230" s="9">
        <v>44964</v>
      </c>
      <c r="N3230" s="10">
        <v>9.5</v>
      </c>
      <c r="O3230" s="9">
        <v>44973</v>
      </c>
      <c r="P3230">
        <v>9</v>
      </c>
      <c r="Q3230" s="11" t="s">
        <v>49</v>
      </c>
      <c r="R3230" s="7"/>
      <c r="S3230" s="7"/>
      <c r="T3230" s="7"/>
      <c r="U3230" s="7"/>
      <c r="V3230" s="10">
        <v>9.5</v>
      </c>
      <c r="W3230" s="9">
        <v>44966</v>
      </c>
      <c r="X3230" s="10">
        <v>11.5</v>
      </c>
      <c r="Y3230" s="9">
        <v>44973</v>
      </c>
      <c r="Z3230">
        <v>9</v>
      </c>
      <c r="AA3230" s="11" t="s">
        <v>49</v>
      </c>
    </row>
    <row r="3231" spans="2:27" ht="16" x14ac:dyDescent="0.2">
      <c r="B3231" t="s">
        <v>35</v>
      </c>
      <c r="C3231">
        <v>40357888</v>
      </c>
      <c r="D3231" t="s">
        <v>409</v>
      </c>
      <c r="E3231">
        <v>1030379</v>
      </c>
      <c r="F3231" t="s">
        <v>97</v>
      </c>
      <c r="G3231" s="9">
        <v>44957</v>
      </c>
      <c r="H3231" s="7"/>
      <c r="I3231" s="7"/>
      <c r="J3231" s="7"/>
      <c r="K3231" s="7"/>
      <c r="L3231" s="10">
        <v>7.5</v>
      </c>
      <c r="M3231" s="9">
        <v>44964</v>
      </c>
      <c r="N3231" s="10">
        <v>9.5</v>
      </c>
      <c r="O3231" s="9">
        <v>44973</v>
      </c>
      <c r="P3231">
        <v>9</v>
      </c>
      <c r="Q3231" s="11" t="s">
        <v>49</v>
      </c>
      <c r="R3231" s="7"/>
      <c r="S3231" s="7"/>
      <c r="T3231" s="7"/>
      <c r="U3231" s="7"/>
      <c r="V3231" s="10">
        <v>9.5</v>
      </c>
      <c r="W3231" s="9">
        <v>44966</v>
      </c>
      <c r="X3231" s="10">
        <v>11.5</v>
      </c>
      <c r="Y3231" s="9">
        <v>44973</v>
      </c>
      <c r="Z3231">
        <v>9</v>
      </c>
      <c r="AA3231" s="11" t="s">
        <v>49</v>
      </c>
    </row>
    <row r="3232" spans="2:27" ht="16" x14ac:dyDescent="0.2">
      <c r="B3232" t="s">
        <v>35</v>
      </c>
      <c r="C3232">
        <v>40357887</v>
      </c>
      <c r="D3232" t="s">
        <v>409</v>
      </c>
      <c r="E3232">
        <v>1030379</v>
      </c>
      <c r="F3232" t="s">
        <v>97</v>
      </c>
      <c r="G3232" s="9">
        <v>44957</v>
      </c>
      <c r="H3232" s="7"/>
      <c r="I3232" s="7"/>
      <c r="J3232" s="7"/>
      <c r="K3232" s="7"/>
      <c r="L3232" s="10">
        <v>7.5</v>
      </c>
      <c r="M3232" s="9">
        <v>44964</v>
      </c>
      <c r="N3232" s="10">
        <v>9.5</v>
      </c>
      <c r="O3232" s="9">
        <v>44973</v>
      </c>
      <c r="P3232">
        <v>9</v>
      </c>
      <c r="Q3232" s="11" t="s">
        <v>49</v>
      </c>
      <c r="R3232" s="7"/>
      <c r="S3232" s="7"/>
      <c r="T3232" s="7"/>
      <c r="U3232" s="7"/>
      <c r="V3232" s="10">
        <v>9.5</v>
      </c>
      <c r="W3232" s="9">
        <v>44966</v>
      </c>
      <c r="X3232" s="10">
        <v>11.5</v>
      </c>
      <c r="Y3232" s="9">
        <v>44973</v>
      </c>
      <c r="Z3232">
        <v>9</v>
      </c>
      <c r="AA3232" s="11" t="s">
        <v>49</v>
      </c>
    </row>
    <row r="3233" spans="2:27" ht="16" x14ac:dyDescent="0.2">
      <c r="B3233" t="s">
        <v>35</v>
      </c>
      <c r="C3233">
        <v>40357886</v>
      </c>
      <c r="D3233" t="s">
        <v>409</v>
      </c>
      <c r="E3233">
        <v>1030379</v>
      </c>
      <c r="F3233" t="s">
        <v>97</v>
      </c>
      <c r="G3233" s="9">
        <v>44957</v>
      </c>
      <c r="H3233" s="7"/>
      <c r="I3233" s="7"/>
      <c r="J3233" s="7"/>
      <c r="K3233" s="7"/>
      <c r="L3233" s="10">
        <v>7.5</v>
      </c>
      <c r="M3233" s="9">
        <v>44964</v>
      </c>
      <c r="N3233" s="10">
        <v>9.5</v>
      </c>
      <c r="O3233" s="9">
        <v>44973</v>
      </c>
      <c r="P3233">
        <v>9</v>
      </c>
      <c r="Q3233" s="11" t="s">
        <v>49</v>
      </c>
      <c r="R3233" s="7"/>
      <c r="S3233" s="7"/>
      <c r="T3233" s="7"/>
      <c r="U3233" s="7"/>
      <c r="V3233" s="10">
        <v>9.5</v>
      </c>
      <c r="W3233" s="9">
        <v>44966</v>
      </c>
      <c r="X3233" s="10">
        <v>11.5</v>
      </c>
      <c r="Y3233" s="9">
        <v>44973</v>
      </c>
      <c r="Z3233">
        <v>9</v>
      </c>
      <c r="AA3233" s="11" t="s">
        <v>49</v>
      </c>
    </row>
    <row r="3234" spans="2:27" ht="16" x14ac:dyDescent="0.2">
      <c r="B3234" t="s">
        <v>35</v>
      </c>
      <c r="C3234">
        <v>40357885</v>
      </c>
      <c r="D3234" t="s">
        <v>409</v>
      </c>
      <c r="E3234">
        <v>1030379</v>
      </c>
      <c r="F3234" t="s">
        <v>97</v>
      </c>
      <c r="G3234" s="9">
        <v>44957</v>
      </c>
      <c r="H3234" s="7"/>
      <c r="I3234" s="7"/>
      <c r="J3234" s="7"/>
      <c r="K3234" s="7"/>
      <c r="L3234" s="10">
        <v>7.5</v>
      </c>
      <c r="M3234" s="9">
        <v>44964</v>
      </c>
      <c r="N3234" s="10">
        <v>9.5</v>
      </c>
      <c r="O3234" s="9">
        <v>44973</v>
      </c>
      <c r="P3234">
        <v>9</v>
      </c>
      <c r="Q3234" s="11" t="s">
        <v>49</v>
      </c>
      <c r="R3234" s="7"/>
      <c r="S3234" s="7"/>
      <c r="T3234" s="7"/>
      <c r="U3234" s="7"/>
      <c r="V3234" s="10">
        <v>9.5</v>
      </c>
      <c r="W3234" s="9">
        <v>44966</v>
      </c>
      <c r="X3234" s="10">
        <v>11.5</v>
      </c>
      <c r="Y3234" s="9">
        <v>44973</v>
      </c>
      <c r="Z3234">
        <v>9</v>
      </c>
      <c r="AA3234" s="11" t="s">
        <v>49</v>
      </c>
    </row>
    <row r="3235" spans="2:27" ht="16" x14ac:dyDescent="0.2">
      <c r="B3235" t="s">
        <v>35</v>
      </c>
      <c r="C3235">
        <v>40357884</v>
      </c>
      <c r="D3235" t="s">
        <v>409</v>
      </c>
      <c r="E3235">
        <v>1030379</v>
      </c>
      <c r="F3235" t="s">
        <v>97</v>
      </c>
      <c r="G3235" s="9">
        <v>44957</v>
      </c>
      <c r="H3235" s="7"/>
      <c r="I3235" s="7"/>
      <c r="J3235" s="7"/>
      <c r="K3235" s="7"/>
      <c r="L3235" s="10">
        <v>7.5</v>
      </c>
      <c r="M3235" s="9">
        <v>44964</v>
      </c>
      <c r="N3235" s="10">
        <v>9.5</v>
      </c>
      <c r="O3235" s="9">
        <v>44973</v>
      </c>
      <c r="P3235">
        <v>9</v>
      </c>
      <c r="Q3235" s="11" t="s">
        <v>49</v>
      </c>
      <c r="R3235" s="7"/>
      <c r="S3235" s="7"/>
      <c r="T3235" s="7"/>
      <c r="U3235" s="7"/>
      <c r="V3235" s="10">
        <v>9.5</v>
      </c>
      <c r="W3235" s="9">
        <v>44966</v>
      </c>
      <c r="X3235" s="10">
        <v>11.5</v>
      </c>
      <c r="Y3235" s="9">
        <v>44973</v>
      </c>
      <c r="Z3235">
        <v>9</v>
      </c>
      <c r="AA3235" s="11" t="s">
        <v>49</v>
      </c>
    </row>
    <row r="3236" spans="2:27" ht="16" x14ac:dyDescent="0.2">
      <c r="B3236" t="s">
        <v>35</v>
      </c>
      <c r="C3236">
        <v>40357883</v>
      </c>
      <c r="D3236" t="s">
        <v>409</v>
      </c>
      <c r="E3236">
        <v>1030379</v>
      </c>
      <c r="F3236" t="s">
        <v>97</v>
      </c>
      <c r="G3236" s="9">
        <v>44957</v>
      </c>
      <c r="H3236" s="7"/>
      <c r="I3236" s="7"/>
      <c r="J3236" s="7"/>
      <c r="K3236" s="7"/>
      <c r="L3236" s="10">
        <v>7.5</v>
      </c>
      <c r="M3236" s="9">
        <v>44964</v>
      </c>
      <c r="N3236" s="10">
        <v>9.5</v>
      </c>
      <c r="O3236" s="9">
        <v>44973</v>
      </c>
      <c r="P3236">
        <v>9</v>
      </c>
      <c r="Q3236" s="11" t="s">
        <v>49</v>
      </c>
      <c r="R3236" s="7"/>
      <c r="S3236" s="7"/>
      <c r="T3236" s="7"/>
      <c r="U3236" s="7"/>
      <c r="V3236" s="10">
        <v>9.5</v>
      </c>
      <c r="W3236" s="9">
        <v>44966</v>
      </c>
      <c r="X3236" s="10">
        <v>11.5</v>
      </c>
      <c r="Y3236" s="9">
        <v>44973</v>
      </c>
      <c r="Z3236">
        <v>9</v>
      </c>
      <c r="AA3236" s="11" t="s">
        <v>49</v>
      </c>
    </row>
    <row r="3237" spans="2:27" ht="16" x14ac:dyDescent="0.2">
      <c r="B3237" t="s">
        <v>35</v>
      </c>
      <c r="C3237">
        <v>40357882</v>
      </c>
      <c r="D3237" t="s">
        <v>409</v>
      </c>
      <c r="E3237">
        <v>1030379</v>
      </c>
      <c r="F3237" t="s">
        <v>97</v>
      </c>
      <c r="G3237" s="9">
        <v>44957</v>
      </c>
      <c r="H3237" s="7"/>
      <c r="I3237" s="7"/>
      <c r="J3237" s="7"/>
      <c r="K3237" s="7"/>
      <c r="L3237" s="10">
        <v>7.5</v>
      </c>
      <c r="M3237" s="9">
        <v>44964</v>
      </c>
      <c r="N3237" s="10">
        <v>9.5</v>
      </c>
      <c r="O3237" s="9">
        <v>44973</v>
      </c>
      <c r="P3237">
        <v>9</v>
      </c>
      <c r="Q3237" s="11" t="s">
        <v>49</v>
      </c>
      <c r="R3237" s="7"/>
      <c r="S3237" s="7"/>
      <c r="T3237" s="7"/>
      <c r="U3237" s="7"/>
      <c r="V3237" s="10">
        <v>9.5</v>
      </c>
      <c r="W3237" s="9">
        <v>44966</v>
      </c>
      <c r="X3237" s="10">
        <v>11.5</v>
      </c>
      <c r="Y3237" s="9">
        <v>44973</v>
      </c>
      <c r="Z3237">
        <v>9</v>
      </c>
      <c r="AA3237" s="11" t="s">
        <v>49</v>
      </c>
    </row>
    <row r="3238" spans="2:27" ht="16" x14ac:dyDescent="0.2">
      <c r="B3238" t="s">
        <v>35</v>
      </c>
      <c r="C3238">
        <v>40357881</v>
      </c>
      <c r="D3238" t="s">
        <v>423</v>
      </c>
      <c r="E3238">
        <v>1011611</v>
      </c>
      <c r="F3238" t="s">
        <v>533</v>
      </c>
      <c r="G3238" s="9">
        <v>44941</v>
      </c>
      <c r="H3238" s="7"/>
      <c r="I3238" s="7"/>
      <c r="J3238" s="7"/>
      <c r="K3238" s="7"/>
      <c r="L3238" s="10">
        <v>5.4496124031007751</v>
      </c>
      <c r="M3238" s="9">
        <v>44946</v>
      </c>
      <c r="N3238" s="10">
        <v>10</v>
      </c>
      <c r="O3238" s="9">
        <v>44956</v>
      </c>
      <c r="P3238">
        <v>1</v>
      </c>
      <c r="Q3238" s="11" t="s">
        <v>648</v>
      </c>
      <c r="R3238" s="7"/>
      <c r="S3238" s="7"/>
      <c r="T3238" s="7"/>
      <c r="U3238" s="7"/>
      <c r="V3238" s="10">
        <v>7.4496124031007751</v>
      </c>
      <c r="W3238" s="9">
        <v>44948</v>
      </c>
      <c r="X3238" s="10">
        <v>12</v>
      </c>
      <c r="Y3238" s="9">
        <v>44956</v>
      </c>
      <c r="Z3238">
        <v>1</v>
      </c>
      <c r="AA3238" s="11" t="s">
        <v>648</v>
      </c>
    </row>
    <row r="3239" spans="2:27" ht="16" x14ac:dyDescent="0.2">
      <c r="B3239" t="s">
        <v>35</v>
      </c>
      <c r="C3239">
        <v>40357880</v>
      </c>
      <c r="D3239" t="s">
        <v>423</v>
      </c>
      <c r="E3239">
        <v>1011127</v>
      </c>
      <c r="F3239" t="s">
        <v>228</v>
      </c>
      <c r="G3239" s="9">
        <v>44935</v>
      </c>
      <c r="H3239" s="7"/>
      <c r="I3239" s="7"/>
      <c r="J3239" s="7"/>
      <c r="K3239" s="7"/>
      <c r="L3239" s="10">
        <v>5.4496124031007751</v>
      </c>
      <c r="M3239" s="9">
        <v>44940</v>
      </c>
      <c r="N3239" s="10">
        <v>10</v>
      </c>
      <c r="O3239" s="9">
        <v>44950</v>
      </c>
      <c r="P3239">
        <v>6</v>
      </c>
      <c r="Q3239" s="11" t="s">
        <v>49</v>
      </c>
      <c r="R3239" s="7"/>
      <c r="S3239" s="7"/>
      <c r="T3239" s="7"/>
      <c r="U3239" s="7"/>
      <c r="V3239" s="10">
        <v>7.4496124031007751</v>
      </c>
      <c r="W3239" s="9">
        <v>44942</v>
      </c>
      <c r="X3239" s="10">
        <v>12</v>
      </c>
      <c r="Y3239" s="9">
        <v>44950</v>
      </c>
      <c r="Z3239">
        <v>6</v>
      </c>
      <c r="AA3239" s="11" t="s">
        <v>49</v>
      </c>
    </row>
    <row r="3240" spans="2:27" ht="16" x14ac:dyDescent="0.2">
      <c r="B3240" t="s">
        <v>35</v>
      </c>
      <c r="C3240">
        <v>40357879</v>
      </c>
      <c r="D3240" t="s">
        <v>423</v>
      </c>
      <c r="E3240">
        <v>1011127</v>
      </c>
      <c r="F3240" t="s">
        <v>228</v>
      </c>
      <c r="G3240" s="9">
        <v>44935</v>
      </c>
      <c r="H3240" s="7"/>
      <c r="I3240" s="7"/>
      <c r="J3240" s="7"/>
      <c r="K3240" s="7"/>
      <c r="L3240" s="10">
        <v>5.4496124031007751</v>
      </c>
      <c r="M3240" s="9">
        <v>44940</v>
      </c>
      <c r="N3240" s="10">
        <v>10</v>
      </c>
      <c r="O3240" s="9">
        <v>44950</v>
      </c>
      <c r="P3240">
        <v>6</v>
      </c>
      <c r="Q3240" s="11" t="s">
        <v>49</v>
      </c>
      <c r="R3240" s="7"/>
      <c r="S3240" s="7"/>
      <c r="T3240" s="7"/>
      <c r="U3240" s="7"/>
      <c r="V3240" s="10">
        <v>7.4496124031007751</v>
      </c>
      <c r="W3240" s="9">
        <v>44942</v>
      </c>
      <c r="X3240" s="10">
        <v>12</v>
      </c>
      <c r="Y3240" s="9">
        <v>44950</v>
      </c>
      <c r="Z3240">
        <v>6</v>
      </c>
      <c r="AA3240" s="11" t="s">
        <v>49</v>
      </c>
    </row>
    <row r="3241" spans="2:27" ht="16" x14ac:dyDescent="0.2">
      <c r="B3241" t="s">
        <v>35</v>
      </c>
      <c r="C3241">
        <v>40357878</v>
      </c>
      <c r="D3241" t="s">
        <v>423</v>
      </c>
      <c r="E3241">
        <v>1011127</v>
      </c>
      <c r="F3241" t="s">
        <v>228</v>
      </c>
      <c r="G3241" s="9">
        <v>44935</v>
      </c>
      <c r="H3241" s="7"/>
      <c r="I3241" s="7"/>
      <c r="J3241" s="7"/>
      <c r="K3241" s="7"/>
      <c r="L3241" s="10">
        <v>5.4496124031007751</v>
      </c>
      <c r="M3241" s="9">
        <v>44940</v>
      </c>
      <c r="N3241" s="10">
        <v>10</v>
      </c>
      <c r="O3241" s="9">
        <v>44950</v>
      </c>
      <c r="P3241">
        <v>6</v>
      </c>
      <c r="Q3241" s="11" t="s">
        <v>49</v>
      </c>
      <c r="R3241" s="7"/>
      <c r="S3241" s="7"/>
      <c r="T3241" s="7"/>
      <c r="U3241" s="7"/>
      <c r="V3241" s="10">
        <v>7.4496124031007751</v>
      </c>
      <c r="W3241" s="9">
        <v>44942</v>
      </c>
      <c r="X3241" s="10">
        <v>12</v>
      </c>
      <c r="Y3241" s="9">
        <v>44950</v>
      </c>
      <c r="Z3241">
        <v>6</v>
      </c>
      <c r="AA3241" s="11" t="s">
        <v>49</v>
      </c>
    </row>
    <row r="3242" spans="2:27" ht="16" x14ac:dyDescent="0.2">
      <c r="B3242" t="s">
        <v>35</v>
      </c>
      <c r="C3242">
        <v>40357877</v>
      </c>
      <c r="D3242" t="s">
        <v>423</v>
      </c>
      <c r="E3242">
        <v>1011127</v>
      </c>
      <c r="F3242" t="s">
        <v>228</v>
      </c>
      <c r="G3242" s="9">
        <v>44935</v>
      </c>
      <c r="H3242" s="7"/>
      <c r="I3242" s="7"/>
      <c r="J3242" s="7"/>
      <c r="K3242" s="7"/>
      <c r="L3242" s="10">
        <v>5.4496124031007751</v>
      </c>
      <c r="M3242" s="9">
        <v>44940</v>
      </c>
      <c r="N3242" s="10">
        <v>10</v>
      </c>
      <c r="O3242" s="9">
        <v>44950</v>
      </c>
      <c r="P3242">
        <v>6</v>
      </c>
      <c r="Q3242" s="11" t="s">
        <v>49</v>
      </c>
      <c r="R3242" s="7"/>
      <c r="S3242" s="7"/>
      <c r="T3242" s="7"/>
      <c r="U3242" s="7"/>
      <c r="V3242" s="10">
        <v>7.4496124031007751</v>
      </c>
      <c r="W3242" s="9">
        <v>44942</v>
      </c>
      <c r="X3242" s="10">
        <v>12</v>
      </c>
      <c r="Y3242" s="9">
        <v>44950</v>
      </c>
      <c r="Z3242">
        <v>6</v>
      </c>
      <c r="AA3242" s="11" t="s">
        <v>49</v>
      </c>
    </row>
    <row r="3243" spans="2:27" ht="16" x14ac:dyDescent="0.2">
      <c r="B3243" t="s">
        <v>35</v>
      </c>
      <c r="C3243">
        <v>40357876</v>
      </c>
      <c r="D3243" t="s">
        <v>423</v>
      </c>
      <c r="E3243">
        <v>1011127</v>
      </c>
      <c r="F3243" t="s">
        <v>228</v>
      </c>
      <c r="G3243" s="9">
        <v>44935</v>
      </c>
      <c r="H3243" s="7"/>
      <c r="I3243" s="7"/>
      <c r="J3243" s="7"/>
      <c r="K3243" s="7"/>
      <c r="L3243" s="10">
        <v>5.4496124031007751</v>
      </c>
      <c r="M3243" s="9">
        <v>44940</v>
      </c>
      <c r="N3243" s="10">
        <v>10</v>
      </c>
      <c r="O3243" s="9">
        <v>44950</v>
      </c>
      <c r="P3243">
        <v>6</v>
      </c>
      <c r="Q3243" s="11" t="s">
        <v>49</v>
      </c>
      <c r="R3243" s="7"/>
      <c r="S3243" s="7"/>
      <c r="T3243" s="7"/>
      <c r="U3243" s="7"/>
      <c r="V3243" s="10">
        <v>7.4496124031007751</v>
      </c>
      <c r="W3243" s="9">
        <v>44942</v>
      </c>
      <c r="X3243" s="10">
        <v>12</v>
      </c>
      <c r="Y3243" s="9">
        <v>44950</v>
      </c>
      <c r="Z3243">
        <v>6</v>
      </c>
      <c r="AA3243" s="11" t="s">
        <v>49</v>
      </c>
    </row>
    <row r="3244" spans="2:27" ht="16" x14ac:dyDescent="0.2">
      <c r="B3244" t="s">
        <v>35</v>
      </c>
      <c r="C3244">
        <v>40357875</v>
      </c>
      <c r="D3244" t="s">
        <v>423</v>
      </c>
      <c r="E3244">
        <v>1011127</v>
      </c>
      <c r="F3244" t="s">
        <v>228</v>
      </c>
      <c r="G3244" s="9">
        <v>44935</v>
      </c>
      <c r="H3244" s="7"/>
      <c r="I3244" s="7"/>
      <c r="J3244" s="7"/>
      <c r="K3244" s="7"/>
      <c r="L3244" s="10">
        <v>5.4496124031007751</v>
      </c>
      <c r="M3244" s="9">
        <v>44940</v>
      </c>
      <c r="N3244" s="10">
        <v>10</v>
      </c>
      <c r="O3244" s="9">
        <v>44950</v>
      </c>
      <c r="P3244">
        <v>6</v>
      </c>
      <c r="Q3244" s="11" t="s">
        <v>49</v>
      </c>
      <c r="R3244" s="7"/>
      <c r="S3244" s="7"/>
      <c r="T3244" s="7"/>
      <c r="U3244" s="7"/>
      <c r="V3244" s="10">
        <v>7.4496124031007751</v>
      </c>
      <c r="W3244" s="9">
        <v>44942</v>
      </c>
      <c r="X3244" s="10">
        <v>12</v>
      </c>
      <c r="Y3244" s="9">
        <v>44950</v>
      </c>
      <c r="Z3244">
        <v>6</v>
      </c>
      <c r="AA3244" s="11" t="s">
        <v>49</v>
      </c>
    </row>
    <row r="3245" spans="2:27" ht="16" x14ac:dyDescent="0.2">
      <c r="B3245" t="s">
        <v>35</v>
      </c>
      <c r="C3245">
        <v>40357874</v>
      </c>
      <c r="D3245" t="s">
        <v>423</v>
      </c>
      <c r="E3245">
        <v>1011127</v>
      </c>
      <c r="F3245" t="s">
        <v>228</v>
      </c>
      <c r="G3245" s="9">
        <v>44935</v>
      </c>
      <c r="H3245" s="7"/>
      <c r="I3245" s="7"/>
      <c r="J3245" s="7"/>
      <c r="K3245" s="7"/>
      <c r="L3245" s="10">
        <v>5.4496124031007751</v>
      </c>
      <c r="M3245" s="9">
        <v>44940</v>
      </c>
      <c r="N3245" s="10">
        <v>10</v>
      </c>
      <c r="O3245" s="9">
        <v>44950</v>
      </c>
      <c r="P3245">
        <v>6</v>
      </c>
      <c r="Q3245" s="11" t="s">
        <v>49</v>
      </c>
      <c r="R3245" s="7"/>
      <c r="S3245" s="7"/>
      <c r="T3245" s="7"/>
      <c r="U3245" s="7"/>
      <c r="V3245" s="10">
        <v>7.4496124031007751</v>
      </c>
      <c r="W3245" s="9">
        <v>44942</v>
      </c>
      <c r="X3245" s="10">
        <v>12</v>
      </c>
      <c r="Y3245" s="9">
        <v>44950</v>
      </c>
      <c r="Z3245">
        <v>6</v>
      </c>
      <c r="AA3245" s="11" t="s">
        <v>49</v>
      </c>
    </row>
    <row r="3246" spans="2:27" ht="16" x14ac:dyDescent="0.2">
      <c r="B3246" t="s">
        <v>35</v>
      </c>
      <c r="C3246">
        <v>40357873</v>
      </c>
      <c r="D3246" t="s">
        <v>423</v>
      </c>
      <c r="E3246">
        <v>1011127</v>
      </c>
      <c r="F3246" t="s">
        <v>228</v>
      </c>
      <c r="G3246" s="9">
        <v>44935</v>
      </c>
      <c r="H3246" s="7"/>
      <c r="I3246" s="7"/>
      <c r="J3246" s="7"/>
      <c r="K3246" s="7"/>
      <c r="L3246" s="10">
        <v>5.4496124031007751</v>
      </c>
      <c r="M3246" s="9">
        <v>44940</v>
      </c>
      <c r="N3246" s="10">
        <v>10</v>
      </c>
      <c r="O3246" s="9">
        <v>44950</v>
      </c>
      <c r="P3246">
        <v>6</v>
      </c>
      <c r="Q3246" s="11" t="s">
        <v>49</v>
      </c>
      <c r="R3246" s="7"/>
      <c r="S3246" s="7"/>
      <c r="T3246" s="7"/>
      <c r="U3246" s="7"/>
      <c r="V3246" s="10">
        <v>7.4496124031007751</v>
      </c>
      <c r="W3246" s="9">
        <v>44942</v>
      </c>
      <c r="X3246" s="10">
        <v>12</v>
      </c>
      <c r="Y3246" s="9">
        <v>44950</v>
      </c>
      <c r="Z3246">
        <v>6</v>
      </c>
      <c r="AA3246" s="11" t="s">
        <v>49</v>
      </c>
    </row>
    <row r="3247" spans="2:27" ht="16" x14ac:dyDescent="0.2">
      <c r="B3247" t="s">
        <v>35</v>
      </c>
      <c r="C3247">
        <v>40357872</v>
      </c>
      <c r="D3247" t="s">
        <v>423</v>
      </c>
      <c r="E3247">
        <v>1011127</v>
      </c>
      <c r="F3247" t="s">
        <v>228</v>
      </c>
      <c r="G3247" s="9">
        <v>44925</v>
      </c>
      <c r="H3247" s="7"/>
      <c r="I3247" s="7"/>
      <c r="J3247" s="7"/>
      <c r="K3247" s="7"/>
      <c r="L3247" s="10">
        <v>5.4496124031007751</v>
      </c>
      <c r="M3247" s="9">
        <v>44930</v>
      </c>
      <c r="N3247" s="10">
        <v>10</v>
      </c>
      <c r="O3247" s="9">
        <v>44940</v>
      </c>
      <c r="P3247">
        <v>14</v>
      </c>
      <c r="Q3247" s="11" t="s">
        <v>49</v>
      </c>
      <c r="R3247" s="7"/>
      <c r="S3247" s="7"/>
      <c r="T3247" s="7"/>
      <c r="U3247" s="7"/>
      <c r="V3247" s="10">
        <v>7.4496124031007751</v>
      </c>
      <c r="W3247" s="9">
        <v>44932</v>
      </c>
      <c r="X3247" s="10">
        <v>12</v>
      </c>
      <c r="Y3247" s="9">
        <v>44940</v>
      </c>
      <c r="Z3247">
        <v>14</v>
      </c>
      <c r="AA3247" s="11" t="s">
        <v>49</v>
      </c>
    </row>
    <row r="3248" spans="2:27" ht="16" x14ac:dyDescent="0.2">
      <c r="B3248" t="s">
        <v>35</v>
      </c>
      <c r="C3248">
        <v>40357871</v>
      </c>
      <c r="D3248" t="s">
        <v>423</v>
      </c>
      <c r="E3248">
        <v>1011127</v>
      </c>
      <c r="F3248" t="s">
        <v>228</v>
      </c>
      <c r="G3248" s="9">
        <v>44935</v>
      </c>
      <c r="H3248" s="7"/>
      <c r="I3248" s="7"/>
      <c r="J3248" s="7"/>
      <c r="K3248" s="7"/>
      <c r="L3248" s="10">
        <v>5.4496124031007751</v>
      </c>
      <c r="M3248" s="9">
        <v>44940</v>
      </c>
      <c r="N3248" s="10">
        <v>10</v>
      </c>
      <c r="O3248" s="9">
        <v>44950</v>
      </c>
      <c r="P3248">
        <v>6</v>
      </c>
      <c r="Q3248" s="11" t="s">
        <v>49</v>
      </c>
      <c r="R3248" s="7"/>
      <c r="S3248" s="7"/>
      <c r="T3248" s="7"/>
      <c r="U3248" s="7"/>
      <c r="V3248" s="10">
        <v>7.4496124031007751</v>
      </c>
      <c r="W3248" s="9">
        <v>44942</v>
      </c>
      <c r="X3248" s="10">
        <v>12</v>
      </c>
      <c r="Y3248" s="9">
        <v>44950</v>
      </c>
      <c r="Z3248">
        <v>6</v>
      </c>
      <c r="AA3248" s="11" t="s">
        <v>49</v>
      </c>
    </row>
    <row r="3249" spans="2:27" ht="16" x14ac:dyDescent="0.2">
      <c r="B3249" t="s">
        <v>35</v>
      </c>
      <c r="C3249">
        <v>40357870</v>
      </c>
      <c r="D3249" t="s">
        <v>423</v>
      </c>
      <c r="E3249">
        <v>1011127</v>
      </c>
      <c r="F3249" t="s">
        <v>228</v>
      </c>
      <c r="G3249" s="9">
        <v>44935</v>
      </c>
      <c r="H3249" s="7"/>
      <c r="I3249" s="7"/>
      <c r="J3249" s="7"/>
      <c r="K3249" s="7"/>
      <c r="L3249" s="10">
        <v>5.4496124031007751</v>
      </c>
      <c r="M3249" s="9">
        <v>44940</v>
      </c>
      <c r="N3249" s="10">
        <v>10</v>
      </c>
      <c r="O3249" s="9">
        <v>44950</v>
      </c>
      <c r="P3249">
        <v>6</v>
      </c>
      <c r="Q3249" s="11" t="s">
        <v>49</v>
      </c>
      <c r="R3249" s="7"/>
      <c r="S3249" s="7"/>
      <c r="T3249" s="7"/>
      <c r="U3249" s="7"/>
      <c r="V3249" s="10">
        <v>7.4496124031007751</v>
      </c>
      <c r="W3249" s="9">
        <v>44942</v>
      </c>
      <c r="X3249" s="10">
        <v>12</v>
      </c>
      <c r="Y3249" s="9">
        <v>44950</v>
      </c>
      <c r="Z3249">
        <v>6</v>
      </c>
      <c r="AA3249" s="11" t="s">
        <v>49</v>
      </c>
    </row>
    <row r="3250" spans="2:27" ht="16" x14ac:dyDescent="0.2">
      <c r="B3250" t="s">
        <v>35</v>
      </c>
      <c r="C3250">
        <v>40357869</v>
      </c>
      <c r="D3250" t="s">
        <v>423</v>
      </c>
      <c r="E3250">
        <v>1011127</v>
      </c>
      <c r="F3250" t="s">
        <v>228</v>
      </c>
      <c r="G3250" s="9">
        <v>44935</v>
      </c>
      <c r="H3250" s="7"/>
      <c r="I3250" s="7"/>
      <c r="J3250" s="7"/>
      <c r="K3250" s="7"/>
      <c r="L3250" s="10">
        <v>5.4496124031007751</v>
      </c>
      <c r="M3250" s="9">
        <v>44940</v>
      </c>
      <c r="N3250" s="10">
        <v>10</v>
      </c>
      <c r="O3250" s="9">
        <v>44950</v>
      </c>
      <c r="P3250">
        <v>6</v>
      </c>
      <c r="Q3250" s="11" t="s">
        <v>49</v>
      </c>
      <c r="R3250" s="7"/>
      <c r="S3250" s="7"/>
      <c r="T3250" s="7"/>
      <c r="U3250" s="7"/>
      <c r="V3250" s="10">
        <v>7.4496124031007751</v>
      </c>
      <c r="W3250" s="9">
        <v>44942</v>
      </c>
      <c r="X3250" s="10">
        <v>12</v>
      </c>
      <c r="Y3250" s="9">
        <v>44950</v>
      </c>
      <c r="Z3250">
        <v>6</v>
      </c>
      <c r="AA3250" s="11" t="s">
        <v>49</v>
      </c>
    </row>
    <row r="3251" spans="2:27" ht="16" x14ac:dyDescent="0.2">
      <c r="B3251" t="s">
        <v>35</v>
      </c>
      <c r="C3251">
        <v>40357868</v>
      </c>
      <c r="D3251" t="s">
        <v>423</v>
      </c>
      <c r="E3251">
        <v>1011127</v>
      </c>
      <c r="F3251" t="s">
        <v>228</v>
      </c>
      <c r="G3251" s="9">
        <v>44941</v>
      </c>
      <c r="H3251" s="7"/>
      <c r="I3251" s="7"/>
      <c r="J3251" s="7"/>
      <c r="K3251" s="7"/>
      <c r="L3251" s="10">
        <v>5.4496124031007751</v>
      </c>
      <c r="M3251" s="9">
        <v>44946</v>
      </c>
      <c r="N3251" s="10">
        <v>10</v>
      </c>
      <c r="O3251" s="9">
        <v>44956</v>
      </c>
      <c r="P3251">
        <v>1</v>
      </c>
      <c r="Q3251" s="11" t="s">
        <v>648</v>
      </c>
      <c r="R3251" s="7"/>
      <c r="S3251" s="7"/>
      <c r="T3251" s="7"/>
      <c r="U3251" s="7"/>
      <c r="V3251" s="10">
        <v>7.4496124031007751</v>
      </c>
      <c r="W3251" s="9">
        <v>44948</v>
      </c>
      <c r="X3251" s="10">
        <v>12</v>
      </c>
      <c r="Y3251" s="9">
        <v>44956</v>
      </c>
      <c r="Z3251">
        <v>1</v>
      </c>
      <c r="AA3251" s="11" t="s">
        <v>648</v>
      </c>
    </row>
    <row r="3252" spans="2:27" ht="16" x14ac:dyDescent="0.2">
      <c r="B3252" t="s">
        <v>35</v>
      </c>
      <c r="C3252">
        <v>40357867</v>
      </c>
      <c r="D3252" t="s">
        <v>423</v>
      </c>
      <c r="E3252">
        <v>1011127</v>
      </c>
      <c r="F3252" t="s">
        <v>228</v>
      </c>
      <c r="G3252" s="9">
        <v>44935</v>
      </c>
      <c r="H3252" s="7"/>
      <c r="I3252" s="7"/>
      <c r="J3252" s="7"/>
      <c r="K3252" s="7"/>
      <c r="L3252" s="10">
        <v>5.4496124031007751</v>
      </c>
      <c r="M3252" s="9">
        <v>44940</v>
      </c>
      <c r="N3252" s="10">
        <v>10</v>
      </c>
      <c r="O3252" s="9">
        <v>44950</v>
      </c>
      <c r="P3252">
        <v>6</v>
      </c>
      <c r="Q3252" s="11" t="s">
        <v>49</v>
      </c>
      <c r="R3252" s="7"/>
      <c r="S3252" s="7"/>
      <c r="T3252" s="7"/>
      <c r="U3252" s="7"/>
      <c r="V3252" s="10">
        <v>7.4496124031007751</v>
      </c>
      <c r="W3252" s="9">
        <v>44942</v>
      </c>
      <c r="X3252" s="10">
        <v>12</v>
      </c>
      <c r="Y3252" s="9">
        <v>44950</v>
      </c>
      <c r="Z3252">
        <v>6</v>
      </c>
      <c r="AA3252" s="11" t="s">
        <v>49</v>
      </c>
    </row>
    <row r="3253" spans="2:27" ht="16" x14ac:dyDescent="0.2">
      <c r="B3253" t="s">
        <v>35</v>
      </c>
      <c r="C3253">
        <v>40357866</v>
      </c>
      <c r="D3253" t="s">
        <v>423</v>
      </c>
      <c r="E3253">
        <v>1011127</v>
      </c>
      <c r="F3253" t="s">
        <v>228</v>
      </c>
      <c r="G3253" s="9">
        <v>44925</v>
      </c>
      <c r="H3253" s="7"/>
      <c r="I3253" s="7"/>
      <c r="J3253" s="7"/>
      <c r="K3253" s="7"/>
      <c r="L3253" s="10">
        <v>5.4496124031007751</v>
      </c>
      <c r="M3253" s="9">
        <v>44930</v>
      </c>
      <c r="N3253" s="10">
        <v>10</v>
      </c>
      <c r="O3253" s="9">
        <v>44940</v>
      </c>
      <c r="P3253">
        <v>14</v>
      </c>
      <c r="Q3253" s="11" t="s">
        <v>49</v>
      </c>
      <c r="R3253" s="7"/>
      <c r="S3253" s="7"/>
      <c r="T3253" s="7"/>
      <c r="U3253" s="7"/>
      <c r="V3253" s="10">
        <v>7.4496124031007751</v>
      </c>
      <c r="W3253" s="9">
        <v>44932</v>
      </c>
      <c r="X3253" s="10">
        <v>12</v>
      </c>
      <c r="Y3253" s="9">
        <v>44940</v>
      </c>
      <c r="Z3253">
        <v>14</v>
      </c>
      <c r="AA3253" s="11" t="s">
        <v>49</v>
      </c>
    </row>
    <row r="3254" spans="2:27" ht="16" x14ac:dyDescent="0.2">
      <c r="B3254" t="s">
        <v>35</v>
      </c>
      <c r="C3254">
        <v>40357865</v>
      </c>
      <c r="D3254" t="s">
        <v>423</v>
      </c>
      <c r="E3254">
        <v>1011127</v>
      </c>
      <c r="F3254" t="s">
        <v>228</v>
      </c>
      <c r="G3254" s="9">
        <v>44935</v>
      </c>
      <c r="H3254" s="7"/>
      <c r="I3254" s="7"/>
      <c r="J3254" s="7"/>
      <c r="K3254" s="7"/>
      <c r="L3254" s="10">
        <v>5.4496124031007751</v>
      </c>
      <c r="M3254" s="9">
        <v>44940</v>
      </c>
      <c r="N3254" s="10">
        <v>10</v>
      </c>
      <c r="O3254" s="9">
        <v>44950</v>
      </c>
      <c r="P3254">
        <v>6</v>
      </c>
      <c r="Q3254" s="11" t="s">
        <v>49</v>
      </c>
      <c r="R3254" s="7"/>
      <c r="S3254" s="7"/>
      <c r="T3254" s="7"/>
      <c r="U3254" s="7"/>
      <c r="V3254" s="10">
        <v>7.4496124031007751</v>
      </c>
      <c r="W3254" s="9">
        <v>44942</v>
      </c>
      <c r="X3254" s="10">
        <v>12</v>
      </c>
      <c r="Y3254" s="9">
        <v>44950</v>
      </c>
      <c r="Z3254">
        <v>6</v>
      </c>
      <c r="AA3254" s="11" t="s">
        <v>49</v>
      </c>
    </row>
    <row r="3255" spans="2:27" ht="16" x14ac:dyDescent="0.2">
      <c r="B3255" t="s">
        <v>35</v>
      </c>
      <c r="C3255">
        <v>40357864</v>
      </c>
      <c r="D3255" t="s">
        <v>423</v>
      </c>
      <c r="E3255">
        <v>1011127</v>
      </c>
      <c r="F3255" t="s">
        <v>228</v>
      </c>
      <c r="G3255" s="9">
        <v>44941</v>
      </c>
      <c r="H3255" s="7"/>
      <c r="I3255" s="7"/>
      <c r="J3255" s="7"/>
      <c r="K3255" s="7"/>
      <c r="L3255" s="10">
        <v>5.4496124031007751</v>
      </c>
      <c r="M3255" s="9">
        <v>44946</v>
      </c>
      <c r="N3255" s="10">
        <v>10</v>
      </c>
      <c r="O3255" s="9">
        <v>44956</v>
      </c>
      <c r="P3255">
        <v>1</v>
      </c>
      <c r="Q3255" s="11" t="s">
        <v>648</v>
      </c>
      <c r="R3255" s="7"/>
      <c r="S3255" s="7"/>
      <c r="T3255" s="7"/>
      <c r="U3255" s="7"/>
      <c r="V3255" s="10">
        <v>7.4496124031007751</v>
      </c>
      <c r="W3255" s="9">
        <v>44948</v>
      </c>
      <c r="X3255" s="10">
        <v>12</v>
      </c>
      <c r="Y3255" s="9">
        <v>44956</v>
      </c>
      <c r="Z3255">
        <v>1</v>
      </c>
      <c r="AA3255" s="11" t="s">
        <v>648</v>
      </c>
    </row>
    <row r="3256" spans="2:27" ht="16" x14ac:dyDescent="0.2">
      <c r="B3256" t="s">
        <v>35</v>
      </c>
      <c r="C3256">
        <v>40357863</v>
      </c>
      <c r="D3256" t="s">
        <v>423</v>
      </c>
      <c r="E3256">
        <v>1011127</v>
      </c>
      <c r="F3256" t="s">
        <v>228</v>
      </c>
      <c r="G3256" s="9">
        <v>44935</v>
      </c>
      <c r="H3256" s="7"/>
      <c r="I3256" s="7"/>
      <c r="J3256" s="7"/>
      <c r="K3256" s="7"/>
      <c r="L3256" s="10">
        <v>5.4496124031007751</v>
      </c>
      <c r="M3256" s="9">
        <v>44940</v>
      </c>
      <c r="N3256" s="10">
        <v>10</v>
      </c>
      <c r="O3256" s="9">
        <v>44950</v>
      </c>
      <c r="P3256">
        <v>6</v>
      </c>
      <c r="Q3256" s="11" t="s">
        <v>49</v>
      </c>
      <c r="R3256" s="7"/>
      <c r="S3256" s="7"/>
      <c r="T3256" s="7"/>
      <c r="U3256" s="7"/>
      <c r="V3256" s="10">
        <v>7.4496124031007751</v>
      </c>
      <c r="W3256" s="9">
        <v>44942</v>
      </c>
      <c r="X3256" s="10">
        <v>12</v>
      </c>
      <c r="Y3256" s="9">
        <v>44950</v>
      </c>
      <c r="Z3256">
        <v>6</v>
      </c>
      <c r="AA3256" s="11" t="s">
        <v>49</v>
      </c>
    </row>
    <row r="3257" spans="2:27" ht="16" x14ac:dyDescent="0.2">
      <c r="B3257" t="s">
        <v>35</v>
      </c>
      <c r="C3257">
        <v>40357862</v>
      </c>
      <c r="D3257" t="s">
        <v>423</v>
      </c>
      <c r="E3257">
        <v>1011127</v>
      </c>
      <c r="F3257" t="s">
        <v>228</v>
      </c>
      <c r="G3257" s="9">
        <v>44935</v>
      </c>
      <c r="H3257" s="7"/>
      <c r="I3257" s="7"/>
      <c r="J3257" s="7"/>
      <c r="K3257" s="7"/>
      <c r="L3257" s="10">
        <v>5.4496124031007751</v>
      </c>
      <c r="M3257" s="9">
        <v>44940</v>
      </c>
      <c r="N3257" s="10">
        <v>10</v>
      </c>
      <c r="O3257" s="9">
        <v>44950</v>
      </c>
      <c r="P3257">
        <v>6</v>
      </c>
      <c r="Q3257" s="11" t="s">
        <v>49</v>
      </c>
      <c r="R3257" s="7"/>
      <c r="S3257" s="7"/>
      <c r="T3257" s="7"/>
      <c r="U3257" s="7"/>
      <c r="V3257" s="10">
        <v>7.4496124031007751</v>
      </c>
      <c r="W3257" s="9">
        <v>44942</v>
      </c>
      <c r="X3257" s="10">
        <v>12</v>
      </c>
      <c r="Y3257" s="9">
        <v>44950</v>
      </c>
      <c r="Z3257">
        <v>6</v>
      </c>
      <c r="AA3257" s="11" t="s">
        <v>49</v>
      </c>
    </row>
    <row r="3258" spans="2:27" ht="16" x14ac:dyDescent="0.2">
      <c r="B3258" t="s">
        <v>35</v>
      </c>
      <c r="C3258">
        <v>40357861</v>
      </c>
      <c r="D3258" t="s">
        <v>423</v>
      </c>
      <c r="E3258">
        <v>1011127</v>
      </c>
      <c r="F3258" t="s">
        <v>228</v>
      </c>
      <c r="G3258" s="9">
        <v>44935</v>
      </c>
      <c r="H3258" s="7"/>
      <c r="I3258" s="7"/>
      <c r="J3258" s="7"/>
      <c r="K3258" s="7"/>
      <c r="L3258" s="10">
        <v>5.4496124031007751</v>
      </c>
      <c r="M3258" s="9">
        <v>44940</v>
      </c>
      <c r="N3258" s="10">
        <v>10</v>
      </c>
      <c r="O3258" s="9">
        <v>44950</v>
      </c>
      <c r="P3258">
        <v>6</v>
      </c>
      <c r="Q3258" s="11" t="s">
        <v>49</v>
      </c>
      <c r="R3258" s="7"/>
      <c r="S3258" s="7"/>
      <c r="T3258" s="7"/>
      <c r="U3258" s="7"/>
      <c r="V3258" s="10">
        <v>7.4496124031007751</v>
      </c>
      <c r="W3258" s="9">
        <v>44942</v>
      </c>
      <c r="X3258" s="10">
        <v>12</v>
      </c>
      <c r="Y3258" s="9">
        <v>44950</v>
      </c>
      <c r="Z3258">
        <v>6</v>
      </c>
      <c r="AA3258" s="11" t="s">
        <v>49</v>
      </c>
    </row>
    <row r="3259" spans="2:27" ht="16" x14ac:dyDescent="0.2">
      <c r="B3259" t="s">
        <v>35</v>
      </c>
      <c r="C3259">
        <v>40357860</v>
      </c>
      <c r="D3259" t="s">
        <v>423</v>
      </c>
      <c r="E3259">
        <v>1011127</v>
      </c>
      <c r="F3259" t="s">
        <v>228</v>
      </c>
      <c r="G3259" s="9">
        <v>44941</v>
      </c>
      <c r="H3259" s="7"/>
      <c r="I3259" s="7"/>
      <c r="J3259" s="7"/>
      <c r="K3259" s="7"/>
      <c r="L3259" s="10">
        <v>5.4496124031007751</v>
      </c>
      <c r="M3259" s="9">
        <v>44946</v>
      </c>
      <c r="N3259" s="10">
        <v>10</v>
      </c>
      <c r="O3259" s="9">
        <v>44956</v>
      </c>
      <c r="P3259">
        <v>1</v>
      </c>
      <c r="Q3259" s="11" t="s">
        <v>648</v>
      </c>
      <c r="R3259" s="7"/>
      <c r="S3259" s="7"/>
      <c r="T3259" s="7"/>
      <c r="U3259" s="7"/>
      <c r="V3259" s="10">
        <v>7.4496124031007751</v>
      </c>
      <c r="W3259" s="9">
        <v>44948</v>
      </c>
      <c r="X3259" s="10">
        <v>12</v>
      </c>
      <c r="Y3259" s="9">
        <v>44956</v>
      </c>
      <c r="Z3259">
        <v>1</v>
      </c>
      <c r="AA3259" s="11" t="s">
        <v>648</v>
      </c>
    </row>
    <row r="3260" spans="2:27" ht="16" x14ac:dyDescent="0.2">
      <c r="B3260" t="s">
        <v>35</v>
      </c>
      <c r="C3260">
        <v>40357859</v>
      </c>
      <c r="D3260" t="s">
        <v>423</v>
      </c>
      <c r="E3260">
        <v>1012725</v>
      </c>
      <c r="F3260" t="s">
        <v>154</v>
      </c>
      <c r="G3260" s="9">
        <v>44935</v>
      </c>
      <c r="H3260" s="7"/>
      <c r="I3260" s="7"/>
      <c r="J3260" s="7"/>
      <c r="K3260" s="7"/>
      <c r="L3260" s="10">
        <v>5.4496124031007751</v>
      </c>
      <c r="M3260" s="9">
        <v>44940</v>
      </c>
      <c r="N3260" s="10">
        <v>10</v>
      </c>
      <c r="O3260" s="9">
        <v>44950</v>
      </c>
      <c r="P3260">
        <v>6</v>
      </c>
      <c r="Q3260" s="11" t="s">
        <v>49</v>
      </c>
      <c r="R3260" s="7"/>
      <c r="S3260" s="7"/>
      <c r="T3260" s="7"/>
      <c r="U3260" s="7"/>
      <c r="V3260" s="10">
        <v>7.4496124031007751</v>
      </c>
      <c r="W3260" s="9">
        <v>44942</v>
      </c>
      <c r="X3260" s="10">
        <v>12</v>
      </c>
      <c r="Y3260" s="9">
        <v>44950</v>
      </c>
      <c r="Z3260">
        <v>6</v>
      </c>
      <c r="AA3260" s="11" t="s">
        <v>49</v>
      </c>
    </row>
    <row r="3261" spans="2:27" ht="16" x14ac:dyDescent="0.2">
      <c r="B3261" t="s">
        <v>35</v>
      </c>
      <c r="C3261">
        <v>40357855</v>
      </c>
      <c r="D3261" t="s">
        <v>423</v>
      </c>
      <c r="E3261">
        <v>1012278</v>
      </c>
      <c r="F3261" t="s">
        <v>230</v>
      </c>
      <c r="G3261" s="9">
        <v>44941</v>
      </c>
      <c r="H3261" s="7"/>
      <c r="I3261" s="7"/>
      <c r="J3261" s="7"/>
      <c r="K3261" s="7"/>
      <c r="L3261" s="10">
        <v>5.4496124031007751</v>
      </c>
      <c r="M3261" s="9">
        <v>44946</v>
      </c>
      <c r="N3261" s="10">
        <v>10</v>
      </c>
      <c r="O3261" s="9">
        <v>44956</v>
      </c>
      <c r="P3261">
        <v>1</v>
      </c>
      <c r="Q3261" s="11" t="s">
        <v>648</v>
      </c>
      <c r="R3261" s="7"/>
      <c r="S3261" s="7"/>
      <c r="T3261" s="7"/>
      <c r="U3261" s="7"/>
      <c r="V3261" s="10">
        <v>7.4496124031007751</v>
      </c>
      <c r="W3261" s="9">
        <v>44948</v>
      </c>
      <c r="X3261" s="10">
        <v>12</v>
      </c>
      <c r="Y3261" s="9">
        <v>44956</v>
      </c>
      <c r="Z3261">
        <v>1</v>
      </c>
      <c r="AA3261" s="11" t="s">
        <v>648</v>
      </c>
    </row>
    <row r="3262" spans="2:27" ht="16" x14ac:dyDescent="0.2">
      <c r="B3262" t="s">
        <v>35</v>
      </c>
      <c r="C3262">
        <v>40357854</v>
      </c>
      <c r="D3262" t="s">
        <v>423</v>
      </c>
      <c r="E3262">
        <v>1012278</v>
      </c>
      <c r="F3262" t="s">
        <v>230</v>
      </c>
      <c r="G3262" s="9">
        <v>44935</v>
      </c>
      <c r="H3262" s="7"/>
      <c r="I3262" s="7"/>
      <c r="J3262" s="7"/>
      <c r="K3262" s="7"/>
      <c r="L3262" s="10">
        <v>5.4496124031007751</v>
      </c>
      <c r="M3262" s="9">
        <v>44940</v>
      </c>
      <c r="N3262" s="10">
        <v>10</v>
      </c>
      <c r="O3262" s="9">
        <v>44950</v>
      </c>
      <c r="P3262">
        <v>6</v>
      </c>
      <c r="Q3262" s="11" t="s">
        <v>49</v>
      </c>
      <c r="R3262" s="7"/>
      <c r="S3262" s="7"/>
      <c r="T3262" s="7"/>
      <c r="U3262" s="7"/>
      <c r="V3262" s="10">
        <v>7.4496124031007751</v>
      </c>
      <c r="W3262" s="9">
        <v>44942</v>
      </c>
      <c r="X3262" s="10">
        <v>12</v>
      </c>
      <c r="Y3262" s="9">
        <v>44950</v>
      </c>
      <c r="Z3262">
        <v>6</v>
      </c>
      <c r="AA3262" s="11" t="s">
        <v>49</v>
      </c>
    </row>
    <row r="3263" spans="2:27" ht="16" x14ac:dyDescent="0.2">
      <c r="B3263" t="s">
        <v>35</v>
      </c>
      <c r="C3263">
        <v>40357853</v>
      </c>
      <c r="D3263" t="s">
        <v>423</v>
      </c>
      <c r="E3263">
        <v>1012278</v>
      </c>
      <c r="F3263" t="s">
        <v>230</v>
      </c>
      <c r="G3263" s="9">
        <v>44935</v>
      </c>
      <c r="H3263" s="7"/>
      <c r="I3263" s="7"/>
      <c r="J3263" s="7"/>
      <c r="K3263" s="7"/>
      <c r="L3263" s="10">
        <v>5.4496124031007751</v>
      </c>
      <c r="M3263" s="9">
        <v>44940</v>
      </c>
      <c r="N3263" s="10">
        <v>10</v>
      </c>
      <c r="O3263" s="9">
        <v>44950</v>
      </c>
      <c r="P3263">
        <v>6</v>
      </c>
      <c r="Q3263" s="11" t="s">
        <v>49</v>
      </c>
      <c r="R3263" s="7"/>
      <c r="S3263" s="7"/>
      <c r="T3263" s="7"/>
      <c r="U3263" s="7"/>
      <c r="V3263" s="10">
        <v>7.4496124031007751</v>
      </c>
      <c r="W3263" s="9">
        <v>44942</v>
      </c>
      <c r="X3263" s="10">
        <v>12</v>
      </c>
      <c r="Y3263" s="9">
        <v>44950</v>
      </c>
      <c r="Z3263">
        <v>6</v>
      </c>
      <c r="AA3263" s="11" t="s">
        <v>49</v>
      </c>
    </row>
    <row r="3264" spans="2:27" ht="16" x14ac:dyDescent="0.2">
      <c r="B3264" t="s">
        <v>35</v>
      </c>
      <c r="C3264">
        <v>40357851</v>
      </c>
      <c r="D3264" t="s">
        <v>423</v>
      </c>
      <c r="E3264">
        <v>1012278</v>
      </c>
      <c r="F3264" t="s">
        <v>230</v>
      </c>
      <c r="G3264" s="9">
        <v>44941</v>
      </c>
      <c r="H3264" s="7"/>
      <c r="I3264" s="7"/>
      <c r="J3264" s="7"/>
      <c r="K3264" s="7"/>
      <c r="L3264" s="10">
        <v>5.4496124031007751</v>
      </c>
      <c r="M3264" s="9">
        <v>44946</v>
      </c>
      <c r="N3264" s="10">
        <v>10</v>
      </c>
      <c r="O3264" s="9">
        <v>44956</v>
      </c>
      <c r="P3264">
        <v>1</v>
      </c>
      <c r="Q3264" s="11" t="s">
        <v>648</v>
      </c>
      <c r="R3264" s="7"/>
      <c r="S3264" s="7"/>
      <c r="T3264" s="7"/>
      <c r="U3264" s="7"/>
      <c r="V3264" s="10">
        <v>7.4496124031007751</v>
      </c>
      <c r="W3264" s="9">
        <v>44948</v>
      </c>
      <c r="X3264" s="10">
        <v>12</v>
      </c>
      <c r="Y3264" s="9">
        <v>44956</v>
      </c>
      <c r="Z3264">
        <v>1</v>
      </c>
      <c r="AA3264" s="11" t="s">
        <v>648</v>
      </c>
    </row>
    <row r="3265" spans="2:27" ht="16" x14ac:dyDescent="0.2">
      <c r="B3265" t="s">
        <v>35</v>
      </c>
      <c r="C3265">
        <v>40357850</v>
      </c>
      <c r="D3265" t="s">
        <v>423</v>
      </c>
      <c r="E3265">
        <v>1012278</v>
      </c>
      <c r="F3265" t="s">
        <v>230</v>
      </c>
      <c r="G3265" s="9">
        <v>44935</v>
      </c>
      <c r="H3265" s="7"/>
      <c r="I3265" s="7"/>
      <c r="J3265" s="7"/>
      <c r="K3265" s="7"/>
      <c r="L3265" s="10">
        <v>5.4496124031007751</v>
      </c>
      <c r="M3265" s="9">
        <v>44940</v>
      </c>
      <c r="N3265" s="10">
        <v>10</v>
      </c>
      <c r="O3265" s="9">
        <v>44950</v>
      </c>
      <c r="P3265">
        <v>6</v>
      </c>
      <c r="Q3265" s="11" t="s">
        <v>49</v>
      </c>
      <c r="R3265" s="7"/>
      <c r="S3265" s="7"/>
      <c r="T3265" s="7"/>
      <c r="U3265" s="7"/>
      <c r="V3265" s="10">
        <v>7.4496124031007751</v>
      </c>
      <c r="W3265" s="9">
        <v>44942</v>
      </c>
      <c r="X3265" s="10">
        <v>12</v>
      </c>
      <c r="Y3265" s="9">
        <v>44950</v>
      </c>
      <c r="Z3265">
        <v>6</v>
      </c>
      <c r="AA3265" s="11" t="s">
        <v>49</v>
      </c>
    </row>
    <row r="3266" spans="2:27" ht="16" x14ac:dyDescent="0.2">
      <c r="B3266" t="s">
        <v>35</v>
      </c>
      <c r="C3266">
        <v>40357849</v>
      </c>
      <c r="D3266" t="s">
        <v>423</v>
      </c>
      <c r="E3266">
        <v>1012278</v>
      </c>
      <c r="F3266" t="s">
        <v>230</v>
      </c>
      <c r="G3266" s="9">
        <v>44935</v>
      </c>
      <c r="H3266" s="7"/>
      <c r="I3266" s="7"/>
      <c r="J3266" s="7"/>
      <c r="K3266" s="7"/>
      <c r="L3266" s="10">
        <v>5.4496124031007751</v>
      </c>
      <c r="M3266" s="9">
        <v>44940</v>
      </c>
      <c r="N3266" s="10">
        <v>10</v>
      </c>
      <c r="O3266" s="9">
        <v>44950</v>
      </c>
      <c r="P3266">
        <v>6</v>
      </c>
      <c r="Q3266" s="11" t="s">
        <v>49</v>
      </c>
      <c r="R3266" s="7"/>
      <c r="S3266" s="7"/>
      <c r="T3266" s="7"/>
      <c r="U3266" s="7"/>
      <c r="V3266" s="10">
        <v>7.4496124031007751</v>
      </c>
      <c r="W3266" s="9">
        <v>44942</v>
      </c>
      <c r="X3266" s="10">
        <v>12</v>
      </c>
      <c r="Y3266" s="9">
        <v>44950</v>
      </c>
      <c r="Z3266">
        <v>6</v>
      </c>
      <c r="AA3266" s="11" t="s">
        <v>49</v>
      </c>
    </row>
    <row r="3267" spans="2:27" x14ac:dyDescent="0.2">
      <c r="B3267" t="s">
        <v>394</v>
      </c>
      <c r="C3267">
        <v>40357827</v>
      </c>
      <c r="D3267" t="s">
        <v>485</v>
      </c>
      <c r="E3267">
        <v>1011421</v>
      </c>
      <c r="F3267" t="s">
        <v>484</v>
      </c>
      <c r="G3267" s="9">
        <v>44934</v>
      </c>
      <c r="H3267" s="7"/>
      <c r="I3267" s="7"/>
      <c r="J3267" s="7"/>
      <c r="K3267" s="7"/>
      <c r="L3267" s="10"/>
      <c r="N3267" s="10"/>
      <c r="Q3267" s="11"/>
      <c r="R3267" s="7"/>
      <c r="S3267" s="7"/>
      <c r="T3267" s="7"/>
      <c r="U3267" s="7"/>
      <c r="V3267" s="10"/>
      <c r="X3267" s="10"/>
      <c r="AA3267" s="11"/>
    </row>
    <row r="3268" spans="2:27" x14ac:dyDescent="0.2">
      <c r="B3268" t="s">
        <v>394</v>
      </c>
      <c r="C3268">
        <v>40357826</v>
      </c>
      <c r="D3268" t="s">
        <v>485</v>
      </c>
      <c r="E3268">
        <v>1011421</v>
      </c>
      <c r="F3268" t="s">
        <v>484</v>
      </c>
      <c r="G3268" s="9">
        <v>44934</v>
      </c>
      <c r="H3268" s="7"/>
      <c r="I3268" s="7"/>
      <c r="J3268" s="7"/>
      <c r="K3268" s="7"/>
      <c r="L3268" s="10"/>
      <c r="N3268" s="10"/>
      <c r="Q3268" s="11"/>
      <c r="R3268" s="7"/>
      <c r="S3268" s="7"/>
      <c r="T3268" s="7"/>
      <c r="U3268" s="7"/>
      <c r="V3268" s="10"/>
      <c r="X3268" s="10"/>
      <c r="AA3268" s="11"/>
    </row>
    <row r="3269" spans="2:27" x14ac:dyDescent="0.2">
      <c r="B3269" t="s">
        <v>394</v>
      </c>
      <c r="C3269">
        <v>40357825</v>
      </c>
      <c r="D3269" t="s">
        <v>485</v>
      </c>
      <c r="E3269">
        <v>1011421</v>
      </c>
      <c r="F3269" t="s">
        <v>484</v>
      </c>
      <c r="G3269" s="9">
        <v>44935</v>
      </c>
      <c r="H3269" s="7"/>
      <c r="I3269" s="7"/>
      <c r="J3269" s="7"/>
      <c r="K3269" s="7"/>
      <c r="L3269" s="10"/>
      <c r="N3269" s="10"/>
      <c r="Q3269" s="11"/>
      <c r="R3269" s="7"/>
      <c r="S3269" s="7"/>
      <c r="T3269" s="7"/>
      <c r="U3269" s="7"/>
      <c r="V3269" s="10"/>
      <c r="X3269" s="10"/>
      <c r="AA3269" s="11"/>
    </row>
    <row r="3270" spans="2:27" x14ac:dyDescent="0.2">
      <c r="B3270" t="s">
        <v>394</v>
      </c>
      <c r="C3270">
        <v>40357824</v>
      </c>
      <c r="D3270" t="s">
        <v>485</v>
      </c>
      <c r="E3270">
        <v>1012556</v>
      </c>
      <c r="F3270" t="s">
        <v>489</v>
      </c>
      <c r="G3270" s="9">
        <v>44927</v>
      </c>
      <c r="H3270" s="7"/>
      <c r="I3270" s="7"/>
      <c r="J3270" s="7"/>
      <c r="K3270" s="7"/>
      <c r="L3270" s="10"/>
      <c r="N3270" s="10"/>
      <c r="Q3270" s="11"/>
      <c r="R3270" s="7"/>
      <c r="S3270" s="7"/>
      <c r="T3270" s="7"/>
      <c r="U3270" s="7"/>
      <c r="V3270" s="10"/>
      <c r="X3270" s="10"/>
      <c r="AA3270" s="11"/>
    </row>
    <row r="3271" spans="2:27" x14ac:dyDescent="0.2">
      <c r="B3271" t="s">
        <v>394</v>
      </c>
      <c r="C3271">
        <v>40357823</v>
      </c>
      <c r="D3271" t="s">
        <v>485</v>
      </c>
      <c r="E3271">
        <v>1012556</v>
      </c>
      <c r="F3271" t="s">
        <v>489</v>
      </c>
      <c r="G3271" s="9">
        <v>44927</v>
      </c>
      <c r="H3271" s="7"/>
      <c r="I3271" s="7"/>
      <c r="J3271" s="7"/>
      <c r="K3271" s="7"/>
      <c r="L3271" s="10"/>
      <c r="N3271" s="10"/>
      <c r="Q3271" s="11"/>
      <c r="R3271" s="7"/>
      <c r="S3271" s="7"/>
      <c r="T3271" s="7"/>
      <c r="U3271" s="7"/>
      <c r="V3271" s="10"/>
      <c r="X3271" s="10"/>
      <c r="AA3271" s="11"/>
    </row>
    <row r="3272" spans="2:27" x14ac:dyDescent="0.2">
      <c r="B3272" t="s">
        <v>394</v>
      </c>
      <c r="C3272">
        <v>40357822</v>
      </c>
      <c r="D3272" t="s">
        <v>485</v>
      </c>
      <c r="E3272">
        <v>1012556</v>
      </c>
      <c r="F3272" t="s">
        <v>489</v>
      </c>
      <c r="G3272" s="9">
        <v>44927</v>
      </c>
      <c r="H3272" s="7"/>
      <c r="I3272" s="7"/>
      <c r="J3272" s="7"/>
      <c r="K3272" s="7"/>
      <c r="L3272" s="10"/>
      <c r="N3272" s="10"/>
      <c r="Q3272" s="11"/>
      <c r="R3272" s="7"/>
      <c r="S3272" s="7"/>
      <c r="T3272" s="7"/>
      <c r="U3272" s="7"/>
      <c r="V3272" s="10"/>
      <c r="X3272" s="10"/>
      <c r="AA3272" s="11"/>
    </row>
    <row r="3273" spans="2:27" x14ac:dyDescent="0.2">
      <c r="B3273" t="s">
        <v>394</v>
      </c>
      <c r="C3273">
        <v>40357821</v>
      </c>
      <c r="D3273" t="s">
        <v>485</v>
      </c>
      <c r="E3273">
        <v>1012556</v>
      </c>
      <c r="F3273" t="s">
        <v>489</v>
      </c>
      <c r="G3273" s="9">
        <v>44926</v>
      </c>
      <c r="H3273" s="7"/>
      <c r="I3273" s="7"/>
      <c r="J3273" s="7"/>
      <c r="K3273" s="7"/>
      <c r="L3273" s="10"/>
      <c r="N3273" s="10"/>
      <c r="Q3273" s="11"/>
      <c r="R3273" s="7"/>
      <c r="S3273" s="7"/>
      <c r="T3273" s="7"/>
      <c r="U3273" s="7"/>
      <c r="V3273" s="10"/>
      <c r="X3273" s="10"/>
      <c r="AA3273" s="11"/>
    </row>
    <row r="3274" spans="2:27" x14ac:dyDescent="0.2">
      <c r="B3274" t="s">
        <v>394</v>
      </c>
      <c r="C3274">
        <v>40357820</v>
      </c>
      <c r="D3274" t="s">
        <v>485</v>
      </c>
      <c r="E3274">
        <v>1020660</v>
      </c>
      <c r="F3274" t="s">
        <v>595</v>
      </c>
      <c r="G3274" s="9">
        <v>44940</v>
      </c>
      <c r="H3274" s="7"/>
      <c r="I3274" s="7"/>
      <c r="J3274" s="7"/>
      <c r="K3274" s="7"/>
      <c r="L3274" s="10"/>
      <c r="N3274" s="10"/>
      <c r="Q3274" s="11"/>
      <c r="R3274" s="7"/>
      <c r="S3274" s="7"/>
      <c r="T3274" s="7"/>
      <c r="U3274" s="7"/>
      <c r="V3274" s="10"/>
      <c r="X3274" s="10"/>
      <c r="AA3274" s="11"/>
    </row>
    <row r="3275" spans="2:27" x14ac:dyDescent="0.2">
      <c r="B3275" t="s">
        <v>394</v>
      </c>
      <c r="C3275">
        <v>40357816</v>
      </c>
      <c r="D3275" t="s">
        <v>485</v>
      </c>
      <c r="E3275">
        <v>1021078</v>
      </c>
      <c r="F3275" t="s">
        <v>536</v>
      </c>
      <c r="G3275" s="9">
        <v>44941</v>
      </c>
      <c r="H3275" s="7"/>
      <c r="I3275" s="7"/>
      <c r="J3275" s="7"/>
      <c r="K3275" s="7"/>
      <c r="L3275" s="10"/>
      <c r="N3275" s="10"/>
      <c r="Q3275" s="11"/>
      <c r="R3275" s="7"/>
      <c r="S3275" s="7"/>
      <c r="T3275" s="7"/>
      <c r="U3275" s="7"/>
      <c r="V3275" s="10"/>
      <c r="X3275" s="10"/>
      <c r="AA3275" s="11"/>
    </row>
    <row r="3276" spans="2:27" x14ac:dyDescent="0.2">
      <c r="B3276" t="s">
        <v>394</v>
      </c>
      <c r="C3276">
        <v>40357816</v>
      </c>
      <c r="D3276" t="s">
        <v>485</v>
      </c>
      <c r="E3276">
        <v>1021078</v>
      </c>
      <c r="F3276" t="s">
        <v>536</v>
      </c>
      <c r="G3276" s="9">
        <v>44941</v>
      </c>
      <c r="H3276" s="7"/>
      <c r="I3276" s="7"/>
      <c r="J3276" s="7"/>
      <c r="K3276" s="7"/>
      <c r="L3276" s="10"/>
      <c r="N3276" s="10"/>
      <c r="Q3276" s="11"/>
      <c r="R3276" s="7"/>
      <c r="S3276" s="7"/>
      <c r="T3276" s="7"/>
      <c r="U3276" s="7"/>
      <c r="V3276" s="10"/>
      <c r="X3276" s="10"/>
      <c r="AA3276" s="11"/>
    </row>
    <row r="3277" spans="2:27" x14ac:dyDescent="0.2">
      <c r="B3277" t="s">
        <v>394</v>
      </c>
      <c r="C3277">
        <v>40357815</v>
      </c>
      <c r="D3277" t="s">
        <v>485</v>
      </c>
      <c r="E3277">
        <v>1021078</v>
      </c>
      <c r="F3277" t="s">
        <v>536</v>
      </c>
      <c r="G3277" s="9">
        <v>44941</v>
      </c>
      <c r="H3277" s="7"/>
      <c r="I3277" s="7"/>
      <c r="J3277" s="7"/>
      <c r="K3277" s="7"/>
      <c r="L3277" s="10"/>
      <c r="N3277" s="10"/>
      <c r="Q3277" s="11"/>
      <c r="R3277" s="7"/>
      <c r="S3277" s="7"/>
      <c r="T3277" s="7"/>
      <c r="U3277" s="7"/>
      <c r="V3277" s="10"/>
      <c r="X3277" s="10"/>
      <c r="AA3277" s="11"/>
    </row>
    <row r="3278" spans="2:27" x14ac:dyDescent="0.2">
      <c r="B3278" t="s">
        <v>394</v>
      </c>
      <c r="C3278">
        <v>40357793</v>
      </c>
      <c r="D3278" t="s">
        <v>485</v>
      </c>
      <c r="E3278">
        <v>1021385</v>
      </c>
      <c r="F3278" t="s">
        <v>495</v>
      </c>
      <c r="G3278" s="9">
        <v>44926</v>
      </c>
      <c r="H3278" s="7"/>
      <c r="I3278" s="7"/>
      <c r="J3278" s="7"/>
      <c r="K3278" s="7"/>
      <c r="L3278" s="10"/>
      <c r="N3278" s="10"/>
      <c r="Q3278" s="11"/>
      <c r="R3278" s="7"/>
      <c r="S3278" s="7"/>
      <c r="T3278" s="7"/>
      <c r="U3278" s="7"/>
      <c r="V3278" s="10"/>
      <c r="X3278" s="10"/>
      <c r="AA3278" s="11"/>
    </row>
    <row r="3279" spans="2:27" x14ac:dyDescent="0.2">
      <c r="B3279" t="s">
        <v>394</v>
      </c>
      <c r="C3279">
        <v>40357791</v>
      </c>
      <c r="D3279" t="s">
        <v>485</v>
      </c>
      <c r="E3279">
        <v>1020848</v>
      </c>
      <c r="F3279" t="s">
        <v>503</v>
      </c>
      <c r="G3279" s="9">
        <v>44933</v>
      </c>
      <c r="H3279" s="7"/>
      <c r="I3279" s="7"/>
      <c r="J3279" s="7"/>
      <c r="K3279" s="7"/>
      <c r="L3279" s="10"/>
      <c r="N3279" s="10"/>
      <c r="Q3279" s="11"/>
      <c r="R3279" s="7"/>
      <c r="S3279" s="7"/>
      <c r="T3279" s="7"/>
      <c r="U3279" s="7"/>
      <c r="V3279" s="10"/>
      <c r="X3279" s="10"/>
      <c r="AA3279" s="11"/>
    </row>
    <row r="3280" spans="2:27" x14ac:dyDescent="0.2">
      <c r="B3280" t="s">
        <v>394</v>
      </c>
      <c r="C3280">
        <v>40357791</v>
      </c>
      <c r="D3280" t="s">
        <v>485</v>
      </c>
      <c r="E3280">
        <v>1020886</v>
      </c>
      <c r="F3280" t="s">
        <v>609</v>
      </c>
      <c r="G3280" s="9">
        <v>44933</v>
      </c>
      <c r="H3280" s="7"/>
      <c r="I3280" s="7"/>
      <c r="J3280" s="7"/>
      <c r="K3280" s="7"/>
      <c r="L3280" s="10"/>
      <c r="N3280" s="10"/>
      <c r="Q3280" s="11"/>
      <c r="R3280" s="7"/>
      <c r="S3280" s="7"/>
      <c r="T3280" s="7"/>
      <c r="U3280" s="7"/>
      <c r="V3280" s="10"/>
      <c r="X3280" s="10"/>
      <c r="AA3280" s="11"/>
    </row>
    <row r="3281" spans="2:27" x14ac:dyDescent="0.2">
      <c r="B3281" t="s">
        <v>394</v>
      </c>
      <c r="C3281">
        <v>40357790</v>
      </c>
      <c r="D3281" t="s">
        <v>485</v>
      </c>
      <c r="E3281">
        <v>1010877</v>
      </c>
      <c r="F3281" t="s">
        <v>502</v>
      </c>
      <c r="G3281" s="9">
        <v>44928</v>
      </c>
      <c r="H3281" s="7"/>
      <c r="I3281" s="7"/>
      <c r="J3281" s="7"/>
      <c r="K3281" s="7"/>
      <c r="L3281" s="10"/>
      <c r="N3281" s="10"/>
      <c r="Q3281" s="11"/>
      <c r="R3281" s="7"/>
      <c r="S3281" s="7"/>
      <c r="T3281" s="7"/>
      <c r="U3281" s="7"/>
      <c r="V3281" s="10"/>
      <c r="X3281" s="10"/>
      <c r="AA3281" s="11"/>
    </row>
    <row r="3282" spans="2:27" x14ac:dyDescent="0.2">
      <c r="B3282" t="s">
        <v>394</v>
      </c>
      <c r="C3282">
        <v>40357789</v>
      </c>
      <c r="D3282" t="s">
        <v>485</v>
      </c>
      <c r="E3282">
        <v>1010877</v>
      </c>
      <c r="F3282" t="s">
        <v>502</v>
      </c>
      <c r="G3282" s="9">
        <v>44933</v>
      </c>
      <c r="H3282" s="7"/>
      <c r="I3282" s="7"/>
      <c r="J3282" s="7"/>
      <c r="K3282" s="7"/>
      <c r="L3282" s="10"/>
      <c r="N3282" s="10"/>
      <c r="Q3282" s="11"/>
      <c r="R3282" s="7"/>
      <c r="S3282" s="7"/>
      <c r="T3282" s="7"/>
      <c r="U3282" s="7"/>
      <c r="V3282" s="10"/>
      <c r="X3282" s="10"/>
      <c r="AA3282" s="11"/>
    </row>
    <row r="3283" spans="2:27" x14ac:dyDescent="0.2">
      <c r="B3283" t="s">
        <v>394</v>
      </c>
      <c r="C3283">
        <v>40357787</v>
      </c>
      <c r="D3283" t="s">
        <v>485</v>
      </c>
      <c r="E3283">
        <v>1030817</v>
      </c>
      <c r="F3283" t="s">
        <v>504</v>
      </c>
      <c r="G3283" s="9">
        <v>44933</v>
      </c>
      <c r="H3283" s="7"/>
      <c r="I3283" s="7"/>
      <c r="J3283" s="7"/>
      <c r="K3283" s="7"/>
      <c r="L3283" s="10"/>
      <c r="N3283" s="10"/>
      <c r="Q3283" s="11"/>
      <c r="R3283" s="7"/>
      <c r="S3283" s="7"/>
      <c r="T3283" s="7"/>
      <c r="U3283" s="7"/>
      <c r="V3283" s="10"/>
      <c r="X3283" s="10"/>
      <c r="AA3283" s="11"/>
    </row>
    <row r="3284" spans="2:27" x14ac:dyDescent="0.2">
      <c r="B3284" t="s">
        <v>394</v>
      </c>
      <c r="C3284">
        <v>40357786</v>
      </c>
      <c r="D3284" t="s">
        <v>485</v>
      </c>
      <c r="E3284">
        <v>1030817</v>
      </c>
      <c r="F3284" t="s">
        <v>504</v>
      </c>
      <c r="G3284" s="9">
        <v>44932</v>
      </c>
      <c r="H3284" s="7"/>
      <c r="I3284" s="7"/>
      <c r="J3284" s="7"/>
      <c r="K3284" s="7"/>
      <c r="L3284" s="10"/>
      <c r="N3284" s="10"/>
      <c r="Q3284" s="11"/>
      <c r="R3284" s="7"/>
      <c r="S3284" s="7"/>
      <c r="T3284" s="7"/>
      <c r="U3284" s="7"/>
      <c r="V3284" s="10"/>
      <c r="X3284" s="10"/>
      <c r="AA3284" s="11"/>
    </row>
    <row r="3285" spans="2:27" ht="16" x14ac:dyDescent="0.2">
      <c r="B3285" t="s">
        <v>35</v>
      </c>
      <c r="C3285">
        <v>40357740</v>
      </c>
      <c r="D3285" t="s">
        <v>423</v>
      </c>
      <c r="E3285">
        <v>1011748</v>
      </c>
      <c r="F3285" t="s">
        <v>482</v>
      </c>
      <c r="G3285" s="9">
        <v>44935</v>
      </c>
      <c r="H3285" s="7"/>
      <c r="I3285" s="7"/>
      <c r="J3285" s="7"/>
      <c r="K3285" s="7"/>
      <c r="L3285" s="10">
        <v>5.4496124031007751</v>
      </c>
      <c r="M3285" s="9">
        <v>44940</v>
      </c>
      <c r="N3285" s="10">
        <v>10</v>
      </c>
      <c r="O3285" s="9">
        <v>44950</v>
      </c>
      <c r="P3285">
        <v>6</v>
      </c>
      <c r="Q3285" s="11" t="s">
        <v>49</v>
      </c>
      <c r="R3285" s="7"/>
      <c r="S3285" s="7"/>
      <c r="T3285" s="7"/>
      <c r="U3285" s="7"/>
      <c r="V3285" s="10">
        <v>7.4496124031007751</v>
      </c>
      <c r="W3285" s="9">
        <v>44942</v>
      </c>
      <c r="X3285" s="10">
        <v>12</v>
      </c>
      <c r="Y3285" s="9">
        <v>44950</v>
      </c>
      <c r="Z3285">
        <v>6</v>
      </c>
      <c r="AA3285" s="11" t="s">
        <v>49</v>
      </c>
    </row>
    <row r="3286" spans="2:27" ht="16" x14ac:dyDescent="0.2">
      <c r="B3286" t="s">
        <v>35</v>
      </c>
      <c r="C3286">
        <v>40357718</v>
      </c>
      <c r="D3286" t="s">
        <v>386</v>
      </c>
      <c r="E3286">
        <v>1030355</v>
      </c>
      <c r="F3286" t="s">
        <v>385</v>
      </c>
      <c r="G3286" s="9">
        <v>44996</v>
      </c>
      <c r="H3286" s="7">
        <v>24000</v>
      </c>
      <c r="I3286" s="7"/>
      <c r="J3286" s="7"/>
      <c r="K3286" s="7"/>
      <c r="L3286" s="10">
        <v>5.1420118343195256</v>
      </c>
      <c r="M3286" s="9">
        <v>45001</v>
      </c>
      <c r="N3286" s="10">
        <v>7.5</v>
      </c>
      <c r="O3286" s="9">
        <v>45008</v>
      </c>
      <c r="P3286">
        <v>7</v>
      </c>
      <c r="Q3286" s="11" t="s">
        <v>49</v>
      </c>
      <c r="R3286" s="7">
        <v>24000</v>
      </c>
      <c r="S3286" s="7"/>
      <c r="T3286" s="7"/>
      <c r="U3286" s="7"/>
      <c r="V3286" s="10">
        <v>7.1420118343195256</v>
      </c>
      <c r="W3286" s="9">
        <v>45003</v>
      </c>
      <c r="X3286" s="10">
        <v>9.5</v>
      </c>
      <c r="Y3286" s="9">
        <v>45008</v>
      </c>
      <c r="Z3286">
        <v>7</v>
      </c>
      <c r="AA3286" s="11" t="s">
        <v>49</v>
      </c>
    </row>
    <row r="3287" spans="2:27" ht="16" x14ac:dyDescent="0.2">
      <c r="B3287" t="s">
        <v>35</v>
      </c>
      <c r="C3287">
        <v>40357635</v>
      </c>
      <c r="D3287" t="s">
        <v>389</v>
      </c>
      <c r="E3287">
        <v>1022851</v>
      </c>
      <c r="F3287" t="s">
        <v>322</v>
      </c>
      <c r="G3287" s="9">
        <v>44956</v>
      </c>
      <c r="H3287" s="7"/>
      <c r="I3287" s="7"/>
      <c r="J3287" s="7"/>
      <c r="K3287" s="7"/>
      <c r="L3287" s="10">
        <v>5.5741092456127026</v>
      </c>
      <c r="M3287" s="9">
        <v>44961</v>
      </c>
      <c r="N3287" s="10">
        <v>5.5</v>
      </c>
      <c r="O3287" s="9">
        <v>44966</v>
      </c>
      <c r="P3287">
        <v>16</v>
      </c>
      <c r="Q3287" s="11" t="s">
        <v>49</v>
      </c>
      <c r="R3287" s="7"/>
      <c r="S3287" s="7"/>
      <c r="T3287" s="7"/>
      <c r="U3287" s="7"/>
      <c r="V3287" s="10">
        <v>7.5741092456127026</v>
      </c>
      <c r="W3287" s="9">
        <v>44963</v>
      </c>
      <c r="X3287" s="10">
        <v>7.5</v>
      </c>
      <c r="Y3287" s="9">
        <v>44966</v>
      </c>
      <c r="Z3287">
        <v>16</v>
      </c>
      <c r="AA3287" s="11" t="s">
        <v>49</v>
      </c>
    </row>
    <row r="3288" spans="2:27" ht="16" x14ac:dyDescent="0.2">
      <c r="B3288" t="s">
        <v>35</v>
      </c>
      <c r="C3288">
        <v>40357634</v>
      </c>
      <c r="D3288" t="s">
        <v>389</v>
      </c>
      <c r="E3288">
        <v>1022851</v>
      </c>
      <c r="F3288" t="s">
        <v>322</v>
      </c>
      <c r="G3288" s="9">
        <v>44960</v>
      </c>
      <c r="H3288" s="7"/>
      <c r="I3288" s="7"/>
      <c r="J3288" s="7"/>
      <c r="K3288" s="7"/>
      <c r="L3288" s="10">
        <v>5.5741092456127026</v>
      </c>
      <c r="M3288" s="9">
        <v>44965</v>
      </c>
      <c r="N3288" s="10">
        <v>5.5</v>
      </c>
      <c r="O3288" s="9">
        <v>44970</v>
      </c>
      <c r="P3288">
        <v>13</v>
      </c>
      <c r="Q3288" s="11" t="s">
        <v>49</v>
      </c>
      <c r="R3288" s="7"/>
      <c r="S3288" s="7"/>
      <c r="T3288" s="7"/>
      <c r="U3288" s="7"/>
      <c r="V3288" s="10">
        <v>7.5741092456127026</v>
      </c>
      <c r="W3288" s="9">
        <v>44967</v>
      </c>
      <c r="X3288" s="10">
        <v>7.5</v>
      </c>
      <c r="Y3288" s="9">
        <v>44970</v>
      </c>
      <c r="Z3288">
        <v>13</v>
      </c>
      <c r="AA3288" s="11" t="s">
        <v>49</v>
      </c>
    </row>
    <row r="3289" spans="2:27" ht="16" x14ac:dyDescent="0.2">
      <c r="B3289" t="s">
        <v>35</v>
      </c>
      <c r="C3289">
        <v>40357623</v>
      </c>
      <c r="D3289" t="s">
        <v>389</v>
      </c>
      <c r="E3289">
        <v>1030685</v>
      </c>
      <c r="F3289" t="s">
        <v>413</v>
      </c>
      <c r="G3289" s="9">
        <v>44962</v>
      </c>
      <c r="H3289" s="7"/>
      <c r="I3289" s="7"/>
      <c r="J3289" s="7"/>
      <c r="K3289" s="7"/>
      <c r="L3289" s="10">
        <v>5.5741092456127026</v>
      </c>
      <c r="M3289" s="9">
        <v>44967</v>
      </c>
      <c r="N3289" s="10">
        <v>5.5</v>
      </c>
      <c r="O3289" s="9">
        <v>44972</v>
      </c>
      <c r="P3289">
        <v>11</v>
      </c>
      <c r="Q3289" s="11" t="s">
        <v>49</v>
      </c>
      <c r="R3289" s="7"/>
      <c r="S3289" s="7"/>
      <c r="T3289" s="7"/>
      <c r="U3289" s="7"/>
      <c r="V3289" s="10">
        <v>7.5741092456127026</v>
      </c>
      <c r="W3289" s="9">
        <v>44969</v>
      </c>
      <c r="X3289" s="10">
        <v>7.5</v>
      </c>
      <c r="Y3289" s="9">
        <v>44972</v>
      </c>
      <c r="Z3289">
        <v>11</v>
      </c>
      <c r="AA3289" s="11" t="s">
        <v>49</v>
      </c>
    </row>
    <row r="3290" spans="2:27" ht="16" x14ac:dyDescent="0.2">
      <c r="B3290" t="s">
        <v>35</v>
      </c>
      <c r="C3290">
        <v>40357622</v>
      </c>
      <c r="D3290" t="s">
        <v>389</v>
      </c>
      <c r="E3290">
        <v>1030685</v>
      </c>
      <c r="F3290" t="s">
        <v>413</v>
      </c>
      <c r="G3290" s="9">
        <v>44955</v>
      </c>
      <c r="H3290" s="7"/>
      <c r="I3290" s="7"/>
      <c r="J3290" s="7"/>
      <c r="K3290" s="7"/>
      <c r="L3290" s="10">
        <v>5.5741092456127026</v>
      </c>
      <c r="M3290" s="9">
        <v>44960</v>
      </c>
      <c r="N3290" s="10">
        <v>5.5</v>
      </c>
      <c r="O3290" s="9">
        <v>44965</v>
      </c>
      <c r="P3290">
        <v>17</v>
      </c>
      <c r="Q3290" s="11" t="s">
        <v>49</v>
      </c>
      <c r="R3290" s="7"/>
      <c r="S3290" s="7"/>
      <c r="T3290" s="7"/>
      <c r="U3290" s="7"/>
      <c r="V3290" s="10">
        <v>7.5741092456127026</v>
      </c>
      <c r="W3290" s="9">
        <v>44962</v>
      </c>
      <c r="X3290" s="10">
        <v>7.5</v>
      </c>
      <c r="Y3290" s="9">
        <v>44965</v>
      </c>
      <c r="Z3290">
        <v>17</v>
      </c>
      <c r="AA3290" s="11" t="s">
        <v>49</v>
      </c>
    </row>
    <row r="3291" spans="2:27" ht="16" x14ac:dyDescent="0.2">
      <c r="B3291" t="s">
        <v>35</v>
      </c>
      <c r="C3291">
        <v>40357621</v>
      </c>
      <c r="D3291" t="s">
        <v>389</v>
      </c>
      <c r="E3291">
        <v>1030685</v>
      </c>
      <c r="F3291" t="s">
        <v>413</v>
      </c>
      <c r="G3291" s="9">
        <v>44961</v>
      </c>
      <c r="H3291" s="7"/>
      <c r="I3291" s="7"/>
      <c r="J3291" s="7"/>
      <c r="K3291" s="7"/>
      <c r="L3291" s="10">
        <v>5.5741092456127026</v>
      </c>
      <c r="M3291" s="9">
        <v>44966</v>
      </c>
      <c r="N3291" s="10">
        <v>5.5</v>
      </c>
      <c r="O3291" s="9">
        <v>44971</v>
      </c>
      <c r="P3291">
        <v>12</v>
      </c>
      <c r="Q3291" s="11" t="s">
        <v>49</v>
      </c>
      <c r="R3291" s="7"/>
      <c r="S3291" s="7"/>
      <c r="T3291" s="7"/>
      <c r="U3291" s="7"/>
      <c r="V3291" s="10">
        <v>7.5741092456127026</v>
      </c>
      <c r="W3291" s="9">
        <v>44968</v>
      </c>
      <c r="X3291" s="10">
        <v>7.5</v>
      </c>
      <c r="Y3291" s="9">
        <v>44971</v>
      </c>
      <c r="Z3291">
        <v>12</v>
      </c>
      <c r="AA3291" s="11" t="s">
        <v>49</v>
      </c>
    </row>
    <row r="3292" spans="2:27" ht="16" x14ac:dyDescent="0.2">
      <c r="B3292" t="s">
        <v>35</v>
      </c>
      <c r="C3292">
        <v>40357601</v>
      </c>
      <c r="D3292" t="s">
        <v>389</v>
      </c>
      <c r="E3292">
        <v>1022639</v>
      </c>
      <c r="F3292" t="s">
        <v>316</v>
      </c>
      <c r="G3292" s="9">
        <v>44962</v>
      </c>
      <c r="H3292" s="7"/>
      <c r="I3292" s="7"/>
      <c r="J3292" s="7"/>
      <c r="K3292" s="7"/>
      <c r="L3292" s="10">
        <v>5.5741092456127026</v>
      </c>
      <c r="M3292" s="9">
        <v>44967</v>
      </c>
      <c r="N3292" s="10">
        <v>5.5</v>
      </c>
      <c r="O3292" s="9">
        <v>44972</v>
      </c>
      <c r="P3292">
        <v>11</v>
      </c>
      <c r="Q3292" s="11" t="s">
        <v>49</v>
      </c>
      <c r="R3292" s="7"/>
      <c r="S3292" s="7"/>
      <c r="T3292" s="7"/>
      <c r="U3292" s="7"/>
      <c r="V3292" s="10">
        <v>7.5741092456127026</v>
      </c>
      <c r="W3292" s="9">
        <v>44969</v>
      </c>
      <c r="X3292" s="10">
        <v>7.5</v>
      </c>
      <c r="Y3292" s="9">
        <v>44972</v>
      </c>
      <c r="Z3292">
        <v>11</v>
      </c>
      <c r="AA3292" s="11" t="s">
        <v>49</v>
      </c>
    </row>
    <row r="3293" spans="2:27" ht="16" x14ac:dyDescent="0.2">
      <c r="B3293" t="s">
        <v>35</v>
      </c>
      <c r="C3293">
        <v>40357600</v>
      </c>
      <c r="D3293" t="s">
        <v>389</v>
      </c>
      <c r="E3293">
        <v>1022639</v>
      </c>
      <c r="F3293" t="s">
        <v>316</v>
      </c>
      <c r="G3293" s="9">
        <v>44960</v>
      </c>
      <c r="H3293" s="7"/>
      <c r="I3293" s="7"/>
      <c r="J3293" s="7"/>
      <c r="K3293" s="7"/>
      <c r="L3293" s="10">
        <v>5.5741092456127026</v>
      </c>
      <c r="M3293" s="9">
        <v>44965</v>
      </c>
      <c r="N3293" s="10">
        <v>5.5</v>
      </c>
      <c r="O3293" s="9">
        <v>44970</v>
      </c>
      <c r="P3293">
        <v>13</v>
      </c>
      <c r="Q3293" s="11" t="s">
        <v>49</v>
      </c>
      <c r="R3293" s="7"/>
      <c r="S3293" s="7"/>
      <c r="T3293" s="7"/>
      <c r="U3293" s="7"/>
      <c r="V3293" s="10">
        <v>7.5741092456127026</v>
      </c>
      <c r="W3293" s="9">
        <v>44967</v>
      </c>
      <c r="X3293" s="10">
        <v>7.5</v>
      </c>
      <c r="Y3293" s="9">
        <v>44970</v>
      </c>
      <c r="Z3293">
        <v>13</v>
      </c>
      <c r="AA3293" s="11" t="s">
        <v>49</v>
      </c>
    </row>
    <row r="3294" spans="2:27" ht="16" x14ac:dyDescent="0.2">
      <c r="B3294" t="s">
        <v>35</v>
      </c>
      <c r="C3294">
        <v>40357599</v>
      </c>
      <c r="D3294" t="s">
        <v>389</v>
      </c>
      <c r="E3294">
        <v>1022639</v>
      </c>
      <c r="F3294" t="s">
        <v>316</v>
      </c>
      <c r="G3294" s="9">
        <v>44960</v>
      </c>
      <c r="H3294" s="7"/>
      <c r="I3294" s="7"/>
      <c r="J3294" s="7"/>
      <c r="K3294" s="7"/>
      <c r="L3294" s="10">
        <v>5.5741092456127026</v>
      </c>
      <c r="M3294" s="9">
        <v>44965</v>
      </c>
      <c r="N3294" s="10">
        <v>5.5</v>
      </c>
      <c r="O3294" s="9">
        <v>44970</v>
      </c>
      <c r="P3294">
        <v>13</v>
      </c>
      <c r="Q3294" s="11" t="s">
        <v>49</v>
      </c>
      <c r="R3294" s="7"/>
      <c r="S3294" s="7"/>
      <c r="T3294" s="7"/>
      <c r="U3294" s="7"/>
      <c r="V3294" s="10">
        <v>7.5741092456127026</v>
      </c>
      <c r="W3294" s="9">
        <v>44967</v>
      </c>
      <c r="X3294" s="10">
        <v>7.5</v>
      </c>
      <c r="Y3294" s="9">
        <v>44970</v>
      </c>
      <c r="Z3294">
        <v>13</v>
      </c>
      <c r="AA3294" s="11" t="s">
        <v>49</v>
      </c>
    </row>
    <row r="3295" spans="2:27" ht="16" x14ac:dyDescent="0.2">
      <c r="B3295" t="s">
        <v>35</v>
      </c>
      <c r="C3295">
        <v>40357598</v>
      </c>
      <c r="D3295" t="s">
        <v>389</v>
      </c>
      <c r="E3295">
        <v>1022639</v>
      </c>
      <c r="F3295" t="s">
        <v>316</v>
      </c>
      <c r="G3295" s="9">
        <v>44962</v>
      </c>
      <c r="H3295" s="7"/>
      <c r="I3295" s="7"/>
      <c r="J3295" s="7"/>
      <c r="K3295" s="7"/>
      <c r="L3295" s="10">
        <v>5.5741092456127026</v>
      </c>
      <c r="M3295" s="9">
        <v>44967</v>
      </c>
      <c r="N3295" s="10">
        <v>5.5</v>
      </c>
      <c r="O3295" s="9">
        <v>44972</v>
      </c>
      <c r="P3295">
        <v>11</v>
      </c>
      <c r="Q3295" s="11" t="s">
        <v>49</v>
      </c>
      <c r="R3295" s="7"/>
      <c r="S3295" s="7"/>
      <c r="T3295" s="7"/>
      <c r="U3295" s="7"/>
      <c r="V3295" s="10">
        <v>7.5741092456127026</v>
      </c>
      <c r="W3295" s="9">
        <v>44969</v>
      </c>
      <c r="X3295" s="10">
        <v>7.5</v>
      </c>
      <c r="Y3295" s="9">
        <v>44972</v>
      </c>
      <c r="Z3295">
        <v>11</v>
      </c>
      <c r="AA3295" s="11" t="s">
        <v>49</v>
      </c>
    </row>
    <row r="3296" spans="2:27" ht="16" x14ac:dyDescent="0.2">
      <c r="B3296" t="s">
        <v>35</v>
      </c>
      <c r="C3296">
        <v>40357595</v>
      </c>
      <c r="D3296" t="s">
        <v>389</v>
      </c>
      <c r="E3296">
        <v>1022639</v>
      </c>
      <c r="F3296" t="s">
        <v>316</v>
      </c>
      <c r="G3296" s="9">
        <v>44960</v>
      </c>
      <c r="H3296" s="7"/>
      <c r="I3296" s="7"/>
      <c r="J3296" s="7"/>
      <c r="K3296" s="7"/>
      <c r="L3296" s="10">
        <v>5.5741092456127026</v>
      </c>
      <c r="M3296" s="9">
        <v>44965</v>
      </c>
      <c r="N3296" s="10">
        <v>5.5</v>
      </c>
      <c r="O3296" s="9">
        <v>44970</v>
      </c>
      <c r="P3296">
        <v>13</v>
      </c>
      <c r="Q3296" s="11" t="s">
        <v>49</v>
      </c>
      <c r="R3296" s="7"/>
      <c r="S3296" s="7"/>
      <c r="T3296" s="7"/>
      <c r="U3296" s="7"/>
      <c r="V3296" s="10">
        <v>7.5741092456127026</v>
      </c>
      <c r="W3296" s="9">
        <v>44967</v>
      </c>
      <c r="X3296" s="10">
        <v>7.5</v>
      </c>
      <c r="Y3296" s="9">
        <v>44970</v>
      </c>
      <c r="Z3296">
        <v>13</v>
      </c>
      <c r="AA3296" s="11" t="s">
        <v>49</v>
      </c>
    </row>
    <row r="3297" spans="2:27" ht="16" x14ac:dyDescent="0.2">
      <c r="B3297" t="s">
        <v>35</v>
      </c>
      <c r="C3297">
        <v>40357593</v>
      </c>
      <c r="D3297" t="s">
        <v>389</v>
      </c>
      <c r="E3297">
        <v>1022639</v>
      </c>
      <c r="F3297" t="s">
        <v>316</v>
      </c>
      <c r="G3297" s="9">
        <v>44960</v>
      </c>
      <c r="H3297" s="7"/>
      <c r="I3297" s="7"/>
      <c r="J3297" s="7"/>
      <c r="K3297" s="7"/>
      <c r="L3297" s="10">
        <v>5.5741092456127026</v>
      </c>
      <c r="M3297" s="9">
        <v>44965</v>
      </c>
      <c r="N3297" s="10">
        <v>5.5</v>
      </c>
      <c r="O3297" s="9">
        <v>44970</v>
      </c>
      <c r="P3297">
        <v>13</v>
      </c>
      <c r="Q3297" s="11" t="s">
        <v>49</v>
      </c>
      <c r="R3297" s="7"/>
      <c r="S3297" s="7"/>
      <c r="T3297" s="7"/>
      <c r="U3297" s="7"/>
      <c r="V3297" s="10">
        <v>7.5741092456127026</v>
      </c>
      <c r="W3297" s="9">
        <v>44967</v>
      </c>
      <c r="X3297" s="10">
        <v>7.5</v>
      </c>
      <c r="Y3297" s="9">
        <v>44970</v>
      </c>
      <c r="Z3297">
        <v>13</v>
      </c>
      <c r="AA3297" s="11" t="s">
        <v>49</v>
      </c>
    </row>
    <row r="3298" spans="2:27" ht="16" x14ac:dyDescent="0.2">
      <c r="B3298" t="s">
        <v>35</v>
      </c>
      <c r="C3298">
        <v>40357592</v>
      </c>
      <c r="D3298" t="s">
        <v>389</v>
      </c>
      <c r="E3298">
        <v>1022639</v>
      </c>
      <c r="F3298" t="s">
        <v>316</v>
      </c>
      <c r="G3298" s="9">
        <v>44959</v>
      </c>
      <c r="H3298" s="7"/>
      <c r="I3298" s="7"/>
      <c r="J3298" s="7"/>
      <c r="K3298" s="7"/>
      <c r="L3298" s="10">
        <v>5.5741092456127026</v>
      </c>
      <c r="M3298" s="9">
        <v>44964</v>
      </c>
      <c r="N3298" s="10">
        <v>5.5</v>
      </c>
      <c r="O3298" s="9">
        <v>44969</v>
      </c>
      <c r="P3298">
        <v>14</v>
      </c>
      <c r="Q3298" s="11" t="s">
        <v>49</v>
      </c>
      <c r="R3298" s="7"/>
      <c r="S3298" s="7"/>
      <c r="T3298" s="7"/>
      <c r="U3298" s="7"/>
      <c r="V3298" s="10">
        <v>7.5741092456127026</v>
      </c>
      <c r="W3298" s="9">
        <v>44966</v>
      </c>
      <c r="X3298" s="10">
        <v>7.5</v>
      </c>
      <c r="Y3298" s="9">
        <v>44969</v>
      </c>
      <c r="Z3298">
        <v>14</v>
      </c>
      <c r="AA3298" s="11" t="s">
        <v>49</v>
      </c>
    </row>
    <row r="3299" spans="2:27" ht="16" x14ac:dyDescent="0.2">
      <c r="B3299" t="s">
        <v>35</v>
      </c>
      <c r="C3299">
        <v>40357591</v>
      </c>
      <c r="D3299" t="s">
        <v>389</v>
      </c>
      <c r="E3299">
        <v>1022639</v>
      </c>
      <c r="F3299" t="s">
        <v>316</v>
      </c>
      <c r="G3299" s="9">
        <v>44962</v>
      </c>
      <c r="H3299" s="7"/>
      <c r="I3299" s="7"/>
      <c r="J3299" s="7"/>
      <c r="K3299" s="7"/>
      <c r="L3299" s="10">
        <v>5.5741092456127026</v>
      </c>
      <c r="M3299" s="9">
        <v>44967</v>
      </c>
      <c r="N3299" s="10">
        <v>5.5</v>
      </c>
      <c r="O3299" s="9">
        <v>44972</v>
      </c>
      <c r="P3299">
        <v>11</v>
      </c>
      <c r="Q3299" s="11" t="s">
        <v>49</v>
      </c>
      <c r="R3299" s="7"/>
      <c r="S3299" s="7"/>
      <c r="T3299" s="7"/>
      <c r="U3299" s="7"/>
      <c r="V3299" s="10">
        <v>7.5741092456127026</v>
      </c>
      <c r="W3299" s="9">
        <v>44969</v>
      </c>
      <c r="X3299" s="10">
        <v>7.5</v>
      </c>
      <c r="Y3299" s="9">
        <v>44972</v>
      </c>
      <c r="Z3299">
        <v>11</v>
      </c>
      <c r="AA3299" s="11" t="s">
        <v>49</v>
      </c>
    </row>
    <row r="3300" spans="2:27" ht="16" x14ac:dyDescent="0.2">
      <c r="B3300" t="s">
        <v>35</v>
      </c>
      <c r="C3300">
        <v>40357590</v>
      </c>
      <c r="D3300" t="s">
        <v>389</v>
      </c>
      <c r="E3300">
        <v>1022639</v>
      </c>
      <c r="F3300" t="s">
        <v>316</v>
      </c>
      <c r="G3300" s="9">
        <v>44962</v>
      </c>
      <c r="H3300" s="7"/>
      <c r="I3300" s="7"/>
      <c r="J3300" s="7"/>
      <c r="K3300" s="7"/>
      <c r="L3300" s="10">
        <v>5.5741092456127026</v>
      </c>
      <c r="M3300" s="9">
        <v>44967</v>
      </c>
      <c r="N3300" s="10">
        <v>5.5</v>
      </c>
      <c r="O3300" s="9">
        <v>44972</v>
      </c>
      <c r="P3300">
        <v>11</v>
      </c>
      <c r="Q3300" s="11" t="s">
        <v>49</v>
      </c>
      <c r="R3300" s="7"/>
      <c r="S3300" s="7"/>
      <c r="T3300" s="7"/>
      <c r="U3300" s="7"/>
      <c r="V3300" s="10">
        <v>7.5741092456127026</v>
      </c>
      <c r="W3300" s="9">
        <v>44969</v>
      </c>
      <c r="X3300" s="10">
        <v>7.5</v>
      </c>
      <c r="Y3300" s="9">
        <v>44972</v>
      </c>
      <c r="Z3300">
        <v>11</v>
      </c>
      <c r="AA3300" s="11" t="s">
        <v>49</v>
      </c>
    </row>
    <row r="3301" spans="2:27" ht="16" x14ac:dyDescent="0.2">
      <c r="B3301" t="s">
        <v>35</v>
      </c>
      <c r="C3301">
        <v>40357589</v>
      </c>
      <c r="D3301" t="s">
        <v>389</v>
      </c>
      <c r="E3301">
        <v>1022639</v>
      </c>
      <c r="F3301" t="s">
        <v>316</v>
      </c>
      <c r="G3301" s="9">
        <v>44962</v>
      </c>
      <c r="H3301" s="7"/>
      <c r="I3301" s="7"/>
      <c r="J3301" s="7"/>
      <c r="K3301" s="7"/>
      <c r="L3301" s="10">
        <v>5.5741092456127026</v>
      </c>
      <c r="M3301" s="9">
        <v>44967</v>
      </c>
      <c r="N3301" s="10">
        <v>5.5</v>
      </c>
      <c r="O3301" s="9">
        <v>44972</v>
      </c>
      <c r="P3301">
        <v>11</v>
      </c>
      <c r="Q3301" s="11" t="s">
        <v>49</v>
      </c>
      <c r="R3301" s="7"/>
      <c r="S3301" s="7"/>
      <c r="T3301" s="7"/>
      <c r="U3301" s="7"/>
      <c r="V3301" s="10">
        <v>7.5741092456127026</v>
      </c>
      <c r="W3301" s="9">
        <v>44969</v>
      </c>
      <c r="X3301" s="10">
        <v>7.5</v>
      </c>
      <c r="Y3301" s="9">
        <v>44972</v>
      </c>
      <c r="Z3301">
        <v>11</v>
      </c>
      <c r="AA3301" s="11" t="s">
        <v>49</v>
      </c>
    </row>
    <row r="3302" spans="2:27" ht="16" x14ac:dyDescent="0.2">
      <c r="B3302" t="s">
        <v>35</v>
      </c>
      <c r="C3302">
        <v>40357588</v>
      </c>
      <c r="D3302" t="s">
        <v>389</v>
      </c>
      <c r="E3302">
        <v>1022639</v>
      </c>
      <c r="F3302" t="s">
        <v>316</v>
      </c>
      <c r="G3302" s="9">
        <v>44962</v>
      </c>
      <c r="H3302" s="7"/>
      <c r="I3302" s="7"/>
      <c r="J3302" s="7"/>
      <c r="K3302" s="7"/>
      <c r="L3302" s="10">
        <v>5.5741092456127026</v>
      </c>
      <c r="M3302" s="9">
        <v>44967</v>
      </c>
      <c r="N3302" s="10">
        <v>5.5</v>
      </c>
      <c r="O3302" s="9">
        <v>44972</v>
      </c>
      <c r="P3302">
        <v>11</v>
      </c>
      <c r="Q3302" s="11" t="s">
        <v>49</v>
      </c>
      <c r="R3302" s="7"/>
      <c r="S3302" s="7"/>
      <c r="T3302" s="7"/>
      <c r="U3302" s="7"/>
      <c r="V3302" s="10">
        <v>7.5741092456127026</v>
      </c>
      <c r="W3302" s="9">
        <v>44969</v>
      </c>
      <c r="X3302" s="10">
        <v>7.5</v>
      </c>
      <c r="Y3302" s="9">
        <v>44972</v>
      </c>
      <c r="Z3302">
        <v>11</v>
      </c>
      <c r="AA3302" s="11" t="s">
        <v>49</v>
      </c>
    </row>
    <row r="3303" spans="2:27" ht="16" x14ac:dyDescent="0.2">
      <c r="B3303" t="s">
        <v>35</v>
      </c>
      <c r="C3303">
        <v>40357587</v>
      </c>
      <c r="D3303" t="s">
        <v>389</v>
      </c>
      <c r="E3303">
        <v>1022639</v>
      </c>
      <c r="F3303" t="s">
        <v>316</v>
      </c>
      <c r="G3303" s="9">
        <v>44962</v>
      </c>
      <c r="H3303" s="7"/>
      <c r="I3303" s="7"/>
      <c r="J3303" s="7"/>
      <c r="K3303" s="7"/>
      <c r="L3303" s="10">
        <v>5.5741092456127026</v>
      </c>
      <c r="M3303" s="9">
        <v>44967</v>
      </c>
      <c r="N3303" s="10">
        <v>5.5</v>
      </c>
      <c r="O3303" s="9">
        <v>44972</v>
      </c>
      <c r="P3303">
        <v>11</v>
      </c>
      <c r="Q3303" s="11" t="s">
        <v>49</v>
      </c>
      <c r="R3303" s="7"/>
      <c r="S3303" s="7"/>
      <c r="T3303" s="7"/>
      <c r="U3303" s="7"/>
      <c r="V3303" s="10">
        <v>7.5741092456127026</v>
      </c>
      <c r="W3303" s="9">
        <v>44969</v>
      </c>
      <c r="X3303" s="10">
        <v>7.5</v>
      </c>
      <c r="Y3303" s="9">
        <v>44972</v>
      </c>
      <c r="Z3303">
        <v>11</v>
      </c>
      <c r="AA3303" s="11" t="s">
        <v>49</v>
      </c>
    </row>
    <row r="3304" spans="2:27" ht="16" x14ac:dyDescent="0.2">
      <c r="B3304" t="s">
        <v>35</v>
      </c>
      <c r="C3304">
        <v>40357586</v>
      </c>
      <c r="D3304" t="s">
        <v>389</v>
      </c>
      <c r="E3304">
        <v>1022639</v>
      </c>
      <c r="F3304" t="s">
        <v>316</v>
      </c>
      <c r="G3304" s="9">
        <v>44955</v>
      </c>
      <c r="H3304" s="7"/>
      <c r="I3304" s="7"/>
      <c r="J3304" s="7"/>
      <c r="K3304" s="7"/>
      <c r="L3304" s="10">
        <v>5.5741092456127026</v>
      </c>
      <c r="M3304" s="9">
        <v>44960</v>
      </c>
      <c r="N3304" s="10">
        <v>5.5</v>
      </c>
      <c r="O3304" s="9">
        <v>44965</v>
      </c>
      <c r="P3304">
        <v>17</v>
      </c>
      <c r="Q3304" s="11" t="s">
        <v>49</v>
      </c>
      <c r="R3304" s="7"/>
      <c r="S3304" s="7"/>
      <c r="T3304" s="7"/>
      <c r="U3304" s="7"/>
      <c r="V3304" s="10">
        <v>7.5741092456127026</v>
      </c>
      <c r="W3304" s="9">
        <v>44962</v>
      </c>
      <c r="X3304" s="10">
        <v>7.5</v>
      </c>
      <c r="Y3304" s="9">
        <v>44965</v>
      </c>
      <c r="Z3304">
        <v>17</v>
      </c>
      <c r="AA3304" s="11" t="s">
        <v>49</v>
      </c>
    </row>
    <row r="3305" spans="2:27" ht="16" x14ac:dyDescent="0.2">
      <c r="B3305" t="s">
        <v>35</v>
      </c>
      <c r="C3305">
        <v>40357585</v>
      </c>
      <c r="D3305" t="s">
        <v>389</v>
      </c>
      <c r="E3305">
        <v>1022639</v>
      </c>
      <c r="F3305" t="s">
        <v>316</v>
      </c>
      <c r="G3305" s="9">
        <v>44955</v>
      </c>
      <c r="H3305" s="7"/>
      <c r="I3305" s="7"/>
      <c r="J3305" s="7"/>
      <c r="K3305" s="7"/>
      <c r="L3305" s="10">
        <v>5.5741092456127026</v>
      </c>
      <c r="M3305" s="9">
        <v>44960</v>
      </c>
      <c r="N3305" s="10">
        <v>5.5</v>
      </c>
      <c r="O3305" s="9">
        <v>44965</v>
      </c>
      <c r="P3305">
        <v>17</v>
      </c>
      <c r="Q3305" s="11" t="s">
        <v>49</v>
      </c>
      <c r="R3305" s="7"/>
      <c r="S3305" s="7"/>
      <c r="T3305" s="7"/>
      <c r="U3305" s="7"/>
      <c r="V3305" s="10">
        <v>7.5741092456127026</v>
      </c>
      <c r="W3305" s="9">
        <v>44962</v>
      </c>
      <c r="X3305" s="10">
        <v>7.5</v>
      </c>
      <c r="Y3305" s="9">
        <v>44965</v>
      </c>
      <c r="Z3305">
        <v>17</v>
      </c>
      <c r="AA3305" s="11" t="s">
        <v>49</v>
      </c>
    </row>
    <row r="3306" spans="2:27" ht="16" x14ac:dyDescent="0.2">
      <c r="B3306" t="s">
        <v>35</v>
      </c>
      <c r="C3306">
        <v>40357584</v>
      </c>
      <c r="D3306" t="s">
        <v>389</v>
      </c>
      <c r="E3306">
        <v>1022639</v>
      </c>
      <c r="F3306" t="s">
        <v>316</v>
      </c>
      <c r="G3306" s="9">
        <v>44956</v>
      </c>
      <c r="H3306" s="7"/>
      <c r="I3306" s="7"/>
      <c r="J3306" s="7"/>
      <c r="K3306" s="7"/>
      <c r="L3306" s="10">
        <v>5.5741092456127026</v>
      </c>
      <c r="M3306" s="9">
        <v>44961</v>
      </c>
      <c r="N3306" s="10">
        <v>5.5</v>
      </c>
      <c r="O3306" s="9">
        <v>44966</v>
      </c>
      <c r="P3306">
        <v>16</v>
      </c>
      <c r="Q3306" s="11" t="s">
        <v>49</v>
      </c>
      <c r="R3306" s="7"/>
      <c r="S3306" s="7"/>
      <c r="T3306" s="7"/>
      <c r="U3306" s="7"/>
      <c r="V3306" s="10">
        <v>7.5741092456127026</v>
      </c>
      <c r="W3306" s="9">
        <v>44963</v>
      </c>
      <c r="X3306" s="10">
        <v>7.5</v>
      </c>
      <c r="Y3306" s="9">
        <v>44966</v>
      </c>
      <c r="Z3306">
        <v>16</v>
      </c>
      <c r="AA3306" s="11" t="s">
        <v>49</v>
      </c>
    </row>
    <row r="3307" spans="2:27" ht="16" x14ac:dyDescent="0.2">
      <c r="B3307" t="s">
        <v>35</v>
      </c>
      <c r="C3307">
        <v>40354526</v>
      </c>
      <c r="D3307" t="s">
        <v>423</v>
      </c>
      <c r="E3307">
        <v>1030337</v>
      </c>
      <c r="F3307" t="s">
        <v>369</v>
      </c>
      <c r="G3307" s="9">
        <v>44941</v>
      </c>
      <c r="H3307" s="7"/>
      <c r="I3307" s="7"/>
      <c r="J3307" s="7"/>
      <c r="K3307" s="7"/>
      <c r="L3307" s="10">
        <v>5.4496124031007751</v>
      </c>
      <c r="M3307" s="9">
        <v>44946</v>
      </c>
      <c r="N3307" s="10">
        <v>10</v>
      </c>
      <c r="O3307" s="9">
        <v>44956</v>
      </c>
      <c r="P3307">
        <v>1</v>
      </c>
      <c r="Q3307" s="11" t="s">
        <v>648</v>
      </c>
      <c r="R3307" s="7"/>
      <c r="S3307" s="7"/>
      <c r="T3307" s="7"/>
      <c r="U3307" s="7"/>
      <c r="V3307" s="10">
        <v>7.4496124031007751</v>
      </c>
      <c r="W3307" s="9">
        <v>44948</v>
      </c>
      <c r="X3307" s="10">
        <v>12</v>
      </c>
      <c r="Y3307" s="9">
        <v>44956</v>
      </c>
      <c r="Z3307">
        <v>1</v>
      </c>
      <c r="AA3307" s="11" t="s">
        <v>648</v>
      </c>
    </row>
    <row r="3308" spans="2:27" ht="16" x14ac:dyDescent="0.2">
      <c r="B3308" t="s">
        <v>35</v>
      </c>
      <c r="C3308">
        <v>40351827</v>
      </c>
      <c r="D3308" t="s">
        <v>409</v>
      </c>
      <c r="E3308">
        <v>1012115</v>
      </c>
      <c r="F3308" t="s">
        <v>649</v>
      </c>
      <c r="G3308" s="9">
        <v>44957</v>
      </c>
      <c r="H3308" s="7"/>
      <c r="I3308" s="7"/>
      <c r="J3308" s="7"/>
      <c r="K3308" s="7"/>
      <c r="L3308" s="10">
        <v>7.5</v>
      </c>
      <c r="M3308" s="9">
        <v>44964</v>
      </c>
      <c r="N3308" s="10">
        <v>9.5</v>
      </c>
      <c r="O3308" s="9">
        <v>44973</v>
      </c>
      <c r="P3308">
        <v>9</v>
      </c>
      <c r="Q3308" s="11" t="s">
        <v>49</v>
      </c>
      <c r="R3308" s="7"/>
      <c r="S3308" s="7"/>
      <c r="T3308" s="7"/>
      <c r="U3308" s="7"/>
      <c r="V3308" s="10">
        <v>9.5</v>
      </c>
      <c r="W3308" s="9">
        <v>44966</v>
      </c>
      <c r="X3308" s="10">
        <v>11.5</v>
      </c>
      <c r="Y3308" s="9">
        <v>44973</v>
      </c>
      <c r="Z3308">
        <v>9</v>
      </c>
      <c r="AA3308" s="11" t="s">
        <v>49</v>
      </c>
    </row>
    <row r="3309" spans="2:27" ht="16" x14ac:dyDescent="0.2">
      <c r="B3309" t="s">
        <v>35</v>
      </c>
      <c r="C3309">
        <v>40351811</v>
      </c>
      <c r="D3309" t="s">
        <v>409</v>
      </c>
      <c r="E3309">
        <v>1030379</v>
      </c>
      <c r="F3309" t="s">
        <v>97</v>
      </c>
      <c r="G3309" s="9">
        <v>44959</v>
      </c>
      <c r="H3309" s="7"/>
      <c r="I3309" s="7"/>
      <c r="J3309" s="7"/>
      <c r="K3309" s="7"/>
      <c r="L3309" s="10">
        <v>7.5</v>
      </c>
      <c r="M3309" s="9">
        <v>44966</v>
      </c>
      <c r="N3309" s="10">
        <v>9.5</v>
      </c>
      <c r="O3309" s="9">
        <v>44975</v>
      </c>
      <c r="P3309">
        <v>7</v>
      </c>
      <c r="Q3309" s="11" t="s">
        <v>49</v>
      </c>
      <c r="R3309" s="7"/>
      <c r="S3309" s="7"/>
      <c r="T3309" s="7"/>
      <c r="U3309" s="7"/>
      <c r="V3309" s="10">
        <v>9.5</v>
      </c>
      <c r="W3309" s="9">
        <v>44968</v>
      </c>
      <c r="X3309" s="10">
        <v>11.5</v>
      </c>
      <c r="Y3309" s="9">
        <v>44975</v>
      </c>
      <c r="Z3309">
        <v>7</v>
      </c>
      <c r="AA3309" s="11" t="s">
        <v>49</v>
      </c>
    </row>
    <row r="3310" spans="2:27" ht="16" x14ac:dyDescent="0.2">
      <c r="B3310" t="s">
        <v>35</v>
      </c>
      <c r="C3310">
        <v>40351810</v>
      </c>
      <c r="D3310" t="s">
        <v>409</v>
      </c>
      <c r="E3310">
        <v>1030379</v>
      </c>
      <c r="F3310" t="s">
        <v>97</v>
      </c>
      <c r="G3310" s="9">
        <v>44950</v>
      </c>
      <c r="H3310" s="7"/>
      <c r="I3310" s="7"/>
      <c r="J3310" s="7"/>
      <c r="K3310" s="7"/>
      <c r="L3310" s="10">
        <v>7.5</v>
      </c>
      <c r="M3310" s="9">
        <v>44957</v>
      </c>
      <c r="N3310" s="10">
        <v>9.5</v>
      </c>
      <c r="O3310" s="9">
        <v>44966</v>
      </c>
      <c r="P3310">
        <v>15</v>
      </c>
      <c r="Q3310" s="11" t="s">
        <v>49</v>
      </c>
      <c r="R3310" s="7"/>
      <c r="S3310" s="7"/>
      <c r="T3310" s="7"/>
      <c r="U3310" s="7"/>
      <c r="V3310" s="10">
        <v>9.5</v>
      </c>
      <c r="W3310" s="9">
        <v>44959</v>
      </c>
      <c r="X3310" s="10">
        <v>11.5</v>
      </c>
      <c r="Y3310" s="9">
        <v>44966</v>
      </c>
      <c r="Z3310">
        <v>15</v>
      </c>
      <c r="AA3310" s="11" t="s">
        <v>49</v>
      </c>
    </row>
    <row r="3311" spans="2:27" ht="16" x14ac:dyDescent="0.2">
      <c r="B3311" t="s">
        <v>35</v>
      </c>
      <c r="C3311">
        <v>40351777</v>
      </c>
      <c r="D3311" t="s">
        <v>409</v>
      </c>
      <c r="E3311">
        <v>1030239</v>
      </c>
      <c r="F3311" t="s">
        <v>208</v>
      </c>
      <c r="G3311" s="9">
        <v>44940</v>
      </c>
      <c r="H3311" s="7"/>
      <c r="I3311" s="7"/>
      <c r="J3311" s="7"/>
      <c r="K3311" s="7"/>
      <c r="L3311" s="10">
        <v>7.5</v>
      </c>
      <c r="M3311" s="9">
        <v>44947</v>
      </c>
      <c r="N3311" s="10">
        <v>9.5</v>
      </c>
      <c r="O3311" s="9">
        <v>44956</v>
      </c>
      <c r="P3311">
        <v>1</v>
      </c>
      <c r="Q3311" s="11" t="s">
        <v>648</v>
      </c>
      <c r="R3311" s="7"/>
      <c r="S3311" s="7"/>
      <c r="T3311" s="7"/>
      <c r="U3311" s="7"/>
      <c r="V3311" s="10">
        <v>9.5</v>
      </c>
      <c r="W3311" s="9">
        <v>44949</v>
      </c>
      <c r="X3311" s="10">
        <v>11.5</v>
      </c>
      <c r="Y3311" s="9">
        <v>44956</v>
      </c>
      <c r="Z3311">
        <v>1</v>
      </c>
      <c r="AA3311" s="11" t="s">
        <v>648</v>
      </c>
    </row>
    <row r="3312" spans="2:27" ht="16" x14ac:dyDescent="0.2">
      <c r="B3312" t="s">
        <v>35</v>
      </c>
      <c r="C3312">
        <v>40351776</v>
      </c>
      <c r="D3312" t="s">
        <v>409</v>
      </c>
      <c r="E3312">
        <v>1023276</v>
      </c>
      <c r="F3312" t="s">
        <v>94</v>
      </c>
      <c r="G3312" s="9">
        <v>44965</v>
      </c>
      <c r="H3312" s="7"/>
      <c r="I3312" s="7"/>
      <c r="J3312" s="7"/>
      <c r="K3312" s="7"/>
      <c r="L3312" s="10">
        <v>7.5</v>
      </c>
      <c r="M3312" s="9">
        <v>44972</v>
      </c>
      <c r="N3312" s="10">
        <v>9.5</v>
      </c>
      <c r="O3312" s="9">
        <v>44981</v>
      </c>
      <c r="P3312">
        <v>3</v>
      </c>
      <c r="Q3312" s="11" t="s">
        <v>49</v>
      </c>
      <c r="R3312" s="7"/>
      <c r="S3312" s="7"/>
      <c r="T3312" s="7"/>
      <c r="U3312" s="7"/>
      <c r="V3312" s="10">
        <v>9.5</v>
      </c>
      <c r="W3312" s="9">
        <v>44974</v>
      </c>
      <c r="X3312" s="10">
        <v>11.5</v>
      </c>
      <c r="Y3312" s="9">
        <v>44981</v>
      </c>
      <c r="Z3312">
        <v>3</v>
      </c>
      <c r="AA3312" s="11" t="s">
        <v>49</v>
      </c>
    </row>
    <row r="3313" spans="2:27" ht="16" x14ac:dyDescent="0.2">
      <c r="B3313" t="s">
        <v>35</v>
      </c>
      <c r="C3313">
        <v>40351775</v>
      </c>
      <c r="D3313" t="s">
        <v>409</v>
      </c>
      <c r="E3313">
        <v>1023273</v>
      </c>
      <c r="F3313" t="s">
        <v>260</v>
      </c>
      <c r="G3313" s="9">
        <v>44965</v>
      </c>
      <c r="H3313" s="7"/>
      <c r="I3313" s="7"/>
      <c r="J3313" s="7"/>
      <c r="K3313" s="7"/>
      <c r="L3313" s="10">
        <v>7.5</v>
      </c>
      <c r="M3313" s="9">
        <v>44972</v>
      </c>
      <c r="N3313" s="10">
        <v>9.5</v>
      </c>
      <c r="O3313" s="9">
        <v>44981</v>
      </c>
      <c r="P3313">
        <v>3</v>
      </c>
      <c r="Q3313" s="11" t="s">
        <v>49</v>
      </c>
      <c r="R3313" s="7"/>
      <c r="S3313" s="7"/>
      <c r="T3313" s="7"/>
      <c r="U3313" s="7"/>
      <c r="V3313" s="10">
        <v>9.5</v>
      </c>
      <c r="W3313" s="9">
        <v>44974</v>
      </c>
      <c r="X3313" s="10">
        <v>11.5</v>
      </c>
      <c r="Y3313" s="9">
        <v>44981</v>
      </c>
      <c r="Z3313">
        <v>3</v>
      </c>
      <c r="AA3313" s="11" t="s">
        <v>49</v>
      </c>
    </row>
    <row r="3314" spans="2:27" ht="16" x14ac:dyDescent="0.2">
      <c r="B3314" t="s">
        <v>35</v>
      </c>
      <c r="C3314">
        <v>40351762</v>
      </c>
      <c r="D3314" t="s">
        <v>409</v>
      </c>
      <c r="E3314">
        <v>1012163</v>
      </c>
      <c r="F3314" t="s">
        <v>140</v>
      </c>
      <c r="G3314" s="9">
        <v>44936</v>
      </c>
      <c r="H3314" s="7"/>
      <c r="I3314" s="7"/>
      <c r="J3314" s="7"/>
      <c r="K3314" s="7"/>
      <c r="L3314" s="10">
        <v>7.5</v>
      </c>
      <c r="M3314" s="9">
        <v>44943</v>
      </c>
      <c r="N3314" s="10">
        <v>9.5</v>
      </c>
      <c r="O3314" s="9">
        <v>44952</v>
      </c>
      <c r="P3314">
        <v>4</v>
      </c>
      <c r="Q3314" s="11" t="s">
        <v>49</v>
      </c>
      <c r="R3314" s="7"/>
      <c r="S3314" s="7"/>
      <c r="T3314" s="7"/>
      <c r="U3314" s="7"/>
      <c r="V3314" s="10">
        <v>9.5</v>
      </c>
      <c r="W3314" s="9">
        <v>44945</v>
      </c>
      <c r="X3314" s="10">
        <v>11.5</v>
      </c>
      <c r="Y3314" s="9">
        <v>44952</v>
      </c>
      <c r="Z3314">
        <v>4</v>
      </c>
      <c r="AA3314" s="11" t="s">
        <v>49</v>
      </c>
    </row>
    <row r="3315" spans="2:27" ht="16" x14ac:dyDescent="0.2">
      <c r="B3315" t="s">
        <v>35</v>
      </c>
      <c r="C3315">
        <v>40351760</v>
      </c>
      <c r="D3315" t="s">
        <v>409</v>
      </c>
      <c r="E3315">
        <v>1012158</v>
      </c>
      <c r="F3315" t="s">
        <v>86</v>
      </c>
      <c r="G3315" s="9">
        <v>44943</v>
      </c>
      <c r="H3315" s="7"/>
      <c r="I3315" s="7"/>
      <c r="J3315" s="7"/>
      <c r="K3315" s="7"/>
      <c r="L3315" s="10">
        <v>7.5</v>
      </c>
      <c r="M3315" s="9">
        <v>44950</v>
      </c>
      <c r="N3315" s="10">
        <v>9.5</v>
      </c>
      <c r="O3315" s="9">
        <v>44959</v>
      </c>
      <c r="P3315">
        <v>21</v>
      </c>
      <c r="Q3315" s="11" t="s">
        <v>49</v>
      </c>
      <c r="R3315" s="7"/>
      <c r="S3315" s="7"/>
      <c r="T3315" s="7"/>
      <c r="U3315" s="7"/>
      <c r="V3315" s="10">
        <v>9.5</v>
      </c>
      <c r="W3315" s="9">
        <v>44952</v>
      </c>
      <c r="X3315" s="10">
        <v>11.5</v>
      </c>
      <c r="Y3315" s="9">
        <v>44959</v>
      </c>
      <c r="Z3315">
        <v>21</v>
      </c>
      <c r="AA3315" s="11" t="s">
        <v>49</v>
      </c>
    </row>
    <row r="3316" spans="2:27" ht="16" x14ac:dyDescent="0.2">
      <c r="B3316" t="s">
        <v>35</v>
      </c>
      <c r="C3316">
        <v>40351754</v>
      </c>
      <c r="D3316" t="s">
        <v>409</v>
      </c>
      <c r="E3316">
        <v>1012147</v>
      </c>
      <c r="F3316" t="s">
        <v>217</v>
      </c>
      <c r="G3316" s="9">
        <v>44936</v>
      </c>
      <c r="H3316" s="7"/>
      <c r="I3316" s="7"/>
      <c r="J3316" s="7"/>
      <c r="K3316" s="7"/>
      <c r="L3316" s="10">
        <v>7.5</v>
      </c>
      <c r="M3316" s="9">
        <v>44943</v>
      </c>
      <c r="N3316" s="10">
        <v>9.5</v>
      </c>
      <c r="O3316" s="9">
        <v>44952</v>
      </c>
      <c r="P3316">
        <v>4</v>
      </c>
      <c r="Q3316" s="11" t="s">
        <v>49</v>
      </c>
      <c r="R3316" s="7"/>
      <c r="S3316" s="7"/>
      <c r="T3316" s="7"/>
      <c r="U3316" s="7"/>
      <c r="V3316" s="10">
        <v>9.5</v>
      </c>
      <c r="W3316" s="9">
        <v>44945</v>
      </c>
      <c r="X3316" s="10">
        <v>11.5</v>
      </c>
      <c r="Y3316" s="9">
        <v>44952</v>
      </c>
      <c r="Z3316">
        <v>4</v>
      </c>
      <c r="AA3316" s="11" t="s">
        <v>49</v>
      </c>
    </row>
    <row r="3317" spans="2:27" x14ac:dyDescent="0.2">
      <c r="B3317" t="s">
        <v>394</v>
      </c>
      <c r="C3317">
        <v>40351730</v>
      </c>
      <c r="D3317" t="s">
        <v>485</v>
      </c>
      <c r="E3317">
        <v>1021039</v>
      </c>
      <c r="F3317" t="s">
        <v>635</v>
      </c>
      <c r="G3317" s="9">
        <v>44921</v>
      </c>
      <c r="H3317" s="7"/>
      <c r="I3317" s="7"/>
      <c r="J3317" s="7"/>
      <c r="K3317" s="7"/>
      <c r="L3317" s="10"/>
      <c r="N3317" s="10"/>
      <c r="Q3317" s="11"/>
      <c r="R3317" s="7"/>
      <c r="S3317" s="7"/>
      <c r="T3317" s="7"/>
      <c r="U3317" s="7"/>
      <c r="V3317" s="10"/>
      <c r="X3317" s="10"/>
      <c r="AA3317" s="11"/>
    </row>
    <row r="3318" spans="2:27" x14ac:dyDescent="0.2">
      <c r="B3318" t="s">
        <v>394</v>
      </c>
      <c r="C3318">
        <v>40351729</v>
      </c>
      <c r="D3318" t="s">
        <v>396</v>
      </c>
      <c r="E3318">
        <v>1023283</v>
      </c>
      <c r="F3318" t="s">
        <v>468</v>
      </c>
      <c r="G3318" s="9">
        <v>44960</v>
      </c>
      <c r="H3318" s="7"/>
      <c r="I3318" s="7"/>
      <c r="J3318" s="7"/>
      <c r="K3318" s="7"/>
      <c r="L3318" s="10"/>
      <c r="N3318" s="10"/>
      <c r="Q3318" s="11"/>
      <c r="R3318" s="7"/>
      <c r="S3318" s="7"/>
      <c r="T3318" s="7"/>
      <c r="U3318" s="7"/>
      <c r="V3318" s="10"/>
      <c r="X3318" s="10"/>
      <c r="AA3318" s="11"/>
    </row>
    <row r="3319" spans="2:27" x14ac:dyDescent="0.2">
      <c r="B3319" t="s">
        <v>394</v>
      </c>
      <c r="C3319">
        <v>40351729</v>
      </c>
      <c r="D3319" t="s">
        <v>396</v>
      </c>
      <c r="E3319">
        <v>1023283</v>
      </c>
      <c r="F3319" t="s">
        <v>468</v>
      </c>
      <c r="G3319" s="9">
        <v>44960</v>
      </c>
      <c r="H3319" s="7"/>
      <c r="I3319" s="7"/>
      <c r="J3319" s="7"/>
      <c r="K3319" s="7"/>
      <c r="L3319" s="10"/>
      <c r="N3319" s="10"/>
      <c r="Q3319" s="11"/>
      <c r="R3319" s="7"/>
      <c r="S3319" s="7"/>
      <c r="T3319" s="7"/>
      <c r="U3319" s="7"/>
      <c r="V3319" s="10"/>
      <c r="X3319" s="10"/>
      <c r="AA3319" s="11"/>
    </row>
    <row r="3320" spans="2:27" ht="16" x14ac:dyDescent="0.2">
      <c r="B3320" t="s">
        <v>35</v>
      </c>
      <c r="C3320">
        <v>40351716</v>
      </c>
      <c r="D3320" t="s">
        <v>409</v>
      </c>
      <c r="E3320">
        <v>1012145</v>
      </c>
      <c r="F3320" t="s">
        <v>84</v>
      </c>
      <c r="G3320" s="9">
        <v>44942</v>
      </c>
      <c r="H3320" s="7"/>
      <c r="I3320" s="7"/>
      <c r="J3320" s="7"/>
      <c r="K3320" s="7"/>
      <c r="L3320" s="10">
        <v>7.5</v>
      </c>
      <c r="M3320" s="9">
        <v>44949</v>
      </c>
      <c r="N3320" s="10">
        <v>9.5</v>
      </c>
      <c r="O3320" s="9">
        <v>44958</v>
      </c>
      <c r="P3320">
        <v>22</v>
      </c>
      <c r="Q3320" s="11" t="s">
        <v>49</v>
      </c>
      <c r="R3320" s="7"/>
      <c r="S3320" s="7"/>
      <c r="T3320" s="7"/>
      <c r="U3320" s="7"/>
      <c r="V3320" s="10">
        <v>9.5</v>
      </c>
      <c r="W3320" s="9">
        <v>44951</v>
      </c>
      <c r="X3320" s="10">
        <v>11.5</v>
      </c>
      <c r="Y3320" s="9">
        <v>44958</v>
      </c>
      <c r="Z3320">
        <v>22</v>
      </c>
      <c r="AA3320" s="11" t="s">
        <v>49</v>
      </c>
    </row>
    <row r="3321" spans="2:27" ht="16" x14ac:dyDescent="0.2">
      <c r="B3321" t="s">
        <v>35</v>
      </c>
      <c r="C3321">
        <v>40351713</v>
      </c>
      <c r="D3321" t="s">
        <v>409</v>
      </c>
      <c r="E3321">
        <v>1012158</v>
      </c>
      <c r="F3321" t="s">
        <v>86</v>
      </c>
      <c r="G3321" s="9">
        <v>44933</v>
      </c>
      <c r="H3321" s="7"/>
      <c r="I3321" s="7"/>
      <c r="J3321" s="7"/>
      <c r="K3321" s="7"/>
      <c r="L3321" s="10">
        <v>7.5</v>
      </c>
      <c r="M3321" s="9">
        <v>44940</v>
      </c>
      <c r="N3321" s="10">
        <v>9.5</v>
      </c>
      <c r="O3321" s="9">
        <v>44949</v>
      </c>
      <c r="P3321">
        <v>7</v>
      </c>
      <c r="Q3321" s="11" t="s">
        <v>49</v>
      </c>
      <c r="R3321" s="7"/>
      <c r="S3321" s="7"/>
      <c r="T3321" s="7"/>
      <c r="U3321" s="7"/>
      <c r="V3321" s="10">
        <v>9.5</v>
      </c>
      <c r="W3321" s="9">
        <v>44942</v>
      </c>
      <c r="X3321" s="10">
        <v>11.5</v>
      </c>
      <c r="Y3321" s="9">
        <v>44949</v>
      </c>
      <c r="Z3321">
        <v>7</v>
      </c>
      <c r="AA3321" s="11" t="s">
        <v>49</v>
      </c>
    </row>
    <row r="3322" spans="2:27" ht="16" x14ac:dyDescent="0.2">
      <c r="B3322" t="s">
        <v>35</v>
      </c>
      <c r="C3322">
        <v>40351711</v>
      </c>
      <c r="D3322" t="s">
        <v>409</v>
      </c>
      <c r="E3322">
        <v>1012483</v>
      </c>
      <c r="F3322" t="s">
        <v>90</v>
      </c>
      <c r="G3322" s="9">
        <v>44935</v>
      </c>
      <c r="H3322" s="7"/>
      <c r="I3322" s="7"/>
      <c r="J3322" s="7"/>
      <c r="K3322" s="7"/>
      <c r="L3322" s="10">
        <v>7.5</v>
      </c>
      <c r="M3322" s="9">
        <v>44942</v>
      </c>
      <c r="N3322" s="10">
        <v>9.5</v>
      </c>
      <c r="O3322" s="9">
        <v>44951</v>
      </c>
      <c r="P3322">
        <v>5</v>
      </c>
      <c r="Q3322" s="11" t="s">
        <v>49</v>
      </c>
      <c r="R3322" s="7"/>
      <c r="S3322" s="7"/>
      <c r="T3322" s="7"/>
      <c r="U3322" s="7"/>
      <c r="V3322" s="10">
        <v>9.5</v>
      </c>
      <c r="W3322" s="9">
        <v>44944</v>
      </c>
      <c r="X3322" s="10">
        <v>11.5</v>
      </c>
      <c r="Y3322" s="9">
        <v>44951</v>
      </c>
      <c r="Z3322">
        <v>5</v>
      </c>
      <c r="AA3322" s="11" t="s">
        <v>49</v>
      </c>
    </row>
    <row r="3323" spans="2:27" ht="16" x14ac:dyDescent="0.2">
      <c r="B3323" t="s">
        <v>35</v>
      </c>
      <c r="C3323">
        <v>40351709</v>
      </c>
      <c r="D3323" t="s">
        <v>409</v>
      </c>
      <c r="E3323">
        <v>1012483</v>
      </c>
      <c r="F3323" t="s">
        <v>90</v>
      </c>
      <c r="G3323" s="9">
        <v>44935</v>
      </c>
      <c r="H3323" s="7"/>
      <c r="I3323" s="7"/>
      <c r="J3323" s="7"/>
      <c r="K3323" s="7"/>
      <c r="L3323" s="10">
        <v>7.5</v>
      </c>
      <c r="M3323" s="9">
        <v>44942</v>
      </c>
      <c r="N3323" s="10">
        <v>9.5</v>
      </c>
      <c r="O3323" s="9">
        <v>44951</v>
      </c>
      <c r="P3323">
        <v>5</v>
      </c>
      <c r="Q3323" s="11" t="s">
        <v>49</v>
      </c>
      <c r="R3323" s="7"/>
      <c r="S3323" s="7"/>
      <c r="T3323" s="7"/>
      <c r="U3323" s="7"/>
      <c r="V3323" s="10">
        <v>9.5</v>
      </c>
      <c r="W3323" s="9">
        <v>44944</v>
      </c>
      <c r="X3323" s="10">
        <v>11.5</v>
      </c>
      <c r="Y3323" s="9">
        <v>44951</v>
      </c>
      <c r="Z3323">
        <v>5</v>
      </c>
      <c r="AA3323" s="11" t="s">
        <v>49</v>
      </c>
    </row>
    <row r="3324" spans="2:27" ht="16" x14ac:dyDescent="0.2">
      <c r="B3324" t="s">
        <v>35</v>
      </c>
      <c r="C3324">
        <v>40351707</v>
      </c>
      <c r="D3324" t="s">
        <v>409</v>
      </c>
      <c r="E3324">
        <v>1012483</v>
      </c>
      <c r="F3324" t="s">
        <v>90</v>
      </c>
      <c r="G3324" s="9">
        <v>44925</v>
      </c>
      <c r="H3324" s="7"/>
      <c r="I3324" s="7"/>
      <c r="J3324" s="7"/>
      <c r="K3324" s="7"/>
      <c r="L3324" s="10">
        <v>7.5</v>
      </c>
      <c r="M3324" s="9">
        <v>44932</v>
      </c>
      <c r="N3324" s="10">
        <v>9.5</v>
      </c>
      <c r="O3324" s="9">
        <v>44941</v>
      </c>
      <c r="P3324">
        <v>13</v>
      </c>
      <c r="Q3324" s="11" t="s">
        <v>49</v>
      </c>
      <c r="R3324" s="7"/>
      <c r="S3324" s="7"/>
      <c r="T3324" s="7"/>
      <c r="U3324" s="7"/>
      <c r="V3324" s="10">
        <v>9.5</v>
      </c>
      <c r="W3324" s="9">
        <v>44934</v>
      </c>
      <c r="X3324" s="10">
        <v>11.5</v>
      </c>
      <c r="Y3324" s="9">
        <v>44941</v>
      </c>
      <c r="Z3324">
        <v>13</v>
      </c>
      <c r="AA3324" s="11" t="s">
        <v>49</v>
      </c>
    </row>
    <row r="3325" spans="2:27" ht="16" x14ac:dyDescent="0.2">
      <c r="B3325" t="s">
        <v>35</v>
      </c>
      <c r="C3325">
        <v>40351706</v>
      </c>
      <c r="D3325" t="s">
        <v>409</v>
      </c>
      <c r="E3325">
        <v>1012483</v>
      </c>
      <c r="F3325" t="s">
        <v>90</v>
      </c>
      <c r="G3325" s="9">
        <v>44925</v>
      </c>
      <c r="H3325" s="7"/>
      <c r="I3325" s="7"/>
      <c r="J3325" s="7"/>
      <c r="K3325" s="7"/>
      <c r="L3325" s="10">
        <v>7.5</v>
      </c>
      <c r="M3325" s="9">
        <v>44932</v>
      </c>
      <c r="N3325" s="10">
        <v>9.5</v>
      </c>
      <c r="O3325" s="9">
        <v>44941</v>
      </c>
      <c r="P3325">
        <v>13</v>
      </c>
      <c r="Q3325" s="11" t="s">
        <v>49</v>
      </c>
      <c r="R3325" s="7"/>
      <c r="S3325" s="7"/>
      <c r="T3325" s="7"/>
      <c r="U3325" s="7"/>
      <c r="V3325" s="10">
        <v>9.5</v>
      </c>
      <c r="W3325" s="9">
        <v>44934</v>
      </c>
      <c r="X3325" s="10">
        <v>11.5</v>
      </c>
      <c r="Y3325" s="9">
        <v>44941</v>
      </c>
      <c r="Z3325">
        <v>13</v>
      </c>
      <c r="AA3325" s="11" t="s">
        <v>49</v>
      </c>
    </row>
    <row r="3326" spans="2:27" ht="16" x14ac:dyDescent="0.2">
      <c r="B3326" t="s">
        <v>35</v>
      </c>
      <c r="C3326">
        <v>40351697</v>
      </c>
      <c r="D3326" t="s">
        <v>409</v>
      </c>
      <c r="E3326">
        <v>1012518</v>
      </c>
      <c r="F3326" t="s">
        <v>65</v>
      </c>
      <c r="G3326" s="9">
        <v>44929</v>
      </c>
      <c r="H3326" s="7"/>
      <c r="I3326" s="7"/>
      <c r="J3326" s="7"/>
      <c r="K3326" s="7"/>
      <c r="L3326" s="10">
        <v>7.5</v>
      </c>
      <c r="M3326" s="9">
        <v>44936</v>
      </c>
      <c r="N3326" s="10">
        <v>9.5</v>
      </c>
      <c r="O3326" s="9">
        <v>44945</v>
      </c>
      <c r="P3326">
        <v>10</v>
      </c>
      <c r="Q3326" s="11" t="s">
        <v>49</v>
      </c>
      <c r="R3326" s="7"/>
      <c r="S3326" s="7"/>
      <c r="T3326" s="7"/>
      <c r="U3326" s="7"/>
      <c r="V3326" s="10">
        <v>9.5</v>
      </c>
      <c r="W3326" s="9">
        <v>44938</v>
      </c>
      <c r="X3326" s="10">
        <v>11.5</v>
      </c>
      <c r="Y3326" s="9">
        <v>44945</v>
      </c>
      <c r="Z3326">
        <v>10</v>
      </c>
      <c r="AA3326" s="11" t="s">
        <v>49</v>
      </c>
    </row>
    <row r="3327" spans="2:27" ht="16" x14ac:dyDescent="0.2">
      <c r="B3327" t="s">
        <v>35</v>
      </c>
      <c r="C3327">
        <v>40351696</v>
      </c>
      <c r="D3327" t="s">
        <v>409</v>
      </c>
      <c r="E3327">
        <v>1012518</v>
      </c>
      <c r="F3327" t="s">
        <v>65</v>
      </c>
      <c r="G3327" s="9">
        <v>44937</v>
      </c>
      <c r="H3327" s="7"/>
      <c r="I3327" s="7"/>
      <c r="J3327" s="7"/>
      <c r="K3327" s="7"/>
      <c r="L3327" s="10">
        <v>7.5</v>
      </c>
      <c r="M3327" s="9">
        <v>44944</v>
      </c>
      <c r="N3327" s="10">
        <v>9.5</v>
      </c>
      <c r="O3327" s="9">
        <v>44953</v>
      </c>
      <c r="P3327">
        <v>3</v>
      </c>
      <c r="Q3327" s="11" t="s">
        <v>49</v>
      </c>
      <c r="R3327" s="7"/>
      <c r="S3327" s="7"/>
      <c r="T3327" s="7"/>
      <c r="U3327" s="7"/>
      <c r="V3327" s="10">
        <v>9.5</v>
      </c>
      <c r="W3327" s="9">
        <v>44946</v>
      </c>
      <c r="X3327" s="10">
        <v>11.5</v>
      </c>
      <c r="Y3327" s="9">
        <v>44953</v>
      </c>
      <c r="Z3327">
        <v>3</v>
      </c>
      <c r="AA3327" s="11" t="s">
        <v>49</v>
      </c>
    </row>
    <row r="3328" spans="2:27" ht="16" x14ac:dyDescent="0.2">
      <c r="B3328" t="s">
        <v>35</v>
      </c>
      <c r="C3328">
        <v>40351672</v>
      </c>
      <c r="D3328" t="s">
        <v>389</v>
      </c>
      <c r="E3328">
        <v>1030525</v>
      </c>
      <c r="F3328" t="s">
        <v>377</v>
      </c>
      <c r="G3328" s="9">
        <v>44952</v>
      </c>
      <c r="H3328" s="7"/>
      <c r="I3328" s="7"/>
      <c r="J3328" s="7"/>
      <c r="K3328" s="7"/>
      <c r="L3328" s="10">
        <v>5.5741092456127026</v>
      </c>
      <c r="M3328" s="9">
        <v>44957</v>
      </c>
      <c r="N3328" s="10">
        <v>5.5</v>
      </c>
      <c r="O3328" s="9">
        <v>44962</v>
      </c>
      <c r="P3328">
        <v>20</v>
      </c>
      <c r="Q3328" s="11" t="s">
        <v>49</v>
      </c>
      <c r="R3328" s="7"/>
      <c r="S3328" s="7"/>
      <c r="T3328" s="7"/>
      <c r="U3328" s="7"/>
      <c r="V3328" s="10">
        <v>7.5741092456127026</v>
      </c>
      <c r="W3328" s="9">
        <v>44959</v>
      </c>
      <c r="X3328" s="10">
        <v>7.5</v>
      </c>
      <c r="Y3328" s="9">
        <v>44962</v>
      </c>
      <c r="Z3328">
        <v>20</v>
      </c>
      <c r="AA3328" s="11" t="s">
        <v>49</v>
      </c>
    </row>
    <row r="3329" spans="2:27" ht="16" x14ac:dyDescent="0.2">
      <c r="B3329" t="s">
        <v>35</v>
      </c>
      <c r="C3329">
        <v>40351667</v>
      </c>
      <c r="D3329" t="s">
        <v>389</v>
      </c>
      <c r="E3329">
        <v>1030566</v>
      </c>
      <c r="F3329" t="s">
        <v>439</v>
      </c>
      <c r="G3329" s="9">
        <v>44952</v>
      </c>
      <c r="H3329" s="7"/>
      <c r="I3329" s="7"/>
      <c r="J3329" s="7"/>
      <c r="K3329" s="7"/>
      <c r="L3329" s="10">
        <v>5.5741092456127026</v>
      </c>
      <c r="M3329" s="9">
        <v>44957</v>
      </c>
      <c r="N3329" s="10">
        <v>5.5</v>
      </c>
      <c r="O3329" s="9">
        <v>44962</v>
      </c>
      <c r="P3329">
        <v>20</v>
      </c>
      <c r="Q3329" s="11" t="s">
        <v>49</v>
      </c>
      <c r="R3329" s="7"/>
      <c r="S3329" s="7"/>
      <c r="T3329" s="7"/>
      <c r="U3329" s="7"/>
      <c r="V3329" s="10">
        <v>7.5741092456127026</v>
      </c>
      <c r="W3329" s="9">
        <v>44959</v>
      </c>
      <c r="X3329" s="10">
        <v>7.5</v>
      </c>
      <c r="Y3329" s="9">
        <v>44962</v>
      </c>
      <c r="Z3329">
        <v>20</v>
      </c>
      <c r="AA3329" s="11" t="s">
        <v>49</v>
      </c>
    </row>
    <row r="3330" spans="2:27" ht="16" x14ac:dyDescent="0.2">
      <c r="B3330" t="s">
        <v>35</v>
      </c>
      <c r="C3330">
        <v>40351666</v>
      </c>
      <c r="D3330" t="s">
        <v>389</v>
      </c>
      <c r="E3330">
        <v>1030686</v>
      </c>
      <c r="F3330" t="s">
        <v>381</v>
      </c>
      <c r="G3330" s="9">
        <v>44962</v>
      </c>
      <c r="H3330" s="7"/>
      <c r="I3330" s="7"/>
      <c r="J3330" s="7"/>
      <c r="K3330" s="7"/>
      <c r="L3330" s="10">
        <v>5.5741092456127026</v>
      </c>
      <c r="M3330" s="9">
        <v>44967</v>
      </c>
      <c r="N3330" s="10">
        <v>5.5</v>
      </c>
      <c r="O3330" s="9">
        <v>44972</v>
      </c>
      <c r="P3330">
        <v>11</v>
      </c>
      <c r="Q3330" s="11" t="s">
        <v>49</v>
      </c>
      <c r="R3330" s="7"/>
      <c r="S3330" s="7"/>
      <c r="T3330" s="7"/>
      <c r="U3330" s="7"/>
      <c r="V3330" s="10">
        <v>7.5741092456127026</v>
      </c>
      <c r="W3330" s="9">
        <v>44969</v>
      </c>
      <c r="X3330" s="10">
        <v>7.5</v>
      </c>
      <c r="Y3330" s="9">
        <v>44972</v>
      </c>
      <c r="Z3330">
        <v>11</v>
      </c>
      <c r="AA3330" s="11" t="s">
        <v>49</v>
      </c>
    </row>
    <row r="3331" spans="2:27" ht="16" x14ac:dyDescent="0.2">
      <c r="B3331" t="s">
        <v>35</v>
      </c>
      <c r="C3331">
        <v>40351665</v>
      </c>
      <c r="D3331" t="s">
        <v>389</v>
      </c>
      <c r="E3331">
        <v>1030686</v>
      </c>
      <c r="F3331" t="s">
        <v>381</v>
      </c>
      <c r="G3331" s="9">
        <v>44955</v>
      </c>
      <c r="H3331" s="7"/>
      <c r="I3331" s="7"/>
      <c r="J3331" s="7"/>
      <c r="K3331" s="7"/>
      <c r="L3331" s="10">
        <v>5.5741092456127026</v>
      </c>
      <c r="M3331" s="9">
        <v>44960</v>
      </c>
      <c r="N3331" s="10">
        <v>5.5</v>
      </c>
      <c r="O3331" s="9">
        <v>44965</v>
      </c>
      <c r="P3331">
        <v>17</v>
      </c>
      <c r="Q3331" s="11" t="s">
        <v>49</v>
      </c>
      <c r="R3331" s="7"/>
      <c r="S3331" s="7"/>
      <c r="T3331" s="7"/>
      <c r="U3331" s="7"/>
      <c r="V3331" s="10">
        <v>7.5741092456127026</v>
      </c>
      <c r="W3331" s="9">
        <v>44962</v>
      </c>
      <c r="X3331" s="10">
        <v>7.5</v>
      </c>
      <c r="Y3331" s="9">
        <v>44965</v>
      </c>
      <c r="Z3331">
        <v>17</v>
      </c>
      <c r="AA3331" s="11" t="s">
        <v>49</v>
      </c>
    </row>
    <row r="3332" spans="2:27" ht="16" x14ac:dyDescent="0.2">
      <c r="B3332" t="s">
        <v>35</v>
      </c>
      <c r="C3332">
        <v>40351664</v>
      </c>
      <c r="D3332" t="s">
        <v>389</v>
      </c>
      <c r="E3332">
        <v>1030686</v>
      </c>
      <c r="F3332" t="s">
        <v>381</v>
      </c>
      <c r="G3332" s="9">
        <v>44956</v>
      </c>
      <c r="H3332" s="7"/>
      <c r="I3332" s="7"/>
      <c r="J3332" s="7"/>
      <c r="K3332" s="7"/>
      <c r="L3332" s="10">
        <v>5.5741092456127026</v>
      </c>
      <c r="M3332" s="9">
        <v>44961</v>
      </c>
      <c r="N3332" s="10">
        <v>5.5</v>
      </c>
      <c r="O3332" s="9">
        <v>44966</v>
      </c>
      <c r="P3332">
        <v>16</v>
      </c>
      <c r="Q3332" s="11" t="s">
        <v>49</v>
      </c>
      <c r="R3332" s="7"/>
      <c r="S3332" s="7"/>
      <c r="T3332" s="7"/>
      <c r="U3332" s="7"/>
      <c r="V3332" s="10">
        <v>7.5741092456127026</v>
      </c>
      <c r="W3332" s="9">
        <v>44963</v>
      </c>
      <c r="X3332" s="10">
        <v>7.5</v>
      </c>
      <c r="Y3332" s="9">
        <v>44966</v>
      </c>
      <c r="Z3332">
        <v>16</v>
      </c>
      <c r="AA3332" s="11" t="s">
        <v>49</v>
      </c>
    </row>
    <row r="3333" spans="2:27" ht="16" x14ac:dyDescent="0.2">
      <c r="B3333" t="s">
        <v>35</v>
      </c>
      <c r="C3333">
        <v>40351663</v>
      </c>
      <c r="D3333" t="s">
        <v>389</v>
      </c>
      <c r="E3333">
        <v>1030686</v>
      </c>
      <c r="F3333" t="s">
        <v>381</v>
      </c>
      <c r="G3333" s="9">
        <v>44940</v>
      </c>
      <c r="H3333" s="7"/>
      <c r="I3333" s="7"/>
      <c r="J3333" s="7"/>
      <c r="K3333" s="7"/>
      <c r="L3333" s="10">
        <v>5.5741092456127026</v>
      </c>
      <c r="M3333" s="9">
        <v>44945</v>
      </c>
      <c r="N3333" s="10">
        <v>5.5</v>
      </c>
      <c r="O3333" s="9">
        <v>44950</v>
      </c>
      <c r="P3333">
        <v>6</v>
      </c>
      <c r="Q3333" s="11" t="s">
        <v>49</v>
      </c>
      <c r="R3333" s="7"/>
      <c r="S3333" s="7"/>
      <c r="T3333" s="7"/>
      <c r="U3333" s="7"/>
      <c r="V3333" s="10">
        <v>7.5741092456127026</v>
      </c>
      <c r="W3333" s="9">
        <v>44947</v>
      </c>
      <c r="X3333" s="10">
        <v>7.5</v>
      </c>
      <c r="Y3333" s="9">
        <v>44950</v>
      </c>
      <c r="Z3333">
        <v>6</v>
      </c>
      <c r="AA3333" s="11" t="s">
        <v>49</v>
      </c>
    </row>
    <row r="3334" spans="2:27" ht="16" x14ac:dyDescent="0.2">
      <c r="B3334" t="s">
        <v>35</v>
      </c>
      <c r="C3334">
        <v>40351662</v>
      </c>
      <c r="D3334" t="s">
        <v>389</v>
      </c>
      <c r="E3334">
        <v>1030686</v>
      </c>
      <c r="F3334" t="s">
        <v>381</v>
      </c>
      <c r="G3334" s="9">
        <v>44955</v>
      </c>
      <c r="H3334" s="7"/>
      <c r="I3334" s="7"/>
      <c r="J3334" s="7"/>
      <c r="K3334" s="7"/>
      <c r="L3334" s="10">
        <v>5.5741092456127026</v>
      </c>
      <c r="M3334" s="9">
        <v>44960</v>
      </c>
      <c r="N3334" s="10">
        <v>5.5</v>
      </c>
      <c r="O3334" s="9">
        <v>44965</v>
      </c>
      <c r="P3334">
        <v>17</v>
      </c>
      <c r="Q3334" s="11" t="s">
        <v>49</v>
      </c>
      <c r="R3334" s="7"/>
      <c r="S3334" s="7"/>
      <c r="T3334" s="7"/>
      <c r="U3334" s="7"/>
      <c r="V3334" s="10">
        <v>7.5741092456127026</v>
      </c>
      <c r="W3334" s="9">
        <v>44962</v>
      </c>
      <c r="X3334" s="10">
        <v>7.5</v>
      </c>
      <c r="Y3334" s="9">
        <v>44965</v>
      </c>
      <c r="Z3334">
        <v>17</v>
      </c>
      <c r="AA3334" s="11" t="s">
        <v>49</v>
      </c>
    </row>
    <row r="3335" spans="2:27" ht="16" x14ac:dyDescent="0.2">
      <c r="B3335" t="s">
        <v>35</v>
      </c>
      <c r="C3335">
        <v>40351661</v>
      </c>
      <c r="D3335" t="s">
        <v>389</v>
      </c>
      <c r="E3335">
        <v>1030685</v>
      </c>
      <c r="F3335" t="s">
        <v>413</v>
      </c>
      <c r="G3335" s="9">
        <v>44940</v>
      </c>
      <c r="H3335" s="7"/>
      <c r="I3335" s="7"/>
      <c r="J3335" s="7"/>
      <c r="K3335" s="7"/>
      <c r="L3335" s="10">
        <v>5.5741092456127026</v>
      </c>
      <c r="M3335" s="9">
        <v>44945</v>
      </c>
      <c r="N3335" s="10">
        <v>5.5</v>
      </c>
      <c r="O3335" s="9">
        <v>44950</v>
      </c>
      <c r="P3335">
        <v>6</v>
      </c>
      <c r="Q3335" s="11" t="s">
        <v>49</v>
      </c>
      <c r="R3335" s="7"/>
      <c r="S3335" s="7"/>
      <c r="T3335" s="7"/>
      <c r="U3335" s="7"/>
      <c r="V3335" s="10">
        <v>7.5741092456127026</v>
      </c>
      <c r="W3335" s="9">
        <v>44947</v>
      </c>
      <c r="X3335" s="10">
        <v>7.5</v>
      </c>
      <c r="Y3335" s="9">
        <v>44950</v>
      </c>
      <c r="Z3335">
        <v>6</v>
      </c>
      <c r="AA3335" s="11" t="s">
        <v>49</v>
      </c>
    </row>
    <row r="3336" spans="2:27" ht="16" x14ac:dyDescent="0.2">
      <c r="B3336" t="s">
        <v>35</v>
      </c>
      <c r="C3336">
        <v>40351656</v>
      </c>
      <c r="D3336" t="s">
        <v>389</v>
      </c>
      <c r="E3336">
        <v>1022378</v>
      </c>
      <c r="F3336" t="s">
        <v>304</v>
      </c>
      <c r="G3336" s="9">
        <v>44958</v>
      </c>
      <c r="H3336" s="7"/>
      <c r="I3336" s="7"/>
      <c r="J3336" s="7"/>
      <c r="K3336" s="7"/>
      <c r="L3336" s="10">
        <v>5.5741092456127026</v>
      </c>
      <c r="M3336" s="9">
        <v>44963</v>
      </c>
      <c r="N3336" s="10">
        <v>5.5</v>
      </c>
      <c r="O3336" s="9">
        <v>44968</v>
      </c>
      <c r="P3336">
        <v>14</v>
      </c>
      <c r="Q3336" s="11" t="s">
        <v>49</v>
      </c>
      <c r="R3336" s="7"/>
      <c r="S3336" s="7"/>
      <c r="T3336" s="7"/>
      <c r="U3336" s="7"/>
      <c r="V3336" s="10">
        <v>7.5741092456127026</v>
      </c>
      <c r="W3336" s="9">
        <v>44965</v>
      </c>
      <c r="X3336" s="10">
        <v>7.5</v>
      </c>
      <c r="Y3336" s="9">
        <v>44968</v>
      </c>
      <c r="Z3336">
        <v>14</v>
      </c>
      <c r="AA3336" s="11" t="s">
        <v>49</v>
      </c>
    </row>
    <row r="3337" spans="2:27" ht="16" x14ac:dyDescent="0.2">
      <c r="B3337" t="s">
        <v>35</v>
      </c>
      <c r="C3337">
        <v>40351656</v>
      </c>
      <c r="D3337" t="s">
        <v>389</v>
      </c>
      <c r="E3337">
        <v>1022378</v>
      </c>
      <c r="F3337" t="s">
        <v>304</v>
      </c>
      <c r="G3337" s="9">
        <v>44958</v>
      </c>
      <c r="H3337" s="7"/>
      <c r="I3337" s="7"/>
      <c r="J3337" s="7"/>
      <c r="K3337" s="7"/>
      <c r="L3337" s="10">
        <v>5.5741092456127026</v>
      </c>
      <c r="M3337" s="9">
        <v>44963</v>
      </c>
      <c r="N3337" s="10">
        <v>5.5</v>
      </c>
      <c r="O3337" s="9">
        <v>44968</v>
      </c>
      <c r="P3337">
        <v>14</v>
      </c>
      <c r="Q3337" s="11" t="s">
        <v>49</v>
      </c>
      <c r="R3337" s="7"/>
      <c r="S3337" s="7"/>
      <c r="T3337" s="7"/>
      <c r="U3337" s="7"/>
      <c r="V3337" s="10">
        <v>7.5741092456127026</v>
      </c>
      <c r="W3337" s="9">
        <v>44965</v>
      </c>
      <c r="X3337" s="10">
        <v>7.5</v>
      </c>
      <c r="Y3337" s="9">
        <v>44968</v>
      </c>
      <c r="Z3337">
        <v>14</v>
      </c>
      <c r="AA3337" s="11" t="s">
        <v>49</v>
      </c>
    </row>
    <row r="3338" spans="2:27" ht="16" x14ac:dyDescent="0.2">
      <c r="B3338" t="s">
        <v>35</v>
      </c>
      <c r="C3338">
        <v>40351655</v>
      </c>
      <c r="D3338" t="s">
        <v>389</v>
      </c>
      <c r="E3338">
        <v>1022378</v>
      </c>
      <c r="F3338" t="s">
        <v>304</v>
      </c>
      <c r="G3338" s="9">
        <v>44950</v>
      </c>
      <c r="H3338" s="7"/>
      <c r="I3338" s="7"/>
      <c r="J3338" s="7"/>
      <c r="K3338" s="7"/>
      <c r="L3338" s="10">
        <v>5.5741092456127026</v>
      </c>
      <c r="M3338" s="9">
        <v>44955</v>
      </c>
      <c r="N3338" s="10">
        <v>5.5</v>
      </c>
      <c r="O3338" s="9">
        <v>44960</v>
      </c>
      <c r="P3338">
        <v>21</v>
      </c>
      <c r="Q3338" s="11" t="s">
        <v>49</v>
      </c>
      <c r="R3338" s="7"/>
      <c r="S3338" s="7"/>
      <c r="T3338" s="7"/>
      <c r="U3338" s="7"/>
      <c r="V3338" s="10">
        <v>7.5741092456127026</v>
      </c>
      <c r="W3338" s="9">
        <v>44957</v>
      </c>
      <c r="X3338" s="10">
        <v>7.5</v>
      </c>
      <c r="Y3338" s="9">
        <v>44960</v>
      </c>
      <c r="Z3338">
        <v>21</v>
      </c>
      <c r="AA3338" s="11" t="s">
        <v>49</v>
      </c>
    </row>
    <row r="3339" spans="2:27" ht="16" x14ac:dyDescent="0.2">
      <c r="B3339" t="s">
        <v>35</v>
      </c>
      <c r="C3339">
        <v>40351654</v>
      </c>
      <c r="D3339" t="s">
        <v>389</v>
      </c>
      <c r="E3339">
        <v>1022378</v>
      </c>
      <c r="F3339" t="s">
        <v>304</v>
      </c>
      <c r="G3339" s="9">
        <v>44956</v>
      </c>
      <c r="H3339" s="7"/>
      <c r="I3339" s="7"/>
      <c r="J3339" s="7"/>
      <c r="K3339" s="7"/>
      <c r="L3339" s="10">
        <v>5.5741092456127026</v>
      </c>
      <c r="M3339" s="9">
        <v>44961</v>
      </c>
      <c r="N3339" s="10">
        <v>5.5</v>
      </c>
      <c r="O3339" s="9">
        <v>44966</v>
      </c>
      <c r="P3339">
        <v>16</v>
      </c>
      <c r="Q3339" s="11" t="s">
        <v>49</v>
      </c>
      <c r="R3339" s="7"/>
      <c r="S3339" s="7"/>
      <c r="T3339" s="7"/>
      <c r="U3339" s="7"/>
      <c r="V3339" s="10">
        <v>7.5741092456127026</v>
      </c>
      <c r="W3339" s="9">
        <v>44963</v>
      </c>
      <c r="X3339" s="10">
        <v>7.5</v>
      </c>
      <c r="Y3339" s="9">
        <v>44966</v>
      </c>
      <c r="Z3339">
        <v>16</v>
      </c>
      <c r="AA3339" s="11" t="s">
        <v>49</v>
      </c>
    </row>
    <row r="3340" spans="2:27" ht="16" x14ac:dyDescent="0.2">
      <c r="B3340" t="s">
        <v>35</v>
      </c>
      <c r="C3340">
        <v>40351654</v>
      </c>
      <c r="D3340" t="s">
        <v>389</v>
      </c>
      <c r="E3340">
        <v>1022378</v>
      </c>
      <c r="F3340" t="s">
        <v>304</v>
      </c>
      <c r="G3340" s="9">
        <v>44956</v>
      </c>
      <c r="H3340" s="7"/>
      <c r="I3340" s="7"/>
      <c r="J3340" s="7"/>
      <c r="K3340" s="7"/>
      <c r="L3340" s="10">
        <v>5.5741092456127026</v>
      </c>
      <c r="M3340" s="9">
        <v>44961</v>
      </c>
      <c r="N3340" s="10">
        <v>5.5</v>
      </c>
      <c r="O3340" s="9">
        <v>44966</v>
      </c>
      <c r="P3340">
        <v>16</v>
      </c>
      <c r="Q3340" s="11" t="s">
        <v>49</v>
      </c>
      <c r="R3340" s="7"/>
      <c r="S3340" s="7"/>
      <c r="T3340" s="7"/>
      <c r="U3340" s="7"/>
      <c r="V3340" s="10">
        <v>7.5741092456127026</v>
      </c>
      <c r="W3340" s="9">
        <v>44963</v>
      </c>
      <c r="X3340" s="10">
        <v>7.5</v>
      </c>
      <c r="Y3340" s="9">
        <v>44966</v>
      </c>
      <c r="Z3340">
        <v>16</v>
      </c>
      <c r="AA3340" s="11" t="s">
        <v>49</v>
      </c>
    </row>
    <row r="3341" spans="2:27" ht="16" x14ac:dyDescent="0.2">
      <c r="B3341" t="s">
        <v>35</v>
      </c>
      <c r="C3341">
        <v>40351651</v>
      </c>
      <c r="D3341" t="s">
        <v>389</v>
      </c>
      <c r="E3341">
        <v>1022186</v>
      </c>
      <c r="F3341" t="s">
        <v>388</v>
      </c>
      <c r="G3341" s="9">
        <v>44968</v>
      </c>
      <c r="H3341" s="7"/>
      <c r="I3341" s="7"/>
      <c r="J3341" s="7"/>
      <c r="K3341" s="7"/>
      <c r="L3341" s="10">
        <v>5.5741092456127026</v>
      </c>
      <c r="M3341" s="9">
        <v>44973</v>
      </c>
      <c r="N3341" s="10">
        <v>5.5</v>
      </c>
      <c r="O3341" s="9">
        <v>44978</v>
      </c>
      <c r="P3341">
        <v>6</v>
      </c>
      <c r="Q3341" s="11" t="s">
        <v>49</v>
      </c>
      <c r="R3341" s="7"/>
      <c r="S3341" s="7"/>
      <c r="T3341" s="7"/>
      <c r="U3341" s="7"/>
      <c r="V3341" s="10">
        <v>7.5741092456127026</v>
      </c>
      <c r="W3341" s="9">
        <v>44975</v>
      </c>
      <c r="X3341" s="10">
        <v>7.5</v>
      </c>
      <c r="Y3341" s="9">
        <v>44978</v>
      </c>
      <c r="Z3341">
        <v>6</v>
      </c>
      <c r="AA3341" s="11" t="s">
        <v>49</v>
      </c>
    </row>
    <row r="3342" spans="2:27" ht="16" x14ac:dyDescent="0.2">
      <c r="B3342" t="s">
        <v>35</v>
      </c>
      <c r="C3342">
        <v>40351649</v>
      </c>
      <c r="D3342" t="s">
        <v>389</v>
      </c>
      <c r="E3342">
        <v>1023109</v>
      </c>
      <c r="F3342" t="s">
        <v>466</v>
      </c>
      <c r="G3342" s="9">
        <v>44952</v>
      </c>
      <c r="H3342" s="7"/>
      <c r="I3342" s="7"/>
      <c r="J3342" s="7"/>
      <c r="K3342" s="7"/>
      <c r="L3342" s="10">
        <v>5.5741092456127026</v>
      </c>
      <c r="M3342" s="9">
        <v>44957</v>
      </c>
      <c r="N3342" s="10">
        <v>5.5</v>
      </c>
      <c r="O3342" s="9">
        <v>44962</v>
      </c>
      <c r="P3342">
        <v>20</v>
      </c>
      <c r="Q3342" s="11" t="s">
        <v>49</v>
      </c>
      <c r="R3342" s="7"/>
      <c r="S3342" s="7"/>
      <c r="T3342" s="7"/>
      <c r="U3342" s="7"/>
      <c r="V3342" s="10">
        <v>7.5741092456127026</v>
      </c>
      <c r="W3342" s="9">
        <v>44959</v>
      </c>
      <c r="X3342" s="10">
        <v>7.5</v>
      </c>
      <c r="Y3342" s="9">
        <v>44962</v>
      </c>
      <c r="Z3342">
        <v>20</v>
      </c>
      <c r="AA3342" s="11" t="s">
        <v>49</v>
      </c>
    </row>
    <row r="3343" spans="2:27" ht="16" x14ac:dyDescent="0.2">
      <c r="B3343" t="s">
        <v>35</v>
      </c>
      <c r="C3343">
        <v>40351647</v>
      </c>
      <c r="D3343" t="s">
        <v>389</v>
      </c>
      <c r="E3343">
        <v>1023291</v>
      </c>
      <c r="F3343" t="s">
        <v>530</v>
      </c>
      <c r="G3343" s="9">
        <v>44941</v>
      </c>
      <c r="H3343" s="7"/>
      <c r="I3343" s="7"/>
      <c r="J3343" s="7"/>
      <c r="K3343" s="7"/>
      <c r="L3343" s="10">
        <v>5.5741092456127026</v>
      </c>
      <c r="M3343" s="9">
        <v>44946</v>
      </c>
      <c r="N3343" s="10">
        <v>5.5</v>
      </c>
      <c r="O3343" s="9">
        <v>44951</v>
      </c>
      <c r="P3343">
        <v>5</v>
      </c>
      <c r="Q3343" s="11" t="s">
        <v>49</v>
      </c>
      <c r="R3343" s="7"/>
      <c r="S3343" s="7"/>
      <c r="T3343" s="7"/>
      <c r="U3343" s="7"/>
      <c r="V3343" s="10">
        <v>7.5741092456127026</v>
      </c>
      <c r="W3343" s="9">
        <v>44948</v>
      </c>
      <c r="X3343" s="10">
        <v>7.5</v>
      </c>
      <c r="Y3343" s="9">
        <v>44951</v>
      </c>
      <c r="Z3343">
        <v>5</v>
      </c>
      <c r="AA3343" s="11" t="s">
        <v>49</v>
      </c>
    </row>
    <row r="3344" spans="2:27" ht="16" x14ac:dyDescent="0.2">
      <c r="B3344" t="s">
        <v>35</v>
      </c>
      <c r="C3344">
        <v>40351646</v>
      </c>
      <c r="D3344" t="s">
        <v>389</v>
      </c>
      <c r="E3344">
        <v>1022851</v>
      </c>
      <c r="F3344" t="s">
        <v>322</v>
      </c>
      <c r="G3344" s="9">
        <v>44969</v>
      </c>
      <c r="H3344" s="7"/>
      <c r="I3344" s="7"/>
      <c r="J3344" s="7"/>
      <c r="K3344" s="7"/>
      <c r="L3344" s="10">
        <v>5.5741092456127026</v>
      </c>
      <c r="M3344" s="9">
        <v>44974</v>
      </c>
      <c r="N3344" s="10">
        <v>5.5</v>
      </c>
      <c r="O3344" s="9">
        <v>44979</v>
      </c>
      <c r="P3344">
        <v>5</v>
      </c>
      <c r="Q3344" s="11" t="s">
        <v>49</v>
      </c>
      <c r="R3344" s="7"/>
      <c r="S3344" s="7"/>
      <c r="T3344" s="7"/>
      <c r="U3344" s="7"/>
      <c r="V3344" s="10">
        <v>7.5741092456127026</v>
      </c>
      <c r="W3344" s="9">
        <v>44976</v>
      </c>
      <c r="X3344" s="10">
        <v>7.5</v>
      </c>
      <c r="Y3344" s="9">
        <v>44979</v>
      </c>
      <c r="Z3344">
        <v>5</v>
      </c>
      <c r="AA3344" s="11" t="s">
        <v>49</v>
      </c>
    </row>
    <row r="3345" spans="2:27" ht="16" x14ac:dyDescent="0.2">
      <c r="B3345" t="s">
        <v>35</v>
      </c>
      <c r="C3345">
        <v>40351643</v>
      </c>
      <c r="D3345" t="s">
        <v>389</v>
      </c>
      <c r="E3345">
        <v>1022851</v>
      </c>
      <c r="F3345" t="s">
        <v>322</v>
      </c>
      <c r="G3345" s="9">
        <v>44953</v>
      </c>
      <c r="H3345" s="7"/>
      <c r="I3345" s="7"/>
      <c r="J3345" s="7"/>
      <c r="K3345" s="7"/>
      <c r="L3345" s="10">
        <v>5.5741092456127026</v>
      </c>
      <c r="M3345" s="9">
        <v>44958</v>
      </c>
      <c r="N3345" s="10">
        <v>5.5</v>
      </c>
      <c r="O3345" s="9">
        <v>44963</v>
      </c>
      <c r="P3345">
        <v>19</v>
      </c>
      <c r="Q3345" s="11" t="s">
        <v>49</v>
      </c>
      <c r="R3345" s="7"/>
      <c r="S3345" s="7"/>
      <c r="T3345" s="7"/>
      <c r="U3345" s="7"/>
      <c r="V3345" s="10">
        <v>7.5741092456127026</v>
      </c>
      <c r="W3345" s="9">
        <v>44960</v>
      </c>
      <c r="X3345" s="10">
        <v>7.5</v>
      </c>
      <c r="Y3345" s="9">
        <v>44963</v>
      </c>
      <c r="Z3345">
        <v>19</v>
      </c>
      <c r="AA3345" s="11" t="s">
        <v>49</v>
      </c>
    </row>
    <row r="3346" spans="2:27" ht="16" x14ac:dyDescent="0.2">
      <c r="B3346" t="s">
        <v>35</v>
      </c>
      <c r="C3346">
        <v>40351642</v>
      </c>
      <c r="D3346" t="s">
        <v>389</v>
      </c>
      <c r="E3346">
        <v>1022851</v>
      </c>
      <c r="F3346" t="s">
        <v>322</v>
      </c>
      <c r="G3346" s="9">
        <v>44953</v>
      </c>
      <c r="H3346" s="7"/>
      <c r="I3346" s="7"/>
      <c r="J3346" s="7"/>
      <c r="K3346" s="7"/>
      <c r="L3346" s="10">
        <v>5.5741092456127026</v>
      </c>
      <c r="M3346" s="9">
        <v>44958</v>
      </c>
      <c r="N3346" s="10">
        <v>5.5</v>
      </c>
      <c r="O3346" s="9">
        <v>44963</v>
      </c>
      <c r="P3346">
        <v>19</v>
      </c>
      <c r="Q3346" s="11" t="s">
        <v>49</v>
      </c>
      <c r="R3346" s="7"/>
      <c r="S3346" s="7"/>
      <c r="T3346" s="7"/>
      <c r="U3346" s="7"/>
      <c r="V3346" s="10">
        <v>7.5741092456127026</v>
      </c>
      <c r="W3346" s="9">
        <v>44960</v>
      </c>
      <c r="X3346" s="10">
        <v>7.5</v>
      </c>
      <c r="Y3346" s="9">
        <v>44963</v>
      </c>
      <c r="Z3346">
        <v>19</v>
      </c>
      <c r="AA3346" s="11" t="s">
        <v>49</v>
      </c>
    </row>
    <row r="3347" spans="2:27" ht="16" x14ac:dyDescent="0.2">
      <c r="B3347" t="s">
        <v>35</v>
      </c>
      <c r="C3347">
        <v>40351632</v>
      </c>
      <c r="D3347" t="s">
        <v>389</v>
      </c>
      <c r="E3347">
        <v>1022639</v>
      </c>
      <c r="F3347" t="s">
        <v>316</v>
      </c>
      <c r="G3347" s="9">
        <v>44969</v>
      </c>
      <c r="H3347" s="7"/>
      <c r="I3347" s="7"/>
      <c r="J3347" s="7"/>
      <c r="K3347" s="7"/>
      <c r="L3347" s="10">
        <v>5.5741092456127026</v>
      </c>
      <c r="M3347" s="9">
        <v>44974</v>
      </c>
      <c r="N3347" s="10">
        <v>5.5</v>
      </c>
      <c r="O3347" s="9">
        <v>44979</v>
      </c>
      <c r="P3347">
        <v>5</v>
      </c>
      <c r="Q3347" s="11" t="s">
        <v>49</v>
      </c>
      <c r="R3347" s="7"/>
      <c r="S3347" s="7"/>
      <c r="T3347" s="7"/>
      <c r="U3347" s="7"/>
      <c r="V3347" s="10">
        <v>7.5741092456127026</v>
      </c>
      <c r="W3347" s="9">
        <v>44976</v>
      </c>
      <c r="X3347" s="10">
        <v>7.5</v>
      </c>
      <c r="Y3347" s="9">
        <v>44979</v>
      </c>
      <c r="Z3347">
        <v>5</v>
      </c>
      <c r="AA3347" s="11" t="s">
        <v>49</v>
      </c>
    </row>
    <row r="3348" spans="2:27" ht="16" x14ac:dyDescent="0.2">
      <c r="B3348" t="s">
        <v>35</v>
      </c>
      <c r="C3348">
        <v>40351631</v>
      </c>
      <c r="D3348" t="s">
        <v>389</v>
      </c>
      <c r="E3348">
        <v>1022639</v>
      </c>
      <c r="F3348" t="s">
        <v>316</v>
      </c>
      <c r="G3348" s="9">
        <v>44968</v>
      </c>
      <c r="H3348" s="7"/>
      <c r="I3348" s="7"/>
      <c r="J3348" s="7"/>
      <c r="K3348" s="7"/>
      <c r="L3348" s="10">
        <v>5.5741092456127026</v>
      </c>
      <c r="M3348" s="9">
        <v>44973</v>
      </c>
      <c r="N3348" s="10">
        <v>5.5</v>
      </c>
      <c r="O3348" s="9">
        <v>44978</v>
      </c>
      <c r="P3348">
        <v>6</v>
      </c>
      <c r="Q3348" s="11" t="s">
        <v>49</v>
      </c>
      <c r="R3348" s="7"/>
      <c r="S3348" s="7"/>
      <c r="T3348" s="7"/>
      <c r="U3348" s="7"/>
      <c r="V3348" s="10">
        <v>7.5741092456127026</v>
      </c>
      <c r="W3348" s="9">
        <v>44975</v>
      </c>
      <c r="X3348" s="10">
        <v>7.5</v>
      </c>
      <c r="Y3348" s="9">
        <v>44978</v>
      </c>
      <c r="Z3348">
        <v>6</v>
      </c>
      <c r="AA3348" s="11" t="s">
        <v>49</v>
      </c>
    </row>
    <row r="3349" spans="2:27" ht="16" x14ac:dyDescent="0.2">
      <c r="B3349" t="s">
        <v>35</v>
      </c>
      <c r="C3349">
        <v>40351630</v>
      </c>
      <c r="D3349" t="s">
        <v>389</v>
      </c>
      <c r="E3349">
        <v>1022639</v>
      </c>
      <c r="F3349" t="s">
        <v>316</v>
      </c>
      <c r="G3349" s="9">
        <v>44968</v>
      </c>
      <c r="H3349" s="7"/>
      <c r="I3349" s="7"/>
      <c r="J3349" s="7"/>
      <c r="K3349" s="7"/>
      <c r="L3349" s="10">
        <v>5.5741092456127026</v>
      </c>
      <c r="M3349" s="9">
        <v>44973</v>
      </c>
      <c r="N3349" s="10">
        <v>5.5</v>
      </c>
      <c r="O3349" s="9">
        <v>44978</v>
      </c>
      <c r="P3349">
        <v>6</v>
      </c>
      <c r="Q3349" s="11" t="s">
        <v>49</v>
      </c>
      <c r="R3349" s="7"/>
      <c r="S3349" s="7"/>
      <c r="T3349" s="7"/>
      <c r="U3349" s="7"/>
      <c r="V3349" s="10">
        <v>7.5741092456127026</v>
      </c>
      <c r="W3349" s="9">
        <v>44975</v>
      </c>
      <c r="X3349" s="10">
        <v>7.5</v>
      </c>
      <c r="Y3349" s="9">
        <v>44978</v>
      </c>
      <c r="Z3349">
        <v>6</v>
      </c>
      <c r="AA3349" s="11" t="s">
        <v>49</v>
      </c>
    </row>
    <row r="3350" spans="2:27" ht="16" x14ac:dyDescent="0.2">
      <c r="B3350" t="s">
        <v>35</v>
      </c>
      <c r="C3350">
        <v>40351629</v>
      </c>
      <c r="D3350" t="s">
        <v>389</v>
      </c>
      <c r="E3350">
        <v>1022639</v>
      </c>
      <c r="F3350" t="s">
        <v>316</v>
      </c>
      <c r="G3350" s="9">
        <v>44968</v>
      </c>
      <c r="H3350" s="7"/>
      <c r="I3350" s="7"/>
      <c r="J3350" s="7"/>
      <c r="K3350" s="7"/>
      <c r="L3350" s="10">
        <v>5.5741092456127026</v>
      </c>
      <c r="M3350" s="9">
        <v>44973</v>
      </c>
      <c r="N3350" s="10">
        <v>5.5</v>
      </c>
      <c r="O3350" s="9">
        <v>44978</v>
      </c>
      <c r="P3350">
        <v>6</v>
      </c>
      <c r="Q3350" s="11" t="s">
        <v>49</v>
      </c>
      <c r="R3350" s="7"/>
      <c r="S3350" s="7"/>
      <c r="T3350" s="7"/>
      <c r="U3350" s="7"/>
      <c r="V3350" s="10">
        <v>7.5741092456127026</v>
      </c>
      <c r="W3350" s="9">
        <v>44975</v>
      </c>
      <c r="X3350" s="10">
        <v>7.5</v>
      </c>
      <c r="Y3350" s="9">
        <v>44978</v>
      </c>
      <c r="Z3350">
        <v>6</v>
      </c>
      <c r="AA3350" s="11" t="s">
        <v>49</v>
      </c>
    </row>
    <row r="3351" spans="2:27" ht="16" x14ac:dyDescent="0.2">
      <c r="B3351" t="s">
        <v>35</v>
      </c>
      <c r="C3351">
        <v>40351628</v>
      </c>
      <c r="D3351" t="s">
        <v>389</v>
      </c>
      <c r="E3351">
        <v>1022639</v>
      </c>
      <c r="F3351" t="s">
        <v>316</v>
      </c>
      <c r="G3351" s="9">
        <v>44969</v>
      </c>
      <c r="H3351" s="7"/>
      <c r="I3351" s="7"/>
      <c r="J3351" s="7"/>
      <c r="K3351" s="7"/>
      <c r="L3351" s="10">
        <v>5.5741092456127026</v>
      </c>
      <c r="M3351" s="9">
        <v>44974</v>
      </c>
      <c r="N3351" s="10">
        <v>5.5</v>
      </c>
      <c r="O3351" s="9">
        <v>44979</v>
      </c>
      <c r="P3351">
        <v>5</v>
      </c>
      <c r="Q3351" s="11" t="s">
        <v>49</v>
      </c>
      <c r="R3351" s="7"/>
      <c r="S3351" s="7"/>
      <c r="T3351" s="7"/>
      <c r="U3351" s="7"/>
      <c r="V3351" s="10">
        <v>7.5741092456127026</v>
      </c>
      <c r="W3351" s="9">
        <v>44976</v>
      </c>
      <c r="X3351" s="10">
        <v>7.5</v>
      </c>
      <c r="Y3351" s="9">
        <v>44979</v>
      </c>
      <c r="Z3351">
        <v>5</v>
      </c>
      <c r="AA3351" s="11" t="s">
        <v>49</v>
      </c>
    </row>
    <row r="3352" spans="2:27" ht="16" x14ac:dyDescent="0.2">
      <c r="B3352" t="s">
        <v>35</v>
      </c>
      <c r="C3352">
        <v>40351627</v>
      </c>
      <c r="D3352" t="s">
        <v>389</v>
      </c>
      <c r="E3352">
        <v>1022639</v>
      </c>
      <c r="F3352" t="s">
        <v>316</v>
      </c>
      <c r="G3352" s="9">
        <v>44968</v>
      </c>
      <c r="H3352" s="7"/>
      <c r="I3352" s="7"/>
      <c r="J3352" s="7"/>
      <c r="K3352" s="7"/>
      <c r="L3352" s="10">
        <v>5.5741092456127026</v>
      </c>
      <c r="M3352" s="9">
        <v>44973</v>
      </c>
      <c r="N3352" s="10">
        <v>5.5</v>
      </c>
      <c r="O3352" s="9">
        <v>44978</v>
      </c>
      <c r="P3352">
        <v>6</v>
      </c>
      <c r="Q3352" s="11" t="s">
        <v>49</v>
      </c>
      <c r="R3352" s="7"/>
      <c r="S3352" s="7"/>
      <c r="T3352" s="7"/>
      <c r="U3352" s="7"/>
      <c r="V3352" s="10">
        <v>7.5741092456127026</v>
      </c>
      <c r="W3352" s="9">
        <v>44975</v>
      </c>
      <c r="X3352" s="10">
        <v>7.5</v>
      </c>
      <c r="Y3352" s="9">
        <v>44978</v>
      </c>
      <c r="Z3352">
        <v>6</v>
      </c>
      <c r="AA3352" s="11" t="s">
        <v>49</v>
      </c>
    </row>
    <row r="3353" spans="2:27" ht="16" x14ac:dyDescent="0.2">
      <c r="B3353" t="s">
        <v>35</v>
      </c>
      <c r="C3353">
        <v>40351626</v>
      </c>
      <c r="D3353" t="s">
        <v>389</v>
      </c>
      <c r="E3353">
        <v>1022639</v>
      </c>
      <c r="F3353" t="s">
        <v>316</v>
      </c>
      <c r="G3353" s="9">
        <v>44969</v>
      </c>
      <c r="H3353" s="7"/>
      <c r="I3353" s="7"/>
      <c r="J3353" s="7"/>
      <c r="K3353" s="7"/>
      <c r="L3353" s="10">
        <v>5.5741092456127026</v>
      </c>
      <c r="M3353" s="9">
        <v>44974</v>
      </c>
      <c r="N3353" s="10">
        <v>5.5</v>
      </c>
      <c r="O3353" s="9">
        <v>44979</v>
      </c>
      <c r="P3353">
        <v>5</v>
      </c>
      <c r="Q3353" s="11" t="s">
        <v>49</v>
      </c>
      <c r="R3353" s="7"/>
      <c r="S3353" s="7"/>
      <c r="T3353" s="7"/>
      <c r="U3353" s="7"/>
      <c r="V3353" s="10">
        <v>7.5741092456127026</v>
      </c>
      <c r="W3353" s="9">
        <v>44976</v>
      </c>
      <c r="X3353" s="10">
        <v>7.5</v>
      </c>
      <c r="Y3353" s="9">
        <v>44979</v>
      </c>
      <c r="Z3353">
        <v>5</v>
      </c>
      <c r="AA3353" s="11" t="s">
        <v>49</v>
      </c>
    </row>
    <row r="3354" spans="2:27" ht="16" x14ac:dyDescent="0.2">
      <c r="B3354" t="s">
        <v>35</v>
      </c>
      <c r="C3354">
        <v>40351625</v>
      </c>
      <c r="D3354" t="s">
        <v>389</v>
      </c>
      <c r="E3354">
        <v>1022639</v>
      </c>
      <c r="F3354" t="s">
        <v>316</v>
      </c>
      <c r="G3354" s="9">
        <v>44953</v>
      </c>
      <c r="H3354" s="7"/>
      <c r="I3354" s="7"/>
      <c r="J3354" s="7"/>
      <c r="K3354" s="7"/>
      <c r="L3354" s="10">
        <v>5.5741092456127026</v>
      </c>
      <c r="M3354" s="9">
        <v>44958</v>
      </c>
      <c r="N3354" s="10">
        <v>5.5</v>
      </c>
      <c r="O3354" s="9">
        <v>44963</v>
      </c>
      <c r="P3354">
        <v>19</v>
      </c>
      <c r="Q3354" s="11" t="s">
        <v>49</v>
      </c>
      <c r="R3354" s="7"/>
      <c r="S3354" s="7"/>
      <c r="T3354" s="7"/>
      <c r="U3354" s="7"/>
      <c r="V3354" s="10">
        <v>7.5741092456127026</v>
      </c>
      <c r="W3354" s="9">
        <v>44960</v>
      </c>
      <c r="X3354" s="10">
        <v>7.5</v>
      </c>
      <c r="Y3354" s="9">
        <v>44963</v>
      </c>
      <c r="Z3354">
        <v>19</v>
      </c>
      <c r="AA3354" s="11" t="s">
        <v>49</v>
      </c>
    </row>
    <row r="3355" spans="2:27" ht="16" x14ac:dyDescent="0.2">
      <c r="B3355" t="s">
        <v>35</v>
      </c>
      <c r="C3355">
        <v>40351624</v>
      </c>
      <c r="D3355" t="s">
        <v>389</v>
      </c>
      <c r="E3355">
        <v>1022639</v>
      </c>
      <c r="F3355" t="s">
        <v>316</v>
      </c>
      <c r="G3355" s="9">
        <v>44940</v>
      </c>
      <c r="H3355" s="7"/>
      <c r="I3355" s="7"/>
      <c r="J3355" s="7"/>
      <c r="K3355" s="7"/>
      <c r="L3355" s="10">
        <v>5.5741092456127026</v>
      </c>
      <c r="M3355" s="9">
        <v>44945</v>
      </c>
      <c r="N3355" s="10">
        <v>5.5</v>
      </c>
      <c r="O3355" s="9">
        <v>44950</v>
      </c>
      <c r="P3355">
        <v>6</v>
      </c>
      <c r="Q3355" s="11" t="s">
        <v>49</v>
      </c>
      <c r="R3355" s="7"/>
      <c r="S3355" s="7"/>
      <c r="T3355" s="7"/>
      <c r="U3355" s="7"/>
      <c r="V3355" s="10">
        <v>7.5741092456127026</v>
      </c>
      <c r="W3355" s="9">
        <v>44947</v>
      </c>
      <c r="X3355" s="10">
        <v>7.5</v>
      </c>
      <c r="Y3355" s="9">
        <v>44950</v>
      </c>
      <c r="Z3355">
        <v>6</v>
      </c>
      <c r="AA3355" s="11" t="s">
        <v>49</v>
      </c>
    </row>
    <row r="3356" spans="2:27" ht="16" x14ac:dyDescent="0.2">
      <c r="B3356" t="s">
        <v>35</v>
      </c>
      <c r="C3356">
        <v>40351623</v>
      </c>
      <c r="D3356" t="s">
        <v>389</v>
      </c>
      <c r="E3356">
        <v>1022639</v>
      </c>
      <c r="F3356" t="s">
        <v>316</v>
      </c>
      <c r="G3356" s="9">
        <v>44940</v>
      </c>
      <c r="H3356" s="7"/>
      <c r="I3356" s="7"/>
      <c r="J3356" s="7"/>
      <c r="K3356" s="7"/>
      <c r="L3356" s="10">
        <v>5.5741092456127026</v>
      </c>
      <c r="M3356" s="9">
        <v>44945</v>
      </c>
      <c r="N3356" s="10">
        <v>5.5</v>
      </c>
      <c r="O3356" s="9">
        <v>44950</v>
      </c>
      <c r="P3356">
        <v>6</v>
      </c>
      <c r="Q3356" s="11" t="s">
        <v>49</v>
      </c>
      <c r="R3356" s="7"/>
      <c r="S3356" s="7"/>
      <c r="T3356" s="7"/>
      <c r="U3356" s="7"/>
      <c r="V3356" s="10">
        <v>7.5741092456127026</v>
      </c>
      <c r="W3356" s="9">
        <v>44947</v>
      </c>
      <c r="X3356" s="10">
        <v>7.5</v>
      </c>
      <c r="Y3356" s="9">
        <v>44950</v>
      </c>
      <c r="Z3356">
        <v>6</v>
      </c>
      <c r="AA3356" s="11" t="s">
        <v>49</v>
      </c>
    </row>
    <row r="3357" spans="2:27" ht="16" x14ac:dyDescent="0.2">
      <c r="B3357" t="s">
        <v>35</v>
      </c>
      <c r="C3357">
        <v>40351622</v>
      </c>
      <c r="D3357" t="s">
        <v>389</v>
      </c>
      <c r="E3357">
        <v>1022639</v>
      </c>
      <c r="F3357" t="s">
        <v>316</v>
      </c>
      <c r="G3357" s="9">
        <v>44941</v>
      </c>
      <c r="H3357" s="7"/>
      <c r="I3357" s="7"/>
      <c r="J3357" s="7"/>
      <c r="K3357" s="7"/>
      <c r="L3357" s="10">
        <v>5.5741092456127026</v>
      </c>
      <c r="M3357" s="9">
        <v>44946</v>
      </c>
      <c r="N3357" s="10">
        <v>5.5</v>
      </c>
      <c r="O3357" s="9">
        <v>44951</v>
      </c>
      <c r="P3357">
        <v>5</v>
      </c>
      <c r="Q3357" s="11" t="s">
        <v>49</v>
      </c>
      <c r="R3357" s="7"/>
      <c r="S3357" s="7"/>
      <c r="T3357" s="7"/>
      <c r="U3357" s="7"/>
      <c r="V3357" s="10">
        <v>7.5741092456127026</v>
      </c>
      <c r="W3357" s="9">
        <v>44948</v>
      </c>
      <c r="X3357" s="10">
        <v>7.5</v>
      </c>
      <c r="Y3357" s="9">
        <v>44951</v>
      </c>
      <c r="Z3357">
        <v>5</v>
      </c>
      <c r="AA3357" s="11" t="s">
        <v>49</v>
      </c>
    </row>
    <row r="3358" spans="2:27" ht="16" x14ac:dyDescent="0.2">
      <c r="B3358" t="s">
        <v>35</v>
      </c>
      <c r="C3358">
        <v>40351598</v>
      </c>
      <c r="D3358" t="s">
        <v>389</v>
      </c>
      <c r="E3358">
        <v>1022640</v>
      </c>
      <c r="F3358" t="s">
        <v>318</v>
      </c>
      <c r="G3358" s="9">
        <v>44975</v>
      </c>
      <c r="H3358" s="7"/>
      <c r="I3358" s="7"/>
      <c r="J3358" s="7"/>
      <c r="K3358" s="7"/>
      <c r="L3358" s="10">
        <v>5.5741092456127026</v>
      </c>
      <c r="M3358" s="9">
        <v>44980</v>
      </c>
      <c r="N3358" s="10">
        <v>5.5</v>
      </c>
      <c r="O3358" s="9">
        <v>44985</v>
      </c>
      <c r="P3358">
        <v>0</v>
      </c>
      <c r="Q3358" s="11" t="s">
        <v>594</v>
      </c>
      <c r="R3358" s="7"/>
      <c r="S3358" s="7"/>
      <c r="T3358" s="7"/>
      <c r="U3358" s="7"/>
      <c r="V3358" s="10">
        <v>7.5741092456127026</v>
      </c>
      <c r="W3358" s="9">
        <v>44982</v>
      </c>
      <c r="X3358" s="10">
        <v>7.5</v>
      </c>
      <c r="Y3358" s="9">
        <v>44985</v>
      </c>
      <c r="Z3358">
        <v>0</v>
      </c>
      <c r="AA3358" s="11" t="s">
        <v>594</v>
      </c>
    </row>
    <row r="3359" spans="2:27" ht="16" x14ac:dyDescent="0.2">
      <c r="B3359" t="s">
        <v>35</v>
      </c>
      <c r="C3359">
        <v>40351597</v>
      </c>
      <c r="D3359" t="s">
        <v>389</v>
      </c>
      <c r="E3359">
        <v>1022212</v>
      </c>
      <c r="F3359" t="s">
        <v>300</v>
      </c>
      <c r="G3359" s="9">
        <v>44968</v>
      </c>
      <c r="H3359" s="7"/>
      <c r="I3359" s="7"/>
      <c r="J3359" s="7"/>
      <c r="K3359" s="7"/>
      <c r="L3359" s="10">
        <v>5.5741092456127026</v>
      </c>
      <c r="M3359" s="9">
        <v>44973</v>
      </c>
      <c r="N3359" s="10">
        <v>5.5</v>
      </c>
      <c r="O3359" s="9">
        <v>44978</v>
      </c>
      <c r="P3359">
        <v>6</v>
      </c>
      <c r="Q3359" s="11" t="s">
        <v>49</v>
      </c>
      <c r="R3359" s="7"/>
      <c r="S3359" s="7"/>
      <c r="T3359" s="7"/>
      <c r="U3359" s="7"/>
      <c r="V3359" s="10">
        <v>7.5741092456127026</v>
      </c>
      <c r="W3359" s="9">
        <v>44975</v>
      </c>
      <c r="X3359" s="10">
        <v>7.5</v>
      </c>
      <c r="Y3359" s="9">
        <v>44978</v>
      </c>
      <c r="Z3359">
        <v>6</v>
      </c>
      <c r="AA3359" s="11" t="s">
        <v>49</v>
      </c>
    </row>
    <row r="3360" spans="2:27" ht="16" x14ac:dyDescent="0.2">
      <c r="B3360" t="s">
        <v>35</v>
      </c>
      <c r="C3360">
        <v>40351596</v>
      </c>
      <c r="D3360" t="s">
        <v>389</v>
      </c>
      <c r="E3360">
        <v>1022212</v>
      </c>
      <c r="F3360" t="s">
        <v>300</v>
      </c>
      <c r="G3360" s="9">
        <v>44968</v>
      </c>
      <c r="H3360" s="7"/>
      <c r="I3360" s="7"/>
      <c r="J3360" s="7"/>
      <c r="K3360" s="7"/>
      <c r="L3360" s="10">
        <v>5.5741092456127026</v>
      </c>
      <c r="M3360" s="9">
        <v>44973</v>
      </c>
      <c r="N3360" s="10">
        <v>5.5</v>
      </c>
      <c r="O3360" s="9">
        <v>44978</v>
      </c>
      <c r="P3360">
        <v>6</v>
      </c>
      <c r="Q3360" s="11" t="s">
        <v>49</v>
      </c>
      <c r="R3360" s="7"/>
      <c r="S3360" s="7"/>
      <c r="T3360" s="7"/>
      <c r="U3360" s="7"/>
      <c r="V3360" s="10">
        <v>7.5741092456127026</v>
      </c>
      <c r="W3360" s="9">
        <v>44975</v>
      </c>
      <c r="X3360" s="10">
        <v>7.5</v>
      </c>
      <c r="Y3360" s="9">
        <v>44978</v>
      </c>
      <c r="Z3360">
        <v>6</v>
      </c>
      <c r="AA3360" s="11" t="s">
        <v>49</v>
      </c>
    </row>
    <row r="3361" spans="2:27" ht="16" x14ac:dyDescent="0.2">
      <c r="B3361" t="s">
        <v>35</v>
      </c>
      <c r="C3361">
        <v>40351595</v>
      </c>
      <c r="D3361" t="s">
        <v>389</v>
      </c>
      <c r="E3361">
        <v>1022212</v>
      </c>
      <c r="F3361" t="s">
        <v>300</v>
      </c>
      <c r="G3361" s="9">
        <v>44975</v>
      </c>
      <c r="H3361" s="7"/>
      <c r="I3361" s="7"/>
      <c r="J3361" s="7"/>
      <c r="K3361" s="7"/>
      <c r="L3361" s="10">
        <v>5.5741092456127026</v>
      </c>
      <c r="M3361" s="9">
        <v>44980</v>
      </c>
      <c r="N3361" s="10">
        <v>5.5</v>
      </c>
      <c r="O3361" s="9">
        <v>44985</v>
      </c>
      <c r="P3361">
        <v>0</v>
      </c>
      <c r="Q3361" s="11" t="s">
        <v>594</v>
      </c>
      <c r="R3361" s="7"/>
      <c r="S3361" s="7"/>
      <c r="T3361" s="7"/>
      <c r="U3361" s="7"/>
      <c r="V3361" s="10">
        <v>7.5741092456127026</v>
      </c>
      <c r="W3361" s="9">
        <v>44982</v>
      </c>
      <c r="X3361" s="10">
        <v>7.5</v>
      </c>
      <c r="Y3361" s="9">
        <v>44985</v>
      </c>
      <c r="Z3361">
        <v>0</v>
      </c>
      <c r="AA3361" s="11" t="s">
        <v>594</v>
      </c>
    </row>
    <row r="3362" spans="2:27" ht="16" x14ac:dyDescent="0.2">
      <c r="B3362" t="s">
        <v>35</v>
      </c>
      <c r="C3362">
        <v>40351593</v>
      </c>
      <c r="D3362" t="s">
        <v>389</v>
      </c>
      <c r="E3362">
        <v>1022212</v>
      </c>
      <c r="F3362" t="s">
        <v>300</v>
      </c>
      <c r="G3362" s="9">
        <v>44955</v>
      </c>
      <c r="H3362" s="7"/>
      <c r="I3362" s="7"/>
      <c r="J3362" s="7"/>
      <c r="K3362" s="7"/>
      <c r="L3362" s="10">
        <v>5.5741092456127026</v>
      </c>
      <c r="M3362" s="9">
        <v>44960</v>
      </c>
      <c r="N3362" s="10">
        <v>5.5</v>
      </c>
      <c r="O3362" s="9">
        <v>44965</v>
      </c>
      <c r="P3362">
        <v>17</v>
      </c>
      <c r="Q3362" s="11" t="s">
        <v>49</v>
      </c>
      <c r="R3362" s="7"/>
      <c r="S3362" s="7"/>
      <c r="T3362" s="7"/>
      <c r="U3362" s="7"/>
      <c r="V3362" s="10">
        <v>7.5741092456127026</v>
      </c>
      <c r="W3362" s="9">
        <v>44962</v>
      </c>
      <c r="X3362" s="10">
        <v>7.5</v>
      </c>
      <c r="Y3362" s="9">
        <v>44965</v>
      </c>
      <c r="Z3362">
        <v>17</v>
      </c>
      <c r="AA3362" s="11" t="s">
        <v>49</v>
      </c>
    </row>
    <row r="3363" spans="2:27" ht="16" x14ac:dyDescent="0.2">
      <c r="B3363" t="s">
        <v>35</v>
      </c>
      <c r="C3363">
        <v>40351592</v>
      </c>
      <c r="D3363" t="s">
        <v>389</v>
      </c>
      <c r="E3363">
        <v>1022212</v>
      </c>
      <c r="F3363" t="s">
        <v>300</v>
      </c>
      <c r="G3363" s="9">
        <v>44962</v>
      </c>
      <c r="H3363" s="7"/>
      <c r="I3363" s="7"/>
      <c r="J3363" s="7"/>
      <c r="K3363" s="7"/>
      <c r="L3363" s="10">
        <v>5.5741092456127026</v>
      </c>
      <c r="M3363" s="9">
        <v>44967</v>
      </c>
      <c r="N3363" s="10">
        <v>5.5</v>
      </c>
      <c r="O3363" s="9">
        <v>44972</v>
      </c>
      <c r="P3363">
        <v>11</v>
      </c>
      <c r="Q3363" s="11" t="s">
        <v>49</v>
      </c>
      <c r="R3363" s="7"/>
      <c r="S3363" s="7"/>
      <c r="T3363" s="7"/>
      <c r="U3363" s="7"/>
      <c r="V3363" s="10">
        <v>7.5741092456127026</v>
      </c>
      <c r="W3363" s="9">
        <v>44969</v>
      </c>
      <c r="X3363" s="10">
        <v>7.5</v>
      </c>
      <c r="Y3363" s="9">
        <v>44972</v>
      </c>
      <c r="Z3363">
        <v>11</v>
      </c>
      <c r="AA3363" s="11" t="s">
        <v>49</v>
      </c>
    </row>
    <row r="3364" spans="2:27" ht="16" x14ac:dyDescent="0.2">
      <c r="B3364" t="s">
        <v>35</v>
      </c>
      <c r="C3364">
        <v>40351591</v>
      </c>
      <c r="D3364" t="s">
        <v>389</v>
      </c>
      <c r="E3364">
        <v>1022212</v>
      </c>
      <c r="F3364" t="s">
        <v>300</v>
      </c>
      <c r="G3364" s="9">
        <v>44945</v>
      </c>
      <c r="H3364" s="7"/>
      <c r="I3364" s="7"/>
      <c r="J3364" s="7"/>
      <c r="K3364" s="7"/>
      <c r="L3364" s="10">
        <v>5.5741092456127026</v>
      </c>
      <c r="M3364" s="9">
        <v>44950</v>
      </c>
      <c r="N3364" s="10">
        <v>5.5</v>
      </c>
      <c r="O3364" s="9">
        <v>44955</v>
      </c>
      <c r="P3364">
        <v>2</v>
      </c>
      <c r="Q3364" s="11" t="s">
        <v>648</v>
      </c>
      <c r="R3364" s="7"/>
      <c r="S3364" s="7"/>
      <c r="T3364" s="7"/>
      <c r="U3364" s="7"/>
      <c r="V3364" s="10">
        <v>7.5741092456127026</v>
      </c>
      <c r="W3364" s="9">
        <v>44952</v>
      </c>
      <c r="X3364" s="10">
        <v>7.5</v>
      </c>
      <c r="Y3364" s="9">
        <v>44955</v>
      </c>
      <c r="Z3364">
        <v>2</v>
      </c>
      <c r="AA3364" s="11" t="s">
        <v>648</v>
      </c>
    </row>
    <row r="3365" spans="2:27" ht="16" x14ac:dyDescent="0.2">
      <c r="B3365" t="s">
        <v>35</v>
      </c>
      <c r="C3365">
        <v>40351590</v>
      </c>
      <c r="D3365" t="s">
        <v>389</v>
      </c>
      <c r="E3365">
        <v>1022212</v>
      </c>
      <c r="F3365" t="s">
        <v>300</v>
      </c>
      <c r="G3365" s="9">
        <v>44956</v>
      </c>
      <c r="H3365" s="7"/>
      <c r="I3365" s="7"/>
      <c r="J3365" s="7"/>
      <c r="K3365" s="7"/>
      <c r="L3365" s="10">
        <v>5.5741092456127026</v>
      </c>
      <c r="M3365" s="9">
        <v>44961</v>
      </c>
      <c r="N3365" s="10">
        <v>5.5</v>
      </c>
      <c r="O3365" s="9">
        <v>44966</v>
      </c>
      <c r="P3365">
        <v>16</v>
      </c>
      <c r="Q3365" s="11" t="s">
        <v>49</v>
      </c>
      <c r="R3365" s="7"/>
      <c r="S3365" s="7"/>
      <c r="T3365" s="7"/>
      <c r="U3365" s="7"/>
      <c r="V3365" s="10">
        <v>7.5741092456127026</v>
      </c>
      <c r="W3365" s="9">
        <v>44963</v>
      </c>
      <c r="X3365" s="10">
        <v>7.5</v>
      </c>
      <c r="Y3365" s="9">
        <v>44966</v>
      </c>
      <c r="Z3365">
        <v>16</v>
      </c>
      <c r="AA3365" s="11" t="s">
        <v>49</v>
      </c>
    </row>
    <row r="3366" spans="2:27" ht="16" x14ac:dyDescent="0.2">
      <c r="B3366" t="s">
        <v>35</v>
      </c>
      <c r="C3366">
        <v>40351589</v>
      </c>
      <c r="D3366" t="s">
        <v>389</v>
      </c>
      <c r="E3366">
        <v>1022212</v>
      </c>
      <c r="F3366" t="s">
        <v>300</v>
      </c>
      <c r="G3366" s="9">
        <v>44940</v>
      </c>
      <c r="H3366" s="7"/>
      <c r="I3366" s="7"/>
      <c r="J3366" s="7"/>
      <c r="K3366" s="7"/>
      <c r="L3366" s="10">
        <v>5.5741092456127026</v>
      </c>
      <c r="M3366" s="9">
        <v>44945</v>
      </c>
      <c r="N3366" s="10">
        <v>5.5</v>
      </c>
      <c r="O3366" s="9">
        <v>44950</v>
      </c>
      <c r="P3366">
        <v>6</v>
      </c>
      <c r="Q3366" s="11" t="s">
        <v>49</v>
      </c>
      <c r="R3366" s="7"/>
      <c r="S3366" s="7"/>
      <c r="T3366" s="7"/>
      <c r="U3366" s="7"/>
      <c r="V3366" s="10">
        <v>7.5741092456127026</v>
      </c>
      <c r="W3366" s="9">
        <v>44947</v>
      </c>
      <c r="X3366" s="10">
        <v>7.5</v>
      </c>
      <c r="Y3366" s="9">
        <v>44950</v>
      </c>
      <c r="Z3366">
        <v>6</v>
      </c>
      <c r="AA3366" s="11" t="s">
        <v>49</v>
      </c>
    </row>
    <row r="3367" spans="2:27" ht="16" x14ac:dyDescent="0.2">
      <c r="B3367" t="s">
        <v>35</v>
      </c>
      <c r="C3367">
        <v>40351588</v>
      </c>
      <c r="D3367" t="s">
        <v>389</v>
      </c>
      <c r="E3367">
        <v>1022212</v>
      </c>
      <c r="F3367" t="s">
        <v>300</v>
      </c>
      <c r="G3367" s="9">
        <v>44955</v>
      </c>
      <c r="H3367" s="7"/>
      <c r="I3367" s="7"/>
      <c r="J3367" s="7"/>
      <c r="K3367" s="7"/>
      <c r="L3367" s="10">
        <v>5.5741092456127026</v>
      </c>
      <c r="M3367" s="9">
        <v>44960</v>
      </c>
      <c r="N3367" s="10">
        <v>5.5</v>
      </c>
      <c r="O3367" s="9">
        <v>44965</v>
      </c>
      <c r="P3367">
        <v>17</v>
      </c>
      <c r="Q3367" s="11" t="s">
        <v>49</v>
      </c>
      <c r="R3367" s="7"/>
      <c r="S3367" s="7"/>
      <c r="T3367" s="7"/>
      <c r="U3367" s="7"/>
      <c r="V3367" s="10">
        <v>7.5741092456127026</v>
      </c>
      <c r="W3367" s="9">
        <v>44962</v>
      </c>
      <c r="X3367" s="10">
        <v>7.5</v>
      </c>
      <c r="Y3367" s="9">
        <v>44965</v>
      </c>
      <c r="Z3367">
        <v>17</v>
      </c>
      <c r="AA3367" s="11" t="s">
        <v>49</v>
      </c>
    </row>
    <row r="3368" spans="2:27" ht="16" x14ac:dyDescent="0.2">
      <c r="B3368" t="s">
        <v>35</v>
      </c>
      <c r="C3368">
        <v>40351587</v>
      </c>
      <c r="D3368" t="s">
        <v>389</v>
      </c>
      <c r="E3368">
        <v>1022212</v>
      </c>
      <c r="F3368" t="s">
        <v>300</v>
      </c>
      <c r="G3368" s="9">
        <v>44955</v>
      </c>
      <c r="H3368" s="7"/>
      <c r="I3368" s="7"/>
      <c r="J3368" s="7"/>
      <c r="K3368" s="7"/>
      <c r="L3368" s="10">
        <v>5.5741092456127026</v>
      </c>
      <c r="M3368" s="9">
        <v>44960</v>
      </c>
      <c r="N3368" s="10">
        <v>5.5</v>
      </c>
      <c r="O3368" s="9">
        <v>44965</v>
      </c>
      <c r="P3368">
        <v>17</v>
      </c>
      <c r="Q3368" s="11" t="s">
        <v>49</v>
      </c>
      <c r="R3368" s="7"/>
      <c r="S3368" s="7"/>
      <c r="T3368" s="7"/>
      <c r="U3368" s="7"/>
      <c r="V3368" s="10">
        <v>7.5741092456127026</v>
      </c>
      <c r="W3368" s="9">
        <v>44962</v>
      </c>
      <c r="X3368" s="10">
        <v>7.5</v>
      </c>
      <c r="Y3368" s="9">
        <v>44965</v>
      </c>
      <c r="Z3368">
        <v>17</v>
      </c>
      <c r="AA3368" s="11" t="s">
        <v>49</v>
      </c>
    </row>
    <row r="3369" spans="2:27" ht="16" x14ac:dyDescent="0.2">
      <c r="B3369" t="s">
        <v>35</v>
      </c>
      <c r="C3369">
        <v>40351584</v>
      </c>
      <c r="D3369" t="s">
        <v>389</v>
      </c>
      <c r="E3369">
        <v>1022212</v>
      </c>
      <c r="F3369" t="s">
        <v>300</v>
      </c>
      <c r="G3369" s="9">
        <v>44936</v>
      </c>
      <c r="H3369" s="7"/>
      <c r="I3369" s="7"/>
      <c r="J3369" s="7"/>
      <c r="K3369" s="7"/>
      <c r="L3369" s="10">
        <v>5.5741092456127026</v>
      </c>
      <c r="M3369" s="9">
        <v>44941</v>
      </c>
      <c r="N3369" s="10">
        <v>5.5</v>
      </c>
      <c r="O3369" s="9">
        <v>44946</v>
      </c>
      <c r="P3369">
        <v>7</v>
      </c>
      <c r="Q3369" s="11" t="s">
        <v>49</v>
      </c>
      <c r="R3369" s="7"/>
      <c r="S3369" s="7"/>
      <c r="T3369" s="7"/>
      <c r="U3369" s="7"/>
      <c r="V3369" s="10">
        <v>7.5741092456127026</v>
      </c>
      <c r="W3369" s="9">
        <v>44943</v>
      </c>
      <c r="X3369" s="10">
        <v>7.5</v>
      </c>
      <c r="Y3369" s="9">
        <v>44946</v>
      </c>
      <c r="Z3369">
        <v>7</v>
      </c>
      <c r="AA3369" s="11" t="s">
        <v>49</v>
      </c>
    </row>
    <row r="3370" spans="2:27" ht="16" x14ac:dyDescent="0.2">
      <c r="B3370" t="s">
        <v>35</v>
      </c>
      <c r="C3370">
        <v>40351583</v>
      </c>
      <c r="D3370" t="s">
        <v>389</v>
      </c>
      <c r="E3370">
        <v>1022212</v>
      </c>
      <c r="F3370" t="s">
        <v>300</v>
      </c>
      <c r="G3370" s="9">
        <v>44956</v>
      </c>
      <c r="H3370" s="7"/>
      <c r="I3370" s="7"/>
      <c r="J3370" s="7"/>
      <c r="K3370" s="7"/>
      <c r="L3370" s="10">
        <v>5.5741092456127026</v>
      </c>
      <c r="M3370" s="9">
        <v>44961</v>
      </c>
      <c r="N3370" s="10">
        <v>5.5</v>
      </c>
      <c r="O3370" s="9">
        <v>44966</v>
      </c>
      <c r="P3370">
        <v>16</v>
      </c>
      <c r="Q3370" s="11" t="s">
        <v>49</v>
      </c>
      <c r="R3370" s="7"/>
      <c r="S3370" s="7"/>
      <c r="T3370" s="7"/>
      <c r="U3370" s="7"/>
      <c r="V3370" s="10">
        <v>7.5741092456127026</v>
      </c>
      <c r="W3370" s="9">
        <v>44963</v>
      </c>
      <c r="X3370" s="10">
        <v>7.5</v>
      </c>
      <c r="Y3370" s="9">
        <v>44966</v>
      </c>
      <c r="Z3370">
        <v>16</v>
      </c>
      <c r="AA3370" s="11" t="s">
        <v>49</v>
      </c>
    </row>
    <row r="3371" spans="2:27" ht="16" x14ac:dyDescent="0.2">
      <c r="B3371" t="s">
        <v>35</v>
      </c>
      <c r="C3371">
        <v>40351575</v>
      </c>
      <c r="D3371" t="s">
        <v>389</v>
      </c>
      <c r="E3371">
        <v>1022373</v>
      </c>
      <c r="F3371" t="s">
        <v>302</v>
      </c>
      <c r="G3371" s="9">
        <v>44975</v>
      </c>
      <c r="H3371" s="7"/>
      <c r="I3371" s="7"/>
      <c r="J3371" s="7"/>
      <c r="K3371" s="7"/>
      <c r="L3371" s="10">
        <v>5.5741092456127026</v>
      </c>
      <c r="M3371" s="9">
        <v>44980</v>
      </c>
      <c r="N3371" s="10">
        <v>5.5</v>
      </c>
      <c r="O3371" s="9">
        <v>44985</v>
      </c>
      <c r="P3371">
        <v>0</v>
      </c>
      <c r="Q3371" s="11" t="s">
        <v>594</v>
      </c>
      <c r="R3371" s="7"/>
      <c r="S3371" s="7"/>
      <c r="T3371" s="7"/>
      <c r="U3371" s="7"/>
      <c r="V3371" s="10">
        <v>7.5741092456127026</v>
      </c>
      <c r="W3371" s="9">
        <v>44982</v>
      </c>
      <c r="X3371" s="10">
        <v>7.5</v>
      </c>
      <c r="Y3371" s="9">
        <v>44985</v>
      </c>
      <c r="Z3371">
        <v>0</v>
      </c>
      <c r="AA3371" s="11" t="s">
        <v>594</v>
      </c>
    </row>
    <row r="3372" spans="2:27" ht="16" x14ac:dyDescent="0.2">
      <c r="B3372" t="s">
        <v>35</v>
      </c>
      <c r="C3372">
        <v>40351574</v>
      </c>
      <c r="D3372" t="s">
        <v>389</v>
      </c>
      <c r="E3372">
        <v>1022373</v>
      </c>
      <c r="F3372" t="s">
        <v>302</v>
      </c>
      <c r="G3372" s="9">
        <v>44968</v>
      </c>
      <c r="H3372" s="7"/>
      <c r="I3372" s="7"/>
      <c r="J3372" s="7"/>
      <c r="K3372" s="7"/>
      <c r="L3372" s="10">
        <v>5.5741092456127026</v>
      </c>
      <c r="M3372" s="9">
        <v>44973</v>
      </c>
      <c r="N3372" s="10">
        <v>5.5</v>
      </c>
      <c r="O3372" s="9">
        <v>44978</v>
      </c>
      <c r="P3372">
        <v>6</v>
      </c>
      <c r="Q3372" s="11" t="s">
        <v>49</v>
      </c>
      <c r="R3372" s="7"/>
      <c r="S3372" s="7"/>
      <c r="T3372" s="7"/>
      <c r="U3372" s="7"/>
      <c r="V3372" s="10">
        <v>7.5741092456127026</v>
      </c>
      <c r="W3372" s="9">
        <v>44975</v>
      </c>
      <c r="X3372" s="10">
        <v>7.5</v>
      </c>
      <c r="Y3372" s="9">
        <v>44978</v>
      </c>
      <c r="Z3372">
        <v>6</v>
      </c>
      <c r="AA3372" s="11" t="s">
        <v>49</v>
      </c>
    </row>
    <row r="3373" spans="2:27" ht="16" x14ac:dyDescent="0.2">
      <c r="B3373" t="s">
        <v>35</v>
      </c>
      <c r="C3373">
        <v>40351573</v>
      </c>
      <c r="D3373" t="s">
        <v>389</v>
      </c>
      <c r="E3373">
        <v>1022373</v>
      </c>
      <c r="F3373" t="s">
        <v>302</v>
      </c>
      <c r="G3373" s="9">
        <v>44965</v>
      </c>
      <c r="H3373" s="7"/>
      <c r="I3373" s="7"/>
      <c r="J3373" s="7"/>
      <c r="K3373" s="7"/>
      <c r="L3373" s="10">
        <v>5.5741092456127026</v>
      </c>
      <c r="M3373" s="9">
        <v>44970</v>
      </c>
      <c r="N3373" s="10">
        <v>5.5</v>
      </c>
      <c r="O3373" s="9">
        <v>44975</v>
      </c>
      <c r="P3373">
        <v>8</v>
      </c>
      <c r="Q3373" s="11" t="s">
        <v>49</v>
      </c>
      <c r="R3373" s="7"/>
      <c r="S3373" s="7"/>
      <c r="T3373" s="7"/>
      <c r="U3373" s="7"/>
      <c r="V3373" s="10">
        <v>7.5741092456127026</v>
      </c>
      <c r="W3373" s="9">
        <v>44972</v>
      </c>
      <c r="X3373" s="10">
        <v>7.5</v>
      </c>
      <c r="Y3373" s="9">
        <v>44975</v>
      </c>
      <c r="Z3373">
        <v>8</v>
      </c>
      <c r="AA3373" s="11" t="s">
        <v>49</v>
      </c>
    </row>
    <row r="3374" spans="2:27" ht="16" x14ac:dyDescent="0.2">
      <c r="B3374" t="s">
        <v>35</v>
      </c>
      <c r="C3374">
        <v>40351572</v>
      </c>
      <c r="D3374" t="s">
        <v>389</v>
      </c>
      <c r="E3374">
        <v>1022373</v>
      </c>
      <c r="F3374" t="s">
        <v>302</v>
      </c>
      <c r="G3374" s="9">
        <v>44968</v>
      </c>
      <c r="H3374" s="7"/>
      <c r="I3374" s="7"/>
      <c r="J3374" s="7"/>
      <c r="K3374" s="7"/>
      <c r="L3374" s="10">
        <v>5.5741092456127026</v>
      </c>
      <c r="M3374" s="9">
        <v>44973</v>
      </c>
      <c r="N3374" s="10">
        <v>5.5</v>
      </c>
      <c r="O3374" s="9">
        <v>44978</v>
      </c>
      <c r="P3374">
        <v>6</v>
      </c>
      <c r="Q3374" s="11" t="s">
        <v>49</v>
      </c>
      <c r="R3374" s="7"/>
      <c r="S3374" s="7"/>
      <c r="T3374" s="7"/>
      <c r="U3374" s="7"/>
      <c r="V3374" s="10">
        <v>7.5741092456127026</v>
      </c>
      <c r="W3374" s="9">
        <v>44975</v>
      </c>
      <c r="X3374" s="10">
        <v>7.5</v>
      </c>
      <c r="Y3374" s="9">
        <v>44978</v>
      </c>
      <c r="Z3374">
        <v>6</v>
      </c>
      <c r="AA3374" s="11" t="s">
        <v>49</v>
      </c>
    </row>
    <row r="3375" spans="2:27" ht="16" x14ac:dyDescent="0.2">
      <c r="B3375" t="s">
        <v>35</v>
      </c>
      <c r="C3375">
        <v>40351571</v>
      </c>
      <c r="D3375" t="s">
        <v>389</v>
      </c>
      <c r="E3375">
        <v>1022373</v>
      </c>
      <c r="F3375" t="s">
        <v>302</v>
      </c>
      <c r="G3375" s="9">
        <v>44969</v>
      </c>
      <c r="H3375" s="7"/>
      <c r="I3375" s="7"/>
      <c r="J3375" s="7"/>
      <c r="K3375" s="7"/>
      <c r="L3375" s="10">
        <v>5.5741092456127026</v>
      </c>
      <c r="M3375" s="9">
        <v>44974</v>
      </c>
      <c r="N3375" s="10">
        <v>5.5</v>
      </c>
      <c r="O3375" s="9">
        <v>44979</v>
      </c>
      <c r="P3375">
        <v>5</v>
      </c>
      <c r="Q3375" s="11" t="s">
        <v>49</v>
      </c>
      <c r="R3375" s="7"/>
      <c r="S3375" s="7"/>
      <c r="T3375" s="7"/>
      <c r="U3375" s="7"/>
      <c r="V3375" s="10">
        <v>7.5741092456127026</v>
      </c>
      <c r="W3375" s="9">
        <v>44976</v>
      </c>
      <c r="X3375" s="10">
        <v>7.5</v>
      </c>
      <c r="Y3375" s="9">
        <v>44979</v>
      </c>
      <c r="Z3375">
        <v>5</v>
      </c>
      <c r="AA3375" s="11" t="s">
        <v>49</v>
      </c>
    </row>
    <row r="3376" spans="2:27" ht="16" x14ac:dyDescent="0.2">
      <c r="B3376" t="s">
        <v>35</v>
      </c>
      <c r="C3376">
        <v>40351570</v>
      </c>
      <c r="D3376" t="s">
        <v>389</v>
      </c>
      <c r="E3376">
        <v>1022373</v>
      </c>
      <c r="F3376" t="s">
        <v>302</v>
      </c>
      <c r="G3376" s="9">
        <v>44960</v>
      </c>
      <c r="H3376" s="7"/>
      <c r="I3376" s="7"/>
      <c r="J3376" s="7"/>
      <c r="K3376" s="7"/>
      <c r="L3376" s="10">
        <v>5.5741092456127026</v>
      </c>
      <c r="M3376" s="9">
        <v>44965</v>
      </c>
      <c r="N3376" s="10">
        <v>5.5</v>
      </c>
      <c r="O3376" s="9">
        <v>44970</v>
      </c>
      <c r="P3376">
        <v>13</v>
      </c>
      <c r="Q3376" s="11" t="s">
        <v>49</v>
      </c>
      <c r="R3376" s="7"/>
      <c r="S3376" s="7"/>
      <c r="T3376" s="7"/>
      <c r="U3376" s="7"/>
      <c r="V3376" s="10">
        <v>7.5741092456127026</v>
      </c>
      <c r="W3376" s="9">
        <v>44967</v>
      </c>
      <c r="X3376" s="10">
        <v>7.5</v>
      </c>
      <c r="Y3376" s="9">
        <v>44970</v>
      </c>
      <c r="Z3376">
        <v>13</v>
      </c>
      <c r="AA3376" s="11" t="s">
        <v>49</v>
      </c>
    </row>
    <row r="3377" spans="2:27" ht="16" x14ac:dyDescent="0.2">
      <c r="B3377" t="s">
        <v>35</v>
      </c>
      <c r="C3377">
        <v>40351569</v>
      </c>
      <c r="D3377" t="s">
        <v>389</v>
      </c>
      <c r="E3377">
        <v>1022373</v>
      </c>
      <c r="F3377" t="s">
        <v>302</v>
      </c>
      <c r="G3377" s="9">
        <v>44969</v>
      </c>
      <c r="H3377" s="7"/>
      <c r="I3377" s="7"/>
      <c r="J3377" s="7"/>
      <c r="K3377" s="7"/>
      <c r="L3377" s="10">
        <v>5.5741092456127026</v>
      </c>
      <c r="M3377" s="9">
        <v>44974</v>
      </c>
      <c r="N3377" s="10">
        <v>5.5</v>
      </c>
      <c r="O3377" s="9">
        <v>44979</v>
      </c>
      <c r="P3377">
        <v>5</v>
      </c>
      <c r="Q3377" s="11" t="s">
        <v>49</v>
      </c>
      <c r="R3377" s="7"/>
      <c r="S3377" s="7"/>
      <c r="T3377" s="7"/>
      <c r="U3377" s="7"/>
      <c r="V3377" s="10">
        <v>7.5741092456127026</v>
      </c>
      <c r="W3377" s="9">
        <v>44976</v>
      </c>
      <c r="X3377" s="10">
        <v>7.5</v>
      </c>
      <c r="Y3377" s="9">
        <v>44979</v>
      </c>
      <c r="Z3377">
        <v>5</v>
      </c>
      <c r="AA3377" s="11" t="s">
        <v>49</v>
      </c>
    </row>
    <row r="3378" spans="2:27" ht="16" x14ac:dyDescent="0.2">
      <c r="B3378" t="s">
        <v>35</v>
      </c>
      <c r="C3378">
        <v>40351568</v>
      </c>
      <c r="D3378" t="s">
        <v>389</v>
      </c>
      <c r="E3378">
        <v>1022373</v>
      </c>
      <c r="F3378" t="s">
        <v>302</v>
      </c>
      <c r="G3378" s="9">
        <v>44969</v>
      </c>
      <c r="H3378" s="7"/>
      <c r="I3378" s="7"/>
      <c r="J3378" s="7"/>
      <c r="K3378" s="7"/>
      <c r="L3378" s="10">
        <v>5.5741092456127026</v>
      </c>
      <c r="M3378" s="9">
        <v>44974</v>
      </c>
      <c r="N3378" s="10">
        <v>5.5</v>
      </c>
      <c r="O3378" s="9">
        <v>44979</v>
      </c>
      <c r="P3378">
        <v>5</v>
      </c>
      <c r="Q3378" s="11" t="s">
        <v>49</v>
      </c>
      <c r="R3378" s="7"/>
      <c r="S3378" s="7"/>
      <c r="T3378" s="7"/>
      <c r="U3378" s="7"/>
      <c r="V3378" s="10">
        <v>7.5741092456127026</v>
      </c>
      <c r="W3378" s="9">
        <v>44976</v>
      </c>
      <c r="X3378" s="10">
        <v>7.5</v>
      </c>
      <c r="Y3378" s="9">
        <v>44979</v>
      </c>
      <c r="Z3378">
        <v>5</v>
      </c>
      <c r="AA3378" s="11" t="s">
        <v>49</v>
      </c>
    </row>
    <row r="3379" spans="2:27" ht="16" x14ac:dyDescent="0.2">
      <c r="B3379" t="s">
        <v>35</v>
      </c>
      <c r="C3379">
        <v>40351568</v>
      </c>
      <c r="D3379" t="s">
        <v>389</v>
      </c>
      <c r="E3379">
        <v>1022373</v>
      </c>
      <c r="F3379" t="s">
        <v>302</v>
      </c>
      <c r="G3379" s="9">
        <v>44969</v>
      </c>
      <c r="H3379" s="7"/>
      <c r="I3379" s="7"/>
      <c r="J3379" s="7"/>
      <c r="K3379" s="7"/>
      <c r="L3379" s="10">
        <v>5.5741092456127026</v>
      </c>
      <c r="M3379" s="9">
        <v>44974</v>
      </c>
      <c r="N3379" s="10">
        <v>5.5</v>
      </c>
      <c r="O3379" s="9">
        <v>44979</v>
      </c>
      <c r="P3379">
        <v>5</v>
      </c>
      <c r="Q3379" s="11" t="s">
        <v>49</v>
      </c>
      <c r="R3379" s="7"/>
      <c r="S3379" s="7"/>
      <c r="T3379" s="7"/>
      <c r="U3379" s="7"/>
      <c r="V3379" s="10">
        <v>7.5741092456127026</v>
      </c>
      <c r="W3379" s="9">
        <v>44976</v>
      </c>
      <c r="X3379" s="10">
        <v>7.5</v>
      </c>
      <c r="Y3379" s="9">
        <v>44979</v>
      </c>
      <c r="Z3379">
        <v>5</v>
      </c>
      <c r="AA3379" s="11" t="s">
        <v>49</v>
      </c>
    </row>
    <row r="3380" spans="2:27" ht="16" x14ac:dyDescent="0.2">
      <c r="B3380" t="s">
        <v>35</v>
      </c>
      <c r="C3380">
        <v>40351566</v>
      </c>
      <c r="D3380" t="s">
        <v>389</v>
      </c>
      <c r="E3380">
        <v>1022373</v>
      </c>
      <c r="F3380" t="s">
        <v>302</v>
      </c>
      <c r="G3380" s="9">
        <v>44940</v>
      </c>
      <c r="H3380" s="7"/>
      <c r="I3380" s="7"/>
      <c r="J3380" s="7"/>
      <c r="K3380" s="7"/>
      <c r="L3380" s="10">
        <v>5.5741092456127026</v>
      </c>
      <c r="M3380" s="9">
        <v>44945</v>
      </c>
      <c r="N3380" s="10">
        <v>5.5</v>
      </c>
      <c r="O3380" s="9">
        <v>44950</v>
      </c>
      <c r="P3380">
        <v>6</v>
      </c>
      <c r="Q3380" s="11" t="s">
        <v>49</v>
      </c>
      <c r="R3380" s="7"/>
      <c r="S3380" s="7"/>
      <c r="T3380" s="7"/>
      <c r="U3380" s="7"/>
      <c r="V3380" s="10">
        <v>7.5741092456127026</v>
      </c>
      <c r="W3380" s="9">
        <v>44947</v>
      </c>
      <c r="X3380" s="10">
        <v>7.5</v>
      </c>
      <c r="Y3380" s="9">
        <v>44950</v>
      </c>
      <c r="Z3380">
        <v>6</v>
      </c>
      <c r="AA3380" s="11" t="s">
        <v>49</v>
      </c>
    </row>
    <row r="3381" spans="2:27" ht="16" x14ac:dyDescent="0.2">
      <c r="B3381" t="s">
        <v>35</v>
      </c>
      <c r="C3381">
        <v>40351564</v>
      </c>
      <c r="D3381" t="s">
        <v>389</v>
      </c>
      <c r="E3381">
        <v>1022373</v>
      </c>
      <c r="F3381" t="s">
        <v>302</v>
      </c>
      <c r="G3381" s="9">
        <v>44939</v>
      </c>
      <c r="H3381" s="7"/>
      <c r="I3381" s="7"/>
      <c r="J3381" s="7"/>
      <c r="K3381" s="7"/>
      <c r="L3381" s="10">
        <v>5.5741092456127026</v>
      </c>
      <c r="M3381" s="9">
        <v>44944</v>
      </c>
      <c r="N3381" s="10">
        <v>5.5</v>
      </c>
      <c r="O3381" s="9">
        <v>44949</v>
      </c>
      <c r="P3381">
        <v>6</v>
      </c>
      <c r="Q3381" s="11" t="s">
        <v>49</v>
      </c>
      <c r="R3381" s="7"/>
      <c r="S3381" s="7"/>
      <c r="T3381" s="7"/>
      <c r="U3381" s="7"/>
      <c r="V3381" s="10">
        <v>7.5741092456127026</v>
      </c>
      <c r="W3381" s="9">
        <v>44946</v>
      </c>
      <c r="X3381" s="10">
        <v>7.5</v>
      </c>
      <c r="Y3381" s="9">
        <v>44949</v>
      </c>
      <c r="Z3381">
        <v>6</v>
      </c>
      <c r="AA3381" s="11" t="s">
        <v>49</v>
      </c>
    </row>
    <row r="3382" spans="2:27" ht="16" x14ac:dyDescent="0.2">
      <c r="B3382" t="s">
        <v>35</v>
      </c>
      <c r="C3382">
        <v>40351556</v>
      </c>
      <c r="D3382" t="s">
        <v>389</v>
      </c>
      <c r="E3382">
        <v>1022169</v>
      </c>
      <c r="F3382" t="s">
        <v>298</v>
      </c>
      <c r="G3382" s="9">
        <v>44955</v>
      </c>
      <c r="H3382" s="7"/>
      <c r="I3382" s="7"/>
      <c r="J3382" s="7"/>
      <c r="K3382" s="7"/>
      <c r="L3382" s="10">
        <v>5.5741092456127026</v>
      </c>
      <c r="M3382" s="9">
        <v>44960</v>
      </c>
      <c r="N3382" s="10">
        <v>5.5</v>
      </c>
      <c r="O3382" s="9">
        <v>44965</v>
      </c>
      <c r="P3382">
        <v>17</v>
      </c>
      <c r="Q3382" s="11" t="s">
        <v>49</v>
      </c>
      <c r="R3382" s="7"/>
      <c r="S3382" s="7"/>
      <c r="T3382" s="7"/>
      <c r="U3382" s="7"/>
      <c r="V3382" s="10">
        <v>7.5741092456127026</v>
      </c>
      <c r="W3382" s="9">
        <v>44962</v>
      </c>
      <c r="X3382" s="10">
        <v>7.5</v>
      </c>
      <c r="Y3382" s="9">
        <v>44965</v>
      </c>
      <c r="Z3382">
        <v>17</v>
      </c>
      <c r="AA3382" s="11" t="s">
        <v>49</v>
      </c>
    </row>
    <row r="3383" spans="2:27" ht="16" x14ac:dyDescent="0.2">
      <c r="B3383" t="s">
        <v>35</v>
      </c>
      <c r="C3383">
        <v>40351555</v>
      </c>
      <c r="D3383" t="s">
        <v>389</v>
      </c>
      <c r="E3383">
        <v>1022169</v>
      </c>
      <c r="F3383" t="s">
        <v>298</v>
      </c>
      <c r="G3383" s="9">
        <v>44961</v>
      </c>
      <c r="H3383" s="7"/>
      <c r="I3383" s="7"/>
      <c r="J3383" s="7"/>
      <c r="K3383" s="7"/>
      <c r="L3383" s="10">
        <v>5.5741092456127026</v>
      </c>
      <c r="M3383" s="9">
        <v>44966</v>
      </c>
      <c r="N3383" s="10">
        <v>5.5</v>
      </c>
      <c r="O3383" s="9">
        <v>44971</v>
      </c>
      <c r="P3383">
        <v>12</v>
      </c>
      <c r="Q3383" s="11" t="s">
        <v>49</v>
      </c>
      <c r="R3383" s="7"/>
      <c r="S3383" s="7"/>
      <c r="T3383" s="7"/>
      <c r="U3383" s="7"/>
      <c r="V3383" s="10">
        <v>7.5741092456127026</v>
      </c>
      <c r="W3383" s="9">
        <v>44968</v>
      </c>
      <c r="X3383" s="10">
        <v>7.5</v>
      </c>
      <c r="Y3383" s="9">
        <v>44971</v>
      </c>
      <c r="Z3383">
        <v>12</v>
      </c>
      <c r="AA3383" s="11" t="s">
        <v>49</v>
      </c>
    </row>
    <row r="3384" spans="2:27" ht="16" x14ac:dyDescent="0.2">
      <c r="B3384" t="s">
        <v>35</v>
      </c>
      <c r="C3384">
        <v>40351554</v>
      </c>
      <c r="D3384" t="s">
        <v>389</v>
      </c>
      <c r="E3384">
        <v>1022169</v>
      </c>
      <c r="F3384" t="s">
        <v>298</v>
      </c>
      <c r="G3384" s="9">
        <v>44961</v>
      </c>
      <c r="H3384" s="7"/>
      <c r="I3384" s="7"/>
      <c r="J3384" s="7"/>
      <c r="K3384" s="7"/>
      <c r="L3384" s="10">
        <v>5.5741092456127026</v>
      </c>
      <c r="M3384" s="9">
        <v>44966</v>
      </c>
      <c r="N3384" s="10">
        <v>5.5</v>
      </c>
      <c r="O3384" s="9">
        <v>44971</v>
      </c>
      <c r="P3384">
        <v>12</v>
      </c>
      <c r="Q3384" s="11" t="s">
        <v>49</v>
      </c>
      <c r="R3384" s="7"/>
      <c r="S3384" s="7"/>
      <c r="T3384" s="7"/>
      <c r="U3384" s="7"/>
      <c r="V3384" s="10">
        <v>7.5741092456127026</v>
      </c>
      <c r="W3384" s="9">
        <v>44968</v>
      </c>
      <c r="X3384" s="10">
        <v>7.5</v>
      </c>
      <c r="Y3384" s="9">
        <v>44971</v>
      </c>
      <c r="Z3384">
        <v>12</v>
      </c>
      <c r="AA3384" s="11" t="s">
        <v>49</v>
      </c>
    </row>
    <row r="3385" spans="2:27" ht="16" x14ac:dyDescent="0.2">
      <c r="B3385" t="s">
        <v>35</v>
      </c>
      <c r="C3385">
        <v>40351553</v>
      </c>
      <c r="D3385" t="s">
        <v>389</v>
      </c>
      <c r="E3385">
        <v>1022169</v>
      </c>
      <c r="F3385" t="s">
        <v>298</v>
      </c>
      <c r="G3385" s="9">
        <v>44940</v>
      </c>
      <c r="H3385" s="7"/>
      <c r="I3385" s="7"/>
      <c r="J3385" s="7"/>
      <c r="K3385" s="7"/>
      <c r="L3385" s="10">
        <v>5.5741092456127026</v>
      </c>
      <c r="M3385" s="9">
        <v>44945</v>
      </c>
      <c r="N3385" s="10">
        <v>5.5</v>
      </c>
      <c r="O3385" s="9">
        <v>44950</v>
      </c>
      <c r="P3385">
        <v>6</v>
      </c>
      <c r="Q3385" s="11" t="s">
        <v>49</v>
      </c>
      <c r="R3385" s="7"/>
      <c r="S3385" s="7"/>
      <c r="T3385" s="7"/>
      <c r="U3385" s="7"/>
      <c r="V3385" s="10">
        <v>7.5741092456127026</v>
      </c>
      <c r="W3385" s="9">
        <v>44947</v>
      </c>
      <c r="X3385" s="10">
        <v>7.5</v>
      </c>
      <c r="Y3385" s="9">
        <v>44950</v>
      </c>
      <c r="Z3385">
        <v>6</v>
      </c>
      <c r="AA3385" s="11" t="s">
        <v>49</v>
      </c>
    </row>
    <row r="3386" spans="2:27" ht="16" x14ac:dyDescent="0.2">
      <c r="B3386" t="s">
        <v>35</v>
      </c>
      <c r="C3386">
        <v>40351552</v>
      </c>
      <c r="D3386" t="s">
        <v>389</v>
      </c>
      <c r="E3386">
        <v>1022169</v>
      </c>
      <c r="F3386" t="s">
        <v>298</v>
      </c>
      <c r="G3386" s="9">
        <v>44962</v>
      </c>
      <c r="H3386" s="7"/>
      <c r="I3386" s="7"/>
      <c r="J3386" s="7"/>
      <c r="K3386" s="7"/>
      <c r="L3386" s="10">
        <v>5.5741092456127026</v>
      </c>
      <c r="M3386" s="9">
        <v>44967</v>
      </c>
      <c r="N3386" s="10">
        <v>5.5</v>
      </c>
      <c r="O3386" s="9">
        <v>44972</v>
      </c>
      <c r="P3386">
        <v>11</v>
      </c>
      <c r="Q3386" s="11" t="s">
        <v>49</v>
      </c>
      <c r="R3386" s="7"/>
      <c r="S3386" s="7"/>
      <c r="T3386" s="7"/>
      <c r="U3386" s="7"/>
      <c r="V3386" s="10">
        <v>7.5741092456127026</v>
      </c>
      <c r="W3386" s="9">
        <v>44969</v>
      </c>
      <c r="X3386" s="10">
        <v>7.5</v>
      </c>
      <c r="Y3386" s="9">
        <v>44972</v>
      </c>
      <c r="Z3386">
        <v>11</v>
      </c>
      <c r="AA3386" s="11" t="s">
        <v>49</v>
      </c>
    </row>
    <row r="3387" spans="2:27" ht="16" x14ac:dyDescent="0.2">
      <c r="B3387" t="s">
        <v>35</v>
      </c>
      <c r="C3387">
        <v>40351546</v>
      </c>
      <c r="D3387" t="s">
        <v>389</v>
      </c>
      <c r="E3387">
        <v>1022414</v>
      </c>
      <c r="F3387" t="s">
        <v>308</v>
      </c>
      <c r="G3387" s="9">
        <v>44962</v>
      </c>
      <c r="H3387" s="7"/>
      <c r="I3387" s="7"/>
      <c r="J3387" s="7"/>
      <c r="K3387" s="7"/>
      <c r="L3387" s="10">
        <v>5.5741092456127026</v>
      </c>
      <c r="M3387" s="9">
        <v>44967</v>
      </c>
      <c r="N3387" s="10">
        <v>5.5</v>
      </c>
      <c r="O3387" s="9">
        <v>44972</v>
      </c>
      <c r="P3387">
        <v>11</v>
      </c>
      <c r="Q3387" s="11" t="s">
        <v>49</v>
      </c>
      <c r="R3387" s="7"/>
      <c r="S3387" s="7"/>
      <c r="T3387" s="7"/>
      <c r="U3387" s="7"/>
      <c r="V3387" s="10">
        <v>7.5741092456127026</v>
      </c>
      <c r="W3387" s="9">
        <v>44969</v>
      </c>
      <c r="X3387" s="10">
        <v>7.5</v>
      </c>
      <c r="Y3387" s="9">
        <v>44972</v>
      </c>
      <c r="Z3387">
        <v>11</v>
      </c>
      <c r="AA3387" s="11" t="s">
        <v>49</v>
      </c>
    </row>
    <row r="3388" spans="2:27" ht="16" x14ac:dyDescent="0.2">
      <c r="B3388" t="s">
        <v>35</v>
      </c>
      <c r="C3388">
        <v>40351545</v>
      </c>
      <c r="D3388" t="s">
        <v>389</v>
      </c>
      <c r="E3388">
        <v>1022414</v>
      </c>
      <c r="F3388" t="s">
        <v>308</v>
      </c>
      <c r="G3388" s="9">
        <v>44954</v>
      </c>
      <c r="H3388" s="7"/>
      <c r="I3388" s="7"/>
      <c r="J3388" s="7"/>
      <c r="K3388" s="7"/>
      <c r="L3388" s="10">
        <v>5.5741092456127026</v>
      </c>
      <c r="M3388" s="9">
        <v>44959</v>
      </c>
      <c r="N3388" s="10">
        <v>5.5</v>
      </c>
      <c r="O3388" s="9">
        <v>44964</v>
      </c>
      <c r="P3388">
        <v>18</v>
      </c>
      <c r="Q3388" s="11" t="s">
        <v>49</v>
      </c>
      <c r="R3388" s="7"/>
      <c r="S3388" s="7"/>
      <c r="T3388" s="7"/>
      <c r="U3388" s="7"/>
      <c r="V3388" s="10">
        <v>7.5741092456127026</v>
      </c>
      <c r="W3388" s="9">
        <v>44961</v>
      </c>
      <c r="X3388" s="10">
        <v>7.5</v>
      </c>
      <c r="Y3388" s="9">
        <v>44964</v>
      </c>
      <c r="Z3388">
        <v>18</v>
      </c>
      <c r="AA3388" s="11" t="s">
        <v>49</v>
      </c>
    </row>
    <row r="3389" spans="2:27" ht="16" x14ac:dyDescent="0.2">
      <c r="B3389" t="s">
        <v>35</v>
      </c>
      <c r="C3389">
        <v>40351545</v>
      </c>
      <c r="D3389" t="s">
        <v>389</v>
      </c>
      <c r="E3389">
        <v>1022414</v>
      </c>
      <c r="F3389" t="s">
        <v>308</v>
      </c>
      <c r="G3389" s="9">
        <v>44954</v>
      </c>
      <c r="H3389" s="7"/>
      <c r="I3389" s="7"/>
      <c r="J3389" s="7"/>
      <c r="K3389" s="7"/>
      <c r="L3389" s="10">
        <v>5.5741092456127026</v>
      </c>
      <c r="M3389" s="9">
        <v>44959</v>
      </c>
      <c r="N3389" s="10">
        <v>5.5</v>
      </c>
      <c r="O3389" s="9">
        <v>44964</v>
      </c>
      <c r="P3389">
        <v>18</v>
      </c>
      <c r="Q3389" s="11" t="s">
        <v>49</v>
      </c>
      <c r="R3389" s="7"/>
      <c r="S3389" s="7"/>
      <c r="T3389" s="7"/>
      <c r="U3389" s="7"/>
      <c r="V3389" s="10">
        <v>7.5741092456127026</v>
      </c>
      <c r="W3389" s="9">
        <v>44961</v>
      </c>
      <c r="X3389" s="10">
        <v>7.5</v>
      </c>
      <c r="Y3389" s="9">
        <v>44964</v>
      </c>
      <c r="Z3389">
        <v>18</v>
      </c>
      <c r="AA3389" s="11" t="s">
        <v>49</v>
      </c>
    </row>
    <row r="3390" spans="2:27" ht="16" x14ac:dyDescent="0.2">
      <c r="B3390" t="s">
        <v>35</v>
      </c>
      <c r="C3390">
        <v>40351544</v>
      </c>
      <c r="D3390" t="s">
        <v>389</v>
      </c>
      <c r="E3390">
        <v>1022414</v>
      </c>
      <c r="F3390" t="s">
        <v>308</v>
      </c>
      <c r="G3390" s="9">
        <v>44954</v>
      </c>
      <c r="H3390" s="7"/>
      <c r="I3390" s="7"/>
      <c r="J3390" s="7"/>
      <c r="K3390" s="7"/>
      <c r="L3390" s="10">
        <v>5.5741092456127026</v>
      </c>
      <c r="M3390" s="9">
        <v>44959</v>
      </c>
      <c r="N3390" s="10">
        <v>5.5</v>
      </c>
      <c r="O3390" s="9">
        <v>44964</v>
      </c>
      <c r="P3390">
        <v>18</v>
      </c>
      <c r="Q3390" s="11" t="s">
        <v>49</v>
      </c>
      <c r="R3390" s="7"/>
      <c r="S3390" s="7"/>
      <c r="T3390" s="7"/>
      <c r="U3390" s="7"/>
      <c r="V3390" s="10">
        <v>7.5741092456127026</v>
      </c>
      <c r="W3390" s="9">
        <v>44961</v>
      </c>
      <c r="X3390" s="10">
        <v>7.5</v>
      </c>
      <c r="Y3390" s="9">
        <v>44964</v>
      </c>
      <c r="Z3390">
        <v>18</v>
      </c>
      <c r="AA3390" s="11" t="s">
        <v>49</v>
      </c>
    </row>
    <row r="3391" spans="2:27" ht="16" x14ac:dyDescent="0.2">
      <c r="B3391" t="s">
        <v>35</v>
      </c>
      <c r="C3391">
        <v>40351543</v>
      </c>
      <c r="D3391" t="s">
        <v>389</v>
      </c>
      <c r="E3391">
        <v>1022414</v>
      </c>
      <c r="F3391" t="s">
        <v>308</v>
      </c>
      <c r="G3391" s="9">
        <v>44952</v>
      </c>
      <c r="H3391" s="7"/>
      <c r="I3391" s="7"/>
      <c r="J3391" s="7"/>
      <c r="K3391" s="7"/>
      <c r="L3391" s="10">
        <v>5.5741092456127026</v>
      </c>
      <c r="M3391" s="9">
        <v>44957</v>
      </c>
      <c r="N3391" s="10">
        <v>5.5</v>
      </c>
      <c r="O3391" s="9">
        <v>44962</v>
      </c>
      <c r="P3391">
        <v>20</v>
      </c>
      <c r="Q3391" s="11" t="s">
        <v>49</v>
      </c>
      <c r="R3391" s="7"/>
      <c r="S3391" s="7"/>
      <c r="T3391" s="7"/>
      <c r="U3391" s="7"/>
      <c r="V3391" s="10">
        <v>7.5741092456127026</v>
      </c>
      <c r="W3391" s="9">
        <v>44959</v>
      </c>
      <c r="X3391" s="10">
        <v>7.5</v>
      </c>
      <c r="Y3391" s="9">
        <v>44962</v>
      </c>
      <c r="Z3391">
        <v>20</v>
      </c>
      <c r="AA3391" s="11" t="s">
        <v>49</v>
      </c>
    </row>
    <row r="3392" spans="2:27" ht="16" x14ac:dyDescent="0.2">
      <c r="B3392" t="s">
        <v>35</v>
      </c>
      <c r="C3392">
        <v>40351542</v>
      </c>
      <c r="D3392" t="s">
        <v>389</v>
      </c>
      <c r="E3392">
        <v>1022414</v>
      </c>
      <c r="F3392" t="s">
        <v>308</v>
      </c>
      <c r="G3392" s="9">
        <v>44955</v>
      </c>
      <c r="H3392" s="7"/>
      <c r="I3392" s="7"/>
      <c r="J3392" s="7"/>
      <c r="K3392" s="7"/>
      <c r="L3392" s="10">
        <v>5.5741092456127026</v>
      </c>
      <c r="M3392" s="9">
        <v>44960</v>
      </c>
      <c r="N3392" s="10">
        <v>5.5</v>
      </c>
      <c r="O3392" s="9">
        <v>44965</v>
      </c>
      <c r="P3392">
        <v>17</v>
      </c>
      <c r="Q3392" s="11" t="s">
        <v>49</v>
      </c>
      <c r="R3392" s="7"/>
      <c r="S3392" s="7"/>
      <c r="T3392" s="7"/>
      <c r="U3392" s="7"/>
      <c r="V3392" s="10">
        <v>7.5741092456127026</v>
      </c>
      <c r="W3392" s="9">
        <v>44962</v>
      </c>
      <c r="X3392" s="10">
        <v>7.5</v>
      </c>
      <c r="Y3392" s="9">
        <v>44965</v>
      </c>
      <c r="Z3392">
        <v>17</v>
      </c>
      <c r="AA3392" s="11" t="s">
        <v>49</v>
      </c>
    </row>
    <row r="3393" spans="2:27" ht="16" x14ac:dyDescent="0.2">
      <c r="B3393" t="s">
        <v>35</v>
      </c>
      <c r="C3393">
        <v>40351541</v>
      </c>
      <c r="D3393" t="s">
        <v>389</v>
      </c>
      <c r="E3393">
        <v>1022414</v>
      </c>
      <c r="F3393" t="s">
        <v>308</v>
      </c>
      <c r="G3393" s="9">
        <v>44956</v>
      </c>
      <c r="H3393" s="7"/>
      <c r="I3393" s="7"/>
      <c r="J3393" s="7"/>
      <c r="K3393" s="7"/>
      <c r="L3393" s="10">
        <v>5.5741092456127026</v>
      </c>
      <c r="M3393" s="9">
        <v>44961</v>
      </c>
      <c r="N3393" s="10">
        <v>5.5</v>
      </c>
      <c r="O3393" s="9">
        <v>44966</v>
      </c>
      <c r="P3393">
        <v>16</v>
      </c>
      <c r="Q3393" s="11" t="s">
        <v>49</v>
      </c>
      <c r="R3393" s="7"/>
      <c r="S3393" s="7"/>
      <c r="T3393" s="7"/>
      <c r="U3393" s="7"/>
      <c r="V3393" s="10">
        <v>7.5741092456127026</v>
      </c>
      <c r="W3393" s="9">
        <v>44963</v>
      </c>
      <c r="X3393" s="10">
        <v>7.5</v>
      </c>
      <c r="Y3393" s="9">
        <v>44966</v>
      </c>
      <c r="Z3393">
        <v>16</v>
      </c>
      <c r="AA3393" s="11" t="s">
        <v>49</v>
      </c>
    </row>
    <row r="3394" spans="2:27" ht="16" x14ac:dyDescent="0.2">
      <c r="B3394" t="s">
        <v>35</v>
      </c>
      <c r="C3394">
        <v>40351538</v>
      </c>
      <c r="D3394" t="s">
        <v>389</v>
      </c>
      <c r="E3394">
        <v>1022080</v>
      </c>
      <c r="F3394" t="s">
        <v>292</v>
      </c>
      <c r="G3394" s="9">
        <v>44975</v>
      </c>
      <c r="H3394" s="7"/>
      <c r="I3394" s="7"/>
      <c r="J3394" s="7"/>
      <c r="K3394" s="7"/>
      <c r="L3394" s="10">
        <v>5.5741092456127026</v>
      </c>
      <c r="M3394" s="9">
        <v>44980</v>
      </c>
      <c r="N3394" s="10">
        <v>5.5</v>
      </c>
      <c r="O3394" s="9">
        <v>44985</v>
      </c>
      <c r="P3394">
        <v>0</v>
      </c>
      <c r="Q3394" s="11" t="s">
        <v>594</v>
      </c>
      <c r="R3394" s="7"/>
      <c r="S3394" s="7"/>
      <c r="T3394" s="7"/>
      <c r="U3394" s="7"/>
      <c r="V3394" s="10">
        <v>7.5741092456127026</v>
      </c>
      <c r="W3394" s="9">
        <v>44982</v>
      </c>
      <c r="X3394" s="10">
        <v>7.5</v>
      </c>
      <c r="Y3394" s="9">
        <v>44985</v>
      </c>
      <c r="Z3394">
        <v>0</v>
      </c>
      <c r="AA3394" s="11" t="s">
        <v>594</v>
      </c>
    </row>
    <row r="3395" spans="2:27" ht="16" x14ac:dyDescent="0.2">
      <c r="B3395" t="s">
        <v>35</v>
      </c>
      <c r="C3395">
        <v>40351537</v>
      </c>
      <c r="D3395" t="s">
        <v>389</v>
      </c>
      <c r="E3395">
        <v>1022080</v>
      </c>
      <c r="F3395" t="s">
        <v>292</v>
      </c>
      <c r="G3395" s="9">
        <v>44962</v>
      </c>
      <c r="H3395" s="7"/>
      <c r="I3395" s="7"/>
      <c r="J3395" s="7"/>
      <c r="K3395" s="7"/>
      <c r="L3395" s="10">
        <v>5.5741092456127026</v>
      </c>
      <c r="M3395" s="9">
        <v>44967</v>
      </c>
      <c r="N3395" s="10">
        <v>5.5</v>
      </c>
      <c r="O3395" s="9">
        <v>44972</v>
      </c>
      <c r="P3395">
        <v>11</v>
      </c>
      <c r="Q3395" s="11" t="s">
        <v>49</v>
      </c>
      <c r="R3395" s="7"/>
      <c r="S3395" s="7"/>
      <c r="T3395" s="7"/>
      <c r="U3395" s="7"/>
      <c r="V3395" s="10">
        <v>7.5741092456127026</v>
      </c>
      <c r="W3395" s="9">
        <v>44969</v>
      </c>
      <c r="X3395" s="10">
        <v>7.5</v>
      </c>
      <c r="Y3395" s="9">
        <v>44972</v>
      </c>
      <c r="Z3395">
        <v>11</v>
      </c>
      <c r="AA3395" s="11" t="s">
        <v>49</v>
      </c>
    </row>
    <row r="3396" spans="2:27" ht="16" x14ac:dyDescent="0.2">
      <c r="B3396" t="s">
        <v>35</v>
      </c>
      <c r="C3396">
        <v>40351535</v>
      </c>
      <c r="D3396" t="s">
        <v>389</v>
      </c>
      <c r="E3396">
        <v>1022637</v>
      </c>
      <c r="F3396" t="s">
        <v>314</v>
      </c>
      <c r="G3396" s="9">
        <v>44979</v>
      </c>
      <c r="H3396" s="7">
        <v>21525</v>
      </c>
      <c r="I3396" s="7"/>
      <c r="J3396" s="7"/>
      <c r="K3396" s="7"/>
      <c r="L3396" s="10">
        <v>5.5741092456127026</v>
      </c>
      <c r="M3396" s="9">
        <v>44984</v>
      </c>
      <c r="N3396" s="10">
        <v>5.5</v>
      </c>
      <c r="O3396" s="9">
        <v>44989</v>
      </c>
      <c r="P3396">
        <v>23</v>
      </c>
      <c r="Q3396" s="11" t="s">
        <v>49</v>
      </c>
      <c r="R3396" s="7">
        <v>21525</v>
      </c>
      <c r="S3396" s="7"/>
      <c r="T3396" s="7"/>
      <c r="U3396" s="7"/>
      <c r="V3396" s="10">
        <v>7.5741092456127026</v>
      </c>
      <c r="W3396" s="9">
        <v>44986</v>
      </c>
      <c r="X3396" s="10">
        <v>7.5</v>
      </c>
      <c r="Y3396" s="9">
        <v>44989</v>
      </c>
      <c r="Z3396">
        <v>23</v>
      </c>
      <c r="AA3396" s="11" t="s">
        <v>49</v>
      </c>
    </row>
    <row r="3397" spans="2:27" ht="16" x14ac:dyDescent="0.2">
      <c r="B3397" t="s">
        <v>35</v>
      </c>
      <c r="C3397">
        <v>40351533</v>
      </c>
      <c r="D3397" t="s">
        <v>389</v>
      </c>
      <c r="E3397">
        <v>1022637</v>
      </c>
      <c r="F3397" t="s">
        <v>314</v>
      </c>
      <c r="G3397" s="9">
        <v>44973</v>
      </c>
      <c r="H3397" s="7"/>
      <c r="I3397" s="7"/>
      <c r="J3397" s="7"/>
      <c r="K3397" s="7"/>
      <c r="L3397" s="10">
        <v>5.5741092456127026</v>
      </c>
      <c r="M3397" s="9">
        <v>44978</v>
      </c>
      <c r="N3397" s="10">
        <v>5.5</v>
      </c>
      <c r="O3397" s="9">
        <v>44983</v>
      </c>
      <c r="P3397">
        <v>2</v>
      </c>
      <c r="Q3397" s="11" t="s">
        <v>594</v>
      </c>
      <c r="R3397" s="7"/>
      <c r="S3397" s="7"/>
      <c r="T3397" s="7"/>
      <c r="U3397" s="7"/>
      <c r="V3397" s="10">
        <v>7.5741092456127026</v>
      </c>
      <c r="W3397" s="9">
        <v>44980</v>
      </c>
      <c r="X3397" s="10">
        <v>7.5</v>
      </c>
      <c r="Y3397" s="9">
        <v>44983</v>
      </c>
      <c r="Z3397">
        <v>2</v>
      </c>
      <c r="AA3397" s="11" t="s">
        <v>594</v>
      </c>
    </row>
    <row r="3398" spans="2:27" ht="16" x14ac:dyDescent="0.2">
      <c r="B3398" t="s">
        <v>35</v>
      </c>
      <c r="C3398">
        <v>40351532</v>
      </c>
      <c r="D3398" t="s">
        <v>389</v>
      </c>
      <c r="E3398">
        <v>1022637</v>
      </c>
      <c r="F3398" t="s">
        <v>314</v>
      </c>
      <c r="G3398" s="9">
        <v>44957</v>
      </c>
      <c r="H3398" s="7"/>
      <c r="I3398" s="7"/>
      <c r="J3398" s="7"/>
      <c r="K3398" s="7"/>
      <c r="L3398" s="10">
        <v>5.5741092456127026</v>
      </c>
      <c r="M3398" s="9">
        <v>44962</v>
      </c>
      <c r="N3398" s="10">
        <v>5.5</v>
      </c>
      <c r="O3398" s="9">
        <v>44967</v>
      </c>
      <c r="P3398">
        <v>15</v>
      </c>
      <c r="Q3398" s="11" t="s">
        <v>49</v>
      </c>
      <c r="R3398" s="7"/>
      <c r="S3398" s="7"/>
      <c r="T3398" s="7"/>
      <c r="U3398" s="7"/>
      <c r="V3398" s="10">
        <v>7.5741092456127026</v>
      </c>
      <c r="W3398" s="9">
        <v>44964</v>
      </c>
      <c r="X3398" s="10">
        <v>7.5</v>
      </c>
      <c r="Y3398" s="9">
        <v>44967</v>
      </c>
      <c r="Z3398">
        <v>15</v>
      </c>
      <c r="AA3398" s="11" t="s">
        <v>49</v>
      </c>
    </row>
    <row r="3399" spans="2:27" ht="16" x14ac:dyDescent="0.2">
      <c r="B3399" t="s">
        <v>35</v>
      </c>
      <c r="C3399">
        <v>40351531</v>
      </c>
      <c r="D3399" t="s">
        <v>389</v>
      </c>
      <c r="E3399">
        <v>1022096</v>
      </c>
      <c r="F3399" t="s">
        <v>440</v>
      </c>
      <c r="G3399" s="9">
        <v>44956</v>
      </c>
      <c r="H3399" s="7"/>
      <c r="I3399" s="7"/>
      <c r="J3399" s="7"/>
      <c r="K3399" s="7"/>
      <c r="L3399" s="10">
        <v>5.5741092456127026</v>
      </c>
      <c r="M3399" s="9">
        <v>44961</v>
      </c>
      <c r="N3399" s="10">
        <v>5.5</v>
      </c>
      <c r="O3399" s="9">
        <v>44966</v>
      </c>
      <c r="P3399">
        <v>16</v>
      </c>
      <c r="Q3399" s="11" t="s">
        <v>49</v>
      </c>
      <c r="R3399" s="7"/>
      <c r="S3399" s="7"/>
      <c r="T3399" s="7"/>
      <c r="U3399" s="7"/>
      <c r="V3399" s="10">
        <v>7.5741092456127026</v>
      </c>
      <c r="W3399" s="9">
        <v>44963</v>
      </c>
      <c r="X3399" s="10">
        <v>7.5</v>
      </c>
      <c r="Y3399" s="9">
        <v>44966</v>
      </c>
      <c r="Z3399">
        <v>16</v>
      </c>
      <c r="AA3399" s="11" t="s">
        <v>49</v>
      </c>
    </row>
    <row r="3400" spans="2:27" ht="16" x14ac:dyDescent="0.2">
      <c r="B3400" t="s">
        <v>35</v>
      </c>
      <c r="C3400">
        <v>40351530</v>
      </c>
      <c r="D3400" t="s">
        <v>389</v>
      </c>
      <c r="E3400">
        <v>1022096</v>
      </c>
      <c r="F3400" t="s">
        <v>440</v>
      </c>
      <c r="G3400" s="9">
        <v>44956</v>
      </c>
      <c r="H3400" s="7"/>
      <c r="I3400" s="7"/>
      <c r="J3400" s="7"/>
      <c r="K3400" s="7"/>
      <c r="L3400" s="10">
        <v>5.5741092456127026</v>
      </c>
      <c r="M3400" s="9">
        <v>44961</v>
      </c>
      <c r="N3400" s="10">
        <v>5.5</v>
      </c>
      <c r="O3400" s="9">
        <v>44966</v>
      </c>
      <c r="P3400">
        <v>16</v>
      </c>
      <c r="Q3400" s="11" t="s">
        <v>49</v>
      </c>
      <c r="R3400" s="7"/>
      <c r="S3400" s="7"/>
      <c r="T3400" s="7"/>
      <c r="U3400" s="7"/>
      <c r="V3400" s="10">
        <v>7.5741092456127026</v>
      </c>
      <c r="W3400" s="9">
        <v>44963</v>
      </c>
      <c r="X3400" s="10">
        <v>7.5</v>
      </c>
      <c r="Y3400" s="9">
        <v>44966</v>
      </c>
      <c r="Z3400">
        <v>16</v>
      </c>
      <c r="AA3400" s="11" t="s">
        <v>49</v>
      </c>
    </row>
    <row r="3401" spans="2:27" ht="16" x14ac:dyDescent="0.2">
      <c r="B3401" t="s">
        <v>35</v>
      </c>
      <c r="C3401">
        <v>40351529</v>
      </c>
      <c r="D3401" t="s">
        <v>389</v>
      </c>
      <c r="E3401">
        <v>1022096</v>
      </c>
      <c r="F3401" t="s">
        <v>440</v>
      </c>
      <c r="G3401" s="9">
        <v>44952</v>
      </c>
      <c r="H3401" s="7"/>
      <c r="I3401" s="7"/>
      <c r="J3401" s="7"/>
      <c r="K3401" s="7"/>
      <c r="L3401" s="10">
        <v>5.5741092456127026</v>
      </c>
      <c r="M3401" s="9">
        <v>44957</v>
      </c>
      <c r="N3401" s="10">
        <v>5.5</v>
      </c>
      <c r="O3401" s="9">
        <v>44962</v>
      </c>
      <c r="P3401">
        <v>20</v>
      </c>
      <c r="Q3401" s="11" t="s">
        <v>49</v>
      </c>
      <c r="R3401" s="7"/>
      <c r="S3401" s="7"/>
      <c r="T3401" s="7"/>
      <c r="U3401" s="7"/>
      <c r="V3401" s="10">
        <v>7.5741092456127026</v>
      </c>
      <c r="W3401" s="9">
        <v>44959</v>
      </c>
      <c r="X3401" s="10">
        <v>7.5</v>
      </c>
      <c r="Y3401" s="9">
        <v>44962</v>
      </c>
      <c r="Z3401">
        <v>20</v>
      </c>
      <c r="AA3401" s="11" t="s">
        <v>49</v>
      </c>
    </row>
    <row r="3402" spans="2:27" ht="16" x14ac:dyDescent="0.2">
      <c r="B3402" t="s">
        <v>35</v>
      </c>
      <c r="C3402">
        <v>40351528</v>
      </c>
      <c r="D3402" t="s">
        <v>389</v>
      </c>
      <c r="E3402">
        <v>1022096</v>
      </c>
      <c r="F3402" t="s">
        <v>440</v>
      </c>
      <c r="G3402" s="9">
        <v>44956</v>
      </c>
      <c r="H3402" s="7"/>
      <c r="I3402" s="7"/>
      <c r="J3402" s="7"/>
      <c r="K3402" s="7"/>
      <c r="L3402" s="10">
        <v>5.5741092456127026</v>
      </c>
      <c r="M3402" s="9">
        <v>44961</v>
      </c>
      <c r="N3402" s="10">
        <v>5.5</v>
      </c>
      <c r="O3402" s="9">
        <v>44966</v>
      </c>
      <c r="P3402">
        <v>16</v>
      </c>
      <c r="Q3402" s="11" t="s">
        <v>49</v>
      </c>
      <c r="R3402" s="7"/>
      <c r="S3402" s="7"/>
      <c r="T3402" s="7"/>
      <c r="U3402" s="7"/>
      <c r="V3402" s="10">
        <v>7.5741092456127026</v>
      </c>
      <c r="W3402" s="9">
        <v>44963</v>
      </c>
      <c r="X3402" s="10">
        <v>7.5</v>
      </c>
      <c r="Y3402" s="9">
        <v>44966</v>
      </c>
      <c r="Z3402">
        <v>16</v>
      </c>
      <c r="AA3402" s="11" t="s">
        <v>49</v>
      </c>
    </row>
    <row r="3403" spans="2:27" ht="16" x14ac:dyDescent="0.2">
      <c r="B3403" t="s">
        <v>35</v>
      </c>
      <c r="C3403">
        <v>40351527</v>
      </c>
      <c r="D3403" t="s">
        <v>389</v>
      </c>
      <c r="E3403">
        <v>1022096</v>
      </c>
      <c r="F3403" t="s">
        <v>440</v>
      </c>
      <c r="G3403" s="9">
        <v>44936</v>
      </c>
      <c r="H3403" s="7"/>
      <c r="I3403" s="7"/>
      <c r="J3403" s="7"/>
      <c r="K3403" s="7"/>
      <c r="L3403" s="10">
        <v>5.5741092456127026</v>
      </c>
      <c r="M3403" s="9">
        <v>44941</v>
      </c>
      <c r="N3403" s="10">
        <v>5.5</v>
      </c>
      <c r="O3403" s="9">
        <v>44946</v>
      </c>
      <c r="P3403">
        <v>7</v>
      </c>
      <c r="Q3403" s="11" t="s">
        <v>49</v>
      </c>
      <c r="R3403" s="7"/>
      <c r="S3403" s="7"/>
      <c r="T3403" s="7"/>
      <c r="U3403" s="7"/>
      <c r="V3403" s="10">
        <v>7.5741092456127026</v>
      </c>
      <c r="W3403" s="9">
        <v>44943</v>
      </c>
      <c r="X3403" s="10">
        <v>7.5</v>
      </c>
      <c r="Y3403" s="9">
        <v>44946</v>
      </c>
      <c r="Z3403">
        <v>7</v>
      </c>
      <c r="AA3403" s="11" t="s">
        <v>49</v>
      </c>
    </row>
    <row r="3404" spans="2:27" ht="16" x14ac:dyDescent="0.2">
      <c r="B3404" t="s">
        <v>35</v>
      </c>
      <c r="C3404">
        <v>40351527</v>
      </c>
      <c r="D3404" t="s">
        <v>389</v>
      </c>
      <c r="E3404">
        <v>1022096</v>
      </c>
      <c r="F3404" t="s">
        <v>440</v>
      </c>
      <c r="G3404" s="9">
        <v>44936</v>
      </c>
      <c r="H3404" s="7"/>
      <c r="I3404" s="7"/>
      <c r="J3404" s="7"/>
      <c r="K3404" s="7"/>
      <c r="L3404" s="10">
        <v>5.5741092456127026</v>
      </c>
      <c r="M3404" s="9">
        <v>44941</v>
      </c>
      <c r="N3404" s="10">
        <v>5.5</v>
      </c>
      <c r="O3404" s="9">
        <v>44946</v>
      </c>
      <c r="P3404">
        <v>7</v>
      </c>
      <c r="Q3404" s="11" t="s">
        <v>49</v>
      </c>
      <c r="R3404" s="7"/>
      <c r="S3404" s="7"/>
      <c r="T3404" s="7"/>
      <c r="U3404" s="7"/>
      <c r="V3404" s="10">
        <v>7.5741092456127026</v>
      </c>
      <c r="W3404" s="9">
        <v>44943</v>
      </c>
      <c r="X3404" s="10">
        <v>7.5</v>
      </c>
      <c r="Y3404" s="9">
        <v>44946</v>
      </c>
      <c r="Z3404">
        <v>7</v>
      </c>
      <c r="AA3404" s="11" t="s">
        <v>49</v>
      </c>
    </row>
    <row r="3405" spans="2:27" ht="16" x14ac:dyDescent="0.2">
      <c r="B3405" t="s">
        <v>35</v>
      </c>
      <c r="C3405">
        <v>40351526</v>
      </c>
      <c r="D3405" t="s">
        <v>389</v>
      </c>
      <c r="E3405">
        <v>1022096</v>
      </c>
      <c r="F3405" t="s">
        <v>440</v>
      </c>
      <c r="G3405" s="9">
        <v>44941</v>
      </c>
      <c r="H3405" s="7"/>
      <c r="I3405" s="7"/>
      <c r="J3405" s="7"/>
      <c r="K3405" s="7"/>
      <c r="L3405" s="10">
        <v>5.5741092456127026</v>
      </c>
      <c r="M3405" s="9">
        <v>44946</v>
      </c>
      <c r="N3405" s="10">
        <v>5.5</v>
      </c>
      <c r="O3405" s="9">
        <v>44951</v>
      </c>
      <c r="P3405">
        <v>5</v>
      </c>
      <c r="Q3405" s="11" t="s">
        <v>49</v>
      </c>
      <c r="R3405" s="7"/>
      <c r="S3405" s="7"/>
      <c r="T3405" s="7"/>
      <c r="U3405" s="7"/>
      <c r="V3405" s="10">
        <v>7.5741092456127026</v>
      </c>
      <c r="W3405" s="9">
        <v>44948</v>
      </c>
      <c r="X3405" s="10">
        <v>7.5</v>
      </c>
      <c r="Y3405" s="9">
        <v>44951</v>
      </c>
      <c r="Z3405">
        <v>5</v>
      </c>
      <c r="AA3405" s="11" t="s">
        <v>49</v>
      </c>
    </row>
    <row r="3406" spans="2:27" x14ac:dyDescent="0.2">
      <c r="B3406" t="s">
        <v>394</v>
      </c>
      <c r="C3406">
        <v>40369597</v>
      </c>
      <c r="D3406" t="s">
        <v>396</v>
      </c>
      <c r="E3406">
        <v>1023283</v>
      </c>
      <c r="F3406" t="s">
        <v>468</v>
      </c>
      <c r="G3406" s="9">
        <v>44982</v>
      </c>
      <c r="H3406" s="7"/>
      <c r="I3406" s="7"/>
      <c r="J3406" s="7"/>
      <c r="K3406" s="7"/>
      <c r="L3406" s="10"/>
      <c r="N3406" s="10"/>
      <c r="Q3406" s="11"/>
      <c r="R3406" s="7"/>
      <c r="S3406" s="7"/>
      <c r="T3406" s="7"/>
      <c r="U3406" s="7"/>
      <c r="V3406" s="10"/>
      <c r="X3406" s="10"/>
      <c r="AA3406" s="11"/>
    </row>
    <row r="3407" spans="2:27" x14ac:dyDescent="0.2">
      <c r="B3407" t="s">
        <v>394</v>
      </c>
      <c r="C3407">
        <v>40369597</v>
      </c>
      <c r="D3407" t="s">
        <v>396</v>
      </c>
      <c r="E3407">
        <v>1023283</v>
      </c>
      <c r="F3407" t="s">
        <v>468</v>
      </c>
      <c r="G3407" s="9">
        <v>44982</v>
      </c>
      <c r="H3407" s="7"/>
      <c r="I3407" s="7"/>
      <c r="J3407" s="7"/>
      <c r="K3407" s="7"/>
      <c r="L3407" s="10"/>
      <c r="N3407" s="10"/>
      <c r="Q3407" s="11"/>
      <c r="R3407" s="7"/>
      <c r="S3407" s="7"/>
      <c r="T3407" s="7"/>
      <c r="U3407" s="7"/>
      <c r="V3407" s="10"/>
      <c r="X3407" s="10"/>
      <c r="AA3407" s="11"/>
    </row>
    <row r="3408" spans="2:27" x14ac:dyDescent="0.2">
      <c r="B3408" t="s">
        <v>394</v>
      </c>
      <c r="C3408">
        <v>40369595</v>
      </c>
      <c r="D3408" t="s">
        <v>396</v>
      </c>
      <c r="E3408">
        <v>1023283</v>
      </c>
      <c r="F3408" t="s">
        <v>468</v>
      </c>
      <c r="G3408" s="9">
        <v>44960</v>
      </c>
      <c r="H3408" s="7"/>
      <c r="I3408" s="7"/>
      <c r="J3408" s="7"/>
      <c r="K3408" s="7"/>
      <c r="L3408" s="10"/>
      <c r="N3408" s="10"/>
      <c r="Q3408" s="11"/>
      <c r="R3408" s="7"/>
      <c r="S3408" s="7"/>
      <c r="T3408" s="7"/>
      <c r="U3408" s="7"/>
      <c r="V3408" s="10"/>
      <c r="X3408" s="10"/>
      <c r="AA3408" s="11"/>
    </row>
    <row r="3409" spans="2:27" x14ac:dyDescent="0.2">
      <c r="B3409" t="s">
        <v>394</v>
      </c>
      <c r="C3409">
        <v>40369595</v>
      </c>
      <c r="D3409" t="s">
        <v>396</v>
      </c>
      <c r="E3409">
        <v>1023283</v>
      </c>
      <c r="F3409" t="s">
        <v>468</v>
      </c>
      <c r="G3409" s="9">
        <v>44960</v>
      </c>
      <c r="H3409" s="7"/>
      <c r="I3409" s="7"/>
      <c r="J3409" s="7"/>
      <c r="K3409" s="7"/>
      <c r="L3409" s="10"/>
      <c r="N3409" s="10"/>
      <c r="Q3409" s="11"/>
      <c r="R3409" s="7"/>
      <c r="S3409" s="7"/>
      <c r="T3409" s="7"/>
      <c r="U3409" s="7"/>
      <c r="V3409" s="10"/>
      <c r="X3409" s="10"/>
      <c r="AA3409" s="11"/>
    </row>
    <row r="3410" spans="2:27" x14ac:dyDescent="0.2">
      <c r="B3410" t="s">
        <v>394</v>
      </c>
      <c r="C3410">
        <v>40343854</v>
      </c>
      <c r="D3410" t="s">
        <v>396</v>
      </c>
      <c r="E3410">
        <v>1023283</v>
      </c>
      <c r="F3410" t="s">
        <v>468</v>
      </c>
      <c r="G3410" s="9">
        <v>45283</v>
      </c>
      <c r="H3410" s="7"/>
      <c r="I3410" s="7"/>
      <c r="J3410" s="7"/>
      <c r="K3410" s="7"/>
      <c r="L3410" s="10"/>
      <c r="N3410" s="10"/>
      <c r="Q3410" s="11"/>
      <c r="R3410" s="7"/>
      <c r="S3410" s="7"/>
      <c r="T3410" s="7"/>
      <c r="U3410" s="7"/>
      <c r="V3410" s="10"/>
      <c r="X3410" s="10"/>
      <c r="AA3410" s="11"/>
    </row>
    <row r="3411" spans="2:27" x14ac:dyDescent="0.2">
      <c r="B3411" t="s">
        <v>394</v>
      </c>
      <c r="C3411">
        <v>40361257</v>
      </c>
      <c r="D3411" t="s">
        <v>396</v>
      </c>
      <c r="E3411">
        <v>1012612</v>
      </c>
      <c r="F3411" t="s">
        <v>429</v>
      </c>
      <c r="G3411" s="9">
        <v>44976</v>
      </c>
      <c r="H3411" s="7"/>
      <c r="I3411" s="7"/>
      <c r="J3411" s="7"/>
      <c r="K3411" s="7"/>
      <c r="L3411" s="10"/>
      <c r="N3411" s="10"/>
      <c r="Q3411" s="11"/>
      <c r="R3411" s="7"/>
      <c r="S3411" s="7"/>
      <c r="T3411" s="7"/>
      <c r="U3411" s="7"/>
      <c r="V3411" s="10"/>
      <c r="X3411" s="10"/>
      <c r="AA3411" s="11"/>
    </row>
    <row r="3412" spans="2:27" x14ac:dyDescent="0.2">
      <c r="B3412" t="s">
        <v>394</v>
      </c>
      <c r="C3412">
        <v>40361256</v>
      </c>
      <c r="D3412" t="s">
        <v>396</v>
      </c>
      <c r="E3412">
        <v>1012612</v>
      </c>
      <c r="F3412" t="s">
        <v>429</v>
      </c>
      <c r="G3412" s="9">
        <v>44976</v>
      </c>
      <c r="H3412" s="7"/>
      <c r="I3412" s="7"/>
      <c r="J3412" s="7"/>
      <c r="K3412" s="7"/>
      <c r="L3412" s="10"/>
      <c r="N3412" s="10"/>
      <c r="Q3412" s="11"/>
      <c r="R3412" s="7"/>
      <c r="S3412" s="7"/>
      <c r="T3412" s="7"/>
      <c r="U3412" s="7"/>
      <c r="V3412" s="10"/>
      <c r="X3412" s="10"/>
      <c r="AA3412" s="11"/>
    </row>
    <row r="3413" spans="2:27" x14ac:dyDescent="0.2">
      <c r="B3413" t="s">
        <v>394</v>
      </c>
      <c r="C3413">
        <v>40361255</v>
      </c>
      <c r="D3413" t="s">
        <v>396</v>
      </c>
      <c r="E3413">
        <v>1012612</v>
      </c>
      <c r="F3413" t="s">
        <v>429</v>
      </c>
      <c r="G3413" s="9">
        <v>44974</v>
      </c>
      <c r="H3413" s="7"/>
      <c r="I3413" s="7"/>
      <c r="J3413" s="7"/>
      <c r="K3413" s="7"/>
      <c r="L3413" s="10"/>
      <c r="N3413" s="10"/>
      <c r="Q3413" s="11"/>
      <c r="R3413" s="7"/>
      <c r="S3413" s="7"/>
      <c r="T3413" s="7"/>
      <c r="U3413" s="7"/>
      <c r="V3413" s="10"/>
      <c r="X3413" s="10"/>
      <c r="AA3413" s="11"/>
    </row>
    <row r="3414" spans="2:27" x14ac:dyDescent="0.2">
      <c r="B3414" t="s">
        <v>394</v>
      </c>
      <c r="C3414">
        <v>40361254</v>
      </c>
      <c r="D3414" t="s">
        <v>396</v>
      </c>
      <c r="E3414">
        <v>1012612</v>
      </c>
      <c r="F3414" t="s">
        <v>429</v>
      </c>
      <c r="G3414" s="9">
        <v>44974</v>
      </c>
      <c r="H3414" s="7"/>
      <c r="I3414" s="7"/>
      <c r="J3414" s="7"/>
      <c r="K3414" s="7"/>
      <c r="L3414" s="10"/>
      <c r="N3414" s="10"/>
      <c r="Q3414" s="11"/>
      <c r="R3414" s="7"/>
      <c r="S3414" s="7"/>
      <c r="T3414" s="7"/>
      <c r="U3414" s="7"/>
      <c r="V3414" s="10"/>
      <c r="X3414" s="10"/>
      <c r="AA3414" s="11"/>
    </row>
    <row r="3415" spans="2:27" ht="16" x14ac:dyDescent="0.2">
      <c r="B3415" t="s">
        <v>35</v>
      </c>
      <c r="C3415">
        <v>40360549</v>
      </c>
      <c r="D3415" t="s">
        <v>409</v>
      </c>
      <c r="E3415">
        <v>1012167</v>
      </c>
      <c r="F3415" t="s">
        <v>70</v>
      </c>
      <c r="G3415" s="9">
        <v>44955</v>
      </c>
      <c r="H3415" s="7"/>
      <c r="I3415" s="7"/>
      <c r="J3415" s="7"/>
      <c r="K3415" s="7"/>
      <c r="L3415" s="10">
        <v>7.5</v>
      </c>
      <c r="M3415" s="9">
        <v>44962</v>
      </c>
      <c r="N3415" s="10">
        <v>9.5</v>
      </c>
      <c r="O3415" s="9">
        <v>44971</v>
      </c>
      <c r="P3415">
        <v>11</v>
      </c>
      <c r="Q3415" s="11" t="s">
        <v>49</v>
      </c>
      <c r="R3415" s="7"/>
      <c r="S3415" s="7"/>
      <c r="T3415" s="7"/>
      <c r="U3415" s="7"/>
      <c r="V3415" s="10">
        <v>9.5</v>
      </c>
      <c r="W3415" s="9">
        <v>44964</v>
      </c>
      <c r="X3415" s="10">
        <v>11.5</v>
      </c>
      <c r="Y3415" s="9">
        <v>44971</v>
      </c>
      <c r="Z3415">
        <v>11</v>
      </c>
      <c r="AA3415" s="11" t="s">
        <v>49</v>
      </c>
    </row>
    <row r="3416" spans="2:27" ht="16" x14ac:dyDescent="0.2">
      <c r="B3416" t="s">
        <v>35</v>
      </c>
      <c r="C3416">
        <v>40360524</v>
      </c>
      <c r="D3416" t="s">
        <v>423</v>
      </c>
      <c r="E3416">
        <v>1011748</v>
      </c>
      <c r="F3416" t="s">
        <v>482</v>
      </c>
      <c r="G3416" s="9">
        <v>44940</v>
      </c>
      <c r="H3416" s="7"/>
      <c r="I3416" s="7"/>
      <c r="J3416" s="7"/>
      <c r="K3416" s="7"/>
      <c r="L3416" s="10">
        <v>5.4496124031007751</v>
      </c>
      <c r="M3416" s="9">
        <v>44945</v>
      </c>
      <c r="N3416" s="10">
        <v>10</v>
      </c>
      <c r="O3416" s="9">
        <v>44955</v>
      </c>
      <c r="P3416">
        <v>2</v>
      </c>
      <c r="Q3416" s="11" t="s">
        <v>648</v>
      </c>
      <c r="R3416" s="7"/>
      <c r="S3416" s="7"/>
      <c r="T3416" s="7"/>
      <c r="U3416" s="7"/>
      <c r="V3416" s="10">
        <v>7.4496124031007751</v>
      </c>
      <c r="W3416" s="9">
        <v>44947</v>
      </c>
      <c r="X3416" s="10">
        <v>12</v>
      </c>
      <c r="Y3416" s="9">
        <v>44955</v>
      </c>
      <c r="Z3416">
        <v>2</v>
      </c>
      <c r="AA3416" s="11" t="s">
        <v>648</v>
      </c>
    </row>
    <row r="3417" spans="2:27" ht="16" x14ac:dyDescent="0.2">
      <c r="B3417" t="s">
        <v>35</v>
      </c>
      <c r="C3417">
        <v>40360514</v>
      </c>
      <c r="D3417" t="s">
        <v>423</v>
      </c>
      <c r="E3417">
        <v>1011749</v>
      </c>
      <c r="F3417" t="s">
        <v>650</v>
      </c>
      <c r="G3417" s="9">
        <v>44941</v>
      </c>
      <c r="H3417" s="7"/>
      <c r="I3417" s="7"/>
      <c r="J3417" s="7"/>
      <c r="K3417" s="7"/>
      <c r="L3417" s="10">
        <v>5.4496124031007751</v>
      </c>
      <c r="M3417" s="9">
        <v>44946</v>
      </c>
      <c r="N3417" s="10">
        <v>10</v>
      </c>
      <c r="O3417" s="9">
        <v>44956</v>
      </c>
      <c r="P3417">
        <v>1</v>
      </c>
      <c r="Q3417" s="11" t="s">
        <v>648</v>
      </c>
      <c r="R3417" s="7"/>
      <c r="S3417" s="7"/>
      <c r="T3417" s="7"/>
      <c r="U3417" s="7"/>
      <c r="V3417" s="10">
        <v>7.4496124031007751</v>
      </c>
      <c r="W3417" s="9">
        <v>44948</v>
      </c>
      <c r="X3417" s="10">
        <v>12</v>
      </c>
      <c r="Y3417" s="9">
        <v>44956</v>
      </c>
      <c r="Z3417">
        <v>1</v>
      </c>
      <c r="AA3417" s="11" t="s">
        <v>648</v>
      </c>
    </row>
    <row r="3418" spans="2:27" ht="16" x14ac:dyDescent="0.2">
      <c r="B3418" t="s">
        <v>35</v>
      </c>
      <c r="C3418">
        <v>40360513</v>
      </c>
      <c r="D3418" t="s">
        <v>423</v>
      </c>
      <c r="E3418">
        <v>1011749</v>
      </c>
      <c r="F3418" t="s">
        <v>650</v>
      </c>
      <c r="G3418" s="9">
        <v>44941</v>
      </c>
      <c r="H3418" s="7"/>
      <c r="I3418" s="7"/>
      <c r="J3418" s="7"/>
      <c r="K3418" s="7"/>
      <c r="L3418" s="10">
        <v>5.4496124031007751</v>
      </c>
      <c r="M3418" s="9">
        <v>44946</v>
      </c>
      <c r="N3418" s="10">
        <v>10</v>
      </c>
      <c r="O3418" s="9">
        <v>44956</v>
      </c>
      <c r="P3418">
        <v>1</v>
      </c>
      <c r="Q3418" s="11" t="s">
        <v>648</v>
      </c>
      <c r="R3418" s="7"/>
      <c r="S3418" s="7"/>
      <c r="T3418" s="7"/>
      <c r="U3418" s="7"/>
      <c r="V3418" s="10">
        <v>7.4496124031007751</v>
      </c>
      <c r="W3418" s="9">
        <v>44948</v>
      </c>
      <c r="X3418" s="10">
        <v>12</v>
      </c>
      <c r="Y3418" s="9">
        <v>44956</v>
      </c>
      <c r="Z3418">
        <v>1</v>
      </c>
      <c r="AA3418" s="11" t="s">
        <v>648</v>
      </c>
    </row>
    <row r="3419" spans="2:27" x14ac:dyDescent="0.2">
      <c r="B3419" t="s">
        <v>394</v>
      </c>
      <c r="C3419">
        <v>40360489</v>
      </c>
      <c r="D3419" t="s">
        <v>485</v>
      </c>
      <c r="E3419">
        <v>1021976</v>
      </c>
      <c r="F3419" t="s">
        <v>512</v>
      </c>
      <c r="G3419" s="9">
        <v>44942</v>
      </c>
      <c r="H3419" s="7"/>
      <c r="I3419" s="7"/>
      <c r="J3419" s="7"/>
      <c r="K3419" s="7"/>
      <c r="L3419" s="10"/>
      <c r="N3419" s="10"/>
      <c r="Q3419" s="11"/>
      <c r="R3419" s="7"/>
      <c r="S3419" s="7"/>
      <c r="T3419" s="7"/>
      <c r="U3419" s="7"/>
      <c r="V3419" s="10"/>
      <c r="X3419" s="10"/>
      <c r="AA3419" s="11"/>
    </row>
    <row r="3420" spans="2:27" x14ac:dyDescent="0.2">
      <c r="B3420" t="s">
        <v>394</v>
      </c>
      <c r="C3420">
        <v>40360489</v>
      </c>
      <c r="D3420" t="s">
        <v>485</v>
      </c>
      <c r="E3420">
        <v>1021976</v>
      </c>
      <c r="F3420" t="s">
        <v>512</v>
      </c>
      <c r="G3420" s="9">
        <v>44942</v>
      </c>
      <c r="H3420" s="7"/>
      <c r="I3420" s="7"/>
      <c r="J3420" s="7"/>
      <c r="K3420" s="7"/>
      <c r="L3420" s="10"/>
      <c r="N3420" s="10"/>
      <c r="Q3420" s="11"/>
      <c r="R3420" s="7"/>
      <c r="S3420" s="7"/>
      <c r="T3420" s="7"/>
      <c r="U3420" s="7"/>
      <c r="V3420" s="10"/>
      <c r="X3420" s="10"/>
      <c r="AA3420" s="11"/>
    </row>
    <row r="3421" spans="2:27" ht="16" x14ac:dyDescent="0.2">
      <c r="B3421" t="s">
        <v>35</v>
      </c>
      <c r="C3421">
        <v>40359936</v>
      </c>
      <c r="D3421" t="s">
        <v>423</v>
      </c>
      <c r="E3421">
        <v>1011127</v>
      </c>
      <c r="F3421" t="s">
        <v>228</v>
      </c>
      <c r="G3421" s="9">
        <v>44941</v>
      </c>
      <c r="H3421" s="7"/>
      <c r="I3421" s="7"/>
      <c r="J3421" s="7"/>
      <c r="K3421" s="7"/>
      <c r="L3421" s="10">
        <v>5.4496124031007751</v>
      </c>
      <c r="M3421" s="9">
        <v>44946</v>
      </c>
      <c r="N3421" s="10">
        <v>10</v>
      </c>
      <c r="O3421" s="9">
        <v>44956</v>
      </c>
      <c r="P3421">
        <v>1</v>
      </c>
      <c r="Q3421" s="11" t="s">
        <v>648</v>
      </c>
      <c r="R3421" s="7"/>
      <c r="S3421" s="7"/>
      <c r="T3421" s="7"/>
      <c r="U3421" s="7"/>
      <c r="V3421" s="10">
        <v>7.4496124031007751</v>
      </c>
      <c r="W3421" s="9">
        <v>44948</v>
      </c>
      <c r="X3421" s="10">
        <v>12</v>
      </c>
      <c r="Y3421" s="9">
        <v>44956</v>
      </c>
      <c r="Z3421">
        <v>1</v>
      </c>
      <c r="AA3421" s="11" t="s">
        <v>648</v>
      </c>
    </row>
    <row r="3422" spans="2:27" ht="16" x14ac:dyDescent="0.2">
      <c r="B3422" t="s">
        <v>35</v>
      </c>
      <c r="C3422">
        <v>40359935</v>
      </c>
      <c r="D3422" t="s">
        <v>423</v>
      </c>
      <c r="E3422">
        <v>1011127</v>
      </c>
      <c r="F3422" t="s">
        <v>228</v>
      </c>
      <c r="G3422" s="9">
        <v>44941</v>
      </c>
      <c r="H3422" s="7"/>
      <c r="I3422" s="7"/>
      <c r="J3422" s="7"/>
      <c r="K3422" s="7"/>
      <c r="L3422" s="10">
        <v>5.4496124031007751</v>
      </c>
      <c r="M3422" s="9">
        <v>44946</v>
      </c>
      <c r="N3422" s="10">
        <v>10</v>
      </c>
      <c r="O3422" s="9">
        <v>44956</v>
      </c>
      <c r="P3422">
        <v>1</v>
      </c>
      <c r="Q3422" s="11" t="s">
        <v>648</v>
      </c>
      <c r="R3422" s="7"/>
      <c r="S3422" s="7"/>
      <c r="T3422" s="7"/>
      <c r="U3422" s="7"/>
      <c r="V3422" s="10">
        <v>7.4496124031007751</v>
      </c>
      <c r="W3422" s="9">
        <v>44948</v>
      </c>
      <c r="X3422" s="10">
        <v>12</v>
      </c>
      <c r="Y3422" s="9">
        <v>44956</v>
      </c>
      <c r="Z3422">
        <v>1</v>
      </c>
      <c r="AA3422" s="11" t="s">
        <v>648</v>
      </c>
    </row>
    <row r="3423" spans="2:27" ht="16" x14ac:dyDescent="0.2">
      <c r="B3423" t="s">
        <v>35</v>
      </c>
      <c r="C3423">
        <v>40359934</v>
      </c>
      <c r="D3423" t="s">
        <v>423</v>
      </c>
      <c r="E3423">
        <v>1011127</v>
      </c>
      <c r="F3423" t="s">
        <v>228</v>
      </c>
      <c r="G3423" s="9">
        <v>44940</v>
      </c>
      <c r="H3423" s="7"/>
      <c r="I3423" s="7"/>
      <c r="J3423" s="7"/>
      <c r="K3423" s="7"/>
      <c r="L3423" s="10">
        <v>5.4496124031007751</v>
      </c>
      <c r="M3423" s="9">
        <v>44945</v>
      </c>
      <c r="N3423" s="10">
        <v>10</v>
      </c>
      <c r="O3423" s="9">
        <v>44955</v>
      </c>
      <c r="P3423">
        <v>2</v>
      </c>
      <c r="Q3423" s="11" t="s">
        <v>648</v>
      </c>
      <c r="R3423" s="7"/>
      <c r="S3423" s="7"/>
      <c r="T3423" s="7"/>
      <c r="U3423" s="7"/>
      <c r="V3423" s="10">
        <v>7.4496124031007751</v>
      </c>
      <c r="W3423" s="9">
        <v>44947</v>
      </c>
      <c r="X3423" s="10">
        <v>12</v>
      </c>
      <c r="Y3423" s="9">
        <v>44955</v>
      </c>
      <c r="Z3423">
        <v>2</v>
      </c>
      <c r="AA3423" s="11" t="s">
        <v>648</v>
      </c>
    </row>
    <row r="3424" spans="2:27" ht="16" x14ac:dyDescent="0.2">
      <c r="B3424" t="s">
        <v>35</v>
      </c>
      <c r="C3424">
        <v>40359868</v>
      </c>
      <c r="D3424" t="s">
        <v>423</v>
      </c>
      <c r="E3424">
        <v>1011614</v>
      </c>
      <c r="F3424" t="s">
        <v>487</v>
      </c>
      <c r="G3424" s="9">
        <v>44935</v>
      </c>
      <c r="H3424" s="7"/>
      <c r="I3424" s="7"/>
      <c r="J3424" s="7"/>
      <c r="K3424" s="7"/>
      <c r="L3424" s="10">
        <v>5.4496124031007751</v>
      </c>
      <c r="M3424" s="9">
        <v>44940</v>
      </c>
      <c r="N3424" s="10">
        <v>10</v>
      </c>
      <c r="O3424" s="9">
        <v>44950</v>
      </c>
      <c r="P3424">
        <v>6</v>
      </c>
      <c r="Q3424" s="11" t="s">
        <v>49</v>
      </c>
      <c r="R3424" s="7"/>
      <c r="S3424" s="7"/>
      <c r="T3424" s="7"/>
      <c r="U3424" s="7"/>
      <c r="V3424" s="10">
        <v>7.4496124031007751</v>
      </c>
      <c r="W3424" s="9">
        <v>44942</v>
      </c>
      <c r="X3424" s="10">
        <v>12</v>
      </c>
      <c r="Y3424" s="9">
        <v>44950</v>
      </c>
      <c r="Z3424">
        <v>6</v>
      </c>
      <c r="AA3424" s="11" t="s">
        <v>49</v>
      </c>
    </row>
    <row r="3425" spans="2:27" x14ac:dyDescent="0.2">
      <c r="B3425" t="s">
        <v>394</v>
      </c>
      <c r="C3425">
        <v>40359793</v>
      </c>
      <c r="D3425" t="s">
        <v>485</v>
      </c>
      <c r="E3425">
        <v>1020086</v>
      </c>
      <c r="F3425" t="s">
        <v>526</v>
      </c>
      <c r="G3425" s="9">
        <v>44942</v>
      </c>
      <c r="H3425" s="7"/>
      <c r="I3425" s="7"/>
      <c r="J3425" s="7"/>
      <c r="K3425" s="7"/>
      <c r="L3425" s="10"/>
      <c r="N3425" s="10"/>
      <c r="Q3425" s="11"/>
      <c r="R3425" s="7"/>
      <c r="S3425" s="7"/>
      <c r="T3425" s="7"/>
      <c r="U3425" s="7"/>
      <c r="V3425" s="10"/>
      <c r="X3425" s="10"/>
      <c r="AA3425" s="11"/>
    </row>
    <row r="3426" spans="2:27" x14ac:dyDescent="0.2">
      <c r="B3426" t="s">
        <v>394</v>
      </c>
      <c r="C3426">
        <v>40359562</v>
      </c>
      <c r="D3426" t="s">
        <v>485</v>
      </c>
      <c r="E3426">
        <v>1012556</v>
      </c>
      <c r="F3426" t="s">
        <v>489</v>
      </c>
      <c r="G3426" s="9">
        <v>44934</v>
      </c>
      <c r="H3426" s="7"/>
      <c r="I3426" s="7"/>
      <c r="J3426" s="7"/>
      <c r="K3426" s="7"/>
      <c r="L3426" s="10"/>
      <c r="N3426" s="10"/>
      <c r="Q3426" s="11"/>
      <c r="R3426" s="7"/>
      <c r="S3426" s="7"/>
      <c r="T3426" s="7"/>
      <c r="U3426" s="7"/>
      <c r="V3426" s="10"/>
      <c r="X3426" s="10"/>
      <c r="AA3426" s="11"/>
    </row>
    <row r="3427" spans="2:27" ht="16" x14ac:dyDescent="0.2">
      <c r="B3427" t="s">
        <v>35</v>
      </c>
      <c r="C3427">
        <v>40359455</v>
      </c>
      <c r="D3427" t="s">
        <v>423</v>
      </c>
      <c r="E3427">
        <v>1030792</v>
      </c>
      <c r="F3427" t="s">
        <v>373</v>
      </c>
      <c r="G3427" s="9">
        <v>44941</v>
      </c>
      <c r="H3427" s="7"/>
      <c r="I3427" s="7"/>
      <c r="J3427" s="7"/>
      <c r="K3427" s="7"/>
      <c r="L3427" s="10">
        <v>5.4496124031007751</v>
      </c>
      <c r="M3427" s="9">
        <v>44946</v>
      </c>
      <c r="N3427" s="10">
        <v>10</v>
      </c>
      <c r="O3427" s="9">
        <v>44956</v>
      </c>
      <c r="P3427">
        <v>1</v>
      </c>
      <c r="Q3427" s="11" t="s">
        <v>648</v>
      </c>
      <c r="R3427" s="7"/>
      <c r="S3427" s="7"/>
      <c r="T3427" s="7"/>
      <c r="U3427" s="7"/>
      <c r="V3427" s="10">
        <v>7.4496124031007751</v>
      </c>
      <c r="W3427" s="9">
        <v>44948</v>
      </c>
      <c r="X3427" s="10">
        <v>12</v>
      </c>
      <c r="Y3427" s="9">
        <v>44956</v>
      </c>
      <c r="Z3427">
        <v>1</v>
      </c>
      <c r="AA3427" s="11" t="s">
        <v>648</v>
      </c>
    </row>
    <row r="3428" spans="2:27" x14ac:dyDescent="0.2">
      <c r="B3428" t="s">
        <v>394</v>
      </c>
      <c r="C3428">
        <v>40359446</v>
      </c>
      <c r="D3428" t="s">
        <v>485</v>
      </c>
      <c r="E3428">
        <v>1022709</v>
      </c>
      <c r="F3428" t="s">
        <v>493</v>
      </c>
      <c r="G3428" s="9">
        <v>44946</v>
      </c>
      <c r="H3428" s="7"/>
      <c r="I3428" s="7"/>
      <c r="J3428" s="7"/>
      <c r="K3428" s="7"/>
      <c r="L3428" s="10"/>
      <c r="N3428" s="10"/>
      <c r="Q3428" s="11"/>
      <c r="R3428" s="7"/>
      <c r="S3428" s="7"/>
      <c r="T3428" s="7"/>
      <c r="U3428" s="7"/>
      <c r="V3428" s="10"/>
      <c r="X3428" s="10"/>
      <c r="AA3428" s="11"/>
    </row>
    <row r="3429" spans="2:27" x14ac:dyDescent="0.2">
      <c r="B3429" t="s">
        <v>394</v>
      </c>
      <c r="C3429">
        <v>40359445</v>
      </c>
      <c r="D3429" t="s">
        <v>485</v>
      </c>
      <c r="E3429">
        <v>1022709</v>
      </c>
      <c r="F3429" t="s">
        <v>493</v>
      </c>
      <c r="G3429" s="9">
        <v>44946</v>
      </c>
      <c r="H3429" s="7"/>
      <c r="I3429" s="7"/>
      <c r="J3429" s="7"/>
      <c r="K3429" s="7"/>
      <c r="L3429" s="10"/>
      <c r="N3429" s="10"/>
      <c r="Q3429" s="11"/>
      <c r="R3429" s="7"/>
      <c r="S3429" s="7"/>
      <c r="T3429" s="7"/>
      <c r="U3429" s="7"/>
      <c r="V3429" s="10"/>
      <c r="X3429" s="10"/>
      <c r="AA3429" s="11"/>
    </row>
    <row r="3430" spans="2:27" x14ac:dyDescent="0.2">
      <c r="B3430" t="s">
        <v>394</v>
      </c>
      <c r="C3430">
        <v>40359444</v>
      </c>
      <c r="D3430" t="s">
        <v>485</v>
      </c>
      <c r="E3430">
        <v>1022709</v>
      </c>
      <c r="F3430" t="s">
        <v>493</v>
      </c>
      <c r="G3430" s="9">
        <v>44946</v>
      </c>
      <c r="H3430" s="7"/>
      <c r="I3430" s="7"/>
      <c r="J3430" s="7"/>
      <c r="K3430" s="7"/>
      <c r="L3430" s="10"/>
      <c r="N3430" s="10"/>
      <c r="Q3430" s="11"/>
      <c r="R3430" s="7"/>
      <c r="S3430" s="7"/>
      <c r="T3430" s="7"/>
      <c r="U3430" s="7"/>
      <c r="V3430" s="10"/>
      <c r="X3430" s="10"/>
      <c r="AA3430" s="11"/>
    </row>
    <row r="3431" spans="2:27" x14ac:dyDescent="0.2">
      <c r="B3431" t="s">
        <v>394</v>
      </c>
      <c r="C3431">
        <v>40359443</v>
      </c>
      <c r="D3431" t="s">
        <v>485</v>
      </c>
      <c r="E3431">
        <v>1022709</v>
      </c>
      <c r="F3431" t="s">
        <v>493</v>
      </c>
      <c r="G3431" s="9">
        <v>44945</v>
      </c>
      <c r="H3431" s="7"/>
      <c r="I3431" s="7"/>
      <c r="J3431" s="7"/>
      <c r="K3431" s="7"/>
      <c r="L3431" s="10"/>
      <c r="N3431" s="10"/>
      <c r="Q3431" s="11"/>
      <c r="R3431" s="7"/>
      <c r="S3431" s="7"/>
      <c r="T3431" s="7"/>
      <c r="U3431" s="7"/>
      <c r="V3431" s="10"/>
      <c r="X3431" s="10"/>
      <c r="AA3431" s="11"/>
    </row>
    <row r="3432" spans="2:27" x14ac:dyDescent="0.2">
      <c r="B3432" t="s">
        <v>394</v>
      </c>
      <c r="C3432">
        <v>40359442</v>
      </c>
      <c r="D3432" t="s">
        <v>485</v>
      </c>
      <c r="E3432">
        <v>1022709</v>
      </c>
      <c r="F3432" t="s">
        <v>493</v>
      </c>
      <c r="G3432" s="9">
        <v>44945</v>
      </c>
      <c r="H3432" s="7"/>
      <c r="I3432" s="7"/>
      <c r="J3432" s="7"/>
      <c r="K3432" s="7"/>
      <c r="L3432" s="10"/>
      <c r="N3432" s="10"/>
      <c r="Q3432" s="11"/>
      <c r="R3432" s="7"/>
      <c r="S3432" s="7"/>
      <c r="T3432" s="7"/>
      <c r="U3432" s="7"/>
      <c r="V3432" s="10"/>
      <c r="X3432" s="10"/>
      <c r="AA3432" s="11"/>
    </row>
    <row r="3433" spans="2:27" x14ac:dyDescent="0.2">
      <c r="B3433" t="s">
        <v>394</v>
      </c>
      <c r="C3433">
        <v>40359441</v>
      </c>
      <c r="D3433" t="s">
        <v>485</v>
      </c>
      <c r="E3433">
        <v>1022709</v>
      </c>
      <c r="F3433" t="s">
        <v>493</v>
      </c>
      <c r="G3433" s="9">
        <v>44945</v>
      </c>
      <c r="H3433" s="7"/>
      <c r="I3433" s="7"/>
      <c r="J3433" s="7"/>
      <c r="K3433" s="7"/>
      <c r="L3433" s="10"/>
      <c r="N3433" s="10"/>
      <c r="Q3433" s="11"/>
      <c r="R3433" s="7"/>
      <c r="S3433" s="7"/>
      <c r="T3433" s="7"/>
      <c r="U3433" s="7"/>
      <c r="V3433" s="10"/>
      <c r="X3433" s="10"/>
      <c r="AA3433" s="11"/>
    </row>
    <row r="3434" spans="2:27" x14ac:dyDescent="0.2">
      <c r="B3434" t="s">
        <v>394</v>
      </c>
      <c r="C3434">
        <v>40359439</v>
      </c>
      <c r="D3434" t="s">
        <v>485</v>
      </c>
      <c r="E3434">
        <v>1020944</v>
      </c>
      <c r="F3434" t="s">
        <v>498</v>
      </c>
      <c r="G3434" s="9">
        <v>44945</v>
      </c>
      <c r="H3434" s="7"/>
      <c r="I3434" s="7"/>
      <c r="J3434" s="7"/>
      <c r="K3434" s="7"/>
      <c r="L3434" s="10"/>
      <c r="N3434" s="10"/>
      <c r="Q3434" s="11"/>
      <c r="R3434" s="7"/>
      <c r="S3434" s="7"/>
      <c r="T3434" s="7"/>
      <c r="U3434" s="7"/>
      <c r="V3434" s="10"/>
      <c r="X3434" s="10"/>
      <c r="AA3434" s="11"/>
    </row>
    <row r="3435" spans="2:27" x14ac:dyDescent="0.2">
      <c r="B3435" t="s">
        <v>394</v>
      </c>
      <c r="C3435">
        <v>40359438</v>
      </c>
      <c r="D3435" t="s">
        <v>485</v>
      </c>
      <c r="E3435">
        <v>1020944</v>
      </c>
      <c r="F3435" t="s">
        <v>498</v>
      </c>
      <c r="G3435" s="9">
        <v>44945</v>
      </c>
      <c r="H3435" s="7"/>
      <c r="I3435" s="7"/>
      <c r="J3435" s="7"/>
      <c r="K3435" s="7"/>
      <c r="L3435" s="10"/>
      <c r="N3435" s="10"/>
      <c r="Q3435" s="11"/>
      <c r="R3435" s="7"/>
      <c r="S3435" s="7"/>
      <c r="T3435" s="7"/>
      <c r="U3435" s="7"/>
      <c r="V3435" s="10"/>
      <c r="X3435" s="10"/>
      <c r="AA3435" s="11"/>
    </row>
    <row r="3436" spans="2:27" x14ac:dyDescent="0.2">
      <c r="B3436" t="s">
        <v>394</v>
      </c>
      <c r="C3436">
        <v>40359393</v>
      </c>
      <c r="D3436" t="s">
        <v>485</v>
      </c>
      <c r="E3436">
        <v>1020944</v>
      </c>
      <c r="F3436" t="s">
        <v>498</v>
      </c>
      <c r="G3436" s="9">
        <v>44932</v>
      </c>
      <c r="H3436" s="7"/>
      <c r="I3436" s="7"/>
      <c r="J3436" s="7"/>
      <c r="K3436" s="7"/>
      <c r="L3436" s="10"/>
      <c r="N3436" s="10"/>
      <c r="Q3436" s="11"/>
      <c r="R3436" s="7"/>
      <c r="S3436" s="7"/>
      <c r="T3436" s="7"/>
      <c r="U3436" s="7"/>
      <c r="V3436" s="10"/>
      <c r="X3436" s="10"/>
      <c r="AA3436" s="11"/>
    </row>
    <row r="3437" spans="2:27" ht="16" x14ac:dyDescent="0.2">
      <c r="B3437" t="s">
        <v>35</v>
      </c>
      <c r="C3437">
        <v>40359380</v>
      </c>
      <c r="D3437" t="s">
        <v>423</v>
      </c>
      <c r="E3437">
        <v>1011748</v>
      </c>
      <c r="F3437" t="s">
        <v>482</v>
      </c>
      <c r="G3437" s="9">
        <v>44935</v>
      </c>
      <c r="H3437" s="7"/>
      <c r="I3437" s="7"/>
      <c r="J3437" s="7"/>
      <c r="K3437" s="7"/>
      <c r="L3437" s="10">
        <v>5.4496124031007751</v>
      </c>
      <c r="M3437" s="9">
        <v>44940</v>
      </c>
      <c r="N3437" s="10">
        <v>10</v>
      </c>
      <c r="O3437" s="9">
        <v>44950</v>
      </c>
      <c r="P3437">
        <v>6</v>
      </c>
      <c r="Q3437" s="11" t="s">
        <v>49</v>
      </c>
      <c r="R3437" s="7"/>
      <c r="S3437" s="7"/>
      <c r="T3437" s="7"/>
      <c r="U3437" s="7"/>
      <c r="V3437" s="10">
        <v>7.4496124031007751</v>
      </c>
      <c r="W3437" s="9">
        <v>44942</v>
      </c>
      <c r="X3437" s="10">
        <v>12</v>
      </c>
      <c r="Y3437" s="9">
        <v>44950</v>
      </c>
      <c r="Z3437">
        <v>6</v>
      </c>
      <c r="AA3437" s="11" t="s">
        <v>49</v>
      </c>
    </row>
    <row r="3438" spans="2:27" ht="16" x14ac:dyDescent="0.2">
      <c r="B3438" t="s">
        <v>35</v>
      </c>
      <c r="C3438">
        <v>40359379</v>
      </c>
      <c r="D3438" t="s">
        <v>423</v>
      </c>
      <c r="E3438">
        <v>1011748</v>
      </c>
      <c r="F3438" t="s">
        <v>482</v>
      </c>
      <c r="G3438" s="9">
        <v>44935</v>
      </c>
      <c r="H3438" s="7"/>
      <c r="I3438" s="7"/>
      <c r="J3438" s="7"/>
      <c r="K3438" s="7"/>
      <c r="L3438" s="10">
        <v>5.4496124031007751</v>
      </c>
      <c r="M3438" s="9">
        <v>44940</v>
      </c>
      <c r="N3438" s="10">
        <v>10</v>
      </c>
      <c r="O3438" s="9">
        <v>44950</v>
      </c>
      <c r="P3438">
        <v>6</v>
      </c>
      <c r="Q3438" s="11" t="s">
        <v>49</v>
      </c>
      <c r="R3438" s="7"/>
      <c r="S3438" s="7"/>
      <c r="T3438" s="7"/>
      <c r="U3438" s="7"/>
      <c r="V3438" s="10">
        <v>7.4496124031007751</v>
      </c>
      <c r="W3438" s="9">
        <v>44942</v>
      </c>
      <c r="X3438" s="10">
        <v>12</v>
      </c>
      <c r="Y3438" s="9">
        <v>44950</v>
      </c>
      <c r="Z3438">
        <v>6</v>
      </c>
      <c r="AA3438" s="11" t="s">
        <v>49</v>
      </c>
    </row>
    <row r="3439" spans="2:27" ht="16" x14ac:dyDescent="0.2">
      <c r="B3439" t="s">
        <v>35</v>
      </c>
      <c r="C3439">
        <v>40359378</v>
      </c>
      <c r="D3439" t="s">
        <v>423</v>
      </c>
      <c r="E3439">
        <v>1011748</v>
      </c>
      <c r="F3439" t="s">
        <v>482</v>
      </c>
      <c r="G3439" s="9">
        <v>44935</v>
      </c>
      <c r="H3439" s="7"/>
      <c r="I3439" s="7"/>
      <c r="J3439" s="7"/>
      <c r="K3439" s="7"/>
      <c r="L3439" s="10">
        <v>5.4496124031007751</v>
      </c>
      <c r="M3439" s="9">
        <v>44940</v>
      </c>
      <c r="N3439" s="10">
        <v>10</v>
      </c>
      <c r="O3439" s="9">
        <v>44950</v>
      </c>
      <c r="P3439">
        <v>6</v>
      </c>
      <c r="Q3439" s="11" t="s">
        <v>49</v>
      </c>
      <c r="R3439" s="7"/>
      <c r="S3439" s="7"/>
      <c r="T3439" s="7"/>
      <c r="U3439" s="7"/>
      <c r="V3439" s="10">
        <v>7.4496124031007751</v>
      </c>
      <c r="W3439" s="9">
        <v>44942</v>
      </c>
      <c r="X3439" s="10">
        <v>12</v>
      </c>
      <c r="Y3439" s="9">
        <v>44950</v>
      </c>
      <c r="Z3439">
        <v>6</v>
      </c>
      <c r="AA3439" s="11" t="s">
        <v>49</v>
      </c>
    </row>
    <row r="3440" spans="2:27" ht="16" x14ac:dyDescent="0.2">
      <c r="B3440" t="s">
        <v>35</v>
      </c>
      <c r="C3440">
        <v>40359377</v>
      </c>
      <c r="D3440" t="s">
        <v>423</v>
      </c>
      <c r="E3440">
        <v>1030802</v>
      </c>
      <c r="F3440" t="s">
        <v>492</v>
      </c>
      <c r="G3440" s="9">
        <v>44941</v>
      </c>
      <c r="H3440" s="7"/>
      <c r="I3440" s="7"/>
      <c r="J3440" s="7"/>
      <c r="K3440" s="7"/>
      <c r="L3440" s="10">
        <v>5.4496124031007751</v>
      </c>
      <c r="M3440" s="9">
        <v>44946</v>
      </c>
      <c r="N3440" s="10">
        <v>10</v>
      </c>
      <c r="O3440" s="9">
        <v>44956</v>
      </c>
      <c r="P3440">
        <v>1</v>
      </c>
      <c r="Q3440" s="11" t="s">
        <v>648</v>
      </c>
      <c r="R3440" s="7"/>
      <c r="S3440" s="7"/>
      <c r="T3440" s="7"/>
      <c r="U3440" s="7"/>
      <c r="V3440" s="10">
        <v>7.4496124031007751</v>
      </c>
      <c r="W3440" s="9">
        <v>44948</v>
      </c>
      <c r="X3440" s="10">
        <v>12</v>
      </c>
      <c r="Y3440" s="9">
        <v>44956</v>
      </c>
      <c r="Z3440">
        <v>1</v>
      </c>
      <c r="AA3440" s="11" t="s">
        <v>648</v>
      </c>
    </row>
    <row r="3441" spans="2:27" ht="16" x14ac:dyDescent="0.2">
      <c r="B3441" t="s">
        <v>35</v>
      </c>
      <c r="C3441">
        <v>40359374</v>
      </c>
      <c r="D3441" t="s">
        <v>386</v>
      </c>
      <c r="E3441">
        <v>1010877</v>
      </c>
      <c r="F3441" t="s">
        <v>387</v>
      </c>
      <c r="G3441" s="9">
        <v>44996</v>
      </c>
      <c r="H3441" s="7">
        <v>24000</v>
      </c>
      <c r="I3441" s="7"/>
      <c r="J3441" s="7"/>
      <c r="K3441" s="7"/>
      <c r="L3441" s="10">
        <v>5.1420118343195256</v>
      </c>
      <c r="M3441" s="9">
        <v>45001</v>
      </c>
      <c r="N3441" s="10">
        <v>7.5</v>
      </c>
      <c r="O3441" s="9">
        <v>45008</v>
      </c>
      <c r="P3441">
        <v>7</v>
      </c>
      <c r="Q3441" s="11" t="s">
        <v>49</v>
      </c>
      <c r="R3441" s="7">
        <v>24000</v>
      </c>
      <c r="S3441" s="7"/>
      <c r="T3441" s="7"/>
      <c r="U3441" s="7"/>
      <c r="V3441" s="10">
        <v>7.1420118343195256</v>
      </c>
      <c r="W3441" s="9">
        <v>45003</v>
      </c>
      <c r="X3441" s="10">
        <v>9.5</v>
      </c>
      <c r="Y3441" s="9">
        <v>45008</v>
      </c>
      <c r="Z3441">
        <v>7</v>
      </c>
      <c r="AA3441" s="11" t="s">
        <v>49</v>
      </c>
    </row>
    <row r="3442" spans="2:27" ht="16" x14ac:dyDescent="0.2">
      <c r="B3442" t="s">
        <v>35</v>
      </c>
      <c r="C3442">
        <v>40359369</v>
      </c>
      <c r="D3442" t="s">
        <v>409</v>
      </c>
      <c r="E3442">
        <v>1012147</v>
      </c>
      <c r="F3442" t="s">
        <v>217</v>
      </c>
      <c r="G3442" s="9">
        <v>44950</v>
      </c>
      <c r="H3442" s="7"/>
      <c r="I3442" s="7"/>
      <c r="J3442" s="7"/>
      <c r="K3442" s="7"/>
      <c r="L3442" s="10">
        <v>7.5</v>
      </c>
      <c r="M3442" s="9">
        <v>44957</v>
      </c>
      <c r="N3442" s="10">
        <v>9.5</v>
      </c>
      <c r="O3442" s="9">
        <v>44966</v>
      </c>
      <c r="P3442">
        <v>15</v>
      </c>
      <c r="Q3442" s="11" t="s">
        <v>49</v>
      </c>
      <c r="R3442" s="7"/>
      <c r="S3442" s="7"/>
      <c r="T3442" s="7"/>
      <c r="U3442" s="7"/>
      <c r="V3442" s="10">
        <v>9.5</v>
      </c>
      <c r="W3442" s="9">
        <v>44959</v>
      </c>
      <c r="X3442" s="10">
        <v>11.5</v>
      </c>
      <c r="Y3442" s="9">
        <v>44966</v>
      </c>
      <c r="Z3442">
        <v>15</v>
      </c>
      <c r="AA3442" s="11" t="s">
        <v>49</v>
      </c>
    </row>
    <row r="3443" spans="2:27" ht="16" x14ac:dyDescent="0.2">
      <c r="B3443" t="s">
        <v>35</v>
      </c>
      <c r="C3443">
        <v>40359368</v>
      </c>
      <c r="D3443" t="s">
        <v>409</v>
      </c>
      <c r="E3443">
        <v>1012147</v>
      </c>
      <c r="F3443" t="s">
        <v>217</v>
      </c>
      <c r="G3443" s="9">
        <v>44950</v>
      </c>
      <c r="H3443" s="7"/>
      <c r="I3443" s="7"/>
      <c r="J3443" s="7"/>
      <c r="K3443" s="7"/>
      <c r="L3443" s="10">
        <v>7.5</v>
      </c>
      <c r="M3443" s="9">
        <v>44957</v>
      </c>
      <c r="N3443" s="10">
        <v>9.5</v>
      </c>
      <c r="O3443" s="9">
        <v>44966</v>
      </c>
      <c r="P3443">
        <v>15</v>
      </c>
      <c r="Q3443" s="11" t="s">
        <v>49</v>
      </c>
      <c r="R3443" s="7"/>
      <c r="S3443" s="7"/>
      <c r="T3443" s="7"/>
      <c r="U3443" s="7"/>
      <c r="V3443" s="10">
        <v>9.5</v>
      </c>
      <c r="W3443" s="9">
        <v>44959</v>
      </c>
      <c r="X3443" s="10">
        <v>11.5</v>
      </c>
      <c r="Y3443" s="9">
        <v>44966</v>
      </c>
      <c r="Z3443">
        <v>15</v>
      </c>
      <c r="AA3443" s="11" t="s">
        <v>49</v>
      </c>
    </row>
    <row r="3444" spans="2:27" x14ac:dyDescent="0.2">
      <c r="B3444" t="s">
        <v>394</v>
      </c>
      <c r="C3444">
        <v>40359350</v>
      </c>
      <c r="D3444" t="s">
        <v>485</v>
      </c>
      <c r="E3444">
        <v>1020848</v>
      </c>
      <c r="F3444" t="s">
        <v>503</v>
      </c>
      <c r="G3444" s="9">
        <v>44940</v>
      </c>
      <c r="H3444" s="7"/>
      <c r="I3444" s="7"/>
      <c r="J3444" s="7"/>
      <c r="K3444" s="7"/>
      <c r="L3444" s="10"/>
      <c r="N3444" s="10"/>
      <c r="Q3444" s="11"/>
      <c r="R3444" s="7"/>
      <c r="S3444" s="7"/>
      <c r="T3444" s="7"/>
      <c r="U3444" s="7"/>
      <c r="V3444" s="10"/>
      <c r="X3444" s="10"/>
      <c r="AA3444" s="11"/>
    </row>
    <row r="3445" spans="2:27" x14ac:dyDescent="0.2">
      <c r="B3445" t="s">
        <v>394</v>
      </c>
      <c r="C3445">
        <v>40359342</v>
      </c>
      <c r="D3445" t="s">
        <v>396</v>
      </c>
      <c r="E3445">
        <v>1012612</v>
      </c>
      <c r="F3445" t="s">
        <v>429</v>
      </c>
      <c r="G3445" s="9">
        <v>44982</v>
      </c>
      <c r="H3445" s="7"/>
      <c r="I3445" s="7"/>
      <c r="J3445" s="7"/>
      <c r="K3445" s="7"/>
      <c r="L3445" s="10"/>
      <c r="N3445" s="10"/>
      <c r="Q3445" s="11"/>
      <c r="R3445" s="7"/>
      <c r="S3445" s="7"/>
      <c r="T3445" s="7"/>
      <c r="U3445" s="7"/>
      <c r="V3445" s="10"/>
      <c r="X3445" s="10"/>
      <c r="AA3445" s="11"/>
    </row>
    <row r="3446" spans="2:27" x14ac:dyDescent="0.2">
      <c r="B3446" t="s">
        <v>394</v>
      </c>
      <c r="C3446">
        <v>40359341</v>
      </c>
      <c r="D3446" t="s">
        <v>396</v>
      </c>
      <c r="E3446">
        <v>1012612</v>
      </c>
      <c r="F3446" t="s">
        <v>429</v>
      </c>
      <c r="G3446" s="9">
        <v>44982</v>
      </c>
      <c r="H3446" s="7"/>
      <c r="I3446" s="7"/>
      <c r="J3446" s="7"/>
      <c r="K3446" s="7"/>
      <c r="L3446" s="10"/>
      <c r="N3446" s="10"/>
      <c r="Q3446" s="11"/>
      <c r="R3446" s="7"/>
      <c r="S3446" s="7"/>
      <c r="T3446" s="7"/>
      <c r="U3446" s="7"/>
      <c r="V3446" s="10"/>
      <c r="X3446" s="10"/>
      <c r="AA3446" s="11"/>
    </row>
    <row r="3447" spans="2:27" x14ac:dyDescent="0.2">
      <c r="B3447" t="s">
        <v>394</v>
      </c>
      <c r="C3447">
        <v>40359340</v>
      </c>
      <c r="D3447" t="s">
        <v>396</v>
      </c>
      <c r="E3447">
        <v>1012612</v>
      </c>
      <c r="F3447" t="s">
        <v>429</v>
      </c>
      <c r="G3447" s="9">
        <v>44982</v>
      </c>
      <c r="H3447" s="7"/>
      <c r="I3447" s="7"/>
      <c r="J3447" s="7"/>
      <c r="K3447" s="7"/>
      <c r="L3447" s="10"/>
      <c r="N3447" s="10"/>
      <c r="Q3447" s="11"/>
      <c r="R3447" s="7"/>
      <c r="S3447" s="7"/>
      <c r="T3447" s="7"/>
      <c r="U3447" s="7"/>
      <c r="V3447" s="10"/>
      <c r="X3447" s="10"/>
      <c r="AA3447" s="11"/>
    </row>
    <row r="3448" spans="2:27" x14ac:dyDescent="0.2">
      <c r="B3448" t="s">
        <v>394</v>
      </c>
      <c r="C3448">
        <v>40359339</v>
      </c>
      <c r="D3448" t="s">
        <v>396</v>
      </c>
      <c r="E3448">
        <v>1012612</v>
      </c>
      <c r="F3448" t="s">
        <v>429</v>
      </c>
      <c r="G3448" s="9">
        <v>44982</v>
      </c>
      <c r="H3448" s="7"/>
      <c r="I3448" s="7"/>
      <c r="J3448" s="7"/>
      <c r="K3448" s="7"/>
      <c r="L3448" s="10"/>
      <c r="N3448" s="10"/>
      <c r="Q3448" s="11"/>
      <c r="R3448" s="7"/>
      <c r="S3448" s="7"/>
      <c r="T3448" s="7"/>
      <c r="U3448" s="7"/>
      <c r="V3448" s="10"/>
      <c r="X3448" s="10"/>
      <c r="AA3448" s="11"/>
    </row>
    <row r="3449" spans="2:27" x14ac:dyDescent="0.2">
      <c r="B3449" t="s">
        <v>394</v>
      </c>
      <c r="C3449">
        <v>40359338</v>
      </c>
      <c r="D3449" t="s">
        <v>396</v>
      </c>
      <c r="E3449">
        <v>1012612</v>
      </c>
      <c r="F3449" t="s">
        <v>429</v>
      </c>
      <c r="G3449" s="9">
        <v>44976</v>
      </c>
      <c r="H3449" s="7"/>
      <c r="I3449" s="7"/>
      <c r="J3449" s="7"/>
      <c r="K3449" s="7"/>
      <c r="L3449" s="10"/>
      <c r="N3449" s="10"/>
      <c r="Q3449" s="11"/>
      <c r="R3449" s="7"/>
      <c r="S3449" s="7"/>
      <c r="T3449" s="7"/>
      <c r="U3449" s="7"/>
      <c r="V3449" s="10"/>
      <c r="X3449" s="10"/>
      <c r="AA3449" s="11"/>
    </row>
    <row r="3450" spans="2:27" ht="16" x14ac:dyDescent="0.2">
      <c r="B3450" t="s">
        <v>35</v>
      </c>
      <c r="C3450">
        <v>40359319</v>
      </c>
      <c r="D3450" t="s">
        <v>389</v>
      </c>
      <c r="E3450">
        <v>1022212</v>
      </c>
      <c r="F3450" t="s">
        <v>300</v>
      </c>
      <c r="G3450" s="9">
        <v>44956</v>
      </c>
      <c r="H3450" s="7"/>
      <c r="I3450" s="7"/>
      <c r="J3450" s="7"/>
      <c r="K3450" s="7"/>
      <c r="L3450" s="10">
        <v>5.5741092456127026</v>
      </c>
      <c r="M3450" s="9">
        <v>44961</v>
      </c>
      <c r="N3450" s="10">
        <v>5.5</v>
      </c>
      <c r="O3450" s="9">
        <v>44966</v>
      </c>
      <c r="P3450">
        <v>16</v>
      </c>
      <c r="Q3450" s="11" t="s">
        <v>49</v>
      </c>
      <c r="R3450" s="7"/>
      <c r="S3450" s="7"/>
      <c r="T3450" s="7"/>
      <c r="U3450" s="7"/>
      <c r="V3450" s="10">
        <v>7.5741092456127026</v>
      </c>
      <c r="W3450" s="9">
        <v>44963</v>
      </c>
      <c r="X3450" s="10">
        <v>7.5</v>
      </c>
      <c r="Y3450" s="9">
        <v>44966</v>
      </c>
      <c r="Z3450">
        <v>16</v>
      </c>
      <c r="AA3450" s="11" t="s">
        <v>49</v>
      </c>
    </row>
    <row r="3451" spans="2:27" ht="16" x14ac:dyDescent="0.2">
      <c r="B3451" t="s">
        <v>35</v>
      </c>
      <c r="C3451">
        <v>40359318</v>
      </c>
      <c r="D3451" t="s">
        <v>389</v>
      </c>
      <c r="E3451">
        <v>1022212</v>
      </c>
      <c r="F3451" t="s">
        <v>300</v>
      </c>
      <c r="G3451" s="9">
        <v>44958</v>
      </c>
      <c r="H3451" s="7"/>
      <c r="I3451" s="7"/>
      <c r="J3451" s="7"/>
      <c r="K3451" s="7"/>
      <c r="L3451" s="10">
        <v>5.5741092456127026</v>
      </c>
      <c r="M3451" s="9">
        <v>44963</v>
      </c>
      <c r="N3451" s="10">
        <v>5.5</v>
      </c>
      <c r="O3451" s="9">
        <v>44968</v>
      </c>
      <c r="P3451">
        <v>14</v>
      </c>
      <c r="Q3451" s="11" t="s">
        <v>49</v>
      </c>
      <c r="R3451" s="7"/>
      <c r="S3451" s="7"/>
      <c r="T3451" s="7"/>
      <c r="U3451" s="7"/>
      <c r="V3451" s="10">
        <v>7.5741092456127026</v>
      </c>
      <c r="W3451" s="9">
        <v>44965</v>
      </c>
      <c r="X3451" s="10">
        <v>7.5</v>
      </c>
      <c r="Y3451" s="9">
        <v>44968</v>
      </c>
      <c r="Z3451">
        <v>14</v>
      </c>
      <c r="AA3451" s="11" t="s">
        <v>49</v>
      </c>
    </row>
    <row r="3452" spans="2:27" ht="16" x14ac:dyDescent="0.2">
      <c r="B3452" t="s">
        <v>35</v>
      </c>
      <c r="C3452">
        <v>40359317</v>
      </c>
      <c r="D3452" t="s">
        <v>389</v>
      </c>
      <c r="E3452">
        <v>1022212</v>
      </c>
      <c r="F3452" t="s">
        <v>300</v>
      </c>
      <c r="G3452" s="9">
        <v>44958</v>
      </c>
      <c r="H3452" s="7"/>
      <c r="I3452" s="7"/>
      <c r="J3452" s="7"/>
      <c r="K3452" s="7"/>
      <c r="L3452" s="10">
        <v>5.5741092456127026</v>
      </c>
      <c r="M3452" s="9">
        <v>44963</v>
      </c>
      <c r="N3452" s="10">
        <v>5.5</v>
      </c>
      <c r="O3452" s="9">
        <v>44968</v>
      </c>
      <c r="P3452">
        <v>14</v>
      </c>
      <c r="Q3452" s="11" t="s">
        <v>49</v>
      </c>
      <c r="R3452" s="7"/>
      <c r="S3452" s="7"/>
      <c r="T3452" s="7"/>
      <c r="U3452" s="7"/>
      <c r="V3452" s="10">
        <v>7.5741092456127026</v>
      </c>
      <c r="W3452" s="9">
        <v>44965</v>
      </c>
      <c r="X3452" s="10">
        <v>7.5</v>
      </c>
      <c r="Y3452" s="9">
        <v>44968</v>
      </c>
      <c r="Z3452">
        <v>14</v>
      </c>
      <c r="AA3452" s="11" t="s">
        <v>49</v>
      </c>
    </row>
    <row r="3453" spans="2:27" ht="16" x14ac:dyDescent="0.2">
      <c r="B3453" t="s">
        <v>35</v>
      </c>
      <c r="C3453">
        <v>40359316</v>
      </c>
      <c r="D3453" t="s">
        <v>389</v>
      </c>
      <c r="E3453">
        <v>1022212</v>
      </c>
      <c r="F3453" t="s">
        <v>300</v>
      </c>
      <c r="G3453" s="9">
        <v>44958</v>
      </c>
      <c r="H3453" s="7"/>
      <c r="I3453" s="7"/>
      <c r="J3453" s="7"/>
      <c r="K3453" s="7"/>
      <c r="L3453" s="10">
        <v>5.5741092456127026</v>
      </c>
      <c r="M3453" s="9">
        <v>44963</v>
      </c>
      <c r="N3453" s="10">
        <v>5.5</v>
      </c>
      <c r="O3453" s="9">
        <v>44968</v>
      </c>
      <c r="P3453">
        <v>14</v>
      </c>
      <c r="Q3453" s="11" t="s">
        <v>49</v>
      </c>
      <c r="R3453" s="7"/>
      <c r="S3453" s="7"/>
      <c r="T3453" s="7"/>
      <c r="U3453" s="7"/>
      <c r="V3453" s="10">
        <v>7.5741092456127026</v>
      </c>
      <c r="W3453" s="9">
        <v>44965</v>
      </c>
      <c r="X3453" s="10">
        <v>7.5</v>
      </c>
      <c r="Y3453" s="9">
        <v>44968</v>
      </c>
      <c r="Z3453">
        <v>14</v>
      </c>
      <c r="AA3453" s="11" t="s">
        <v>49</v>
      </c>
    </row>
    <row r="3454" spans="2:27" ht="16" x14ac:dyDescent="0.2">
      <c r="B3454" t="s">
        <v>35</v>
      </c>
      <c r="C3454">
        <v>40359315</v>
      </c>
      <c r="D3454" t="s">
        <v>389</v>
      </c>
      <c r="E3454">
        <v>1022212</v>
      </c>
      <c r="F3454" t="s">
        <v>300</v>
      </c>
      <c r="G3454" s="9">
        <v>44958</v>
      </c>
      <c r="H3454" s="7"/>
      <c r="I3454" s="7"/>
      <c r="J3454" s="7"/>
      <c r="K3454" s="7"/>
      <c r="L3454" s="10">
        <v>5.5741092456127026</v>
      </c>
      <c r="M3454" s="9">
        <v>44963</v>
      </c>
      <c r="N3454" s="10">
        <v>5.5</v>
      </c>
      <c r="O3454" s="9">
        <v>44968</v>
      </c>
      <c r="P3454">
        <v>14</v>
      </c>
      <c r="Q3454" s="11" t="s">
        <v>49</v>
      </c>
      <c r="R3454" s="7"/>
      <c r="S3454" s="7"/>
      <c r="T3454" s="7"/>
      <c r="U3454" s="7"/>
      <c r="V3454" s="10">
        <v>7.5741092456127026</v>
      </c>
      <c r="W3454" s="9">
        <v>44965</v>
      </c>
      <c r="X3454" s="10">
        <v>7.5</v>
      </c>
      <c r="Y3454" s="9">
        <v>44968</v>
      </c>
      <c r="Z3454">
        <v>14</v>
      </c>
      <c r="AA3454" s="11" t="s">
        <v>49</v>
      </c>
    </row>
    <row r="3455" spans="2:27" ht="16" x14ac:dyDescent="0.2">
      <c r="B3455" t="s">
        <v>35</v>
      </c>
      <c r="C3455">
        <v>40359314</v>
      </c>
      <c r="D3455" t="s">
        <v>389</v>
      </c>
      <c r="E3455">
        <v>1022212</v>
      </c>
      <c r="F3455" t="s">
        <v>300</v>
      </c>
      <c r="G3455" s="9">
        <v>44958</v>
      </c>
      <c r="H3455" s="7"/>
      <c r="I3455" s="7"/>
      <c r="J3455" s="7"/>
      <c r="K3455" s="7"/>
      <c r="L3455" s="10">
        <v>5.5741092456127026</v>
      </c>
      <c r="M3455" s="9">
        <v>44963</v>
      </c>
      <c r="N3455" s="10">
        <v>5.5</v>
      </c>
      <c r="O3455" s="9">
        <v>44968</v>
      </c>
      <c r="P3455">
        <v>14</v>
      </c>
      <c r="Q3455" s="11" t="s">
        <v>49</v>
      </c>
      <c r="R3455" s="7"/>
      <c r="S3455" s="7"/>
      <c r="T3455" s="7"/>
      <c r="U3455" s="7"/>
      <c r="V3455" s="10">
        <v>7.5741092456127026</v>
      </c>
      <c r="W3455" s="9">
        <v>44965</v>
      </c>
      <c r="X3455" s="10">
        <v>7.5</v>
      </c>
      <c r="Y3455" s="9">
        <v>44968</v>
      </c>
      <c r="Z3455">
        <v>14</v>
      </c>
      <c r="AA3455" s="11" t="s">
        <v>49</v>
      </c>
    </row>
    <row r="3456" spans="2:27" ht="16" x14ac:dyDescent="0.2">
      <c r="B3456" t="s">
        <v>35</v>
      </c>
      <c r="C3456">
        <v>40359283</v>
      </c>
      <c r="D3456" t="s">
        <v>389</v>
      </c>
      <c r="E3456">
        <v>1012502</v>
      </c>
      <c r="F3456" t="s">
        <v>565</v>
      </c>
      <c r="G3456" s="9">
        <v>44956</v>
      </c>
      <c r="H3456" s="7"/>
      <c r="I3456" s="7"/>
      <c r="J3456" s="7"/>
      <c r="K3456" s="7"/>
      <c r="L3456" s="10">
        <v>5.5741092456127026</v>
      </c>
      <c r="M3456" s="9">
        <v>44961</v>
      </c>
      <c r="N3456" s="10">
        <v>5.5</v>
      </c>
      <c r="O3456" s="9">
        <v>44966</v>
      </c>
      <c r="P3456">
        <v>16</v>
      </c>
      <c r="Q3456" s="11" t="s">
        <v>49</v>
      </c>
      <c r="R3456" s="7"/>
      <c r="S3456" s="7"/>
      <c r="T3456" s="7"/>
      <c r="U3456" s="7"/>
      <c r="V3456" s="10">
        <v>7.5741092456127026</v>
      </c>
      <c r="W3456" s="9">
        <v>44963</v>
      </c>
      <c r="X3456" s="10">
        <v>7.5</v>
      </c>
      <c r="Y3456" s="9">
        <v>44966</v>
      </c>
      <c r="Z3456">
        <v>16</v>
      </c>
      <c r="AA3456" s="11" t="s">
        <v>49</v>
      </c>
    </row>
    <row r="3457" spans="2:27" ht="16" x14ac:dyDescent="0.2">
      <c r="B3457" t="s">
        <v>35</v>
      </c>
      <c r="C3457">
        <v>40359279</v>
      </c>
      <c r="D3457" t="s">
        <v>389</v>
      </c>
      <c r="E3457">
        <v>1012681</v>
      </c>
      <c r="F3457" t="s">
        <v>449</v>
      </c>
      <c r="G3457" s="9">
        <v>44952</v>
      </c>
      <c r="H3457" s="7"/>
      <c r="I3457" s="7"/>
      <c r="J3457" s="7"/>
      <c r="K3457" s="7"/>
      <c r="L3457" s="10">
        <v>5.5741092456127026</v>
      </c>
      <c r="M3457" s="9">
        <v>44957</v>
      </c>
      <c r="N3457" s="10">
        <v>5.5</v>
      </c>
      <c r="O3457" s="9">
        <v>44962</v>
      </c>
      <c r="P3457">
        <v>20</v>
      </c>
      <c r="Q3457" s="11" t="s">
        <v>49</v>
      </c>
      <c r="R3457" s="7"/>
      <c r="S3457" s="7"/>
      <c r="T3457" s="7"/>
      <c r="U3457" s="7"/>
      <c r="V3457" s="10">
        <v>7.5741092456127026</v>
      </c>
      <c r="W3457" s="9">
        <v>44959</v>
      </c>
      <c r="X3457" s="10">
        <v>7.5</v>
      </c>
      <c r="Y3457" s="9">
        <v>44962</v>
      </c>
      <c r="Z3457">
        <v>20</v>
      </c>
      <c r="AA3457" s="11" t="s">
        <v>49</v>
      </c>
    </row>
    <row r="3458" spans="2:27" ht="16" x14ac:dyDescent="0.2">
      <c r="B3458" t="s">
        <v>35</v>
      </c>
      <c r="C3458">
        <v>40359279</v>
      </c>
      <c r="D3458" t="s">
        <v>389</v>
      </c>
      <c r="E3458">
        <v>1012527</v>
      </c>
      <c r="F3458" t="s">
        <v>557</v>
      </c>
      <c r="G3458" s="9">
        <v>44952</v>
      </c>
      <c r="H3458" s="7"/>
      <c r="I3458" s="7"/>
      <c r="J3458" s="7"/>
      <c r="K3458" s="7"/>
      <c r="L3458" s="10">
        <v>5.5741092456127026</v>
      </c>
      <c r="M3458" s="9">
        <v>44957</v>
      </c>
      <c r="N3458" s="10">
        <v>5.5</v>
      </c>
      <c r="O3458" s="9">
        <v>44962</v>
      </c>
      <c r="P3458">
        <v>20</v>
      </c>
      <c r="Q3458" s="11" t="s">
        <v>49</v>
      </c>
      <c r="R3458" s="7"/>
      <c r="S3458" s="7"/>
      <c r="T3458" s="7"/>
      <c r="U3458" s="7"/>
      <c r="V3458" s="10">
        <v>7.5741092456127026</v>
      </c>
      <c r="W3458" s="9">
        <v>44959</v>
      </c>
      <c r="X3458" s="10">
        <v>7.5</v>
      </c>
      <c r="Y3458" s="9">
        <v>44962</v>
      </c>
      <c r="Z3458">
        <v>20</v>
      </c>
      <c r="AA3458" s="11" t="s">
        <v>49</v>
      </c>
    </row>
    <row r="3459" spans="2:27" ht="16" x14ac:dyDescent="0.2">
      <c r="B3459" t="s">
        <v>35</v>
      </c>
      <c r="C3459">
        <v>40359278</v>
      </c>
      <c r="D3459" t="s">
        <v>389</v>
      </c>
      <c r="E3459">
        <v>1012504</v>
      </c>
      <c r="F3459" t="s">
        <v>563</v>
      </c>
      <c r="G3459" s="9">
        <v>44952</v>
      </c>
      <c r="H3459" s="7"/>
      <c r="I3459" s="7"/>
      <c r="J3459" s="7"/>
      <c r="K3459" s="7"/>
      <c r="L3459" s="10">
        <v>5.5741092456127026</v>
      </c>
      <c r="M3459" s="9">
        <v>44957</v>
      </c>
      <c r="N3459" s="10">
        <v>5.5</v>
      </c>
      <c r="O3459" s="9">
        <v>44962</v>
      </c>
      <c r="P3459">
        <v>20</v>
      </c>
      <c r="Q3459" s="11" t="s">
        <v>49</v>
      </c>
      <c r="R3459" s="7"/>
      <c r="S3459" s="7"/>
      <c r="T3459" s="7"/>
      <c r="U3459" s="7"/>
      <c r="V3459" s="10">
        <v>7.5741092456127026</v>
      </c>
      <c r="W3459" s="9">
        <v>44959</v>
      </c>
      <c r="X3459" s="10">
        <v>7.5</v>
      </c>
      <c r="Y3459" s="9">
        <v>44962</v>
      </c>
      <c r="Z3459">
        <v>20</v>
      </c>
      <c r="AA3459" s="11" t="s">
        <v>49</v>
      </c>
    </row>
    <row r="3460" spans="2:27" ht="16" x14ac:dyDescent="0.2">
      <c r="B3460" t="s">
        <v>35</v>
      </c>
      <c r="C3460">
        <v>40359278</v>
      </c>
      <c r="D3460" t="s">
        <v>389</v>
      </c>
      <c r="E3460">
        <v>1012452</v>
      </c>
      <c r="F3460" t="s">
        <v>419</v>
      </c>
      <c r="G3460" s="9">
        <v>44952</v>
      </c>
      <c r="H3460" s="7"/>
      <c r="I3460" s="7"/>
      <c r="J3460" s="7"/>
      <c r="K3460" s="7"/>
      <c r="L3460" s="10">
        <v>5.5741092456127026</v>
      </c>
      <c r="M3460" s="9">
        <v>44957</v>
      </c>
      <c r="N3460" s="10">
        <v>5.5</v>
      </c>
      <c r="O3460" s="9">
        <v>44962</v>
      </c>
      <c r="P3460">
        <v>20</v>
      </c>
      <c r="Q3460" s="11" t="s">
        <v>49</v>
      </c>
      <c r="R3460" s="7"/>
      <c r="S3460" s="7"/>
      <c r="T3460" s="7"/>
      <c r="U3460" s="7"/>
      <c r="V3460" s="10">
        <v>7.5741092456127026</v>
      </c>
      <c r="W3460" s="9">
        <v>44959</v>
      </c>
      <c r="X3460" s="10">
        <v>7.5</v>
      </c>
      <c r="Y3460" s="9">
        <v>44962</v>
      </c>
      <c r="Z3460">
        <v>20</v>
      </c>
      <c r="AA3460" s="11" t="s">
        <v>49</v>
      </c>
    </row>
    <row r="3461" spans="2:27" ht="16" x14ac:dyDescent="0.2">
      <c r="B3461" t="s">
        <v>35</v>
      </c>
      <c r="C3461">
        <v>40359277</v>
      </c>
      <c r="D3461" t="s">
        <v>389</v>
      </c>
      <c r="E3461">
        <v>1012455</v>
      </c>
      <c r="F3461" t="s">
        <v>450</v>
      </c>
      <c r="G3461" s="9">
        <v>44955</v>
      </c>
      <c r="H3461" s="7"/>
      <c r="I3461" s="7"/>
      <c r="J3461" s="7"/>
      <c r="K3461" s="7"/>
      <c r="L3461" s="10">
        <v>5.5741092456127026</v>
      </c>
      <c r="M3461" s="9">
        <v>44960</v>
      </c>
      <c r="N3461" s="10">
        <v>5.5</v>
      </c>
      <c r="O3461" s="9">
        <v>44965</v>
      </c>
      <c r="P3461">
        <v>17</v>
      </c>
      <c r="Q3461" s="11" t="s">
        <v>49</v>
      </c>
      <c r="R3461" s="7"/>
      <c r="S3461" s="7"/>
      <c r="T3461" s="7"/>
      <c r="U3461" s="7"/>
      <c r="V3461" s="10">
        <v>7.5741092456127026</v>
      </c>
      <c r="W3461" s="9">
        <v>44962</v>
      </c>
      <c r="X3461" s="10">
        <v>7.5</v>
      </c>
      <c r="Y3461" s="9">
        <v>44965</v>
      </c>
      <c r="Z3461">
        <v>17</v>
      </c>
      <c r="AA3461" s="11" t="s">
        <v>49</v>
      </c>
    </row>
    <row r="3462" spans="2:27" ht="16" x14ac:dyDescent="0.2">
      <c r="B3462" t="s">
        <v>35</v>
      </c>
      <c r="C3462">
        <v>40359276</v>
      </c>
      <c r="D3462" t="s">
        <v>389</v>
      </c>
      <c r="E3462">
        <v>1012598</v>
      </c>
      <c r="F3462" t="s">
        <v>651</v>
      </c>
      <c r="G3462" s="9">
        <v>44952</v>
      </c>
      <c r="H3462" s="7"/>
      <c r="I3462" s="7"/>
      <c r="J3462" s="7"/>
      <c r="K3462" s="7"/>
      <c r="L3462" s="10">
        <v>5.5741092456127026</v>
      </c>
      <c r="M3462" s="9">
        <v>44957</v>
      </c>
      <c r="N3462" s="10">
        <v>5.5</v>
      </c>
      <c r="O3462" s="9">
        <v>44962</v>
      </c>
      <c r="P3462">
        <v>20</v>
      </c>
      <c r="Q3462" s="11" t="s">
        <v>49</v>
      </c>
      <c r="R3462" s="7"/>
      <c r="S3462" s="7"/>
      <c r="T3462" s="7"/>
      <c r="U3462" s="7"/>
      <c r="V3462" s="10">
        <v>7.5741092456127026</v>
      </c>
      <c r="W3462" s="9">
        <v>44959</v>
      </c>
      <c r="X3462" s="10">
        <v>7.5</v>
      </c>
      <c r="Y3462" s="9">
        <v>44962</v>
      </c>
      <c r="Z3462">
        <v>20</v>
      </c>
      <c r="AA3462" s="11" t="s">
        <v>49</v>
      </c>
    </row>
    <row r="3463" spans="2:27" ht="16" x14ac:dyDescent="0.2">
      <c r="B3463" t="s">
        <v>35</v>
      </c>
      <c r="C3463">
        <v>40359276</v>
      </c>
      <c r="D3463" t="s">
        <v>389</v>
      </c>
      <c r="E3463">
        <v>1011969</v>
      </c>
      <c r="F3463" t="s">
        <v>417</v>
      </c>
      <c r="G3463" s="9">
        <v>44952</v>
      </c>
      <c r="H3463" s="7"/>
      <c r="I3463" s="7"/>
      <c r="J3463" s="7"/>
      <c r="K3463" s="7"/>
      <c r="L3463" s="10">
        <v>5.5741092456127026</v>
      </c>
      <c r="M3463" s="9">
        <v>44957</v>
      </c>
      <c r="N3463" s="10">
        <v>5.5</v>
      </c>
      <c r="O3463" s="9">
        <v>44962</v>
      </c>
      <c r="P3463">
        <v>20</v>
      </c>
      <c r="Q3463" s="11" t="s">
        <v>49</v>
      </c>
      <c r="R3463" s="7"/>
      <c r="S3463" s="7"/>
      <c r="T3463" s="7"/>
      <c r="U3463" s="7"/>
      <c r="V3463" s="10">
        <v>7.5741092456127026</v>
      </c>
      <c r="W3463" s="9">
        <v>44959</v>
      </c>
      <c r="X3463" s="10">
        <v>7.5</v>
      </c>
      <c r="Y3463" s="9">
        <v>44962</v>
      </c>
      <c r="Z3463">
        <v>20</v>
      </c>
      <c r="AA3463" s="11" t="s">
        <v>49</v>
      </c>
    </row>
    <row r="3464" spans="2:27" ht="16" x14ac:dyDescent="0.2">
      <c r="B3464" t="s">
        <v>35</v>
      </c>
      <c r="C3464">
        <v>40359275</v>
      </c>
      <c r="D3464" t="s">
        <v>389</v>
      </c>
      <c r="E3464">
        <v>1011586</v>
      </c>
      <c r="F3464" t="s">
        <v>420</v>
      </c>
      <c r="G3464" s="9">
        <v>44955</v>
      </c>
      <c r="H3464" s="7"/>
      <c r="I3464" s="7"/>
      <c r="J3464" s="7"/>
      <c r="K3464" s="7"/>
      <c r="L3464" s="10">
        <v>5.5741092456127026</v>
      </c>
      <c r="M3464" s="9">
        <v>44960</v>
      </c>
      <c r="N3464" s="10">
        <v>5.5</v>
      </c>
      <c r="O3464" s="9">
        <v>44965</v>
      </c>
      <c r="P3464">
        <v>17</v>
      </c>
      <c r="Q3464" s="11" t="s">
        <v>49</v>
      </c>
      <c r="R3464" s="7"/>
      <c r="S3464" s="7"/>
      <c r="T3464" s="7"/>
      <c r="U3464" s="7"/>
      <c r="V3464" s="10">
        <v>7.5741092456127026</v>
      </c>
      <c r="W3464" s="9">
        <v>44962</v>
      </c>
      <c r="X3464" s="10">
        <v>7.5</v>
      </c>
      <c r="Y3464" s="9">
        <v>44965</v>
      </c>
      <c r="Z3464">
        <v>17</v>
      </c>
      <c r="AA3464" s="11" t="s">
        <v>49</v>
      </c>
    </row>
    <row r="3465" spans="2:27" ht="16" x14ac:dyDescent="0.2">
      <c r="B3465" t="s">
        <v>35</v>
      </c>
      <c r="C3465">
        <v>40359275</v>
      </c>
      <c r="D3465" t="s">
        <v>389</v>
      </c>
      <c r="E3465">
        <v>1011417</v>
      </c>
      <c r="F3465" t="s">
        <v>421</v>
      </c>
      <c r="G3465" s="9">
        <v>44955</v>
      </c>
      <c r="H3465" s="7"/>
      <c r="I3465" s="7"/>
      <c r="J3465" s="7"/>
      <c r="K3465" s="7"/>
      <c r="L3465" s="10">
        <v>5.5741092456127026</v>
      </c>
      <c r="M3465" s="9">
        <v>44960</v>
      </c>
      <c r="N3465" s="10">
        <v>5.5</v>
      </c>
      <c r="O3465" s="9">
        <v>44965</v>
      </c>
      <c r="P3465">
        <v>17</v>
      </c>
      <c r="Q3465" s="11" t="s">
        <v>49</v>
      </c>
      <c r="R3465" s="7"/>
      <c r="S3465" s="7"/>
      <c r="T3465" s="7"/>
      <c r="U3465" s="7"/>
      <c r="V3465" s="10">
        <v>7.5741092456127026</v>
      </c>
      <c r="W3465" s="9">
        <v>44962</v>
      </c>
      <c r="X3465" s="10">
        <v>7.5</v>
      </c>
      <c r="Y3465" s="9">
        <v>44965</v>
      </c>
      <c r="Z3465">
        <v>17</v>
      </c>
      <c r="AA3465" s="11" t="s">
        <v>49</v>
      </c>
    </row>
    <row r="3466" spans="2:27" ht="16" x14ac:dyDescent="0.2">
      <c r="B3466" t="s">
        <v>35</v>
      </c>
      <c r="C3466">
        <v>40359271</v>
      </c>
      <c r="D3466" t="s">
        <v>389</v>
      </c>
      <c r="E3466">
        <v>1012527</v>
      </c>
      <c r="F3466" t="s">
        <v>557</v>
      </c>
      <c r="G3466" s="9">
        <v>44955</v>
      </c>
      <c r="H3466" s="7"/>
      <c r="I3466" s="7"/>
      <c r="J3466" s="7"/>
      <c r="K3466" s="7"/>
      <c r="L3466" s="10">
        <v>5.5741092456127026</v>
      </c>
      <c r="M3466" s="9">
        <v>44960</v>
      </c>
      <c r="N3466" s="10">
        <v>5.5</v>
      </c>
      <c r="O3466" s="9">
        <v>44965</v>
      </c>
      <c r="P3466">
        <v>17</v>
      </c>
      <c r="Q3466" s="11" t="s">
        <v>49</v>
      </c>
      <c r="R3466" s="7"/>
      <c r="S3466" s="7"/>
      <c r="T3466" s="7"/>
      <c r="U3466" s="7"/>
      <c r="V3466" s="10">
        <v>7.5741092456127026</v>
      </c>
      <c r="W3466" s="9">
        <v>44962</v>
      </c>
      <c r="X3466" s="10">
        <v>7.5</v>
      </c>
      <c r="Y3466" s="9">
        <v>44965</v>
      </c>
      <c r="Z3466">
        <v>17</v>
      </c>
      <c r="AA3466" s="11" t="s">
        <v>49</v>
      </c>
    </row>
    <row r="3467" spans="2:27" ht="16" x14ac:dyDescent="0.2">
      <c r="B3467" t="s">
        <v>35</v>
      </c>
      <c r="C3467">
        <v>40359271</v>
      </c>
      <c r="D3467" t="s">
        <v>389</v>
      </c>
      <c r="E3467">
        <v>1012526</v>
      </c>
      <c r="F3467" t="s">
        <v>246</v>
      </c>
      <c r="G3467" s="9">
        <v>44955</v>
      </c>
      <c r="H3467" s="7"/>
      <c r="I3467" s="7"/>
      <c r="J3467" s="7"/>
      <c r="K3467" s="7"/>
      <c r="L3467" s="10">
        <v>5.5741092456127026</v>
      </c>
      <c r="M3467" s="9">
        <v>44960</v>
      </c>
      <c r="N3467" s="10">
        <v>5.5</v>
      </c>
      <c r="O3467" s="9">
        <v>44965</v>
      </c>
      <c r="P3467">
        <v>17</v>
      </c>
      <c r="Q3467" s="11" t="s">
        <v>49</v>
      </c>
      <c r="R3467" s="7"/>
      <c r="S3467" s="7"/>
      <c r="T3467" s="7"/>
      <c r="U3467" s="7"/>
      <c r="V3467" s="10">
        <v>7.5741092456127026</v>
      </c>
      <c r="W3467" s="9">
        <v>44962</v>
      </c>
      <c r="X3467" s="10">
        <v>7.5</v>
      </c>
      <c r="Y3467" s="9">
        <v>44965</v>
      </c>
      <c r="Z3467">
        <v>17</v>
      </c>
      <c r="AA3467" s="11" t="s">
        <v>49</v>
      </c>
    </row>
    <row r="3468" spans="2:27" ht="16" x14ac:dyDescent="0.2">
      <c r="B3468" t="s">
        <v>35</v>
      </c>
      <c r="C3468">
        <v>40359271</v>
      </c>
      <c r="D3468" t="s">
        <v>389</v>
      </c>
      <c r="E3468">
        <v>1011967</v>
      </c>
      <c r="F3468" t="s">
        <v>418</v>
      </c>
      <c r="G3468" s="9">
        <v>44955</v>
      </c>
      <c r="H3468" s="7"/>
      <c r="I3468" s="7"/>
      <c r="J3468" s="7"/>
      <c r="K3468" s="7"/>
      <c r="L3468" s="10">
        <v>5.5741092456127026</v>
      </c>
      <c r="M3468" s="9">
        <v>44960</v>
      </c>
      <c r="N3468" s="10">
        <v>5.5</v>
      </c>
      <c r="O3468" s="9">
        <v>44965</v>
      </c>
      <c r="P3468">
        <v>17</v>
      </c>
      <c r="Q3468" s="11" t="s">
        <v>49</v>
      </c>
      <c r="R3468" s="7"/>
      <c r="S3468" s="7"/>
      <c r="T3468" s="7"/>
      <c r="U3468" s="7"/>
      <c r="V3468" s="10">
        <v>7.5741092456127026</v>
      </c>
      <c r="W3468" s="9">
        <v>44962</v>
      </c>
      <c r="X3468" s="10">
        <v>7.5</v>
      </c>
      <c r="Y3468" s="9">
        <v>44965</v>
      </c>
      <c r="Z3468">
        <v>17</v>
      </c>
      <c r="AA3468" s="11" t="s">
        <v>49</v>
      </c>
    </row>
    <row r="3469" spans="2:27" ht="16" x14ac:dyDescent="0.2">
      <c r="B3469" t="s">
        <v>35</v>
      </c>
      <c r="C3469">
        <v>40359269</v>
      </c>
      <c r="D3469" t="s">
        <v>389</v>
      </c>
      <c r="E3469">
        <v>1012434</v>
      </c>
      <c r="F3469" t="s">
        <v>239</v>
      </c>
      <c r="G3469" s="9">
        <v>44956</v>
      </c>
      <c r="H3469" s="7"/>
      <c r="I3469" s="7"/>
      <c r="J3469" s="7"/>
      <c r="K3469" s="7"/>
      <c r="L3469" s="10">
        <v>5.5741092456127026</v>
      </c>
      <c r="M3469" s="9">
        <v>44961</v>
      </c>
      <c r="N3469" s="10">
        <v>5.5</v>
      </c>
      <c r="O3469" s="9">
        <v>44966</v>
      </c>
      <c r="P3469">
        <v>16</v>
      </c>
      <c r="Q3469" s="11" t="s">
        <v>49</v>
      </c>
      <c r="R3469" s="7"/>
      <c r="S3469" s="7"/>
      <c r="T3469" s="7"/>
      <c r="U3469" s="7"/>
      <c r="V3469" s="10">
        <v>7.5741092456127026</v>
      </c>
      <c r="W3469" s="9">
        <v>44963</v>
      </c>
      <c r="X3469" s="10">
        <v>7.5</v>
      </c>
      <c r="Y3469" s="9">
        <v>44966</v>
      </c>
      <c r="Z3469">
        <v>16</v>
      </c>
      <c r="AA3469" s="11" t="s">
        <v>49</v>
      </c>
    </row>
    <row r="3470" spans="2:27" ht="16" x14ac:dyDescent="0.2">
      <c r="B3470" t="s">
        <v>35</v>
      </c>
      <c r="C3470">
        <v>40359268</v>
      </c>
      <c r="D3470" t="s">
        <v>389</v>
      </c>
      <c r="E3470">
        <v>1012504</v>
      </c>
      <c r="F3470" t="s">
        <v>563</v>
      </c>
      <c r="G3470" s="9">
        <v>44956</v>
      </c>
      <c r="H3470" s="7"/>
      <c r="I3470" s="7"/>
      <c r="J3470" s="7"/>
      <c r="K3470" s="7"/>
      <c r="L3470" s="10">
        <v>5.5741092456127026</v>
      </c>
      <c r="M3470" s="9">
        <v>44961</v>
      </c>
      <c r="N3470" s="10">
        <v>5.5</v>
      </c>
      <c r="O3470" s="9">
        <v>44966</v>
      </c>
      <c r="P3470">
        <v>16</v>
      </c>
      <c r="Q3470" s="11" t="s">
        <v>49</v>
      </c>
      <c r="R3470" s="7"/>
      <c r="S3470" s="7"/>
      <c r="T3470" s="7"/>
      <c r="U3470" s="7"/>
      <c r="V3470" s="10">
        <v>7.5741092456127026</v>
      </c>
      <c r="W3470" s="9">
        <v>44963</v>
      </c>
      <c r="X3470" s="10">
        <v>7.5</v>
      </c>
      <c r="Y3470" s="9">
        <v>44966</v>
      </c>
      <c r="Z3470">
        <v>16</v>
      </c>
      <c r="AA3470" s="11" t="s">
        <v>49</v>
      </c>
    </row>
    <row r="3471" spans="2:27" ht="16" x14ac:dyDescent="0.2">
      <c r="B3471" t="s">
        <v>35</v>
      </c>
      <c r="C3471">
        <v>40359268</v>
      </c>
      <c r="D3471" t="s">
        <v>389</v>
      </c>
      <c r="E3471">
        <v>1012448</v>
      </c>
      <c r="F3471" t="s">
        <v>451</v>
      </c>
      <c r="G3471" s="9">
        <v>44956</v>
      </c>
      <c r="H3471" s="7"/>
      <c r="I3471" s="7"/>
      <c r="J3471" s="7"/>
      <c r="K3471" s="7"/>
      <c r="L3471" s="10">
        <v>5.5741092456127026</v>
      </c>
      <c r="M3471" s="9">
        <v>44961</v>
      </c>
      <c r="N3471" s="10">
        <v>5.5</v>
      </c>
      <c r="O3471" s="9">
        <v>44966</v>
      </c>
      <c r="P3471">
        <v>16</v>
      </c>
      <c r="Q3471" s="11" t="s">
        <v>49</v>
      </c>
      <c r="R3471" s="7"/>
      <c r="S3471" s="7"/>
      <c r="T3471" s="7"/>
      <c r="U3471" s="7"/>
      <c r="V3471" s="10">
        <v>7.5741092456127026</v>
      </c>
      <c r="W3471" s="9">
        <v>44963</v>
      </c>
      <c r="X3471" s="10">
        <v>7.5</v>
      </c>
      <c r="Y3471" s="9">
        <v>44966</v>
      </c>
      <c r="Z3471">
        <v>16</v>
      </c>
      <c r="AA3471" s="11" t="s">
        <v>49</v>
      </c>
    </row>
    <row r="3472" spans="2:27" ht="16" x14ac:dyDescent="0.2">
      <c r="B3472" t="s">
        <v>35</v>
      </c>
      <c r="C3472">
        <v>40359267</v>
      </c>
      <c r="D3472" t="s">
        <v>389</v>
      </c>
      <c r="E3472">
        <v>1012526</v>
      </c>
      <c r="F3472" t="s">
        <v>246</v>
      </c>
      <c r="G3472" s="9">
        <v>44956</v>
      </c>
      <c r="H3472" s="7"/>
      <c r="I3472" s="7"/>
      <c r="J3472" s="7"/>
      <c r="K3472" s="7"/>
      <c r="L3472" s="10">
        <v>5.5741092456127026</v>
      </c>
      <c r="M3472" s="9">
        <v>44961</v>
      </c>
      <c r="N3472" s="10">
        <v>5.5</v>
      </c>
      <c r="O3472" s="9">
        <v>44966</v>
      </c>
      <c r="P3472">
        <v>16</v>
      </c>
      <c r="Q3472" s="11" t="s">
        <v>49</v>
      </c>
      <c r="R3472" s="7"/>
      <c r="S3472" s="7"/>
      <c r="T3472" s="7"/>
      <c r="U3472" s="7"/>
      <c r="V3472" s="10">
        <v>7.5741092456127026</v>
      </c>
      <c r="W3472" s="9">
        <v>44963</v>
      </c>
      <c r="X3472" s="10">
        <v>7.5</v>
      </c>
      <c r="Y3472" s="9">
        <v>44966</v>
      </c>
      <c r="Z3472">
        <v>16</v>
      </c>
      <c r="AA3472" s="11" t="s">
        <v>49</v>
      </c>
    </row>
    <row r="3473" spans="2:27" ht="16" x14ac:dyDescent="0.2">
      <c r="B3473" t="s">
        <v>35</v>
      </c>
      <c r="C3473">
        <v>40359267</v>
      </c>
      <c r="D3473" t="s">
        <v>389</v>
      </c>
      <c r="E3473">
        <v>1011968</v>
      </c>
      <c r="F3473" t="s">
        <v>438</v>
      </c>
      <c r="G3473" s="9">
        <v>44956</v>
      </c>
      <c r="H3473" s="7"/>
      <c r="I3473" s="7"/>
      <c r="J3473" s="7"/>
      <c r="K3473" s="7"/>
      <c r="L3473" s="10">
        <v>5.5741092456127026</v>
      </c>
      <c r="M3473" s="9">
        <v>44961</v>
      </c>
      <c r="N3473" s="10">
        <v>5.5</v>
      </c>
      <c r="O3473" s="9">
        <v>44966</v>
      </c>
      <c r="P3473">
        <v>16</v>
      </c>
      <c r="Q3473" s="11" t="s">
        <v>49</v>
      </c>
      <c r="R3473" s="7"/>
      <c r="S3473" s="7"/>
      <c r="T3473" s="7"/>
      <c r="U3473" s="7"/>
      <c r="V3473" s="10">
        <v>7.5741092456127026</v>
      </c>
      <c r="W3473" s="9">
        <v>44963</v>
      </c>
      <c r="X3473" s="10">
        <v>7.5</v>
      </c>
      <c r="Y3473" s="9">
        <v>44966</v>
      </c>
      <c r="Z3473">
        <v>16</v>
      </c>
      <c r="AA3473" s="11" t="s">
        <v>49</v>
      </c>
    </row>
    <row r="3474" spans="2:27" ht="16" x14ac:dyDescent="0.2">
      <c r="B3474" t="s">
        <v>35</v>
      </c>
      <c r="C3474">
        <v>40359266</v>
      </c>
      <c r="D3474" t="s">
        <v>389</v>
      </c>
      <c r="E3474">
        <v>1012525</v>
      </c>
      <c r="F3474" t="s">
        <v>243</v>
      </c>
      <c r="G3474" s="9">
        <v>44956</v>
      </c>
      <c r="H3474" s="7"/>
      <c r="I3474" s="7"/>
      <c r="J3474" s="7"/>
      <c r="K3474" s="7"/>
      <c r="L3474" s="10">
        <v>5.5741092456127026</v>
      </c>
      <c r="M3474" s="9">
        <v>44961</v>
      </c>
      <c r="N3474" s="10">
        <v>5.5</v>
      </c>
      <c r="O3474" s="9">
        <v>44966</v>
      </c>
      <c r="P3474">
        <v>16</v>
      </c>
      <c r="Q3474" s="11" t="s">
        <v>49</v>
      </c>
      <c r="R3474" s="7"/>
      <c r="S3474" s="7"/>
      <c r="T3474" s="7"/>
      <c r="U3474" s="7"/>
      <c r="V3474" s="10">
        <v>7.5741092456127026</v>
      </c>
      <c r="W3474" s="9">
        <v>44963</v>
      </c>
      <c r="X3474" s="10">
        <v>7.5</v>
      </c>
      <c r="Y3474" s="9">
        <v>44966</v>
      </c>
      <c r="Z3474">
        <v>16</v>
      </c>
      <c r="AA3474" s="11" t="s">
        <v>49</v>
      </c>
    </row>
    <row r="3475" spans="2:27" ht="16" x14ac:dyDescent="0.2">
      <c r="B3475" t="s">
        <v>35</v>
      </c>
      <c r="C3475">
        <v>40358866</v>
      </c>
      <c r="D3475" t="s">
        <v>409</v>
      </c>
      <c r="E3475">
        <v>1012163</v>
      </c>
      <c r="F3475" t="s">
        <v>140</v>
      </c>
      <c r="G3475" s="9">
        <v>44956</v>
      </c>
      <c r="H3475" s="7"/>
      <c r="I3475" s="7"/>
      <c r="J3475" s="7"/>
      <c r="K3475" s="7"/>
      <c r="L3475" s="10">
        <v>7.5</v>
      </c>
      <c r="M3475" s="9">
        <v>44963</v>
      </c>
      <c r="N3475" s="10">
        <v>9.5</v>
      </c>
      <c r="O3475" s="9">
        <v>44972</v>
      </c>
      <c r="P3475">
        <v>10</v>
      </c>
      <c r="Q3475" s="11" t="s">
        <v>49</v>
      </c>
      <c r="R3475" s="7"/>
      <c r="S3475" s="7"/>
      <c r="T3475" s="7"/>
      <c r="U3475" s="7"/>
      <c r="V3475" s="10">
        <v>9.5</v>
      </c>
      <c r="W3475" s="9">
        <v>44965</v>
      </c>
      <c r="X3475" s="10">
        <v>11.5</v>
      </c>
      <c r="Y3475" s="9">
        <v>44972</v>
      </c>
      <c r="Z3475">
        <v>10</v>
      </c>
      <c r="AA3475" s="11" t="s">
        <v>49</v>
      </c>
    </row>
    <row r="3476" spans="2:27" ht="16" x14ac:dyDescent="0.2">
      <c r="B3476" t="s">
        <v>35</v>
      </c>
      <c r="C3476">
        <v>40358865</v>
      </c>
      <c r="D3476" t="s">
        <v>409</v>
      </c>
      <c r="E3476">
        <v>1012163</v>
      </c>
      <c r="F3476" t="s">
        <v>140</v>
      </c>
      <c r="G3476" s="9">
        <v>44957</v>
      </c>
      <c r="H3476" s="7"/>
      <c r="I3476" s="7"/>
      <c r="J3476" s="7"/>
      <c r="K3476" s="7"/>
      <c r="L3476" s="10">
        <v>7.5</v>
      </c>
      <c r="M3476" s="9">
        <v>44964</v>
      </c>
      <c r="N3476" s="10">
        <v>9.5</v>
      </c>
      <c r="O3476" s="9">
        <v>44973</v>
      </c>
      <c r="P3476">
        <v>9</v>
      </c>
      <c r="Q3476" s="11" t="s">
        <v>49</v>
      </c>
      <c r="R3476" s="7"/>
      <c r="S3476" s="7"/>
      <c r="T3476" s="7"/>
      <c r="U3476" s="7"/>
      <c r="V3476" s="10">
        <v>9.5</v>
      </c>
      <c r="W3476" s="9">
        <v>44966</v>
      </c>
      <c r="X3476" s="10">
        <v>11.5</v>
      </c>
      <c r="Y3476" s="9">
        <v>44973</v>
      </c>
      <c r="Z3476">
        <v>9</v>
      </c>
      <c r="AA3476" s="11" t="s">
        <v>49</v>
      </c>
    </row>
    <row r="3477" spans="2:27" ht="16" x14ac:dyDescent="0.2">
      <c r="B3477" t="s">
        <v>35</v>
      </c>
      <c r="C3477">
        <v>40358864</v>
      </c>
      <c r="D3477" t="s">
        <v>409</v>
      </c>
      <c r="E3477">
        <v>1012107</v>
      </c>
      <c r="F3477" t="s">
        <v>215</v>
      </c>
      <c r="G3477" s="9">
        <v>44958</v>
      </c>
      <c r="H3477" s="7"/>
      <c r="I3477" s="7"/>
      <c r="J3477" s="7"/>
      <c r="K3477" s="7"/>
      <c r="L3477" s="10">
        <v>7.5</v>
      </c>
      <c r="M3477" s="9">
        <v>44965</v>
      </c>
      <c r="N3477" s="10">
        <v>9.5</v>
      </c>
      <c r="O3477" s="9">
        <v>44974</v>
      </c>
      <c r="P3477">
        <v>8</v>
      </c>
      <c r="Q3477" s="11" t="s">
        <v>49</v>
      </c>
      <c r="R3477" s="7"/>
      <c r="S3477" s="7"/>
      <c r="T3477" s="7"/>
      <c r="U3477" s="7"/>
      <c r="V3477" s="10">
        <v>9.5</v>
      </c>
      <c r="W3477" s="9">
        <v>44967</v>
      </c>
      <c r="X3477" s="10">
        <v>11.5</v>
      </c>
      <c r="Y3477" s="9">
        <v>44974</v>
      </c>
      <c r="Z3477">
        <v>8</v>
      </c>
      <c r="AA3477" s="11" t="s">
        <v>49</v>
      </c>
    </row>
    <row r="3478" spans="2:27" ht="16" x14ac:dyDescent="0.2">
      <c r="B3478" t="s">
        <v>35</v>
      </c>
      <c r="C3478">
        <v>40358855</v>
      </c>
      <c r="D3478" t="s">
        <v>409</v>
      </c>
      <c r="E3478">
        <v>1012483</v>
      </c>
      <c r="F3478" t="s">
        <v>90</v>
      </c>
      <c r="G3478" s="9">
        <v>44957</v>
      </c>
      <c r="H3478" s="7"/>
      <c r="I3478" s="7"/>
      <c r="J3478" s="7"/>
      <c r="K3478" s="7"/>
      <c r="L3478" s="10">
        <v>7.5</v>
      </c>
      <c r="M3478" s="9">
        <v>44964</v>
      </c>
      <c r="N3478" s="10">
        <v>9.5</v>
      </c>
      <c r="O3478" s="9">
        <v>44973</v>
      </c>
      <c r="P3478">
        <v>9</v>
      </c>
      <c r="Q3478" s="11" t="s">
        <v>49</v>
      </c>
      <c r="R3478" s="7"/>
      <c r="S3478" s="7"/>
      <c r="T3478" s="7"/>
      <c r="U3478" s="7"/>
      <c r="V3478" s="10">
        <v>9.5</v>
      </c>
      <c r="W3478" s="9">
        <v>44966</v>
      </c>
      <c r="X3478" s="10">
        <v>11.5</v>
      </c>
      <c r="Y3478" s="9">
        <v>44973</v>
      </c>
      <c r="Z3478">
        <v>9</v>
      </c>
      <c r="AA3478" s="11" t="s">
        <v>49</v>
      </c>
    </row>
    <row r="3479" spans="2:27" ht="16" x14ac:dyDescent="0.2">
      <c r="B3479" t="s">
        <v>35</v>
      </c>
      <c r="C3479">
        <v>40358854</v>
      </c>
      <c r="D3479" t="s">
        <v>409</v>
      </c>
      <c r="E3479">
        <v>1012483</v>
      </c>
      <c r="F3479" t="s">
        <v>90</v>
      </c>
      <c r="G3479" s="9">
        <v>44957</v>
      </c>
      <c r="H3479" s="7"/>
      <c r="I3479" s="7"/>
      <c r="J3479" s="7"/>
      <c r="K3479" s="7"/>
      <c r="L3479" s="10">
        <v>7.5</v>
      </c>
      <c r="M3479" s="9">
        <v>44964</v>
      </c>
      <c r="N3479" s="10">
        <v>9.5</v>
      </c>
      <c r="O3479" s="9">
        <v>44973</v>
      </c>
      <c r="P3479">
        <v>9</v>
      </c>
      <c r="Q3479" s="11" t="s">
        <v>49</v>
      </c>
      <c r="R3479" s="7"/>
      <c r="S3479" s="7"/>
      <c r="T3479" s="7"/>
      <c r="U3479" s="7"/>
      <c r="V3479" s="10">
        <v>9.5</v>
      </c>
      <c r="W3479" s="9">
        <v>44966</v>
      </c>
      <c r="X3479" s="10">
        <v>11.5</v>
      </c>
      <c r="Y3479" s="9">
        <v>44973</v>
      </c>
      <c r="Z3479">
        <v>9</v>
      </c>
      <c r="AA3479" s="11" t="s">
        <v>49</v>
      </c>
    </row>
    <row r="3480" spans="2:27" ht="16" x14ac:dyDescent="0.2">
      <c r="B3480" t="s">
        <v>35</v>
      </c>
      <c r="C3480">
        <v>40358853</v>
      </c>
      <c r="D3480" t="s">
        <v>409</v>
      </c>
      <c r="E3480">
        <v>1012483</v>
      </c>
      <c r="F3480" t="s">
        <v>90</v>
      </c>
      <c r="G3480" s="9">
        <v>44957</v>
      </c>
      <c r="H3480" s="7"/>
      <c r="I3480" s="7"/>
      <c r="J3480" s="7"/>
      <c r="K3480" s="7"/>
      <c r="L3480" s="10">
        <v>7.5</v>
      </c>
      <c r="M3480" s="9">
        <v>44964</v>
      </c>
      <c r="N3480" s="10">
        <v>9.5</v>
      </c>
      <c r="O3480" s="9">
        <v>44973</v>
      </c>
      <c r="P3480">
        <v>9</v>
      </c>
      <c r="Q3480" s="11" t="s">
        <v>49</v>
      </c>
      <c r="R3480" s="7"/>
      <c r="S3480" s="7"/>
      <c r="T3480" s="7"/>
      <c r="U3480" s="7"/>
      <c r="V3480" s="10">
        <v>9.5</v>
      </c>
      <c r="W3480" s="9">
        <v>44966</v>
      </c>
      <c r="X3480" s="10">
        <v>11.5</v>
      </c>
      <c r="Y3480" s="9">
        <v>44973</v>
      </c>
      <c r="Z3480">
        <v>9</v>
      </c>
      <c r="AA3480" s="11" t="s">
        <v>49</v>
      </c>
    </row>
    <row r="3481" spans="2:27" ht="16" x14ac:dyDescent="0.2">
      <c r="B3481" t="s">
        <v>35</v>
      </c>
      <c r="C3481">
        <v>40358852</v>
      </c>
      <c r="D3481" t="s">
        <v>409</v>
      </c>
      <c r="E3481">
        <v>1012483</v>
      </c>
      <c r="F3481" t="s">
        <v>90</v>
      </c>
      <c r="G3481" s="9">
        <v>44939</v>
      </c>
      <c r="H3481" s="7"/>
      <c r="I3481" s="7"/>
      <c r="J3481" s="7"/>
      <c r="K3481" s="7"/>
      <c r="L3481" s="10">
        <v>7.5</v>
      </c>
      <c r="M3481" s="9">
        <v>44946</v>
      </c>
      <c r="N3481" s="10">
        <v>9.5</v>
      </c>
      <c r="O3481" s="9">
        <v>44955</v>
      </c>
      <c r="P3481">
        <v>2</v>
      </c>
      <c r="Q3481" s="11" t="s">
        <v>648</v>
      </c>
      <c r="R3481" s="7"/>
      <c r="S3481" s="7"/>
      <c r="T3481" s="7"/>
      <c r="U3481" s="7"/>
      <c r="V3481" s="10">
        <v>9.5</v>
      </c>
      <c r="W3481" s="9">
        <v>44948</v>
      </c>
      <c r="X3481" s="10">
        <v>11.5</v>
      </c>
      <c r="Y3481" s="9">
        <v>44955</v>
      </c>
      <c r="Z3481">
        <v>2</v>
      </c>
      <c r="AA3481" s="11" t="s">
        <v>648</v>
      </c>
    </row>
    <row r="3482" spans="2:27" ht="16" x14ac:dyDescent="0.2">
      <c r="B3482" t="s">
        <v>35</v>
      </c>
      <c r="C3482">
        <v>40358851</v>
      </c>
      <c r="D3482" t="s">
        <v>409</v>
      </c>
      <c r="E3482">
        <v>1012483</v>
      </c>
      <c r="F3482" t="s">
        <v>90</v>
      </c>
      <c r="G3482" s="9">
        <v>44939</v>
      </c>
      <c r="H3482" s="7"/>
      <c r="I3482" s="7"/>
      <c r="J3482" s="7"/>
      <c r="K3482" s="7"/>
      <c r="L3482" s="10">
        <v>7.5</v>
      </c>
      <c r="M3482" s="9">
        <v>44946</v>
      </c>
      <c r="N3482" s="10">
        <v>9.5</v>
      </c>
      <c r="O3482" s="9">
        <v>44955</v>
      </c>
      <c r="P3482">
        <v>2</v>
      </c>
      <c r="Q3482" s="11" t="s">
        <v>648</v>
      </c>
      <c r="R3482" s="7"/>
      <c r="S3482" s="7"/>
      <c r="T3482" s="7"/>
      <c r="U3482" s="7"/>
      <c r="V3482" s="10">
        <v>9.5</v>
      </c>
      <c r="W3482" s="9">
        <v>44948</v>
      </c>
      <c r="X3482" s="10">
        <v>11.5</v>
      </c>
      <c r="Y3482" s="9">
        <v>44955</v>
      </c>
      <c r="Z3482">
        <v>2</v>
      </c>
      <c r="AA3482" s="11" t="s">
        <v>648</v>
      </c>
    </row>
    <row r="3483" spans="2:27" x14ac:dyDescent="0.2">
      <c r="B3483" t="s">
        <v>394</v>
      </c>
      <c r="C3483">
        <v>40358847</v>
      </c>
      <c r="D3483" t="s">
        <v>485</v>
      </c>
      <c r="E3483">
        <v>1021385</v>
      </c>
      <c r="F3483" t="s">
        <v>495</v>
      </c>
      <c r="G3483" s="9">
        <v>44941</v>
      </c>
      <c r="H3483" s="7"/>
      <c r="I3483" s="7"/>
      <c r="J3483" s="7"/>
      <c r="K3483" s="7"/>
      <c r="L3483" s="10"/>
      <c r="N3483" s="10"/>
      <c r="Q3483" s="11"/>
      <c r="R3483" s="7"/>
      <c r="S3483" s="7"/>
      <c r="T3483" s="7"/>
      <c r="U3483" s="7"/>
      <c r="V3483" s="10"/>
      <c r="X3483" s="10"/>
      <c r="AA3483" s="11"/>
    </row>
    <row r="3484" spans="2:27" x14ac:dyDescent="0.2">
      <c r="B3484" t="s">
        <v>394</v>
      </c>
      <c r="C3484">
        <v>40358840</v>
      </c>
      <c r="D3484" t="s">
        <v>485</v>
      </c>
      <c r="E3484">
        <v>1012744</v>
      </c>
      <c r="F3484" t="s">
        <v>567</v>
      </c>
      <c r="G3484" s="9">
        <v>44933</v>
      </c>
      <c r="H3484" s="7"/>
      <c r="I3484" s="7"/>
      <c r="J3484" s="7"/>
      <c r="K3484" s="7"/>
      <c r="L3484" s="10"/>
      <c r="N3484" s="10"/>
      <c r="Q3484" s="11"/>
      <c r="R3484" s="7"/>
      <c r="S3484" s="7"/>
      <c r="T3484" s="7"/>
      <c r="U3484" s="7"/>
      <c r="V3484" s="10"/>
      <c r="X3484" s="10"/>
      <c r="AA3484" s="11"/>
    </row>
    <row r="3485" spans="2:27" ht="16" x14ac:dyDescent="0.2">
      <c r="B3485" t="s">
        <v>35</v>
      </c>
      <c r="C3485">
        <v>40358762</v>
      </c>
      <c r="D3485" t="s">
        <v>391</v>
      </c>
      <c r="E3485">
        <v>1022398</v>
      </c>
      <c r="F3485" t="s">
        <v>431</v>
      </c>
      <c r="G3485" s="9">
        <v>44962</v>
      </c>
      <c r="H3485" s="7"/>
      <c r="I3485" s="7"/>
      <c r="J3485" s="7"/>
      <c r="K3485" s="7"/>
      <c r="L3485" s="10">
        <v>4.830303030303031</v>
      </c>
      <c r="M3485" s="9">
        <v>44966</v>
      </c>
      <c r="N3485" s="10">
        <v>15</v>
      </c>
      <c r="O3485" s="9">
        <v>44981</v>
      </c>
      <c r="P3485">
        <v>3</v>
      </c>
      <c r="Q3485" s="11" t="s">
        <v>49</v>
      </c>
      <c r="R3485" s="7"/>
      <c r="S3485" s="7"/>
      <c r="T3485" s="7"/>
      <c r="U3485" s="7"/>
      <c r="V3485" s="10">
        <v>6.830303030303031</v>
      </c>
      <c r="W3485" s="9">
        <v>44968</v>
      </c>
      <c r="X3485" s="10">
        <v>17</v>
      </c>
      <c r="Y3485" s="9">
        <v>44981</v>
      </c>
      <c r="Z3485">
        <v>3</v>
      </c>
      <c r="AA3485" s="11" t="s">
        <v>49</v>
      </c>
    </row>
    <row r="3486" spans="2:27" ht="16" x14ac:dyDescent="0.2">
      <c r="B3486" t="s">
        <v>35</v>
      </c>
      <c r="C3486">
        <v>40358762</v>
      </c>
      <c r="D3486" t="s">
        <v>391</v>
      </c>
      <c r="E3486">
        <v>1022142</v>
      </c>
      <c r="F3486" t="s">
        <v>390</v>
      </c>
      <c r="G3486" s="9">
        <v>44962</v>
      </c>
      <c r="H3486" s="7"/>
      <c r="I3486" s="7"/>
      <c r="J3486" s="7"/>
      <c r="K3486" s="7"/>
      <c r="L3486" s="10">
        <v>4.830303030303031</v>
      </c>
      <c r="M3486" s="9">
        <v>44966</v>
      </c>
      <c r="N3486" s="10">
        <v>15</v>
      </c>
      <c r="O3486" s="9">
        <v>44981</v>
      </c>
      <c r="P3486">
        <v>3</v>
      </c>
      <c r="Q3486" s="11" t="s">
        <v>49</v>
      </c>
      <c r="R3486" s="7"/>
      <c r="S3486" s="7"/>
      <c r="T3486" s="7"/>
      <c r="U3486" s="7"/>
      <c r="V3486" s="10">
        <v>6.830303030303031</v>
      </c>
      <c r="W3486" s="9">
        <v>44968</v>
      </c>
      <c r="X3486" s="10">
        <v>17</v>
      </c>
      <c r="Y3486" s="9">
        <v>44981</v>
      </c>
      <c r="Z3486">
        <v>3</v>
      </c>
      <c r="AA3486" s="11" t="s">
        <v>49</v>
      </c>
    </row>
    <row r="3487" spans="2:27" ht="16" x14ac:dyDescent="0.2">
      <c r="B3487" t="s">
        <v>35</v>
      </c>
      <c r="C3487">
        <v>40358762</v>
      </c>
      <c r="D3487" t="s">
        <v>391</v>
      </c>
      <c r="E3487">
        <v>1022141</v>
      </c>
      <c r="F3487" t="s">
        <v>126</v>
      </c>
      <c r="G3487" s="9">
        <v>44962</v>
      </c>
      <c r="H3487" s="7"/>
      <c r="I3487" s="7"/>
      <c r="J3487" s="7"/>
      <c r="K3487" s="7"/>
      <c r="L3487" s="10">
        <v>4.830303030303031</v>
      </c>
      <c r="M3487" s="9">
        <v>44966</v>
      </c>
      <c r="N3487" s="10">
        <v>15</v>
      </c>
      <c r="O3487" s="9">
        <v>44981</v>
      </c>
      <c r="P3487">
        <v>3</v>
      </c>
      <c r="Q3487" s="11" t="s">
        <v>49</v>
      </c>
      <c r="R3487" s="7"/>
      <c r="S3487" s="7"/>
      <c r="T3487" s="7"/>
      <c r="U3487" s="7"/>
      <c r="V3487" s="10">
        <v>6.830303030303031</v>
      </c>
      <c r="W3487" s="9">
        <v>44968</v>
      </c>
      <c r="X3487" s="10">
        <v>17</v>
      </c>
      <c r="Y3487" s="9">
        <v>44981</v>
      </c>
      <c r="Z3487">
        <v>3</v>
      </c>
      <c r="AA3487" s="11" t="s">
        <v>49</v>
      </c>
    </row>
    <row r="3488" spans="2:27" ht="16" x14ac:dyDescent="0.2">
      <c r="B3488" t="s">
        <v>35</v>
      </c>
      <c r="C3488">
        <v>40358762</v>
      </c>
      <c r="D3488" t="s">
        <v>391</v>
      </c>
      <c r="E3488">
        <v>1021925</v>
      </c>
      <c r="F3488" t="s">
        <v>432</v>
      </c>
      <c r="G3488" s="9">
        <v>44962</v>
      </c>
      <c r="H3488" s="7"/>
      <c r="I3488" s="7"/>
      <c r="J3488" s="7"/>
      <c r="K3488" s="7"/>
      <c r="L3488" s="10">
        <v>4.830303030303031</v>
      </c>
      <c r="M3488" s="9">
        <v>44966</v>
      </c>
      <c r="N3488" s="10">
        <v>15</v>
      </c>
      <c r="O3488" s="9">
        <v>44981</v>
      </c>
      <c r="P3488">
        <v>3</v>
      </c>
      <c r="Q3488" s="11" t="s">
        <v>49</v>
      </c>
      <c r="R3488" s="7"/>
      <c r="S3488" s="7"/>
      <c r="T3488" s="7"/>
      <c r="U3488" s="7"/>
      <c r="V3488" s="10">
        <v>6.830303030303031</v>
      </c>
      <c r="W3488" s="9">
        <v>44968</v>
      </c>
      <c r="X3488" s="10">
        <v>17</v>
      </c>
      <c r="Y3488" s="9">
        <v>44981</v>
      </c>
      <c r="Z3488">
        <v>3</v>
      </c>
      <c r="AA3488" s="11" t="s">
        <v>49</v>
      </c>
    </row>
    <row r="3489" spans="2:27" ht="16" x14ac:dyDescent="0.2">
      <c r="B3489" t="s">
        <v>35</v>
      </c>
      <c r="C3489">
        <v>40358762</v>
      </c>
      <c r="D3489" t="s">
        <v>391</v>
      </c>
      <c r="E3489">
        <v>1021924</v>
      </c>
      <c r="F3489" t="s">
        <v>187</v>
      </c>
      <c r="G3489" s="9">
        <v>44962</v>
      </c>
      <c r="H3489" s="7"/>
      <c r="I3489" s="7"/>
      <c r="J3489" s="7"/>
      <c r="K3489" s="7"/>
      <c r="L3489" s="10">
        <v>4.830303030303031</v>
      </c>
      <c r="M3489" s="9">
        <v>44966</v>
      </c>
      <c r="N3489" s="10">
        <v>15</v>
      </c>
      <c r="O3489" s="9">
        <v>44981</v>
      </c>
      <c r="P3489">
        <v>3</v>
      </c>
      <c r="Q3489" s="11" t="s">
        <v>49</v>
      </c>
      <c r="R3489" s="7"/>
      <c r="S3489" s="7"/>
      <c r="T3489" s="7"/>
      <c r="U3489" s="7"/>
      <c r="V3489" s="10">
        <v>6.830303030303031</v>
      </c>
      <c r="W3489" s="9">
        <v>44968</v>
      </c>
      <c r="X3489" s="10">
        <v>17</v>
      </c>
      <c r="Y3489" s="9">
        <v>44981</v>
      </c>
      <c r="Z3489">
        <v>3</v>
      </c>
      <c r="AA3489" s="11" t="s">
        <v>49</v>
      </c>
    </row>
    <row r="3490" spans="2:27" ht="16" x14ac:dyDescent="0.2">
      <c r="B3490" t="s">
        <v>35</v>
      </c>
      <c r="C3490">
        <v>40358759</v>
      </c>
      <c r="D3490" t="s">
        <v>391</v>
      </c>
      <c r="E3490">
        <v>1022398</v>
      </c>
      <c r="F3490" t="s">
        <v>431</v>
      </c>
      <c r="G3490" s="9">
        <v>44962</v>
      </c>
      <c r="H3490" s="7"/>
      <c r="I3490" s="7"/>
      <c r="J3490" s="7"/>
      <c r="K3490" s="7"/>
      <c r="L3490" s="10">
        <v>4.830303030303031</v>
      </c>
      <c r="M3490" s="9">
        <v>44966</v>
      </c>
      <c r="N3490" s="10">
        <v>15</v>
      </c>
      <c r="O3490" s="9">
        <v>44981</v>
      </c>
      <c r="P3490">
        <v>3</v>
      </c>
      <c r="Q3490" s="11" t="s">
        <v>49</v>
      </c>
      <c r="R3490" s="7"/>
      <c r="S3490" s="7"/>
      <c r="T3490" s="7"/>
      <c r="U3490" s="7"/>
      <c r="V3490" s="10">
        <v>6.830303030303031</v>
      </c>
      <c r="W3490" s="9">
        <v>44968</v>
      </c>
      <c r="X3490" s="10">
        <v>17</v>
      </c>
      <c r="Y3490" s="9">
        <v>44981</v>
      </c>
      <c r="Z3490">
        <v>3</v>
      </c>
      <c r="AA3490" s="11" t="s">
        <v>49</v>
      </c>
    </row>
    <row r="3491" spans="2:27" ht="16" x14ac:dyDescent="0.2">
      <c r="B3491" t="s">
        <v>35</v>
      </c>
      <c r="C3491">
        <v>40358759</v>
      </c>
      <c r="D3491" t="s">
        <v>391</v>
      </c>
      <c r="E3491">
        <v>1022142</v>
      </c>
      <c r="F3491" t="s">
        <v>390</v>
      </c>
      <c r="G3491" s="9">
        <v>44962</v>
      </c>
      <c r="H3491" s="7"/>
      <c r="I3491" s="7"/>
      <c r="J3491" s="7"/>
      <c r="K3491" s="7"/>
      <c r="L3491" s="10">
        <v>4.830303030303031</v>
      </c>
      <c r="M3491" s="9">
        <v>44966</v>
      </c>
      <c r="N3491" s="10">
        <v>15</v>
      </c>
      <c r="O3491" s="9">
        <v>44981</v>
      </c>
      <c r="P3491">
        <v>3</v>
      </c>
      <c r="Q3491" s="11" t="s">
        <v>49</v>
      </c>
      <c r="R3491" s="7"/>
      <c r="S3491" s="7"/>
      <c r="T3491" s="7"/>
      <c r="U3491" s="7"/>
      <c r="V3491" s="10">
        <v>6.830303030303031</v>
      </c>
      <c r="W3491" s="9">
        <v>44968</v>
      </c>
      <c r="X3491" s="10">
        <v>17</v>
      </c>
      <c r="Y3491" s="9">
        <v>44981</v>
      </c>
      <c r="Z3491">
        <v>3</v>
      </c>
      <c r="AA3491" s="11" t="s">
        <v>49</v>
      </c>
    </row>
    <row r="3492" spans="2:27" ht="16" x14ac:dyDescent="0.2">
      <c r="B3492" t="s">
        <v>35</v>
      </c>
      <c r="C3492">
        <v>40358759</v>
      </c>
      <c r="D3492" t="s">
        <v>391</v>
      </c>
      <c r="E3492">
        <v>1022141</v>
      </c>
      <c r="F3492" t="s">
        <v>126</v>
      </c>
      <c r="G3492" s="9">
        <v>44962</v>
      </c>
      <c r="H3492" s="7"/>
      <c r="I3492" s="7"/>
      <c r="J3492" s="7"/>
      <c r="K3492" s="7"/>
      <c r="L3492" s="10">
        <v>4.830303030303031</v>
      </c>
      <c r="M3492" s="9">
        <v>44966</v>
      </c>
      <c r="N3492" s="10">
        <v>15</v>
      </c>
      <c r="O3492" s="9">
        <v>44981</v>
      </c>
      <c r="P3492">
        <v>3</v>
      </c>
      <c r="Q3492" s="11" t="s">
        <v>49</v>
      </c>
      <c r="R3492" s="7"/>
      <c r="S3492" s="7"/>
      <c r="T3492" s="7"/>
      <c r="U3492" s="7"/>
      <c r="V3492" s="10">
        <v>6.830303030303031</v>
      </c>
      <c r="W3492" s="9">
        <v>44968</v>
      </c>
      <c r="X3492" s="10">
        <v>17</v>
      </c>
      <c r="Y3492" s="9">
        <v>44981</v>
      </c>
      <c r="Z3492">
        <v>3</v>
      </c>
      <c r="AA3492" s="11" t="s">
        <v>49</v>
      </c>
    </row>
    <row r="3493" spans="2:27" ht="16" x14ac:dyDescent="0.2">
      <c r="B3493" t="s">
        <v>35</v>
      </c>
      <c r="C3493">
        <v>40358759</v>
      </c>
      <c r="D3493" t="s">
        <v>391</v>
      </c>
      <c r="E3493">
        <v>1021925</v>
      </c>
      <c r="F3493" t="s">
        <v>432</v>
      </c>
      <c r="G3493" s="9">
        <v>44962</v>
      </c>
      <c r="H3493" s="7"/>
      <c r="I3493" s="7"/>
      <c r="J3493" s="7"/>
      <c r="K3493" s="7"/>
      <c r="L3493" s="10">
        <v>4.830303030303031</v>
      </c>
      <c r="M3493" s="9">
        <v>44966</v>
      </c>
      <c r="N3493" s="10">
        <v>15</v>
      </c>
      <c r="O3493" s="9">
        <v>44981</v>
      </c>
      <c r="P3493">
        <v>3</v>
      </c>
      <c r="Q3493" s="11" t="s">
        <v>49</v>
      </c>
      <c r="R3493" s="7"/>
      <c r="S3493" s="7"/>
      <c r="T3493" s="7"/>
      <c r="U3493" s="7"/>
      <c r="V3493" s="10">
        <v>6.830303030303031</v>
      </c>
      <c r="W3493" s="9">
        <v>44968</v>
      </c>
      <c r="X3493" s="10">
        <v>17</v>
      </c>
      <c r="Y3493" s="9">
        <v>44981</v>
      </c>
      <c r="Z3493">
        <v>3</v>
      </c>
      <c r="AA3493" s="11" t="s">
        <v>49</v>
      </c>
    </row>
    <row r="3494" spans="2:27" ht="16" x14ac:dyDescent="0.2">
      <c r="B3494" t="s">
        <v>35</v>
      </c>
      <c r="C3494">
        <v>40358759</v>
      </c>
      <c r="D3494" t="s">
        <v>391</v>
      </c>
      <c r="E3494">
        <v>1021924</v>
      </c>
      <c r="F3494" t="s">
        <v>187</v>
      </c>
      <c r="G3494" s="9">
        <v>44962</v>
      </c>
      <c r="H3494" s="7"/>
      <c r="I3494" s="7"/>
      <c r="J3494" s="7"/>
      <c r="K3494" s="7"/>
      <c r="L3494" s="10">
        <v>4.830303030303031</v>
      </c>
      <c r="M3494" s="9">
        <v>44966</v>
      </c>
      <c r="N3494" s="10">
        <v>15</v>
      </c>
      <c r="O3494" s="9">
        <v>44981</v>
      </c>
      <c r="P3494">
        <v>3</v>
      </c>
      <c r="Q3494" s="11" t="s">
        <v>49</v>
      </c>
      <c r="R3494" s="7"/>
      <c r="S3494" s="7"/>
      <c r="T3494" s="7"/>
      <c r="U3494" s="7"/>
      <c r="V3494" s="10">
        <v>6.830303030303031</v>
      </c>
      <c r="W3494" s="9">
        <v>44968</v>
      </c>
      <c r="X3494" s="10">
        <v>17</v>
      </c>
      <c r="Y3494" s="9">
        <v>44981</v>
      </c>
      <c r="Z3494">
        <v>3</v>
      </c>
      <c r="AA3494" s="11" t="s">
        <v>49</v>
      </c>
    </row>
    <row r="3495" spans="2:27" ht="16" x14ac:dyDescent="0.2">
      <c r="B3495" t="s">
        <v>35</v>
      </c>
      <c r="C3495">
        <v>40358757</v>
      </c>
      <c r="D3495" t="s">
        <v>391</v>
      </c>
      <c r="E3495">
        <v>1022398</v>
      </c>
      <c r="F3495" t="s">
        <v>431</v>
      </c>
      <c r="G3495" s="9">
        <v>44972</v>
      </c>
      <c r="H3495" s="7">
        <v>4005.21</v>
      </c>
      <c r="I3495" s="7"/>
      <c r="J3495" s="7"/>
      <c r="K3495" s="7"/>
      <c r="L3495" s="10">
        <v>4.830303030303031</v>
      </c>
      <c r="M3495" s="9">
        <v>44976</v>
      </c>
      <c r="N3495" s="10">
        <v>15</v>
      </c>
      <c r="O3495" s="9">
        <v>44991</v>
      </c>
      <c r="P3495">
        <v>22</v>
      </c>
      <c r="Q3495" s="11" t="s">
        <v>49</v>
      </c>
      <c r="R3495" s="7">
        <v>4005.21</v>
      </c>
      <c r="S3495" s="7"/>
      <c r="T3495" s="7"/>
      <c r="U3495" s="7"/>
      <c r="V3495" s="10">
        <v>6.830303030303031</v>
      </c>
      <c r="W3495" s="9">
        <v>44978</v>
      </c>
      <c r="X3495" s="10">
        <v>17</v>
      </c>
      <c r="Y3495" s="9">
        <v>44991</v>
      </c>
      <c r="Z3495">
        <v>22</v>
      </c>
      <c r="AA3495" s="11" t="s">
        <v>49</v>
      </c>
    </row>
    <row r="3496" spans="2:27" ht="16" x14ac:dyDescent="0.2">
      <c r="B3496" t="s">
        <v>35</v>
      </c>
      <c r="C3496">
        <v>40358757</v>
      </c>
      <c r="D3496" t="s">
        <v>391</v>
      </c>
      <c r="E3496">
        <v>1022142</v>
      </c>
      <c r="F3496" t="s">
        <v>390</v>
      </c>
      <c r="G3496" s="9">
        <v>44972</v>
      </c>
      <c r="H3496" s="7">
        <v>2019.11</v>
      </c>
      <c r="I3496" s="7"/>
      <c r="J3496" s="7"/>
      <c r="K3496" s="7"/>
      <c r="L3496" s="10">
        <v>4.830303030303031</v>
      </c>
      <c r="M3496" s="9">
        <v>44976</v>
      </c>
      <c r="N3496" s="10">
        <v>15</v>
      </c>
      <c r="O3496" s="9">
        <v>44991</v>
      </c>
      <c r="P3496">
        <v>22</v>
      </c>
      <c r="Q3496" s="11" t="s">
        <v>49</v>
      </c>
      <c r="R3496" s="7">
        <v>2019.11</v>
      </c>
      <c r="S3496" s="7"/>
      <c r="T3496" s="7"/>
      <c r="U3496" s="7"/>
      <c r="V3496" s="10">
        <v>6.830303030303031</v>
      </c>
      <c r="W3496" s="9">
        <v>44978</v>
      </c>
      <c r="X3496" s="10">
        <v>17</v>
      </c>
      <c r="Y3496" s="9">
        <v>44991</v>
      </c>
      <c r="Z3496">
        <v>22</v>
      </c>
      <c r="AA3496" s="11" t="s">
        <v>49</v>
      </c>
    </row>
    <row r="3497" spans="2:27" ht="16" x14ac:dyDescent="0.2">
      <c r="B3497" t="s">
        <v>35</v>
      </c>
      <c r="C3497">
        <v>40358757</v>
      </c>
      <c r="D3497" t="s">
        <v>391</v>
      </c>
      <c r="E3497">
        <v>1022141</v>
      </c>
      <c r="F3497" t="s">
        <v>126</v>
      </c>
      <c r="G3497" s="9">
        <v>44972</v>
      </c>
      <c r="H3497" s="7">
        <v>5007.32</v>
      </c>
      <c r="I3497" s="7"/>
      <c r="J3497" s="7"/>
      <c r="K3497" s="7"/>
      <c r="L3497" s="10">
        <v>4.830303030303031</v>
      </c>
      <c r="M3497" s="9">
        <v>44976</v>
      </c>
      <c r="N3497" s="10">
        <v>15</v>
      </c>
      <c r="O3497" s="9">
        <v>44991</v>
      </c>
      <c r="P3497">
        <v>22</v>
      </c>
      <c r="Q3497" s="11" t="s">
        <v>49</v>
      </c>
      <c r="R3497" s="7">
        <v>5007.32</v>
      </c>
      <c r="S3497" s="7"/>
      <c r="T3497" s="7"/>
      <c r="U3497" s="7"/>
      <c r="V3497" s="10">
        <v>6.830303030303031</v>
      </c>
      <c r="W3497" s="9">
        <v>44978</v>
      </c>
      <c r="X3497" s="10">
        <v>17</v>
      </c>
      <c r="Y3497" s="9">
        <v>44991</v>
      </c>
      <c r="Z3497">
        <v>22</v>
      </c>
      <c r="AA3497" s="11" t="s">
        <v>49</v>
      </c>
    </row>
    <row r="3498" spans="2:27" ht="16" x14ac:dyDescent="0.2">
      <c r="B3498" t="s">
        <v>35</v>
      </c>
      <c r="C3498">
        <v>40358757</v>
      </c>
      <c r="D3498" t="s">
        <v>391</v>
      </c>
      <c r="E3498">
        <v>1021925</v>
      </c>
      <c r="F3498" t="s">
        <v>432</v>
      </c>
      <c r="G3498" s="9">
        <v>44972</v>
      </c>
      <c r="H3498" s="7">
        <v>4013.86</v>
      </c>
      <c r="I3498" s="7"/>
      <c r="J3498" s="7"/>
      <c r="K3498" s="7"/>
      <c r="L3498" s="10">
        <v>4.830303030303031</v>
      </c>
      <c r="M3498" s="9">
        <v>44976</v>
      </c>
      <c r="N3498" s="10">
        <v>15</v>
      </c>
      <c r="O3498" s="9">
        <v>44991</v>
      </c>
      <c r="P3498">
        <v>22</v>
      </c>
      <c r="Q3498" s="11" t="s">
        <v>49</v>
      </c>
      <c r="R3498" s="7">
        <v>4013.86</v>
      </c>
      <c r="S3498" s="7"/>
      <c r="T3498" s="7"/>
      <c r="U3498" s="7"/>
      <c r="V3498" s="10">
        <v>6.830303030303031</v>
      </c>
      <c r="W3498" s="9">
        <v>44978</v>
      </c>
      <c r="X3498" s="10">
        <v>17</v>
      </c>
      <c r="Y3498" s="9">
        <v>44991</v>
      </c>
      <c r="Z3498">
        <v>22</v>
      </c>
      <c r="AA3498" s="11" t="s">
        <v>49</v>
      </c>
    </row>
    <row r="3499" spans="2:27" ht="16" x14ac:dyDescent="0.2">
      <c r="B3499" t="s">
        <v>35</v>
      </c>
      <c r="C3499">
        <v>40358757</v>
      </c>
      <c r="D3499" t="s">
        <v>391</v>
      </c>
      <c r="E3499">
        <v>1021924</v>
      </c>
      <c r="F3499" t="s">
        <v>187</v>
      </c>
      <c r="G3499" s="9">
        <v>44972</v>
      </c>
      <c r="H3499" s="7">
        <v>9005.0499999999993</v>
      </c>
      <c r="I3499" s="7"/>
      <c r="J3499" s="7"/>
      <c r="K3499" s="7"/>
      <c r="L3499" s="10">
        <v>4.830303030303031</v>
      </c>
      <c r="M3499" s="9">
        <v>44976</v>
      </c>
      <c r="N3499" s="10">
        <v>15</v>
      </c>
      <c r="O3499" s="9">
        <v>44991</v>
      </c>
      <c r="P3499">
        <v>22</v>
      </c>
      <c r="Q3499" s="11" t="s">
        <v>49</v>
      </c>
      <c r="R3499" s="7">
        <v>9005.0499999999993</v>
      </c>
      <c r="S3499" s="7"/>
      <c r="T3499" s="7"/>
      <c r="U3499" s="7"/>
      <c r="V3499" s="10">
        <v>6.830303030303031</v>
      </c>
      <c r="W3499" s="9">
        <v>44978</v>
      </c>
      <c r="X3499" s="10">
        <v>17</v>
      </c>
      <c r="Y3499" s="9">
        <v>44991</v>
      </c>
      <c r="Z3499">
        <v>22</v>
      </c>
      <c r="AA3499" s="11" t="s">
        <v>49</v>
      </c>
    </row>
    <row r="3500" spans="2:27" ht="16" x14ac:dyDescent="0.2">
      <c r="B3500" t="s">
        <v>35</v>
      </c>
      <c r="C3500">
        <v>40358756</v>
      </c>
      <c r="D3500" t="s">
        <v>391</v>
      </c>
      <c r="E3500">
        <v>1021924</v>
      </c>
      <c r="F3500" t="s">
        <v>187</v>
      </c>
      <c r="G3500" s="9">
        <v>44955</v>
      </c>
      <c r="H3500" s="7"/>
      <c r="I3500" s="7"/>
      <c r="J3500" s="7"/>
      <c r="K3500" s="7"/>
      <c r="L3500" s="10">
        <v>4.830303030303031</v>
      </c>
      <c r="M3500" s="9">
        <v>44959</v>
      </c>
      <c r="N3500" s="10">
        <v>15</v>
      </c>
      <c r="O3500" s="9">
        <v>44974</v>
      </c>
      <c r="P3500">
        <v>9</v>
      </c>
      <c r="Q3500" s="11" t="s">
        <v>49</v>
      </c>
      <c r="R3500" s="7"/>
      <c r="S3500" s="7"/>
      <c r="T3500" s="7"/>
      <c r="U3500" s="7"/>
      <c r="V3500" s="10">
        <v>6.830303030303031</v>
      </c>
      <c r="W3500" s="9">
        <v>44961</v>
      </c>
      <c r="X3500" s="10">
        <v>17</v>
      </c>
      <c r="Y3500" s="9">
        <v>44974</v>
      </c>
      <c r="Z3500">
        <v>9</v>
      </c>
      <c r="AA3500" s="11" t="s">
        <v>49</v>
      </c>
    </row>
    <row r="3501" spans="2:27" ht="16" x14ac:dyDescent="0.2">
      <c r="B3501" t="s">
        <v>35</v>
      </c>
      <c r="C3501">
        <v>40358756</v>
      </c>
      <c r="D3501" t="s">
        <v>391</v>
      </c>
      <c r="E3501">
        <v>1021925</v>
      </c>
      <c r="F3501" t="s">
        <v>432</v>
      </c>
      <c r="G3501" s="9">
        <v>44955</v>
      </c>
      <c r="H3501" s="7"/>
      <c r="I3501" s="7"/>
      <c r="J3501" s="7"/>
      <c r="K3501" s="7"/>
      <c r="L3501" s="10">
        <v>4.830303030303031</v>
      </c>
      <c r="M3501" s="9">
        <v>44959</v>
      </c>
      <c r="N3501" s="10">
        <v>15</v>
      </c>
      <c r="O3501" s="9">
        <v>44974</v>
      </c>
      <c r="P3501">
        <v>9</v>
      </c>
      <c r="Q3501" s="11" t="s">
        <v>49</v>
      </c>
      <c r="R3501" s="7"/>
      <c r="S3501" s="7"/>
      <c r="T3501" s="7"/>
      <c r="U3501" s="7"/>
      <c r="V3501" s="10">
        <v>6.830303030303031</v>
      </c>
      <c r="W3501" s="9">
        <v>44961</v>
      </c>
      <c r="X3501" s="10">
        <v>17</v>
      </c>
      <c r="Y3501" s="9">
        <v>44974</v>
      </c>
      <c r="Z3501">
        <v>9</v>
      </c>
      <c r="AA3501" s="11" t="s">
        <v>49</v>
      </c>
    </row>
    <row r="3502" spans="2:27" ht="16" x14ac:dyDescent="0.2">
      <c r="B3502" t="s">
        <v>35</v>
      </c>
      <c r="C3502">
        <v>40358756</v>
      </c>
      <c r="D3502" t="s">
        <v>391</v>
      </c>
      <c r="E3502">
        <v>1022141</v>
      </c>
      <c r="F3502" t="s">
        <v>126</v>
      </c>
      <c r="G3502" s="9">
        <v>44955</v>
      </c>
      <c r="H3502" s="7"/>
      <c r="I3502" s="7"/>
      <c r="J3502" s="7"/>
      <c r="K3502" s="7"/>
      <c r="L3502" s="10">
        <v>4.830303030303031</v>
      </c>
      <c r="M3502" s="9">
        <v>44959</v>
      </c>
      <c r="N3502" s="10">
        <v>15</v>
      </c>
      <c r="O3502" s="9">
        <v>44974</v>
      </c>
      <c r="P3502">
        <v>9</v>
      </c>
      <c r="Q3502" s="11" t="s">
        <v>49</v>
      </c>
      <c r="R3502" s="7"/>
      <c r="S3502" s="7"/>
      <c r="T3502" s="7"/>
      <c r="U3502" s="7"/>
      <c r="V3502" s="10">
        <v>6.830303030303031</v>
      </c>
      <c r="W3502" s="9">
        <v>44961</v>
      </c>
      <c r="X3502" s="10">
        <v>17</v>
      </c>
      <c r="Y3502" s="9">
        <v>44974</v>
      </c>
      <c r="Z3502">
        <v>9</v>
      </c>
      <c r="AA3502" s="11" t="s">
        <v>49</v>
      </c>
    </row>
    <row r="3503" spans="2:27" ht="16" x14ac:dyDescent="0.2">
      <c r="B3503" t="s">
        <v>35</v>
      </c>
      <c r="C3503">
        <v>40358756</v>
      </c>
      <c r="D3503" t="s">
        <v>391</v>
      </c>
      <c r="E3503">
        <v>1022142</v>
      </c>
      <c r="F3503" t="s">
        <v>390</v>
      </c>
      <c r="G3503" s="9">
        <v>44955</v>
      </c>
      <c r="H3503" s="7"/>
      <c r="I3503" s="7"/>
      <c r="J3503" s="7"/>
      <c r="K3503" s="7"/>
      <c r="L3503" s="10">
        <v>4.830303030303031</v>
      </c>
      <c r="M3503" s="9">
        <v>44959</v>
      </c>
      <c r="N3503" s="10">
        <v>15</v>
      </c>
      <c r="O3503" s="9">
        <v>44974</v>
      </c>
      <c r="P3503">
        <v>9</v>
      </c>
      <c r="Q3503" s="11" t="s">
        <v>49</v>
      </c>
      <c r="R3503" s="7"/>
      <c r="S3503" s="7"/>
      <c r="T3503" s="7"/>
      <c r="U3503" s="7"/>
      <c r="V3503" s="10">
        <v>6.830303030303031</v>
      </c>
      <c r="W3503" s="9">
        <v>44961</v>
      </c>
      <c r="X3503" s="10">
        <v>17</v>
      </c>
      <c r="Y3503" s="9">
        <v>44974</v>
      </c>
      <c r="Z3503">
        <v>9</v>
      </c>
      <c r="AA3503" s="11" t="s">
        <v>49</v>
      </c>
    </row>
    <row r="3504" spans="2:27" ht="16" x14ac:dyDescent="0.2">
      <c r="B3504" t="s">
        <v>35</v>
      </c>
      <c r="C3504">
        <v>40358756</v>
      </c>
      <c r="D3504" t="s">
        <v>391</v>
      </c>
      <c r="E3504">
        <v>1022398</v>
      </c>
      <c r="F3504" t="s">
        <v>431</v>
      </c>
      <c r="G3504" s="9">
        <v>44955</v>
      </c>
      <c r="H3504" s="7"/>
      <c r="I3504" s="7"/>
      <c r="J3504" s="7"/>
      <c r="K3504" s="7"/>
      <c r="L3504" s="10">
        <v>4.830303030303031</v>
      </c>
      <c r="M3504" s="9">
        <v>44959</v>
      </c>
      <c r="N3504" s="10">
        <v>15</v>
      </c>
      <c r="O3504" s="9">
        <v>44974</v>
      </c>
      <c r="P3504">
        <v>9</v>
      </c>
      <c r="Q3504" s="11" t="s">
        <v>49</v>
      </c>
      <c r="R3504" s="7"/>
      <c r="S3504" s="7"/>
      <c r="T3504" s="7"/>
      <c r="U3504" s="7"/>
      <c r="V3504" s="10">
        <v>6.830303030303031</v>
      </c>
      <c r="W3504" s="9">
        <v>44961</v>
      </c>
      <c r="X3504" s="10">
        <v>17</v>
      </c>
      <c r="Y3504" s="9">
        <v>44974</v>
      </c>
      <c r="Z3504">
        <v>9</v>
      </c>
      <c r="AA3504" s="11" t="s">
        <v>49</v>
      </c>
    </row>
    <row r="3505" spans="2:27" ht="16" x14ac:dyDescent="0.2">
      <c r="B3505" t="s">
        <v>35</v>
      </c>
      <c r="C3505">
        <v>40358755</v>
      </c>
      <c r="D3505" t="s">
        <v>391</v>
      </c>
      <c r="E3505">
        <v>1022398</v>
      </c>
      <c r="F3505" t="s">
        <v>431</v>
      </c>
      <c r="G3505" s="9">
        <v>44972</v>
      </c>
      <c r="H3505" s="7">
        <v>5005.38</v>
      </c>
      <c r="I3505" s="7"/>
      <c r="J3505" s="7"/>
      <c r="K3505" s="7"/>
      <c r="L3505" s="10">
        <v>4.830303030303031</v>
      </c>
      <c r="M3505" s="9">
        <v>44976</v>
      </c>
      <c r="N3505" s="10">
        <v>15</v>
      </c>
      <c r="O3505" s="9">
        <v>44991</v>
      </c>
      <c r="P3505">
        <v>22</v>
      </c>
      <c r="Q3505" s="11" t="s">
        <v>49</v>
      </c>
      <c r="R3505" s="7">
        <v>5005.38</v>
      </c>
      <c r="S3505" s="7"/>
      <c r="T3505" s="7"/>
      <c r="U3505" s="7"/>
      <c r="V3505" s="10">
        <v>6.830303030303031</v>
      </c>
      <c r="W3505" s="9">
        <v>44978</v>
      </c>
      <c r="X3505" s="10">
        <v>17</v>
      </c>
      <c r="Y3505" s="9">
        <v>44991</v>
      </c>
      <c r="Z3505">
        <v>22</v>
      </c>
      <c r="AA3505" s="11" t="s">
        <v>49</v>
      </c>
    </row>
    <row r="3506" spans="2:27" ht="16" x14ac:dyDescent="0.2">
      <c r="B3506" t="s">
        <v>35</v>
      </c>
      <c r="C3506">
        <v>40358755</v>
      </c>
      <c r="D3506" t="s">
        <v>391</v>
      </c>
      <c r="E3506">
        <v>1022142</v>
      </c>
      <c r="F3506" t="s">
        <v>390</v>
      </c>
      <c r="G3506" s="9">
        <v>44972</v>
      </c>
      <c r="H3506" s="7">
        <v>2011.32</v>
      </c>
      <c r="I3506" s="7"/>
      <c r="J3506" s="7"/>
      <c r="K3506" s="7"/>
      <c r="L3506" s="10">
        <v>4.830303030303031</v>
      </c>
      <c r="M3506" s="9">
        <v>44976</v>
      </c>
      <c r="N3506" s="10">
        <v>15</v>
      </c>
      <c r="O3506" s="9">
        <v>44991</v>
      </c>
      <c r="P3506">
        <v>22</v>
      </c>
      <c r="Q3506" s="11" t="s">
        <v>49</v>
      </c>
      <c r="R3506" s="7">
        <v>2011.32</v>
      </c>
      <c r="S3506" s="7"/>
      <c r="T3506" s="7"/>
      <c r="U3506" s="7"/>
      <c r="V3506" s="10">
        <v>6.830303030303031</v>
      </c>
      <c r="W3506" s="9">
        <v>44978</v>
      </c>
      <c r="X3506" s="10">
        <v>17</v>
      </c>
      <c r="Y3506" s="9">
        <v>44991</v>
      </c>
      <c r="Z3506">
        <v>22</v>
      </c>
      <c r="AA3506" s="11" t="s">
        <v>49</v>
      </c>
    </row>
    <row r="3507" spans="2:27" ht="16" x14ac:dyDescent="0.2">
      <c r="B3507" t="s">
        <v>35</v>
      </c>
      <c r="C3507">
        <v>40358755</v>
      </c>
      <c r="D3507" t="s">
        <v>391</v>
      </c>
      <c r="E3507">
        <v>1022141</v>
      </c>
      <c r="F3507" t="s">
        <v>126</v>
      </c>
      <c r="G3507" s="9">
        <v>44972</v>
      </c>
      <c r="H3507" s="7">
        <v>5019.2299999999996</v>
      </c>
      <c r="I3507" s="7"/>
      <c r="J3507" s="7"/>
      <c r="K3507" s="7"/>
      <c r="L3507" s="10">
        <v>4.830303030303031</v>
      </c>
      <c r="M3507" s="9">
        <v>44976</v>
      </c>
      <c r="N3507" s="10">
        <v>15</v>
      </c>
      <c r="O3507" s="9">
        <v>44991</v>
      </c>
      <c r="P3507">
        <v>22</v>
      </c>
      <c r="Q3507" s="11" t="s">
        <v>49</v>
      </c>
      <c r="R3507" s="7">
        <v>5019.2299999999996</v>
      </c>
      <c r="S3507" s="7"/>
      <c r="T3507" s="7"/>
      <c r="U3507" s="7"/>
      <c r="V3507" s="10">
        <v>6.830303030303031</v>
      </c>
      <c r="W3507" s="9">
        <v>44978</v>
      </c>
      <c r="X3507" s="10">
        <v>17</v>
      </c>
      <c r="Y3507" s="9">
        <v>44991</v>
      </c>
      <c r="Z3507">
        <v>22</v>
      </c>
      <c r="AA3507" s="11" t="s">
        <v>49</v>
      </c>
    </row>
    <row r="3508" spans="2:27" ht="16" x14ac:dyDescent="0.2">
      <c r="B3508" t="s">
        <v>35</v>
      </c>
      <c r="C3508">
        <v>40358755</v>
      </c>
      <c r="D3508" t="s">
        <v>391</v>
      </c>
      <c r="E3508">
        <v>1021925</v>
      </c>
      <c r="F3508" t="s">
        <v>432</v>
      </c>
      <c r="G3508" s="9">
        <v>44972</v>
      </c>
      <c r="H3508" s="7">
        <v>3028.36</v>
      </c>
      <c r="I3508" s="7"/>
      <c r="J3508" s="7"/>
      <c r="K3508" s="7"/>
      <c r="L3508" s="10">
        <v>4.830303030303031</v>
      </c>
      <c r="M3508" s="9">
        <v>44976</v>
      </c>
      <c r="N3508" s="10">
        <v>15</v>
      </c>
      <c r="O3508" s="9">
        <v>44991</v>
      </c>
      <c r="P3508">
        <v>22</v>
      </c>
      <c r="Q3508" s="11" t="s">
        <v>49</v>
      </c>
      <c r="R3508" s="7">
        <v>3028.36</v>
      </c>
      <c r="S3508" s="7"/>
      <c r="T3508" s="7"/>
      <c r="U3508" s="7"/>
      <c r="V3508" s="10">
        <v>6.830303030303031</v>
      </c>
      <c r="W3508" s="9">
        <v>44978</v>
      </c>
      <c r="X3508" s="10">
        <v>17</v>
      </c>
      <c r="Y3508" s="9">
        <v>44991</v>
      </c>
      <c r="Z3508">
        <v>22</v>
      </c>
      <c r="AA3508" s="11" t="s">
        <v>49</v>
      </c>
    </row>
    <row r="3509" spans="2:27" ht="16" x14ac:dyDescent="0.2">
      <c r="B3509" t="s">
        <v>35</v>
      </c>
      <c r="C3509">
        <v>40358755</v>
      </c>
      <c r="D3509" t="s">
        <v>391</v>
      </c>
      <c r="E3509">
        <v>1021924</v>
      </c>
      <c r="F3509" t="s">
        <v>187</v>
      </c>
      <c r="G3509" s="9">
        <v>44972</v>
      </c>
      <c r="H3509" s="7">
        <v>9010.5400000000009</v>
      </c>
      <c r="I3509" s="7"/>
      <c r="J3509" s="7"/>
      <c r="K3509" s="7"/>
      <c r="L3509" s="10">
        <v>4.830303030303031</v>
      </c>
      <c r="M3509" s="9">
        <v>44976</v>
      </c>
      <c r="N3509" s="10">
        <v>15</v>
      </c>
      <c r="O3509" s="9">
        <v>44991</v>
      </c>
      <c r="P3509">
        <v>22</v>
      </c>
      <c r="Q3509" s="11" t="s">
        <v>49</v>
      </c>
      <c r="R3509" s="7">
        <v>9010.5400000000009</v>
      </c>
      <c r="S3509" s="7"/>
      <c r="T3509" s="7"/>
      <c r="U3509" s="7"/>
      <c r="V3509" s="10">
        <v>6.830303030303031</v>
      </c>
      <c r="W3509" s="9">
        <v>44978</v>
      </c>
      <c r="X3509" s="10">
        <v>17</v>
      </c>
      <c r="Y3509" s="9">
        <v>44991</v>
      </c>
      <c r="Z3509">
        <v>22</v>
      </c>
      <c r="AA3509" s="11" t="s">
        <v>49</v>
      </c>
    </row>
    <row r="3510" spans="2:27" ht="16" x14ac:dyDescent="0.2">
      <c r="B3510" t="s">
        <v>35</v>
      </c>
      <c r="C3510">
        <v>40358754</v>
      </c>
      <c r="D3510" t="s">
        <v>391</v>
      </c>
      <c r="E3510">
        <v>1022398</v>
      </c>
      <c r="F3510" t="s">
        <v>431</v>
      </c>
      <c r="G3510" s="9">
        <v>44972</v>
      </c>
      <c r="H3510" s="7">
        <v>5014.9399999999996</v>
      </c>
      <c r="I3510" s="7"/>
      <c r="J3510" s="7"/>
      <c r="K3510" s="7"/>
      <c r="L3510" s="10">
        <v>4.830303030303031</v>
      </c>
      <c r="M3510" s="9">
        <v>44976</v>
      </c>
      <c r="N3510" s="10">
        <v>15</v>
      </c>
      <c r="O3510" s="9">
        <v>44991</v>
      </c>
      <c r="P3510">
        <v>22</v>
      </c>
      <c r="Q3510" s="11" t="s">
        <v>49</v>
      </c>
      <c r="R3510" s="7">
        <v>5014.9399999999996</v>
      </c>
      <c r="S3510" s="7"/>
      <c r="T3510" s="7"/>
      <c r="U3510" s="7"/>
      <c r="V3510" s="10">
        <v>6.830303030303031</v>
      </c>
      <c r="W3510" s="9">
        <v>44978</v>
      </c>
      <c r="X3510" s="10">
        <v>17</v>
      </c>
      <c r="Y3510" s="9">
        <v>44991</v>
      </c>
      <c r="Z3510">
        <v>22</v>
      </c>
      <c r="AA3510" s="11" t="s">
        <v>49</v>
      </c>
    </row>
    <row r="3511" spans="2:27" ht="16" x14ac:dyDescent="0.2">
      <c r="B3511" t="s">
        <v>35</v>
      </c>
      <c r="C3511">
        <v>40358754</v>
      </c>
      <c r="D3511" t="s">
        <v>391</v>
      </c>
      <c r="E3511">
        <v>1022142</v>
      </c>
      <c r="F3511" t="s">
        <v>390</v>
      </c>
      <c r="G3511" s="9">
        <v>44972</v>
      </c>
      <c r="H3511" s="7">
        <v>2008.07</v>
      </c>
      <c r="I3511" s="7"/>
      <c r="J3511" s="7"/>
      <c r="K3511" s="7"/>
      <c r="L3511" s="10">
        <v>4.830303030303031</v>
      </c>
      <c r="M3511" s="9">
        <v>44976</v>
      </c>
      <c r="N3511" s="10">
        <v>15</v>
      </c>
      <c r="O3511" s="9">
        <v>44991</v>
      </c>
      <c r="P3511">
        <v>22</v>
      </c>
      <c r="Q3511" s="11" t="s">
        <v>49</v>
      </c>
      <c r="R3511" s="7">
        <v>2008.07</v>
      </c>
      <c r="S3511" s="7"/>
      <c r="T3511" s="7"/>
      <c r="U3511" s="7"/>
      <c r="V3511" s="10">
        <v>6.830303030303031</v>
      </c>
      <c r="W3511" s="9">
        <v>44978</v>
      </c>
      <c r="X3511" s="10">
        <v>17</v>
      </c>
      <c r="Y3511" s="9">
        <v>44991</v>
      </c>
      <c r="Z3511">
        <v>22</v>
      </c>
      <c r="AA3511" s="11" t="s">
        <v>49</v>
      </c>
    </row>
    <row r="3512" spans="2:27" ht="16" x14ac:dyDescent="0.2">
      <c r="B3512" t="s">
        <v>35</v>
      </c>
      <c r="C3512">
        <v>40358754</v>
      </c>
      <c r="D3512" t="s">
        <v>391</v>
      </c>
      <c r="E3512">
        <v>1022141</v>
      </c>
      <c r="F3512" t="s">
        <v>126</v>
      </c>
      <c r="G3512" s="9">
        <v>44972</v>
      </c>
      <c r="H3512" s="7">
        <v>5010.92</v>
      </c>
      <c r="I3512" s="7"/>
      <c r="J3512" s="7"/>
      <c r="K3512" s="7"/>
      <c r="L3512" s="10">
        <v>4.830303030303031</v>
      </c>
      <c r="M3512" s="9">
        <v>44976</v>
      </c>
      <c r="N3512" s="10">
        <v>15</v>
      </c>
      <c r="O3512" s="9">
        <v>44991</v>
      </c>
      <c r="P3512">
        <v>22</v>
      </c>
      <c r="Q3512" s="11" t="s">
        <v>49</v>
      </c>
      <c r="R3512" s="7">
        <v>5010.92</v>
      </c>
      <c r="S3512" s="7"/>
      <c r="T3512" s="7"/>
      <c r="U3512" s="7"/>
      <c r="V3512" s="10">
        <v>6.830303030303031</v>
      </c>
      <c r="W3512" s="9">
        <v>44978</v>
      </c>
      <c r="X3512" s="10">
        <v>17</v>
      </c>
      <c r="Y3512" s="9">
        <v>44991</v>
      </c>
      <c r="Z3512">
        <v>22</v>
      </c>
      <c r="AA3512" s="11" t="s">
        <v>49</v>
      </c>
    </row>
    <row r="3513" spans="2:27" ht="16" x14ac:dyDescent="0.2">
      <c r="B3513" t="s">
        <v>35</v>
      </c>
      <c r="C3513">
        <v>40358754</v>
      </c>
      <c r="D3513" t="s">
        <v>391</v>
      </c>
      <c r="E3513">
        <v>1021925</v>
      </c>
      <c r="F3513" t="s">
        <v>432</v>
      </c>
      <c r="G3513" s="9">
        <v>44972</v>
      </c>
      <c r="H3513" s="7">
        <v>3038.71</v>
      </c>
      <c r="I3513" s="7"/>
      <c r="J3513" s="7"/>
      <c r="K3513" s="7"/>
      <c r="L3513" s="10">
        <v>4.830303030303031</v>
      </c>
      <c r="M3513" s="9">
        <v>44976</v>
      </c>
      <c r="N3513" s="10">
        <v>15</v>
      </c>
      <c r="O3513" s="9">
        <v>44991</v>
      </c>
      <c r="P3513">
        <v>22</v>
      </c>
      <c r="Q3513" s="11" t="s">
        <v>49</v>
      </c>
      <c r="R3513" s="7">
        <v>3038.71</v>
      </c>
      <c r="S3513" s="7"/>
      <c r="T3513" s="7"/>
      <c r="U3513" s="7"/>
      <c r="V3513" s="10">
        <v>6.830303030303031</v>
      </c>
      <c r="W3513" s="9">
        <v>44978</v>
      </c>
      <c r="X3513" s="10">
        <v>17</v>
      </c>
      <c r="Y3513" s="9">
        <v>44991</v>
      </c>
      <c r="Z3513">
        <v>22</v>
      </c>
      <c r="AA3513" s="11" t="s">
        <v>49</v>
      </c>
    </row>
    <row r="3514" spans="2:27" ht="16" x14ac:dyDescent="0.2">
      <c r="B3514" t="s">
        <v>35</v>
      </c>
      <c r="C3514">
        <v>40358754</v>
      </c>
      <c r="D3514" t="s">
        <v>391</v>
      </c>
      <c r="E3514">
        <v>1021924</v>
      </c>
      <c r="F3514" t="s">
        <v>187</v>
      </c>
      <c r="G3514" s="9">
        <v>44972</v>
      </c>
      <c r="H3514" s="7">
        <v>8985.7999999999993</v>
      </c>
      <c r="I3514" s="7"/>
      <c r="J3514" s="7"/>
      <c r="K3514" s="7"/>
      <c r="L3514" s="10">
        <v>4.830303030303031</v>
      </c>
      <c r="M3514" s="9">
        <v>44976</v>
      </c>
      <c r="N3514" s="10">
        <v>15</v>
      </c>
      <c r="O3514" s="9">
        <v>44991</v>
      </c>
      <c r="P3514">
        <v>22</v>
      </c>
      <c r="Q3514" s="11" t="s">
        <v>49</v>
      </c>
      <c r="R3514" s="7">
        <v>8985.7999999999993</v>
      </c>
      <c r="S3514" s="7"/>
      <c r="T3514" s="7"/>
      <c r="U3514" s="7"/>
      <c r="V3514" s="10">
        <v>6.830303030303031</v>
      </c>
      <c r="W3514" s="9">
        <v>44978</v>
      </c>
      <c r="X3514" s="10">
        <v>17</v>
      </c>
      <c r="Y3514" s="9">
        <v>44991</v>
      </c>
      <c r="Z3514">
        <v>22</v>
      </c>
      <c r="AA3514" s="11" t="s">
        <v>49</v>
      </c>
    </row>
    <row r="3515" spans="2:27" x14ac:dyDescent="0.2">
      <c r="B3515" t="s">
        <v>394</v>
      </c>
      <c r="C3515">
        <v>40358752</v>
      </c>
      <c r="D3515" t="s">
        <v>396</v>
      </c>
      <c r="E3515">
        <v>1012612</v>
      </c>
      <c r="F3515" t="s">
        <v>429</v>
      </c>
      <c r="G3515" s="9">
        <v>44982</v>
      </c>
      <c r="H3515" s="7"/>
      <c r="I3515" s="7"/>
      <c r="J3515" s="7"/>
      <c r="K3515" s="7"/>
      <c r="L3515" s="10"/>
      <c r="N3515" s="10"/>
      <c r="Q3515" s="11"/>
      <c r="R3515" s="7"/>
      <c r="S3515" s="7"/>
      <c r="T3515" s="7"/>
      <c r="U3515" s="7"/>
      <c r="V3515" s="10"/>
      <c r="X3515" s="10"/>
      <c r="AA3515" s="11"/>
    </row>
    <row r="3516" spans="2:27" x14ac:dyDescent="0.2">
      <c r="B3516" t="s">
        <v>394</v>
      </c>
      <c r="C3516">
        <v>40358751</v>
      </c>
      <c r="D3516" t="s">
        <v>396</v>
      </c>
      <c r="E3516">
        <v>1012612</v>
      </c>
      <c r="F3516" t="s">
        <v>429</v>
      </c>
      <c r="G3516" s="9">
        <v>44982</v>
      </c>
      <c r="H3516" s="7"/>
      <c r="I3516" s="7"/>
      <c r="J3516" s="7"/>
      <c r="K3516" s="7"/>
      <c r="L3516" s="10"/>
      <c r="N3516" s="10"/>
      <c r="Q3516" s="11"/>
      <c r="R3516" s="7"/>
      <c r="S3516" s="7"/>
      <c r="T3516" s="7"/>
      <c r="U3516" s="7"/>
      <c r="V3516" s="10"/>
      <c r="X3516" s="10"/>
      <c r="AA3516" s="11"/>
    </row>
    <row r="3517" spans="2:27" x14ac:dyDescent="0.2">
      <c r="B3517" t="s">
        <v>394</v>
      </c>
      <c r="C3517">
        <v>40358750</v>
      </c>
      <c r="D3517" t="s">
        <v>396</v>
      </c>
      <c r="E3517">
        <v>1012612</v>
      </c>
      <c r="F3517" t="s">
        <v>429</v>
      </c>
      <c r="G3517" s="9">
        <v>44982</v>
      </c>
      <c r="H3517" s="7"/>
      <c r="I3517" s="7"/>
      <c r="J3517" s="7"/>
      <c r="K3517" s="7"/>
      <c r="L3517" s="10"/>
      <c r="N3517" s="10"/>
      <c r="Q3517" s="11"/>
      <c r="R3517" s="7"/>
      <c r="S3517" s="7"/>
      <c r="T3517" s="7"/>
      <c r="U3517" s="7"/>
      <c r="V3517" s="10"/>
      <c r="X3517" s="10"/>
      <c r="AA3517" s="11"/>
    </row>
    <row r="3518" spans="2:27" x14ac:dyDescent="0.2">
      <c r="B3518" t="s">
        <v>394</v>
      </c>
      <c r="C3518">
        <v>40358748</v>
      </c>
      <c r="D3518" t="s">
        <v>396</v>
      </c>
      <c r="E3518">
        <v>1012612</v>
      </c>
      <c r="F3518" t="s">
        <v>429</v>
      </c>
      <c r="G3518" s="9">
        <v>44982</v>
      </c>
      <c r="H3518" s="7"/>
      <c r="I3518" s="7"/>
      <c r="J3518" s="7"/>
      <c r="K3518" s="7"/>
      <c r="L3518" s="10"/>
      <c r="N3518" s="10"/>
      <c r="Q3518" s="11"/>
      <c r="R3518" s="7"/>
      <c r="S3518" s="7"/>
      <c r="T3518" s="7"/>
      <c r="U3518" s="7"/>
      <c r="V3518" s="10"/>
      <c r="X3518" s="10"/>
      <c r="AA3518" s="11"/>
    </row>
    <row r="3519" spans="2:27" x14ac:dyDescent="0.2">
      <c r="B3519" t="s">
        <v>394</v>
      </c>
      <c r="C3519">
        <v>40358747</v>
      </c>
      <c r="D3519" t="s">
        <v>396</v>
      </c>
      <c r="E3519">
        <v>1012612</v>
      </c>
      <c r="F3519" t="s">
        <v>429</v>
      </c>
      <c r="G3519" s="9">
        <v>44982</v>
      </c>
      <c r="H3519" s="7"/>
      <c r="I3519" s="7"/>
      <c r="J3519" s="7"/>
      <c r="K3519" s="7"/>
      <c r="L3519" s="10"/>
      <c r="N3519" s="10"/>
      <c r="Q3519" s="11"/>
      <c r="R3519" s="7"/>
      <c r="S3519" s="7"/>
      <c r="T3519" s="7"/>
      <c r="U3519" s="7"/>
      <c r="V3519" s="10"/>
      <c r="X3519" s="10"/>
      <c r="AA3519" s="11"/>
    </row>
    <row r="3520" spans="2:27" x14ac:dyDescent="0.2">
      <c r="B3520" t="s">
        <v>394</v>
      </c>
      <c r="C3520">
        <v>40358746</v>
      </c>
      <c r="D3520" t="s">
        <v>396</v>
      </c>
      <c r="E3520">
        <v>1012612</v>
      </c>
      <c r="F3520" t="s">
        <v>429</v>
      </c>
      <c r="G3520" s="9">
        <v>44982</v>
      </c>
      <c r="H3520" s="7"/>
      <c r="I3520" s="7"/>
      <c r="J3520" s="7"/>
      <c r="K3520" s="7"/>
      <c r="L3520" s="10"/>
      <c r="N3520" s="10"/>
      <c r="Q3520" s="11"/>
      <c r="R3520" s="7"/>
      <c r="S3520" s="7"/>
      <c r="T3520" s="7"/>
      <c r="U3520" s="7"/>
      <c r="V3520" s="10"/>
      <c r="X3520" s="10"/>
      <c r="AA3520" s="11"/>
    </row>
    <row r="3521" spans="2:27" x14ac:dyDescent="0.2">
      <c r="B3521" t="s">
        <v>394</v>
      </c>
      <c r="C3521">
        <v>40358745</v>
      </c>
      <c r="D3521" t="s">
        <v>396</v>
      </c>
      <c r="E3521">
        <v>1012612</v>
      </c>
      <c r="F3521" t="s">
        <v>429</v>
      </c>
      <c r="G3521" s="9">
        <v>44976</v>
      </c>
      <c r="H3521" s="7"/>
      <c r="I3521" s="7"/>
      <c r="J3521" s="7"/>
      <c r="K3521" s="7"/>
      <c r="L3521" s="10"/>
      <c r="N3521" s="10"/>
      <c r="Q3521" s="11"/>
      <c r="R3521" s="7"/>
      <c r="S3521" s="7"/>
      <c r="T3521" s="7"/>
      <c r="U3521" s="7"/>
      <c r="V3521" s="10"/>
      <c r="X3521" s="10"/>
      <c r="AA3521" s="11"/>
    </row>
    <row r="3522" spans="2:27" x14ac:dyDescent="0.2">
      <c r="B3522" t="s">
        <v>394</v>
      </c>
      <c r="C3522">
        <v>40358744</v>
      </c>
      <c r="D3522" t="s">
        <v>396</v>
      </c>
      <c r="E3522">
        <v>1012612</v>
      </c>
      <c r="F3522" t="s">
        <v>429</v>
      </c>
      <c r="G3522" s="9">
        <v>44976</v>
      </c>
      <c r="H3522" s="7"/>
      <c r="I3522" s="7"/>
      <c r="J3522" s="7"/>
      <c r="K3522" s="7"/>
      <c r="L3522" s="10"/>
      <c r="N3522" s="10"/>
      <c r="Q3522" s="11"/>
      <c r="R3522" s="7"/>
      <c r="S3522" s="7"/>
      <c r="T3522" s="7"/>
      <c r="U3522" s="7"/>
      <c r="V3522" s="10"/>
      <c r="X3522" s="10"/>
      <c r="AA3522" s="11"/>
    </row>
    <row r="3523" spans="2:27" x14ac:dyDescent="0.2">
      <c r="B3523" t="s">
        <v>394</v>
      </c>
      <c r="C3523">
        <v>40358733</v>
      </c>
      <c r="D3523" t="s">
        <v>396</v>
      </c>
      <c r="E3523">
        <v>1012612</v>
      </c>
      <c r="F3523" t="s">
        <v>429</v>
      </c>
      <c r="G3523" s="9">
        <v>44976</v>
      </c>
      <c r="H3523" s="7"/>
      <c r="I3523" s="7"/>
      <c r="J3523" s="7"/>
      <c r="K3523" s="7"/>
      <c r="L3523" s="10"/>
      <c r="N3523" s="10"/>
      <c r="Q3523" s="11"/>
      <c r="R3523" s="7"/>
      <c r="S3523" s="7"/>
      <c r="T3523" s="7"/>
      <c r="U3523" s="7"/>
      <c r="V3523" s="10"/>
      <c r="X3523" s="10"/>
      <c r="AA3523" s="11"/>
    </row>
    <row r="3524" spans="2:27" x14ac:dyDescent="0.2">
      <c r="B3524" t="s">
        <v>394</v>
      </c>
      <c r="C3524">
        <v>40358732</v>
      </c>
      <c r="D3524" t="s">
        <v>396</v>
      </c>
      <c r="E3524">
        <v>1012612</v>
      </c>
      <c r="F3524" t="s">
        <v>429</v>
      </c>
      <c r="G3524" s="9">
        <v>44969</v>
      </c>
      <c r="H3524" s="7"/>
      <c r="I3524" s="7"/>
      <c r="J3524" s="7"/>
      <c r="K3524" s="7"/>
      <c r="L3524" s="10"/>
      <c r="N3524" s="10"/>
      <c r="Q3524" s="11"/>
      <c r="R3524" s="7"/>
      <c r="S3524" s="7"/>
      <c r="T3524" s="7"/>
      <c r="U3524" s="7"/>
      <c r="V3524" s="10"/>
      <c r="X3524" s="10"/>
      <c r="AA3524" s="11"/>
    </row>
    <row r="3525" spans="2:27" x14ac:dyDescent="0.2">
      <c r="B3525" t="s">
        <v>394</v>
      </c>
      <c r="C3525">
        <v>40358708</v>
      </c>
      <c r="D3525" t="s">
        <v>485</v>
      </c>
      <c r="E3525">
        <v>1022150</v>
      </c>
      <c r="F3525" t="s">
        <v>500</v>
      </c>
      <c r="G3525" s="9">
        <v>44940</v>
      </c>
      <c r="H3525" s="7"/>
      <c r="I3525" s="7"/>
      <c r="J3525" s="7"/>
      <c r="K3525" s="7"/>
      <c r="L3525" s="10"/>
      <c r="N3525" s="10"/>
      <c r="Q3525" s="11"/>
      <c r="R3525" s="7"/>
      <c r="S3525" s="7"/>
      <c r="T3525" s="7"/>
      <c r="U3525" s="7"/>
      <c r="V3525" s="10"/>
      <c r="X3525" s="10"/>
      <c r="AA3525" s="11"/>
    </row>
    <row r="3526" spans="2:27" ht="16" x14ac:dyDescent="0.2">
      <c r="B3526" t="s">
        <v>35</v>
      </c>
      <c r="C3526">
        <v>40358706</v>
      </c>
      <c r="D3526" t="s">
        <v>423</v>
      </c>
      <c r="E3526">
        <v>1023302</v>
      </c>
      <c r="F3526" t="s">
        <v>268</v>
      </c>
      <c r="G3526" s="9">
        <v>44941</v>
      </c>
      <c r="H3526" s="7"/>
      <c r="I3526" s="7"/>
      <c r="J3526" s="7"/>
      <c r="K3526" s="7"/>
      <c r="L3526" s="10">
        <v>5.4496124031007751</v>
      </c>
      <c r="M3526" s="9">
        <v>44946</v>
      </c>
      <c r="N3526" s="10">
        <v>10</v>
      </c>
      <c r="O3526" s="9">
        <v>44956</v>
      </c>
      <c r="P3526">
        <v>1</v>
      </c>
      <c r="Q3526" s="11" t="s">
        <v>648</v>
      </c>
      <c r="R3526" s="7"/>
      <c r="S3526" s="7"/>
      <c r="T3526" s="7"/>
      <c r="U3526" s="7"/>
      <c r="V3526" s="10">
        <v>7.4496124031007751</v>
      </c>
      <c r="W3526" s="9">
        <v>44948</v>
      </c>
      <c r="X3526" s="10">
        <v>12</v>
      </c>
      <c r="Y3526" s="9">
        <v>44956</v>
      </c>
      <c r="Z3526">
        <v>1</v>
      </c>
      <c r="AA3526" s="11" t="s">
        <v>648</v>
      </c>
    </row>
    <row r="3527" spans="2:27" ht="16" x14ac:dyDescent="0.2">
      <c r="B3527" t="s">
        <v>35</v>
      </c>
      <c r="C3527">
        <v>40358705</v>
      </c>
      <c r="D3527" t="s">
        <v>423</v>
      </c>
      <c r="E3527">
        <v>1023302</v>
      </c>
      <c r="F3527" t="s">
        <v>268</v>
      </c>
      <c r="G3527" s="9">
        <v>44941</v>
      </c>
      <c r="H3527" s="7"/>
      <c r="I3527" s="7"/>
      <c r="J3527" s="7"/>
      <c r="K3527" s="7"/>
      <c r="L3527" s="10">
        <v>5.4496124031007751</v>
      </c>
      <c r="M3527" s="9">
        <v>44946</v>
      </c>
      <c r="N3527" s="10">
        <v>10</v>
      </c>
      <c r="O3527" s="9">
        <v>44956</v>
      </c>
      <c r="P3527">
        <v>1</v>
      </c>
      <c r="Q3527" s="11" t="s">
        <v>648</v>
      </c>
      <c r="R3527" s="7"/>
      <c r="S3527" s="7"/>
      <c r="T3527" s="7"/>
      <c r="U3527" s="7"/>
      <c r="V3527" s="10">
        <v>7.4496124031007751</v>
      </c>
      <c r="W3527" s="9">
        <v>44948</v>
      </c>
      <c r="X3527" s="10">
        <v>12</v>
      </c>
      <c r="Y3527" s="9">
        <v>44956</v>
      </c>
      <c r="Z3527">
        <v>1</v>
      </c>
      <c r="AA3527" s="11" t="s">
        <v>648</v>
      </c>
    </row>
    <row r="3528" spans="2:27" ht="16" x14ac:dyDescent="0.2">
      <c r="B3528" t="s">
        <v>35</v>
      </c>
      <c r="C3528">
        <v>40358704</v>
      </c>
      <c r="D3528" t="s">
        <v>423</v>
      </c>
      <c r="E3528">
        <v>1023302</v>
      </c>
      <c r="F3528" t="s">
        <v>268</v>
      </c>
      <c r="G3528" s="9">
        <v>44941</v>
      </c>
      <c r="H3528" s="7"/>
      <c r="I3528" s="7"/>
      <c r="J3528" s="7"/>
      <c r="K3528" s="7"/>
      <c r="L3528" s="10">
        <v>5.4496124031007751</v>
      </c>
      <c r="M3528" s="9">
        <v>44946</v>
      </c>
      <c r="N3528" s="10">
        <v>10</v>
      </c>
      <c r="O3528" s="9">
        <v>44956</v>
      </c>
      <c r="P3528">
        <v>1</v>
      </c>
      <c r="Q3528" s="11" t="s">
        <v>648</v>
      </c>
      <c r="R3528" s="7"/>
      <c r="S3528" s="7"/>
      <c r="T3528" s="7"/>
      <c r="U3528" s="7"/>
      <c r="V3528" s="10">
        <v>7.4496124031007751</v>
      </c>
      <c r="W3528" s="9">
        <v>44948</v>
      </c>
      <c r="X3528" s="10">
        <v>12</v>
      </c>
      <c r="Y3528" s="9">
        <v>44956</v>
      </c>
      <c r="Z3528">
        <v>1</v>
      </c>
      <c r="AA3528" s="11" t="s">
        <v>648</v>
      </c>
    </row>
    <row r="3529" spans="2:27" ht="16" x14ac:dyDescent="0.2">
      <c r="B3529" t="s">
        <v>35</v>
      </c>
      <c r="C3529">
        <v>40358703</v>
      </c>
      <c r="D3529" t="s">
        <v>423</v>
      </c>
      <c r="E3529">
        <v>1023302</v>
      </c>
      <c r="F3529" t="s">
        <v>268</v>
      </c>
      <c r="G3529" s="9">
        <v>44940</v>
      </c>
      <c r="H3529" s="7"/>
      <c r="I3529" s="7"/>
      <c r="J3529" s="7"/>
      <c r="K3529" s="7"/>
      <c r="L3529" s="10">
        <v>5.4496124031007751</v>
      </c>
      <c r="M3529" s="9">
        <v>44945</v>
      </c>
      <c r="N3529" s="10">
        <v>10</v>
      </c>
      <c r="O3529" s="9">
        <v>44955</v>
      </c>
      <c r="P3529">
        <v>2</v>
      </c>
      <c r="Q3529" s="11" t="s">
        <v>648</v>
      </c>
      <c r="R3529" s="7"/>
      <c r="S3529" s="7"/>
      <c r="T3529" s="7"/>
      <c r="U3529" s="7"/>
      <c r="V3529" s="10">
        <v>7.4496124031007751</v>
      </c>
      <c r="W3529" s="9">
        <v>44947</v>
      </c>
      <c r="X3529" s="10">
        <v>12</v>
      </c>
      <c r="Y3529" s="9">
        <v>44955</v>
      </c>
      <c r="Z3529">
        <v>2</v>
      </c>
      <c r="AA3529" s="11" t="s">
        <v>648</v>
      </c>
    </row>
    <row r="3530" spans="2:27" x14ac:dyDescent="0.2">
      <c r="B3530" t="s">
        <v>394</v>
      </c>
      <c r="C3530">
        <v>40358692</v>
      </c>
      <c r="D3530" t="s">
        <v>485</v>
      </c>
      <c r="E3530">
        <v>1023433</v>
      </c>
      <c r="F3530" t="s">
        <v>490</v>
      </c>
      <c r="G3530" s="9">
        <v>44943</v>
      </c>
      <c r="H3530" s="7"/>
      <c r="I3530" s="7"/>
      <c r="J3530" s="7"/>
      <c r="K3530" s="7"/>
      <c r="L3530" s="10"/>
      <c r="N3530" s="10"/>
      <c r="Q3530" s="11"/>
      <c r="R3530" s="7"/>
      <c r="S3530" s="7"/>
      <c r="T3530" s="7"/>
      <c r="U3530" s="7"/>
      <c r="V3530" s="10"/>
      <c r="X3530" s="10"/>
      <c r="AA3530" s="11"/>
    </row>
    <row r="3531" spans="2:27" x14ac:dyDescent="0.2">
      <c r="B3531" t="s">
        <v>394</v>
      </c>
      <c r="C3531">
        <v>40358688</v>
      </c>
      <c r="D3531" t="s">
        <v>485</v>
      </c>
      <c r="E3531">
        <v>1020944</v>
      </c>
      <c r="F3531" t="s">
        <v>498</v>
      </c>
      <c r="G3531" s="9">
        <v>44934</v>
      </c>
      <c r="H3531" s="7"/>
      <c r="I3531" s="7"/>
      <c r="J3531" s="7"/>
      <c r="K3531" s="7"/>
      <c r="L3531" s="10"/>
      <c r="N3531" s="10"/>
      <c r="Q3531" s="11"/>
      <c r="R3531" s="7"/>
      <c r="S3531" s="7"/>
      <c r="T3531" s="7"/>
      <c r="U3531" s="7"/>
      <c r="V3531" s="10"/>
      <c r="X3531" s="10"/>
      <c r="AA3531" s="11"/>
    </row>
    <row r="3532" spans="2:27" x14ac:dyDescent="0.2">
      <c r="B3532" t="s">
        <v>394</v>
      </c>
      <c r="C3532">
        <v>40358687</v>
      </c>
      <c r="D3532" t="s">
        <v>485</v>
      </c>
      <c r="E3532">
        <v>1020944</v>
      </c>
      <c r="F3532" t="s">
        <v>498</v>
      </c>
      <c r="G3532" s="9">
        <v>44934</v>
      </c>
      <c r="H3532" s="7"/>
      <c r="I3532" s="7"/>
      <c r="J3532" s="7"/>
      <c r="K3532" s="7"/>
      <c r="L3532" s="10"/>
      <c r="N3532" s="10"/>
      <c r="Q3532" s="11"/>
      <c r="R3532" s="7"/>
      <c r="S3532" s="7"/>
      <c r="T3532" s="7"/>
      <c r="U3532" s="7"/>
      <c r="V3532" s="10"/>
      <c r="X3532" s="10"/>
      <c r="AA3532" s="11"/>
    </row>
    <row r="3533" spans="2:27" x14ac:dyDescent="0.2">
      <c r="B3533" t="s">
        <v>394</v>
      </c>
      <c r="C3533">
        <v>40358684</v>
      </c>
      <c r="D3533" t="s">
        <v>485</v>
      </c>
      <c r="E3533">
        <v>1023433</v>
      </c>
      <c r="F3533" t="s">
        <v>490</v>
      </c>
      <c r="G3533" s="9">
        <v>44946</v>
      </c>
      <c r="H3533" s="7"/>
      <c r="I3533" s="7"/>
      <c r="J3533" s="7"/>
      <c r="K3533" s="7"/>
      <c r="L3533" s="10"/>
      <c r="N3533" s="10"/>
      <c r="Q3533" s="11"/>
      <c r="R3533" s="7"/>
      <c r="S3533" s="7"/>
      <c r="T3533" s="7"/>
      <c r="U3533" s="7"/>
      <c r="V3533" s="10"/>
      <c r="X3533" s="10"/>
      <c r="AA3533" s="11"/>
    </row>
    <row r="3534" spans="2:27" x14ac:dyDescent="0.2">
      <c r="B3534" t="s">
        <v>394</v>
      </c>
      <c r="C3534">
        <v>40358684</v>
      </c>
      <c r="D3534" t="s">
        <v>485</v>
      </c>
      <c r="E3534">
        <v>1020944</v>
      </c>
      <c r="F3534" t="s">
        <v>498</v>
      </c>
      <c r="G3534" s="9">
        <v>44946</v>
      </c>
      <c r="H3534" s="7"/>
      <c r="I3534" s="7"/>
      <c r="J3534" s="7"/>
      <c r="K3534" s="7"/>
      <c r="L3534" s="10"/>
      <c r="N3534" s="10"/>
      <c r="Q3534" s="11"/>
      <c r="R3534" s="7"/>
      <c r="S3534" s="7"/>
      <c r="T3534" s="7"/>
      <c r="U3534" s="7"/>
      <c r="V3534" s="10"/>
      <c r="X3534" s="10"/>
      <c r="AA3534" s="11"/>
    </row>
    <row r="3535" spans="2:27" x14ac:dyDescent="0.2">
      <c r="B3535" t="s">
        <v>394</v>
      </c>
      <c r="C3535">
        <v>40358684</v>
      </c>
      <c r="D3535" t="s">
        <v>485</v>
      </c>
      <c r="E3535">
        <v>1023433</v>
      </c>
      <c r="F3535" t="s">
        <v>490</v>
      </c>
      <c r="G3535" s="9">
        <v>44946</v>
      </c>
      <c r="H3535" s="7"/>
      <c r="I3535" s="7"/>
      <c r="J3535" s="7"/>
      <c r="K3535" s="7"/>
      <c r="L3535" s="10"/>
      <c r="N3535" s="10"/>
      <c r="Q3535" s="11"/>
      <c r="R3535" s="7"/>
      <c r="S3535" s="7"/>
      <c r="T3535" s="7"/>
      <c r="U3535" s="7"/>
      <c r="V3535" s="10"/>
      <c r="X3535" s="10"/>
      <c r="AA3535" s="11"/>
    </row>
    <row r="3536" spans="2:27" x14ac:dyDescent="0.2">
      <c r="B3536" t="s">
        <v>394</v>
      </c>
      <c r="C3536">
        <v>40358684</v>
      </c>
      <c r="D3536" t="s">
        <v>485</v>
      </c>
      <c r="E3536">
        <v>1020017</v>
      </c>
      <c r="F3536" t="s">
        <v>524</v>
      </c>
      <c r="G3536" s="9">
        <v>44946</v>
      </c>
      <c r="H3536" s="7"/>
      <c r="I3536" s="7"/>
      <c r="J3536" s="7"/>
      <c r="K3536" s="7"/>
      <c r="L3536" s="10"/>
      <c r="N3536" s="10"/>
      <c r="Q3536" s="11"/>
      <c r="R3536" s="7"/>
      <c r="S3536" s="7"/>
      <c r="T3536" s="7"/>
      <c r="U3536" s="7"/>
      <c r="V3536" s="10"/>
      <c r="X3536" s="10"/>
      <c r="AA3536" s="11"/>
    </row>
    <row r="3537" spans="2:27" x14ac:dyDescent="0.2">
      <c r="B3537" t="s">
        <v>394</v>
      </c>
      <c r="C3537">
        <v>40358684</v>
      </c>
      <c r="D3537" t="s">
        <v>485</v>
      </c>
      <c r="E3537">
        <v>1020367</v>
      </c>
      <c r="F3537" t="s">
        <v>596</v>
      </c>
      <c r="G3537" s="9">
        <v>44946</v>
      </c>
      <c r="H3537" s="7"/>
      <c r="I3537" s="7"/>
      <c r="J3537" s="7"/>
      <c r="K3537" s="7"/>
      <c r="L3537" s="10"/>
      <c r="N3537" s="10"/>
      <c r="Q3537" s="11"/>
      <c r="R3537" s="7"/>
      <c r="S3537" s="7"/>
      <c r="T3537" s="7"/>
      <c r="U3537" s="7"/>
      <c r="V3537" s="10"/>
      <c r="X3537" s="10"/>
      <c r="AA3537" s="11"/>
    </row>
    <row r="3538" spans="2:27" ht="16" x14ac:dyDescent="0.2">
      <c r="B3538" t="s">
        <v>35</v>
      </c>
      <c r="C3538">
        <v>40358681</v>
      </c>
      <c r="D3538" t="s">
        <v>409</v>
      </c>
      <c r="E3538">
        <v>1021538</v>
      </c>
      <c r="F3538" t="s">
        <v>256</v>
      </c>
      <c r="G3538" s="9">
        <v>44957</v>
      </c>
      <c r="H3538" s="7"/>
      <c r="I3538" s="7"/>
      <c r="J3538" s="7"/>
      <c r="K3538" s="7"/>
      <c r="L3538" s="10">
        <v>7.5</v>
      </c>
      <c r="M3538" s="9">
        <v>44964</v>
      </c>
      <c r="N3538" s="10">
        <v>9.5</v>
      </c>
      <c r="O3538" s="9">
        <v>44973</v>
      </c>
      <c r="P3538">
        <v>9</v>
      </c>
      <c r="Q3538" s="11" t="s">
        <v>49</v>
      </c>
      <c r="R3538" s="7"/>
      <c r="S3538" s="7"/>
      <c r="T3538" s="7"/>
      <c r="U3538" s="7"/>
      <c r="V3538" s="10">
        <v>9.5</v>
      </c>
      <c r="W3538" s="9">
        <v>44966</v>
      </c>
      <c r="X3538" s="10">
        <v>11.5</v>
      </c>
      <c r="Y3538" s="9">
        <v>44973</v>
      </c>
      <c r="Z3538">
        <v>9</v>
      </c>
      <c r="AA3538" s="11" t="s">
        <v>49</v>
      </c>
    </row>
    <row r="3539" spans="2:27" ht="16" x14ac:dyDescent="0.2">
      <c r="B3539" t="s">
        <v>35</v>
      </c>
      <c r="C3539">
        <v>40358677</v>
      </c>
      <c r="D3539" t="s">
        <v>409</v>
      </c>
      <c r="E3539">
        <v>1030735</v>
      </c>
      <c r="F3539" t="s">
        <v>361</v>
      </c>
      <c r="G3539" s="9">
        <v>44956</v>
      </c>
      <c r="H3539" s="7"/>
      <c r="I3539" s="7"/>
      <c r="J3539" s="7"/>
      <c r="K3539" s="7"/>
      <c r="L3539" s="10">
        <v>7.5</v>
      </c>
      <c r="M3539" s="9">
        <v>44963</v>
      </c>
      <c r="N3539" s="10">
        <v>9.5</v>
      </c>
      <c r="O3539" s="9">
        <v>44972</v>
      </c>
      <c r="P3539">
        <v>10</v>
      </c>
      <c r="Q3539" s="11" t="s">
        <v>49</v>
      </c>
      <c r="R3539" s="7"/>
      <c r="S3539" s="7"/>
      <c r="T3539" s="7"/>
      <c r="U3539" s="7"/>
      <c r="V3539" s="10">
        <v>9.5</v>
      </c>
      <c r="W3539" s="9">
        <v>44965</v>
      </c>
      <c r="X3539" s="10">
        <v>11.5</v>
      </c>
      <c r="Y3539" s="9">
        <v>44972</v>
      </c>
      <c r="Z3539">
        <v>10</v>
      </c>
      <c r="AA3539" s="11" t="s">
        <v>49</v>
      </c>
    </row>
    <row r="3540" spans="2:27" x14ac:dyDescent="0.2">
      <c r="B3540" t="s">
        <v>394</v>
      </c>
      <c r="C3540">
        <v>40358673</v>
      </c>
      <c r="D3540" t="s">
        <v>485</v>
      </c>
      <c r="E3540">
        <v>1021385</v>
      </c>
      <c r="F3540" t="s">
        <v>495</v>
      </c>
      <c r="G3540" s="9">
        <v>44933</v>
      </c>
      <c r="H3540" s="7"/>
      <c r="I3540" s="7"/>
      <c r="J3540" s="7"/>
      <c r="K3540" s="7"/>
      <c r="L3540" s="10"/>
      <c r="N3540" s="10"/>
      <c r="Q3540" s="11"/>
      <c r="R3540" s="7"/>
      <c r="S3540" s="7"/>
      <c r="T3540" s="7"/>
      <c r="U3540" s="7"/>
      <c r="V3540" s="10"/>
      <c r="X3540" s="10"/>
      <c r="AA3540" s="11"/>
    </row>
    <row r="3541" spans="2:27" x14ac:dyDescent="0.2">
      <c r="B3541" t="s">
        <v>394</v>
      </c>
      <c r="C3541">
        <v>40358673</v>
      </c>
      <c r="D3541" t="s">
        <v>485</v>
      </c>
      <c r="E3541">
        <v>1020339</v>
      </c>
      <c r="F3541" t="s">
        <v>599</v>
      </c>
      <c r="G3541" s="9">
        <v>44933</v>
      </c>
      <c r="H3541" s="7"/>
      <c r="I3541" s="7"/>
      <c r="J3541" s="7"/>
      <c r="K3541" s="7"/>
      <c r="L3541" s="10"/>
      <c r="N3541" s="10"/>
      <c r="Q3541" s="11"/>
      <c r="R3541" s="7"/>
      <c r="S3541" s="7"/>
      <c r="T3541" s="7"/>
      <c r="U3541" s="7"/>
      <c r="V3541" s="10"/>
      <c r="X3541" s="10"/>
      <c r="AA3541" s="11"/>
    </row>
    <row r="3542" spans="2:27" ht="16" x14ac:dyDescent="0.2">
      <c r="B3542" t="s">
        <v>35</v>
      </c>
      <c r="C3542">
        <v>40358668</v>
      </c>
      <c r="D3542" t="s">
        <v>409</v>
      </c>
      <c r="E3542">
        <v>1012148</v>
      </c>
      <c r="F3542" t="s">
        <v>111</v>
      </c>
      <c r="G3542" s="9">
        <v>44955</v>
      </c>
      <c r="H3542" s="7"/>
      <c r="I3542" s="7"/>
      <c r="J3542" s="7"/>
      <c r="K3542" s="7"/>
      <c r="L3542" s="10">
        <v>7.5</v>
      </c>
      <c r="M3542" s="9">
        <v>44962</v>
      </c>
      <c r="N3542" s="10">
        <v>9.5</v>
      </c>
      <c r="O3542" s="9">
        <v>44971</v>
      </c>
      <c r="P3542">
        <v>11</v>
      </c>
      <c r="Q3542" s="11" t="s">
        <v>49</v>
      </c>
      <c r="R3542" s="7"/>
      <c r="S3542" s="7"/>
      <c r="T3542" s="7"/>
      <c r="U3542" s="7"/>
      <c r="V3542" s="10">
        <v>9.5</v>
      </c>
      <c r="W3542" s="9">
        <v>44964</v>
      </c>
      <c r="X3542" s="10">
        <v>11.5</v>
      </c>
      <c r="Y3542" s="9">
        <v>44971</v>
      </c>
      <c r="Z3542">
        <v>11</v>
      </c>
      <c r="AA3542" s="11" t="s">
        <v>49</v>
      </c>
    </row>
    <row r="3543" spans="2:27" ht="16" x14ac:dyDescent="0.2">
      <c r="B3543" t="s">
        <v>35</v>
      </c>
      <c r="C3543">
        <v>40358650</v>
      </c>
      <c r="D3543" t="s">
        <v>391</v>
      </c>
      <c r="E3543">
        <v>1022621</v>
      </c>
      <c r="F3543" t="s">
        <v>199</v>
      </c>
      <c r="G3543" s="9">
        <v>44966</v>
      </c>
      <c r="H3543" s="7"/>
      <c r="I3543" s="7"/>
      <c r="J3543" s="7"/>
      <c r="K3543" s="7"/>
      <c r="L3543" s="10">
        <v>4.830303030303031</v>
      </c>
      <c r="M3543" s="9">
        <v>44970</v>
      </c>
      <c r="N3543" s="10">
        <v>15</v>
      </c>
      <c r="O3543" s="9">
        <v>44985</v>
      </c>
      <c r="P3543">
        <v>0</v>
      </c>
      <c r="Q3543" s="11" t="s">
        <v>594</v>
      </c>
      <c r="R3543" s="7"/>
      <c r="S3543" s="7"/>
      <c r="T3543" s="7"/>
      <c r="U3543" s="7"/>
      <c r="V3543" s="10">
        <v>6.830303030303031</v>
      </c>
      <c r="W3543" s="9">
        <v>44972</v>
      </c>
      <c r="X3543" s="10">
        <v>17</v>
      </c>
      <c r="Y3543" s="9">
        <v>44985</v>
      </c>
      <c r="Z3543">
        <v>0</v>
      </c>
      <c r="AA3543" s="11" t="s">
        <v>594</v>
      </c>
    </row>
    <row r="3544" spans="2:27" ht="16" x14ac:dyDescent="0.2">
      <c r="B3544" t="s">
        <v>35</v>
      </c>
      <c r="C3544">
        <v>40358650</v>
      </c>
      <c r="D3544" t="s">
        <v>391</v>
      </c>
      <c r="E3544">
        <v>1022751</v>
      </c>
      <c r="F3544" t="s">
        <v>36</v>
      </c>
      <c r="G3544" s="9">
        <v>44966</v>
      </c>
      <c r="H3544" s="7"/>
      <c r="I3544" s="7"/>
      <c r="J3544" s="7"/>
      <c r="K3544" s="7"/>
      <c r="L3544" s="10">
        <v>4.830303030303031</v>
      </c>
      <c r="M3544" s="9">
        <v>44970</v>
      </c>
      <c r="N3544" s="10">
        <v>15</v>
      </c>
      <c r="O3544" s="9">
        <v>44985</v>
      </c>
      <c r="P3544">
        <v>0</v>
      </c>
      <c r="Q3544" s="11" t="s">
        <v>594</v>
      </c>
      <c r="R3544" s="7"/>
      <c r="S3544" s="7"/>
      <c r="T3544" s="7"/>
      <c r="U3544" s="7"/>
      <c r="V3544" s="10">
        <v>6.830303030303031</v>
      </c>
      <c r="W3544" s="9">
        <v>44972</v>
      </c>
      <c r="X3544" s="10">
        <v>17</v>
      </c>
      <c r="Y3544" s="9">
        <v>44985</v>
      </c>
      <c r="Z3544">
        <v>0</v>
      </c>
      <c r="AA3544" s="11" t="s">
        <v>594</v>
      </c>
    </row>
    <row r="3545" spans="2:27" ht="16" x14ac:dyDescent="0.2">
      <c r="B3545" t="s">
        <v>35</v>
      </c>
      <c r="C3545">
        <v>40358650</v>
      </c>
      <c r="D3545" t="s">
        <v>391</v>
      </c>
      <c r="E3545">
        <v>1022864</v>
      </c>
      <c r="F3545" t="s">
        <v>41</v>
      </c>
      <c r="G3545" s="9">
        <v>44966</v>
      </c>
      <c r="H3545" s="7"/>
      <c r="I3545" s="7"/>
      <c r="J3545" s="7"/>
      <c r="K3545" s="7"/>
      <c r="L3545" s="10">
        <v>4.830303030303031</v>
      </c>
      <c r="M3545" s="9">
        <v>44970</v>
      </c>
      <c r="N3545" s="10">
        <v>15</v>
      </c>
      <c r="O3545" s="9">
        <v>44985</v>
      </c>
      <c r="P3545">
        <v>0</v>
      </c>
      <c r="Q3545" s="11" t="s">
        <v>594</v>
      </c>
      <c r="R3545" s="7"/>
      <c r="S3545" s="7"/>
      <c r="T3545" s="7"/>
      <c r="U3545" s="7"/>
      <c r="V3545" s="10">
        <v>6.830303030303031</v>
      </c>
      <c r="W3545" s="9">
        <v>44972</v>
      </c>
      <c r="X3545" s="10">
        <v>17</v>
      </c>
      <c r="Y3545" s="9">
        <v>44985</v>
      </c>
      <c r="Z3545">
        <v>0</v>
      </c>
      <c r="AA3545" s="11" t="s">
        <v>594</v>
      </c>
    </row>
    <row r="3546" spans="2:27" ht="16" x14ac:dyDescent="0.2">
      <c r="B3546" t="s">
        <v>35</v>
      </c>
      <c r="C3546">
        <v>40358650</v>
      </c>
      <c r="D3546" t="s">
        <v>391</v>
      </c>
      <c r="E3546">
        <v>1022865</v>
      </c>
      <c r="F3546" t="s">
        <v>343</v>
      </c>
      <c r="G3546" s="9">
        <v>44966</v>
      </c>
      <c r="H3546" s="7"/>
      <c r="I3546" s="7"/>
      <c r="J3546" s="7"/>
      <c r="K3546" s="7"/>
      <c r="L3546" s="10">
        <v>4.830303030303031</v>
      </c>
      <c r="M3546" s="9">
        <v>44970</v>
      </c>
      <c r="N3546" s="10">
        <v>15</v>
      </c>
      <c r="O3546" s="9">
        <v>44985</v>
      </c>
      <c r="P3546">
        <v>0</v>
      </c>
      <c r="Q3546" s="11" t="s">
        <v>594</v>
      </c>
      <c r="R3546" s="7"/>
      <c r="S3546" s="7"/>
      <c r="T3546" s="7"/>
      <c r="U3546" s="7"/>
      <c r="V3546" s="10">
        <v>6.830303030303031</v>
      </c>
      <c r="W3546" s="9">
        <v>44972</v>
      </c>
      <c r="X3546" s="10">
        <v>17</v>
      </c>
      <c r="Y3546" s="9">
        <v>44985</v>
      </c>
      <c r="Z3546">
        <v>0</v>
      </c>
      <c r="AA3546" s="11" t="s">
        <v>594</v>
      </c>
    </row>
    <row r="3547" spans="2:27" ht="16" x14ac:dyDescent="0.2">
      <c r="B3547" t="s">
        <v>35</v>
      </c>
      <c r="C3547">
        <v>40358644</v>
      </c>
      <c r="D3547" t="s">
        <v>391</v>
      </c>
      <c r="E3547">
        <v>1023265</v>
      </c>
      <c r="F3547" t="s">
        <v>347</v>
      </c>
      <c r="G3547" s="9">
        <v>44962</v>
      </c>
      <c r="H3547" s="7"/>
      <c r="I3547" s="7"/>
      <c r="J3547" s="7"/>
      <c r="K3547" s="7"/>
      <c r="L3547" s="10">
        <v>4.830303030303031</v>
      </c>
      <c r="M3547" s="9">
        <v>44966</v>
      </c>
      <c r="N3547" s="10">
        <v>15</v>
      </c>
      <c r="O3547" s="9">
        <v>44981</v>
      </c>
      <c r="P3547">
        <v>3</v>
      </c>
      <c r="Q3547" s="11" t="s">
        <v>49</v>
      </c>
      <c r="R3547" s="7"/>
      <c r="S3547" s="7"/>
      <c r="T3547" s="7"/>
      <c r="U3547" s="7"/>
      <c r="V3547" s="10">
        <v>6.830303030303031</v>
      </c>
      <c r="W3547" s="9">
        <v>44968</v>
      </c>
      <c r="X3547" s="10">
        <v>17</v>
      </c>
      <c r="Y3547" s="9">
        <v>44981</v>
      </c>
      <c r="Z3547">
        <v>3</v>
      </c>
      <c r="AA3547" s="11" t="s">
        <v>49</v>
      </c>
    </row>
    <row r="3548" spans="2:27" ht="16" x14ac:dyDescent="0.2">
      <c r="B3548" t="s">
        <v>35</v>
      </c>
      <c r="C3548">
        <v>40358644</v>
      </c>
      <c r="D3548" t="s">
        <v>391</v>
      </c>
      <c r="E3548">
        <v>1021931</v>
      </c>
      <c r="F3548" t="s">
        <v>189</v>
      </c>
      <c r="G3548" s="9">
        <v>44962</v>
      </c>
      <c r="H3548" s="7"/>
      <c r="I3548" s="7"/>
      <c r="J3548" s="7"/>
      <c r="K3548" s="7"/>
      <c r="L3548" s="10">
        <v>4.830303030303031</v>
      </c>
      <c r="M3548" s="9">
        <v>44966</v>
      </c>
      <c r="N3548" s="10">
        <v>15</v>
      </c>
      <c r="O3548" s="9">
        <v>44981</v>
      </c>
      <c r="P3548">
        <v>3</v>
      </c>
      <c r="Q3548" s="11" t="s">
        <v>49</v>
      </c>
      <c r="R3548" s="7"/>
      <c r="S3548" s="7"/>
      <c r="T3548" s="7"/>
      <c r="U3548" s="7"/>
      <c r="V3548" s="10">
        <v>6.830303030303031</v>
      </c>
      <c r="W3548" s="9">
        <v>44968</v>
      </c>
      <c r="X3548" s="10">
        <v>17</v>
      </c>
      <c r="Y3548" s="9">
        <v>44981</v>
      </c>
      <c r="Z3548">
        <v>3</v>
      </c>
      <c r="AA3548" s="11" t="s">
        <v>49</v>
      </c>
    </row>
    <row r="3549" spans="2:27" ht="16" x14ac:dyDescent="0.2">
      <c r="B3549" t="s">
        <v>35</v>
      </c>
      <c r="C3549">
        <v>40358643</v>
      </c>
      <c r="D3549" t="s">
        <v>391</v>
      </c>
      <c r="E3549">
        <v>1022864</v>
      </c>
      <c r="F3549" t="s">
        <v>41</v>
      </c>
      <c r="G3549" s="9">
        <v>44962</v>
      </c>
      <c r="H3549" s="7"/>
      <c r="I3549" s="7"/>
      <c r="J3549" s="7"/>
      <c r="K3549" s="7"/>
      <c r="L3549" s="10">
        <v>4.830303030303031</v>
      </c>
      <c r="M3549" s="9">
        <v>44966</v>
      </c>
      <c r="N3549" s="10">
        <v>15</v>
      </c>
      <c r="O3549" s="9">
        <v>44981</v>
      </c>
      <c r="P3549">
        <v>3</v>
      </c>
      <c r="Q3549" s="11" t="s">
        <v>49</v>
      </c>
      <c r="R3549" s="7"/>
      <c r="S3549" s="7"/>
      <c r="T3549" s="7"/>
      <c r="U3549" s="7"/>
      <c r="V3549" s="10">
        <v>6.830303030303031</v>
      </c>
      <c r="W3549" s="9">
        <v>44968</v>
      </c>
      <c r="X3549" s="10">
        <v>17</v>
      </c>
      <c r="Y3549" s="9">
        <v>44981</v>
      </c>
      <c r="Z3549">
        <v>3</v>
      </c>
      <c r="AA3549" s="11" t="s">
        <v>49</v>
      </c>
    </row>
    <row r="3550" spans="2:27" ht="16" x14ac:dyDescent="0.2">
      <c r="B3550" t="s">
        <v>35</v>
      </c>
      <c r="C3550">
        <v>40358643</v>
      </c>
      <c r="D3550" t="s">
        <v>391</v>
      </c>
      <c r="E3550">
        <v>1022751</v>
      </c>
      <c r="F3550" t="s">
        <v>36</v>
      </c>
      <c r="G3550" s="9">
        <v>44962</v>
      </c>
      <c r="H3550" s="7"/>
      <c r="I3550" s="7"/>
      <c r="J3550" s="7"/>
      <c r="K3550" s="7"/>
      <c r="L3550" s="10">
        <v>4.830303030303031</v>
      </c>
      <c r="M3550" s="9">
        <v>44966</v>
      </c>
      <c r="N3550" s="10">
        <v>15</v>
      </c>
      <c r="O3550" s="9">
        <v>44981</v>
      </c>
      <c r="P3550">
        <v>3</v>
      </c>
      <c r="Q3550" s="11" t="s">
        <v>49</v>
      </c>
      <c r="R3550" s="7"/>
      <c r="S3550" s="7"/>
      <c r="T3550" s="7"/>
      <c r="U3550" s="7"/>
      <c r="V3550" s="10">
        <v>6.830303030303031</v>
      </c>
      <c r="W3550" s="9">
        <v>44968</v>
      </c>
      <c r="X3550" s="10">
        <v>17</v>
      </c>
      <c r="Y3550" s="9">
        <v>44981</v>
      </c>
      <c r="Z3550">
        <v>3</v>
      </c>
      <c r="AA3550" s="11" t="s">
        <v>49</v>
      </c>
    </row>
    <row r="3551" spans="2:27" ht="16" x14ac:dyDescent="0.2">
      <c r="B3551" t="s">
        <v>35</v>
      </c>
      <c r="C3551">
        <v>40358643</v>
      </c>
      <c r="D3551" t="s">
        <v>391</v>
      </c>
      <c r="E3551">
        <v>1022621</v>
      </c>
      <c r="F3551" t="s">
        <v>199</v>
      </c>
      <c r="G3551" s="9">
        <v>44962</v>
      </c>
      <c r="H3551" s="7"/>
      <c r="I3551" s="7"/>
      <c r="J3551" s="7"/>
      <c r="K3551" s="7"/>
      <c r="L3551" s="10">
        <v>4.830303030303031</v>
      </c>
      <c r="M3551" s="9">
        <v>44966</v>
      </c>
      <c r="N3551" s="10">
        <v>15</v>
      </c>
      <c r="O3551" s="9">
        <v>44981</v>
      </c>
      <c r="P3551">
        <v>3</v>
      </c>
      <c r="Q3551" s="11" t="s">
        <v>49</v>
      </c>
      <c r="R3551" s="7"/>
      <c r="S3551" s="7"/>
      <c r="T3551" s="7"/>
      <c r="U3551" s="7"/>
      <c r="V3551" s="10">
        <v>6.830303030303031</v>
      </c>
      <c r="W3551" s="9">
        <v>44968</v>
      </c>
      <c r="X3551" s="10">
        <v>17</v>
      </c>
      <c r="Y3551" s="9">
        <v>44981</v>
      </c>
      <c r="Z3551">
        <v>3</v>
      </c>
      <c r="AA3551" s="11" t="s">
        <v>49</v>
      </c>
    </row>
    <row r="3552" spans="2:27" ht="16" x14ac:dyDescent="0.2">
      <c r="B3552" t="s">
        <v>35</v>
      </c>
      <c r="C3552">
        <v>40358643</v>
      </c>
      <c r="D3552" t="s">
        <v>391</v>
      </c>
      <c r="E3552">
        <v>1021924</v>
      </c>
      <c r="F3552" t="s">
        <v>187</v>
      </c>
      <c r="G3552" s="9">
        <v>44962</v>
      </c>
      <c r="H3552" s="7"/>
      <c r="I3552" s="7"/>
      <c r="J3552" s="7"/>
      <c r="K3552" s="7"/>
      <c r="L3552" s="10">
        <v>4.830303030303031</v>
      </c>
      <c r="M3552" s="9">
        <v>44966</v>
      </c>
      <c r="N3552" s="10">
        <v>15</v>
      </c>
      <c r="O3552" s="9">
        <v>44981</v>
      </c>
      <c r="P3552">
        <v>3</v>
      </c>
      <c r="Q3552" s="11" t="s">
        <v>49</v>
      </c>
      <c r="R3552" s="7"/>
      <c r="S3552" s="7"/>
      <c r="T3552" s="7"/>
      <c r="U3552" s="7"/>
      <c r="V3552" s="10">
        <v>6.830303030303031</v>
      </c>
      <c r="W3552" s="9">
        <v>44968</v>
      </c>
      <c r="X3552" s="10">
        <v>17</v>
      </c>
      <c r="Y3552" s="9">
        <v>44981</v>
      </c>
      <c r="Z3552">
        <v>3</v>
      </c>
      <c r="AA3552" s="11" t="s">
        <v>49</v>
      </c>
    </row>
    <row r="3553" spans="2:27" ht="16" x14ac:dyDescent="0.2">
      <c r="B3553" t="s">
        <v>35</v>
      </c>
      <c r="C3553">
        <v>40358629</v>
      </c>
      <c r="D3553" t="s">
        <v>391</v>
      </c>
      <c r="E3553">
        <v>1023265</v>
      </c>
      <c r="F3553" t="s">
        <v>347</v>
      </c>
      <c r="G3553" s="9">
        <v>44962</v>
      </c>
      <c r="H3553" s="7"/>
      <c r="I3553" s="7"/>
      <c r="J3553" s="7"/>
      <c r="K3553" s="7"/>
      <c r="L3553" s="10">
        <v>4.830303030303031</v>
      </c>
      <c r="M3553" s="9">
        <v>44966</v>
      </c>
      <c r="N3553" s="10">
        <v>15</v>
      </c>
      <c r="O3553" s="9">
        <v>44981</v>
      </c>
      <c r="P3553">
        <v>3</v>
      </c>
      <c r="Q3553" s="11" t="s">
        <v>49</v>
      </c>
      <c r="R3553" s="7"/>
      <c r="S3553" s="7"/>
      <c r="T3553" s="7"/>
      <c r="U3553" s="7"/>
      <c r="V3553" s="10">
        <v>6.830303030303031</v>
      </c>
      <c r="W3553" s="9">
        <v>44968</v>
      </c>
      <c r="X3553" s="10">
        <v>17</v>
      </c>
      <c r="Y3553" s="9">
        <v>44981</v>
      </c>
      <c r="Z3553">
        <v>3</v>
      </c>
      <c r="AA3553" s="11" t="s">
        <v>49</v>
      </c>
    </row>
    <row r="3554" spans="2:27" ht="16" x14ac:dyDescent="0.2">
      <c r="B3554" t="s">
        <v>35</v>
      </c>
      <c r="C3554">
        <v>40358629</v>
      </c>
      <c r="D3554" t="s">
        <v>391</v>
      </c>
      <c r="E3554">
        <v>1021931</v>
      </c>
      <c r="F3554" t="s">
        <v>189</v>
      </c>
      <c r="G3554" s="9">
        <v>44962</v>
      </c>
      <c r="H3554" s="7"/>
      <c r="I3554" s="7"/>
      <c r="J3554" s="7"/>
      <c r="K3554" s="7"/>
      <c r="L3554" s="10">
        <v>4.830303030303031</v>
      </c>
      <c r="M3554" s="9">
        <v>44966</v>
      </c>
      <c r="N3554" s="10">
        <v>15</v>
      </c>
      <c r="O3554" s="9">
        <v>44981</v>
      </c>
      <c r="P3554">
        <v>3</v>
      </c>
      <c r="Q3554" s="11" t="s">
        <v>49</v>
      </c>
      <c r="R3554" s="7"/>
      <c r="S3554" s="7"/>
      <c r="T3554" s="7"/>
      <c r="U3554" s="7"/>
      <c r="V3554" s="10">
        <v>6.830303030303031</v>
      </c>
      <c r="W3554" s="9">
        <v>44968</v>
      </c>
      <c r="X3554" s="10">
        <v>17</v>
      </c>
      <c r="Y3554" s="9">
        <v>44981</v>
      </c>
      <c r="Z3554">
        <v>3</v>
      </c>
      <c r="AA3554" s="11" t="s">
        <v>49</v>
      </c>
    </row>
    <row r="3555" spans="2:27" ht="16" x14ac:dyDescent="0.2">
      <c r="B3555" t="s">
        <v>35</v>
      </c>
      <c r="C3555">
        <v>40358628</v>
      </c>
      <c r="D3555" t="s">
        <v>391</v>
      </c>
      <c r="E3555">
        <v>1022975</v>
      </c>
      <c r="F3555" t="s">
        <v>433</v>
      </c>
      <c r="G3555" s="9">
        <v>44962</v>
      </c>
      <c r="H3555" s="7"/>
      <c r="I3555" s="7"/>
      <c r="J3555" s="7"/>
      <c r="K3555" s="7"/>
      <c r="L3555" s="10">
        <v>4.830303030303031</v>
      </c>
      <c r="M3555" s="9">
        <v>44966</v>
      </c>
      <c r="N3555" s="10">
        <v>15</v>
      </c>
      <c r="O3555" s="9">
        <v>44981</v>
      </c>
      <c r="P3555">
        <v>3</v>
      </c>
      <c r="Q3555" s="11" t="s">
        <v>49</v>
      </c>
      <c r="R3555" s="7"/>
      <c r="S3555" s="7"/>
      <c r="T3555" s="7"/>
      <c r="U3555" s="7"/>
      <c r="V3555" s="10">
        <v>6.830303030303031</v>
      </c>
      <c r="W3555" s="9">
        <v>44968</v>
      </c>
      <c r="X3555" s="10">
        <v>17</v>
      </c>
      <c r="Y3555" s="9">
        <v>44981</v>
      </c>
      <c r="Z3555">
        <v>3</v>
      </c>
      <c r="AA3555" s="11" t="s">
        <v>49</v>
      </c>
    </row>
    <row r="3556" spans="2:27" ht="16" x14ac:dyDescent="0.2">
      <c r="B3556" t="s">
        <v>35</v>
      </c>
      <c r="C3556">
        <v>40358628</v>
      </c>
      <c r="D3556" t="s">
        <v>391</v>
      </c>
      <c r="E3556">
        <v>1022866</v>
      </c>
      <c r="F3556" t="s">
        <v>203</v>
      </c>
      <c r="G3556" s="9">
        <v>44962</v>
      </c>
      <c r="H3556" s="7"/>
      <c r="I3556" s="7"/>
      <c r="J3556" s="7"/>
      <c r="K3556" s="7"/>
      <c r="L3556" s="10">
        <v>4.830303030303031</v>
      </c>
      <c r="M3556" s="9">
        <v>44966</v>
      </c>
      <c r="N3556" s="10">
        <v>15</v>
      </c>
      <c r="O3556" s="9">
        <v>44981</v>
      </c>
      <c r="P3556">
        <v>3</v>
      </c>
      <c r="Q3556" s="11" t="s">
        <v>49</v>
      </c>
      <c r="R3556" s="7"/>
      <c r="S3556" s="7"/>
      <c r="T3556" s="7"/>
      <c r="U3556" s="7"/>
      <c r="V3556" s="10">
        <v>6.830303030303031</v>
      </c>
      <c r="W3556" s="9">
        <v>44968</v>
      </c>
      <c r="X3556" s="10">
        <v>17</v>
      </c>
      <c r="Y3556" s="9">
        <v>44981</v>
      </c>
      <c r="Z3556">
        <v>3</v>
      </c>
      <c r="AA3556" s="11" t="s">
        <v>49</v>
      </c>
    </row>
    <row r="3557" spans="2:27" ht="16" x14ac:dyDescent="0.2">
      <c r="B3557" t="s">
        <v>35</v>
      </c>
      <c r="C3557">
        <v>40358628</v>
      </c>
      <c r="D3557" t="s">
        <v>391</v>
      </c>
      <c r="E3557">
        <v>1022865</v>
      </c>
      <c r="F3557" t="s">
        <v>343</v>
      </c>
      <c r="G3557" s="9">
        <v>44962</v>
      </c>
      <c r="H3557" s="7"/>
      <c r="I3557" s="7"/>
      <c r="J3557" s="7"/>
      <c r="K3557" s="7"/>
      <c r="L3557" s="10">
        <v>4.830303030303031</v>
      </c>
      <c r="M3557" s="9">
        <v>44966</v>
      </c>
      <c r="N3557" s="10">
        <v>15</v>
      </c>
      <c r="O3557" s="9">
        <v>44981</v>
      </c>
      <c r="P3557">
        <v>3</v>
      </c>
      <c r="Q3557" s="11" t="s">
        <v>49</v>
      </c>
      <c r="R3557" s="7"/>
      <c r="S3557" s="7"/>
      <c r="T3557" s="7"/>
      <c r="U3557" s="7"/>
      <c r="V3557" s="10">
        <v>6.830303030303031</v>
      </c>
      <c r="W3557" s="9">
        <v>44968</v>
      </c>
      <c r="X3557" s="10">
        <v>17</v>
      </c>
      <c r="Y3557" s="9">
        <v>44981</v>
      </c>
      <c r="Z3557">
        <v>3</v>
      </c>
      <c r="AA3557" s="11" t="s">
        <v>49</v>
      </c>
    </row>
    <row r="3558" spans="2:27" ht="16" x14ac:dyDescent="0.2">
      <c r="B3558" t="s">
        <v>35</v>
      </c>
      <c r="C3558">
        <v>40358628</v>
      </c>
      <c r="D3558" t="s">
        <v>391</v>
      </c>
      <c r="E3558">
        <v>1022398</v>
      </c>
      <c r="F3558" t="s">
        <v>431</v>
      </c>
      <c r="G3558" s="9">
        <v>44962</v>
      </c>
      <c r="H3558" s="7"/>
      <c r="I3558" s="7"/>
      <c r="J3558" s="7"/>
      <c r="K3558" s="7"/>
      <c r="L3558" s="10">
        <v>4.830303030303031</v>
      </c>
      <c r="M3558" s="9">
        <v>44966</v>
      </c>
      <c r="N3558" s="10">
        <v>15</v>
      </c>
      <c r="O3558" s="9">
        <v>44981</v>
      </c>
      <c r="P3558">
        <v>3</v>
      </c>
      <c r="Q3558" s="11" t="s">
        <v>49</v>
      </c>
      <c r="R3558" s="7"/>
      <c r="S3558" s="7"/>
      <c r="T3558" s="7"/>
      <c r="U3558" s="7"/>
      <c r="V3558" s="10">
        <v>6.830303030303031</v>
      </c>
      <c r="W3558" s="9">
        <v>44968</v>
      </c>
      <c r="X3558" s="10">
        <v>17</v>
      </c>
      <c r="Y3558" s="9">
        <v>44981</v>
      </c>
      <c r="Z3558">
        <v>3</v>
      </c>
      <c r="AA3558" s="11" t="s">
        <v>49</v>
      </c>
    </row>
    <row r="3559" spans="2:27" ht="16" x14ac:dyDescent="0.2">
      <c r="B3559" t="s">
        <v>35</v>
      </c>
      <c r="C3559">
        <v>40358247</v>
      </c>
      <c r="D3559" t="s">
        <v>423</v>
      </c>
      <c r="E3559">
        <v>1011127</v>
      </c>
      <c r="F3559" t="s">
        <v>228</v>
      </c>
      <c r="G3559" s="9">
        <v>44935</v>
      </c>
      <c r="H3559" s="7"/>
      <c r="I3559" s="7"/>
      <c r="J3559" s="7"/>
      <c r="K3559" s="7"/>
      <c r="L3559" s="10">
        <v>5.4496124031007751</v>
      </c>
      <c r="M3559" s="9">
        <v>44940</v>
      </c>
      <c r="N3559" s="10">
        <v>10</v>
      </c>
      <c r="O3559" s="9">
        <v>44950</v>
      </c>
      <c r="P3559">
        <v>6</v>
      </c>
      <c r="Q3559" s="11" t="s">
        <v>49</v>
      </c>
      <c r="R3559" s="7"/>
      <c r="S3559" s="7"/>
      <c r="T3559" s="7"/>
      <c r="U3559" s="7"/>
      <c r="V3559" s="10">
        <v>7.4496124031007751</v>
      </c>
      <c r="W3559" s="9">
        <v>44942</v>
      </c>
      <c r="X3559" s="10">
        <v>12</v>
      </c>
      <c r="Y3559" s="9">
        <v>44950</v>
      </c>
      <c r="Z3559">
        <v>6</v>
      </c>
      <c r="AA3559" s="11" t="s">
        <v>49</v>
      </c>
    </row>
    <row r="3560" spans="2:27" ht="16" x14ac:dyDescent="0.2">
      <c r="B3560" t="s">
        <v>35</v>
      </c>
      <c r="C3560">
        <v>40358246</v>
      </c>
      <c r="D3560" t="s">
        <v>423</v>
      </c>
      <c r="E3560">
        <v>1011127</v>
      </c>
      <c r="F3560" t="s">
        <v>228</v>
      </c>
      <c r="G3560" s="9">
        <v>44935</v>
      </c>
      <c r="H3560" s="7"/>
      <c r="I3560" s="7"/>
      <c r="J3560" s="7"/>
      <c r="K3560" s="7"/>
      <c r="L3560" s="10">
        <v>5.4496124031007751</v>
      </c>
      <c r="M3560" s="9">
        <v>44940</v>
      </c>
      <c r="N3560" s="10">
        <v>10</v>
      </c>
      <c r="O3560" s="9">
        <v>44950</v>
      </c>
      <c r="P3560">
        <v>6</v>
      </c>
      <c r="Q3560" s="11" t="s">
        <v>49</v>
      </c>
      <c r="R3560" s="7"/>
      <c r="S3560" s="7"/>
      <c r="T3560" s="7"/>
      <c r="U3560" s="7"/>
      <c r="V3560" s="10">
        <v>7.4496124031007751</v>
      </c>
      <c r="W3560" s="9">
        <v>44942</v>
      </c>
      <c r="X3560" s="10">
        <v>12</v>
      </c>
      <c r="Y3560" s="9">
        <v>44950</v>
      </c>
      <c r="Z3560">
        <v>6</v>
      </c>
      <c r="AA3560" s="11" t="s">
        <v>49</v>
      </c>
    </row>
    <row r="3561" spans="2:27" ht="16" x14ac:dyDescent="0.2">
      <c r="B3561" t="s">
        <v>35</v>
      </c>
      <c r="C3561">
        <v>40358245</v>
      </c>
      <c r="D3561" t="s">
        <v>423</v>
      </c>
      <c r="E3561">
        <v>1011127</v>
      </c>
      <c r="F3561" t="s">
        <v>228</v>
      </c>
      <c r="G3561" s="9">
        <v>44941</v>
      </c>
      <c r="H3561" s="7"/>
      <c r="I3561" s="7"/>
      <c r="J3561" s="7"/>
      <c r="K3561" s="7"/>
      <c r="L3561" s="10">
        <v>5.4496124031007751</v>
      </c>
      <c r="M3561" s="9">
        <v>44946</v>
      </c>
      <c r="N3561" s="10">
        <v>10</v>
      </c>
      <c r="O3561" s="9">
        <v>44956</v>
      </c>
      <c r="P3561">
        <v>1</v>
      </c>
      <c r="Q3561" s="11" t="s">
        <v>648</v>
      </c>
      <c r="R3561" s="7"/>
      <c r="S3561" s="7"/>
      <c r="T3561" s="7"/>
      <c r="U3561" s="7"/>
      <c r="V3561" s="10">
        <v>7.4496124031007751</v>
      </c>
      <c r="W3561" s="9">
        <v>44948</v>
      </c>
      <c r="X3561" s="10">
        <v>12</v>
      </c>
      <c r="Y3561" s="9">
        <v>44956</v>
      </c>
      <c r="Z3561">
        <v>1</v>
      </c>
      <c r="AA3561" s="11" t="s">
        <v>648</v>
      </c>
    </row>
    <row r="3562" spans="2:27" ht="16" x14ac:dyDescent="0.2">
      <c r="B3562" t="s">
        <v>35</v>
      </c>
      <c r="C3562">
        <v>40358243</v>
      </c>
      <c r="D3562" t="s">
        <v>423</v>
      </c>
      <c r="E3562">
        <v>1011127</v>
      </c>
      <c r="F3562" t="s">
        <v>228</v>
      </c>
      <c r="G3562" s="9">
        <v>44941</v>
      </c>
      <c r="H3562" s="7"/>
      <c r="I3562" s="7"/>
      <c r="J3562" s="7"/>
      <c r="K3562" s="7"/>
      <c r="L3562" s="10">
        <v>5.4496124031007751</v>
      </c>
      <c r="M3562" s="9">
        <v>44946</v>
      </c>
      <c r="N3562" s="10">
        <v>10</v>
      </c>
      <c r="O3562" s="9">
        <v>44956</v>
      </c>
      <c r="P3562">
        <v>1</v>
      </c>
      <c r="Q3562" s="11" t="s">
        <v>648</v>
      </c>
      <c r="R3562" s="7"/>
      <c r="S3562" s="7"/>
      <c r="T3562" s="7"/>
      <c r="U3562" s="7"/>
      <c r="V3562" s="10">
        <v>7.4496124031007751</v>
      </c>
      <c r="W3562" s="9">
        <v>44948</v>
      </c>
      <c r="X3562" s="10">
        <v>12</v>
      </c>
      <c r="Y3562" s="9">
        <v>44956</v>
      </c>
      <c r="Z3562">
        <v>1</v>
      </c>
      <c r="AA3562" s="11" t="s">
        <v>648</v>
      </c>
    </row>
    <row r="3563" spans="2:27" ht="16" x14ac:dyDescent="0.2">
      <c r="B3563" t="s">
        <v>35</v>
      </c>
      <c r="C3563">
        <v>40358242</v>
      </c>
      <c r="D3563" t="s">
        <v>423</v>
      </c>
      <c r="E3563">
        <v>1011127</v>
      </c>
      <c r="F3563" t="s">
        <v>228</v>
      </c>
      <c r="G3563" s="9">
        <v>44935</v>
      </c>
      <c r="H3563" s="7"/>
      <c r="I3563" s="7"/>
      <c r="J3563" s="7"/>
      <c r="K3563" s="7"/>
      <c r="L3563" s="10">
        <v>5.4496124031007751</v>
      </c>
      <c r="M3563" s="9">
        <v>44940</v>
      </c>
      <c r="N3563" s="10">
        <v>10</v>
      </c>
      <c r="O3563" s="9">
        <v>44950</v>
      </c>
      <c r="P3563">
        <v>6</v>
      </c>
      <c r="Q3563" s="11" t="s">
        <v>49</v>
      </c>
      <c r="R3563" s="7"/>
      <c r="S3563" s="7"/>
      <c r="T3563" s="7"/>
      <c r="U3563" s="7"/>
      <c r="V3563" s="10">
        <v>7.4496124031007751</v>
      </c>
      <c r="W3563" s="9">
        <v>44942</v>
      </c>
      <c r="X3563" s="10">
        <v>12</v>
      </c>
      <c r="Y3563" s="9">
        <v>44950</v>
      </c>
      <c r="Z3563">
        <v>6</v>
      </c>
      <c r="AA3563" s="11" t="s">
        <v>49</v>
      </c>
    </row>
    <row r="3564" spans="2:27" ht="16" x14ac:dyDescent="0.2">
      <c r="B3564" t="s">
        <v>35</v>
      </c>
      <c r="C3564">
        <v>40358241</v>
      </c>
      <c r="D3564" t="s">
        <v>423</v>
      </c>
      <c r="E3564">
        <v>1011127</v>
      </c>
      <c r="F3564" t="s">
        <v>228</v>
      </c>
      <c r="G3564" s="9">
        <v>44935</v>
      </c>
      <c r="H3564" s="7"/>
      <c r="I3564" s="7"/>
      <c r="J3564" s="7"/>
      <c r="K3564" s="7"/>
      <c r="L3564" s="10">
        <v>5.4496124031007751</v>
      </c>
      <c r="M3564" s="9">
        <v>44940</v>
      </c>
      <c r="N3564" s="10">
        <v>10</v>
      </c>
      <c r="O3564" s="9">
        <v>44950</v>
      </c>
      <c r="P3564">
        <v>6</v>
      </c>
      <c r="Q3564" s="11" t="s">
        <v>49</v>
      </c>
      <c r="R3564" s="7"/>
      <c r="S3564" s="7"/>
      <c r="T3564" s="7"/>
      <c r="U3564" s="7"/>
      <c r="V3564" s="10">
        <v>7.4496124031007751</v>
      </c>
      <c r="W3564" s="9">
        <v>44942</v>
      </c>
      <c r="X3564" s="10">
        <v>12</v>
      </c>
      <c r="Y3564" s="9">
        <v>44950</v>
      </c>
      <c r="Z3564">
        <v>6</v>
      </c>
      <c r="AA3564" s="11" t="s">
        <v>49</v>
      </c>
    </row>
    <row r="3565" spans="2:27" ht="16" x14ac:dyDescent="0.2">
      <c r="B3565" t="s">
        <v>35</v>
      </c>
      <c r="C3565">
        <v>40358240</v>
      </c>
      <c r="D3565" t="s">
        <v>423</v>
      </c>
      <c r="E3565">
        <v>1011127</v>
      </c>
      <c r="F3565" t="s">
        <v>228</v>
      </c>
      <c r="G3565" s="9">
        <v>44941</v>
      </c>
      <c r="H3565" s="7"/>
      <c r="I3565" s="7"/>
      <c r="J3565" s="7"/>
      <c r="K3565" s="7"/>
      <c r="L3565" s="10">
        <v>5.4496124031007751</v>
      </c>
      <c r="M3565" s="9">
        <v>44946</v>
      </c>
      <c r="N3565" s="10">
        <v>10</v>
      </c>
      <c r="O3565" s="9">
        <v>44956</v>
      </c>
      <c r="P3565">
        <v>1</v>
      </c>
      <c r="Q3565" s="11" t="s">
        <v>648</v>
      </c>
      <c r="R3565" s="7"/>
      <c r="S3565" s="7"/>
      <c r="T3565" s="7"/>
      <c r="U3565" s="7"/>
      <c r="V3565" s="10">
        <v>7.4496124031007751</v>
      </c>
      <c r="W3565" s="9">
        <v>44948</v>
      </c>
      <c r="X3565" s="10">
        <v>12</v>
      </c>
      <c r="Y3565" s="9">
        <v>44956</v>
      </c>
      <c r="Z3565">
        <v>1</v>
      </c>
      <c r="AA3565" s="11" t="s">
        <v>648</v>
      </c>
    </row>
    <row r="3566" spans="2:27" ht="16" x14ac:dyDescent="0.2">
      <c r="B3566" t="s">
        <v>35</v>
      </c>
      <c r="C3566">
        <v>40358239</v>
      </c>
      <c r="D3566" t="s">
        <v>423</v>
      </c>
      <c r="E3566">
        <v>1011127</v>
      </c>
      <c r="F3566" t="s">
        <v>228</v>
      </c>
      <c r="G3566" s="9">
        <v>44941</v>
      </c>
      <c r="H3566" s="7"/>
      <c r="I3566" s="7"/>
      <c r="J3566" s="7"/>
      <c r="K3566" s="7"/>
      <c r="L3566" s="10">
        <v>5.4496124031007751</v>
      </c>
      <c r="M3566" s="9">
        <v>44946</v>
      </c>
      <c r="N3566" s="10">
        <v>10</v>
      </c>
      <c r="O3566" s="9">
        <v>44956</v>
      </c>
      <c r="P3566">
        <v>1</v>
      </c>
      <c r="Q3566" s="11" t="s">
        <v>648</v>
      </c>
      <c r="R3566" s="7"/>
      <c r="S3566" s="7"/>
      <c r="T3566" s="7"/>
      <c r="U3566" s="7"/>
      <c r="V3566" s="10">
        <v>7.4496124031007751</v>
      </c>
      <c r="W3566" s="9">
        <v>44948</v>
      </c>
      <c r="X3566" s="10">
        <v>12</v>
      </c>
      <c r="Y3566" s="9">
        <v>44956</v>
      </c>
      <c r="Z3566">
        <v>1</v>
      </c>
      <c r="AA3566" s="11" t="s">
        <v>648</v>
      </c>
    </row>
    <row r="3567" spans="2:27" ht="16" x14ac:dyDescent="0.2">
      <c r="B3567" t="s">
        <v>35</v>
      </c>
      <c r="C3567">
        <v>40358237</v>
      </c>
      <c r="D3567" t="s">
        <v>423</v>
      </c>
      <c r="E3567">
        <v>1011127</v>
      </c>
      <c r="F3567" t="s">
        <v>228</v>
      </c>
      <c r="G3567" s="9">
        <v>44935</v>
      </c>
      <c r="H3567" s="7"/>
      <c r="I3567" s="7"/>
      <c r="J3567" s="7"/>
      <c r="K3567" s="7"/>
      <c r="L3567" s="10">
        <v>5.4496124031007751</v>
      </c>
      <c r="M3567" s="9">
        <v>44940</v>
      </c>
      <c r="N3567" s="10">
        <v>10</v>
      </c>
      <c r="O3567" s="9">
        <v>44950</v>
      </c>
      <c r="P3567">
        <v>6</v>
      </c>
      <c r="Q3567" s="11" t="s">
        <v>49</v>
      </c>
      <c r="R3567" s="7"/>
      <c r="S3567" s="7"/>
      <c r="T3567" s="7"/>
      <c r="U3567" s="7"/>
      <c r="V3567" s="10">
        <v>7.4496124031007751</v>
      </c>
      <c r="W3567" s="9">
        <v>44942</v>
      </c>
      <c r="X3567" s="10">
        <v>12</v>
      </c>
      <c r="Y3567" s="9">
        <v>44950</v>
      </c>
      <c r="Z3567">
        <v>6</v>
      </c>
      <c r="AA3567" s="11" t="s">
        <v>49</v>
      </c>
    </row>
    <row r="3568" spans="2:27" ht="16" x14ac:dyDescent="0.2">
      <c r="B3568" t="s">
        <v>35</v>
      </c>
      <c r="C3568">
        <v>40358236</v>
      </c>
      <c r="D3568" t="s">
        <v>423</v>
      </c>
      <c r="E3568">
        <v>1011127</v>
      </c>
      <c r="F3568" t="s">
        <v>228</v>
      </c>
      <c r="G3568" s="9">
        <v>44935</v>
      </c>
      <c r="H3568" s="7"/>
      <c r="I3568" s="7"/>
      <c r="J3568" s="7"/>
      <c r="K3568" s="7"/>
      <c r="L3568" s="10">
        <v>5.4496124031007751</v>
      </c>
      <c r="M3568" s="9">
        <v>44940</v>
      </c>
      <c r="N3568" s="10">
        <v>10</v>
      </c>
      <c r="O3568" s="9">
        <v>44950</v>
      </c>
      <c r="P3568">
        <v>6</v>
      </c>
      <c r="Q3568" s="11" t="s">
        <v>49</v>
      </c>
      <c r="R3568" s="7"/>
      <c r="S3568" s="7"/>
      <c r="T3568" s="7"/>
      <c r="U3568" s="7"/>
      <c r="V3568" s="10">
        <v>7.4496124031007751</v>
      </c>
      <c r="W3568" s="9">
        <v>44942</v>
      </c>
      <c r="X3568" s="10">
        <v>12</v>
      </c>
      <c r="Y3568" s="9">
        <v>44950</v>
      </c>
      <c r="Z3568">
        <v>6</v>
      </c>
      <c r="AA3568" s="11" t="s">
        <v>49</v>
      </c>
    </row>
    <row r="3569" spans="2:27" ht="16" x14ac:dyDescent="0.2">
      <c r="B3569" t="s">
        <v>35</v>
      </c>
      <c r="C3569">
        <v>40358136</v>
      </c>
      <c r="D3569" t="s">
        <v>409</v>
      </c>
      <c r="E3569">
        <v>1012159</v>
      </c>
      <c r="F3569" t="s">
        <v>88</v>
      </c>
      <c r="G3569" s="9">
        <v>44949</v>
      </c>
      <c r="H3569" s="7"/>
      <c r="I3569" s="7"/>
      <c r="J3569" s="7"/>
      <c r="K3569" s="7"/>
      <c r="L3569" s="10">
        <v>7.5</v>
      </c>
      <c r="M3569" s="9">
        <v>44956</v>
      </c>
      <c r="N3569" s="10">
        <v>9.5</v>
      </c>
      <c r="O3569" s="9">
        <v>44965</v>
      </c>
      <c r="P3569">
        <v>16</v>
      </c>
      <c r="Q3569" s="11" t="s">
        <v>49</v>
      </c>
      <c r="R3569" s="7"/>
      <c r="S3569" s="7"/>
      <c r="T3569" s="7"/>
      <c r="U3569" s="7"/>
      <c r="V3569" s="10">
        <v>9.5</v>
      </c>
      <c r="W3569" s="9">
        <v>44958</v>
      </c>
      <c r="X3569" s="10">
        <v>11.5</v>
      </c>
      <c r="Y3569" s="9">
        <v>44965</v>
      </c>
      <c r="Z3569">
        <v>16</v>
      </c>
      <c r="AA3569" s="11" t="s">
        <v>49</v>
      </c>
    </row>
    <row r="3570" spans="2:27" ht="16" x14ac:dyDescent="0.2">
      <c r="B3570" t="s">
        <v>35</v>
      </c>
      <c r="C3570">
        <v>40358135</v>
      </c>
      <c r="D3570" t="s">
        <v>409</v>
      </c>
      <c r="E3570">
        <v>1012159</v>
      </c>
      <c r="F3570" t="s">
        <v>88</v>
      </c>
      <c r="G3570" s="9">
        <v>44943</v>
      </c>
      <c r="H3570" s="7"/>
      <c r="I3570" s="7"/>
      <c r="J3570" s="7"/>
      <c r="K3570" s="7"/>
      <c r="L3570" s="10">
        <v>7.5</v>
      </c>
      <c r="M3570" s="9">
        <v>44950</v>
      </c>
      <c r="N3570" s="10">
        <v>9.5</v>
      </c>
      <c r="O3570" s="9">
        <v>44959</v>
      </c>
      <c r="P3570">
        <v>21</v>
      </c>
      <c r="Q3570" s="11" t="s">
        <v>49</v>
      </c>
      <c r="R3570" s="7"/>
      <c r="S3570" s="7"/>
      <c r="T3570" s="7"/>
      <c r="U3570" s="7"/>
      <c r="V3570" s="10">
        <v>9.5</v>
      </c>
      <c r="W3570" s="9">
        <v>44952</v>
      </c>
      <c r="X3570" s="10">
        <v>11.5</v>
      </c>
      <c r="Y3570" s="9">
        <v>44959</v>
      </c>
      <c r="Z3570">
        <v>21</v>
      </c>
      <c r="AA3570" s="11" t="s">
        <v>49</v>
      </c>
    </row>
    <row r="3571" spans="2:27" ht="16" x14ac:dyDescent="0.2">
      <c r="B3571" t="s">
        <v>35</v>
      </c>
      <c r="C3571">
        <v>40358114</v>
      </c>
      <c r="D3571" t="s">
        <v>409</v>
      </c>
      <c r="E3571">
        <v>1012521</v>
      </c>
      <c r="F3571" t="s">
        <v>114</v>
      </c>
      <c r="G3571" s="9">
        <v>44957</v>
      </c>
      <c r="H3571" s="7"/>
      <c r="I3571" s="7"/>
      <c r="J3571" s="7"/>
      <c r="K3571" s="7"/>
      <c r="L3571" s="10">
        <v>7.5</v>
      </c>
      <c r="M3571" s="9">
        <v>44964</v>
      </c>
      <c r="N3571" s="10">
        <v>9.5</v>
      </c>
      <c r="O3571" s="9">
        <v>44973</v>
      </c>
      <c r="P3571">
        <v>9</v>
      </c>
      <c r="Q3571" s="11" t="s">
        <v>49</v>
      </c>
      <c r="R3571" s="7"/>
      <c r="S3571" s="7"/>
      <c r="T3571" s="7"/>
      <c r="U3571" s="7"/>
      <c r="V3571" s="10">
        <v>9.5</v>
      </c>
      <c r="W3571" s="9">
        <v>44966</v>
      </c>
      <c r="X3571" s="10">
        <v>11.5</v>
      </c>
      <c r="Y3571" s="9">
        <v>44973</v>
      </c>
      <c r="Z3571">
        <v>9</v>
      </c>
      <c r="AA3571" s="11" t="s">
        <v>49</v>
      </c>
    </row>
    <row r="3572" spans="2:27" ht="16" x14ac:dyDescent="0.2">
      <c r="B3572" t="s">
        <v>35</v>
      </c>
      <c r="C3572">
        <v>40358113</v>
      </c>
      <c r="D3572" t="s">
        <v>409</v>
      </c>
      <c r="E3572">
        <v>1012521</v>
      </c>
      <c r="F3572" t="s">
        <v>114</v>
      </c>
      <c r="G3572" s="9">
        <v>44957</v>
      </c>
      <c r="H3572" s="7"/>
      <c r="I3572" s="7"/>
      <c r="J3572" s="7"/>
      <c r="K3572" s="7"/>
      <c r="L3572" s="10">
        <v>7.5</v>
      </c>
      <c r="M3572" s="9">
        <v>44964</v>
      </c>
      <c r="N3572" s="10">
        <v>9.5</v>
      </c>
      <c r="O3572" s="9">
        <v>44973</v>
      </c>
      <c r="P3572">
        <v>9</v>
      </c>
      <c r="Q3572" s="11" t="s">
        <v>49</v>
      </c>
      <c r="R3572" s="7"/>
      <c r="S3572" s="7"/>
      <c r="T3572" s="7"/>
      <c r="U3572" s="7"/>
      <c r="V3572" s="10">
        <v>9.5</v>
      </c>
      <c r="W3572" s="9">
        <v>44966</v>
      </c>
      <c r="X3572" s="10">
        <v>11.5</v>
      </c>
      <c r="Y3572" s="9">
        <v>44973</v>
      </c>
      <c r="Z3572">
        <v>9</v>
      </c>
      <c r="AA3572" s="11" t="s">
        <v>49</v>
      </c>
    </row>
    <row r="3573" spans="2:27" ht="16" x14ac:dyDescent="0.2">
      <c r="B3573" t="s">
        <v>35</v>
      </c>
      <c r="C3573">
        <v>40358112</v>
      </c>
      <c r="D3573" t="s">
        <v>409</v>
      </c>
      <c r="E3573">
        <v>1012109</v>
      </c>
      <c r="F3573" t="s">
        <v>68</v>
      </c>
      <c r="G3573" s="9">
        <v>44950</v>
      </c>
      <c r="H3573" s="7"/>
      <c r="I3573" s="7"/>
      <c r="J3573" s="7"/>
      <c r="K3573" s="7"/>
      <c r="L3573" s="10">
        <v>7.5</v>
      </c>
      <c r="M3573" s="9">
        <v>44957</v>
      </c>
      <c r="N3573" s="10">
        <v>9.5</v>
      </c>
      <c r="O3573" s="9">
        <v>44966</v>
      </c>
      <c r="P3573">
        <v>15</v>
      </c>
      <c r="Q3573" s="11" t="s">
        <v>49</v>
      </c>
      <c r="R3573" s="7"/>
      <c r="S3573" s="7"/>
      <c r="T3573" s="7"/>
      <c r="U3573" s="7"/>
      <c r="V3573" s="10">
        <v>9.5</v>
      </c>
      <c r="W3573" s="9">
        <v>44959</v>
      </c>
      <c r="X3573" s="10">
        <v>11.5</v>
      </c>
      <c r="Y3573" s="9">
        <v>44966</v>
      </c>
      <c r="Z3573">
        <v>15</v>
      </c>
      <c r="AA3573" s="11" t="s">
        <v>49</v>
      </c>
    </row>
    <row r="3574" spans="2:27" ht="16" x14ac:dyDescent="0.2">
      <c r="B3574" t="s">
        <v>35</v>
      </c>
      <c r="C3574">
        <v>40358112</v>
      </c>
      <c r="D3574" t="s">
        <v>409</v>
      </c>
      <c r="E3574">
        <v>1012521</v>
      </c>
      <c r="F3574" t="s">
        <v>114</v>
      </c>
      <c r="G3574" s="9">
        <v>44950</v>
      </c>
      <c r="H3574" s="7"/>
      <c r="I3574" s="7"/>
      <c r="J3574" s="7"/>
      <c r="K3574" s="7"/>
      <c r="L3574" s="10">
        <v>7.5</v>
      </c>
      <c r="M3574" s="9">
        <v>44957</v>
      </c>
      <c r="N3574" s="10">
        <v>9.5</v>
      </c>
      <c r="O3574" s="9">
        <v>44966</v>
      </c>
      <c r="P3574">
        <v>15</v>
      </c>
      <c r="Q3574" s="11" t="s">
        <v>49</v>
      </c>
      <c r="R3574" s="7"/>
      <c r="S3574" s="7"/>
      <c r="T3574" s="7"/>
      <c r="U3574" s="7"/>
      <c r="V3574" s="10">
        <v>9.5</v>
      </c>
      <c r="W3574" s="9">
        <v>44959</v>
      </c>
      <c r="X3574" s="10">
        <v>11.5</v>
      </c>
      <c r="Y3574" s="9">
        <v>44966</v>
      </c>
      <c r="Z3574">
        <v>15</v>
      </c>
      <c r="AA3574" s="11" t="s">
        <v>49</v>
      </c>
    </row>
    <row r="3575" spans="2:27" ht="16" x14ac:dyDescent="0.2">
      <c r="B3575" t="s">
        <v>35</v>
      </c>
      <c r="C3575">
        <v>40358110</v>
      </c>
      <c r="D3575" t="s">
        <v>409</v>
      </c>
      <c r="E3575">
        <v>1012523</v>
      </c>
      <c r="F3575" t="s">
        <v>116</v>
      </c>
      <c r="G3575" s="9">
        <v>44949</v>
      </c>
      <c r="H3575" s="7"/>
      <c r="I3575" s="7"/>
      <c r="J3575" s="7"/>
      <c r="K3575" s="7"/>
      <c r="L3575" s="10">
        <v>7.5</v>
      </c>
      <c r="M3575" s="9">
        <v>44956</v>
      </c>
      <c r="N3575" s="10">
        <v>9.5</v>
      </c>
      <c r="O3575" s="9">
        <v>44965</v>
      </c>
      <c r="P3575">
        <v>16</v>
      </c>
      <c r="Q3575" s="11" t="s">
        <v>49</v>
      </c>
      <c r="R3575" s="7"/>
      <c r="S3575" s="7"/>
      <c r="T3575" s="7"/>
      <c r="U3575" s="7"/>
      <c r="V3575" s="10">
        <v>9.5</v>
      </c>
      <c r="W3575" s="9">
        <v>44958</v>
      </c>
      <c r="X3575" s="10">
        <v>11.5</v>
      </c>
      <c r="Y3575" s="9">
        <v>44965</v>
      </c>
      <c r="Z3575">
        <v>16</v>
      </c>
      <c r="AA3575" s="11" t="s">
        <v>49</v>
      </c>
    </row>
    <row r="3576" spans="2:27" ht="16" x14ac:dyDescent="0.2">
      <c r="B3576" t="s">
        <v>35</v>
      </c>
      <c r="C3576">
        <v>40358107</v>
      </c>
      <c r="D3576" t="s">
        <v>409</v>
      </c>
      <c r="E3576">
        <v>1012148</v>
      </c>
      <c r="F3576" t="s">
        <v>111</v>
      </c>
      <c r="G3576" s="9">
        <v>44950</v>
      </c>
      <c r="H3576" s="7"/>
      <c r="I3576" s="7"/>
      <c r="J3576" s="7"/>
      <c r="K3576" s="7"/>
      <c r="L3576" s="10">
        <v>7.5</v>
      </c>
      <c r="M3576" s="9">
        <v>44957</v>
      </c>
      <c r="N3576" s="10">
        <v>9.5</v>
      </c>
      <c r="O3576" s="9">
        <v>44966</v>
      </c>
      <c r="P3576">
        <v>15</v>
      </c>
      <c r="Q3576" s="11" t="s">
        <v>49</v>
      </c>
      <c r="R3576" s="7"/>
      <c r="S3576" s="7"/>
      <c r="T3576" s="7"/>
      <c r="U3576" s="7"/>
      <c r="V3576" s="10">
        <v>9.5</v>
      </c>
      <c r="W3576" s="9">
        <v>44959</v>
      </c>
      <c r="X3576" s="10">
        <v>11.5</v>
      </c>
      <c r="Y3576" s="9">
        <v>44966</v>
      </c>
      <c r="Z3576">
        <v>15</v>
      </c>
      <c r="AA3576" s="11" t="s">
        <v>49</v>
      </c>
    </row>
    <row r="3577" spans="2:27" ht="16" x14ac:dyDescent="0.2">
      <c r="B3577" t="s">
        <v>35</v>
      </c>
      <c r="C3577">
        <v>40358105</v>
      </c>
      <c r="D3577" t="s">
        <v>409</v>
      </c>
      <c r="E3577">
        <v>1012148</v>
      </c>
      <c r="F3577" t="s">
        <v>111</v>
      </c>
      <c r="G3577" s="9">
        <v>44936</v>
      </c>
      <c r="H3577" s="7"/>
      <c r="I3577" s="7"/>
      <c r="J3577" s="7"/>
      <c r="K3577" s="7"/>
      <c r="L3577" s="10">
        <v>7.5</v>
      </c>
      <c r="M3577" s="9">
        <v>44943</v>
      </c>
      <c r="N3577" s="10">
        <v>9.5</v>
      </c>
      <c r="O3577" s="9">
        <v>44952</v>
      </c>
      <c r="P3577">
        <v>4</v>
      </c>
      <c r="Q3577" s="11" t="s">
        <v>49</v>
      </c>
      <c r="R3577" s="7"/>
      <c r="S3577" s="7"/>
      <c r="T3577" s="7"/>
      <c r="U3577" s="7"/>
      <c r="V3577" s="10">
        <v>9.5</v>
      </c>
      <c r="W3577" s="9">
        <v>44945</v>
      </c>
      <c r="X3577" s="10">
        <v>11.5</v>
      </c>
      <c r="Y3577" s="9">
        <v>44952</v>
      </c>
      <c r="Z3577">
        <v>4</v>
      </c>
      <c r="AA3577" s="11" t="s">
        <v>49</v>
      </c>
    </row>
    <row r="3578" spans="2:27" ht="16" x14ac:dyDescent="0.2">
      <c r="B3578" t="s">
        <v>35</v>
      </c>
      <c r="C3578">
        <v>40358102</v>
      </c>
      <c r="D3578" t="s">
        <v>409</v>
      </c>
      <c r="E3578">
        <v>1012147</v>
      </c>
      <c r="F3578" t="s">
        <v>217</v>
      </c>
      <c r="G3578" s="9">
        <v>44936</v>
      </c>
      <c r="H3578" s="7"/>
      <c r="I3578" s="7"/>
      <c r="J3578" s="7"/>
      <c r="K3578" s="7"/>
      <c r="L3578" s="10">
        <v>7.5</v>
      </c>
      <c r="M3578" s="9">
        <v>44943</v>
      </c>
      <c r="N3578" s="10">
        <v>9.5</v>
      </c>
      <c r="O3578" s="9">
        <v>44952</v>
      </c>
      <c r="P3578">
        <v>4</v>
      </c>
      <c r="Q3578" s="11" t="s">
        <v>49</v>
      </c>
      <c r="R3578" s="7"/>
      <c r="S3578" s="7"/>
      <c r="T3578" s="7"/>
      <c r="U3578" s="7"/>
      <c r="V3578" s="10">
        <v>9.5</v>
      </c>
      <c r="W3578" s="9">
        <v>44945</v>
      </c>
      <c r="X3578" s="10">
        <v>11.5</v>
      </c>
      <c r="Y3578" s="9">
        <v>44952</v>
      </c>
      <c r="Z3578">
        <v>4</v>
      </c>
      <c r="AA3578" s="11" t="s">
        <v>49</v>
      </c>
    </row>
    <row r="3579" spans="2:27" ht="16" x14ac:dyDescent="0.2">
      <c r="B3579" t="s">
        <v>35</v>
      </c>
      <c r="C3579">
        <v>40358101</v>
      </c>
      <c r="D3579" t="s">
        <v>409</v>
      </c>
      <c r="E3579">
        <v>1012147</v>
      </c>
      <c r="F3579" t="s">
        <v>217</v>
      </c>
      <c r="G3579" s="9">
        <v>44943</v>
      </c>
      <c r="H3579" s="7"/>
      <c r="I3579" s="7"/>
      <c r="J3579" s="7"/>
      <c r="K3579" s="7"/>
      <c r="L3579" s="10">
        <v>7.5</v>
      </c>
      <c r="M3579" s="9">
        <v>44950</v>
      </c>
      <c r="N3579" s="10">
        <v>9.5</v>
      </c>
      <c r="O3579" s="9">
        <v>44959</v>
      </c>
      <c r="P3579">
        <v>21</v>
      </c>
      <c r="Q3579" s="11" t="s">
        <v>49</v>
      </c>
      <c r="R3579" s="7"/>
      <c r="S3579" s="7"/>
      <c r="T3579" s="7"/>
      <c r="U3579" s="7"/>
      <c r="V3579" s="10">
        <v>9.5</v>
      </c>
      <c r="W3579" s="9">
        <v>44952</v>
      </c>
      <c r="X3579" s="10">
        <v>11.5</v>
      </c>
      <c r="Y3579" s="9">
        <v>44959</v>
      </c>
      <c r="Z3579">
        <v>21</v>
      </c>
      <c r="AA3579" s="11" t="s">
        <v>49</v>
      </c>
    </row>
    <row r="3580" spans="2:27" ht="16" x14ac:dyDescent="0.2">
      <c r="B3580" t="s">
        <v>35</v>
      </c>
      <c r="C3580">
        <v>40358100</v>
      </c>
      <c r="D3580" t="s">
        <v>409</v>
      </c>
      <c r="E3580">
        <v>1012147</v>
      </c>
      <c r="F3580" t="s">
        <v>217</v>
      </c>
      <c r="G3580" s="9">
        <v>44936</v>
      </c>
      <c r="H3580" s="7"/>
      <c r="I3580" s="7"/>
      <c r="J3580" s="7"/>
      <c r="K3580" s="7"/>
      <c r="L3580" s="10">
        <v>7.5</v>
      </c>
      <c r="M3580" s="9">
        <v>44943</v>
      </c>
      <c r="N3580" s="10">
        <v>9.5</v>
      </c>
      <c r="O3580" s="9">
        <v>44952</v>
      </c>
      <c r="P3580">
        <v>4</v>
      </c>
      <c r="Q3580" s="11" t="s">
        <v>49</v>
      </c>
      <c r="R3580" s="7"/>
      <c r="S3580" s="7"/>
      <c r="T3580" s="7"/>
      <c r="U3580" s="7"/>
      <c r="V3580" s="10">
        <v>9.5</v>
      </c>
      <c r="W3580" s="9">
        <v>44945</v>
      </c>
      <c r="X3580" s="10">
        <v>11.5</v>
      </c>
      <c r="Y3580" s="9">
        <v>44952</v>
      </c>
      <c r="Z3580">
        <v>4</v>
      </c>
      <c r="AA3580" s="11" t="s">
        <v>49</v>
      </c>
    </row>
    <row r="3581" spans="2:27" ht="16" x14ac:dyDescent="0.2">
      <c r="B3581" t="s">
        <v>35</v>
      </c>
      <c r="C3581">
        <v>40358099</v>
      </c>
      <c r="D3581" t="s">
        <v>409</v>
      </c>
      <c r="E3581">
        <v>1012167</v>
      </c>
      <c r="F3581" t="s">
        <v>70</v>
      </c>
      <c r="G3581" s="9">
        <v>44944</v>
      </c>
      <c r="H3581" s="7"/>
      <c r="I3581" s="7"/>
      <c r="J3581" s="7"/>
      <c r="K3581" s="7"/>
      <c r="L3581" s="10">
        <v>7.5</v>
      </c>
      <c r="M3581" s="9">
        <v>44951</v>
      </c>
      <c r="N3581" s="10">
        <v>9.5</v>
      </c>
      <c r="O3581" s="9">
        <v>44960</v>
      </c>
      <c r="P3581">
        <v>20</v>
      </c>
      <c r="Q3581" s="11" t="s">
        <v>49</v>
      </c>
      <c r="R3581" s="7"/>
      <c r="S3581" s="7"/>
      <c r="T3581" s="7"/>
      <c r="U3581" s="7"/>
      <c r="V3581" s="10">
        <v>9.5</v>
      </c>
      <c r="W3581" s="9">
        <v>44953</v>
      </c>
      <c r="X3581" s="10">
        <v>11.5</v>
      </c>
      <c r="Y3581" s="9">
        <v>44960</v>
      </c>
      <c r="Z3581">
        <v>20</v>
      </c>
      <c r="AA3581" s="11" t="s">
        <v>49</v>
      </c>
    </row>
    <row r="3582" spans="2:27" ht="16" x14ac:dyDescent="0.2">
      <c r="B3582" t="s">
        <v>35</v>
      </c>
      <c r="C3582">
        <v>40358098</v>
      </c>
      <c r="D3582" t="s">
        <v>409</v>
      </c>
      <c r="E3582">
        <v>1012167</v>
      </c>
      <c r="F3582" t="s">
        <v>70</v>
      </c>
      <c r="G3582" s="9">
        <v>44943</v>
      </c>
      <c r="H3582" s="7"/>
      <c r="I3582" s="7"/>
      <c r="J3582" s="7"/>
      <c r="K3582" s="7"/>
      <c r="L3582" s="10">
        <v>7.5</v>
      </c>
      <c r="M3582" s="9">
        <v>44950</v>
      </c>
      <c r="N3582" s="10">
        <v>9.5</v>
      </c>
      <c r="O3582" s="9">
        <v>44959</v>
      </c>
      <c r="P3582">
        <v>21</v>
      </c>
      <c r="Q3582" s="11" t="s">
        <v>49</v>
      </c>
      <c r="R3582" s="7"/>
      <c r="S3582" s="7"/>
      <c r="T3582" s="7"/>
      <c r="U3582" s="7"/>
      <c r="V3582" s="10">
        <v>9.5</v>
      </c>
      <c r="W3582" s="9">
        <v>44952</v>
      </c>
      <c r="X3582" s="10">
        <v>11.5</v>
      </c>
      <c r="Y3582" s="9">
        <v>44959</v>
      </c>
      <c r="Z3582">
        <v>21</v>
      </c>
      <c r="AA3582" s="11" t="s">
        <v>49</v>
      </c>
    </row>
    <row r="3583" spans="2:27" ht="16" x14ac:dyDescent="0.2">
      <c r="B3583" t="s">
        <v>35</v>
      </c>
      <c r="C3583">
        <v>40358097</v>
      </c>
      <c r="D3583" t="s">
        <v>409</v>
      </c>
      <c r="E3583">
        <v>1012167</v>
      </c>
      <c r="F3583" t="s">
        <v>70</v>
      </c>
      <c r="G3583" s="9">
        <v>44943</v>
      </c>
      <c r="H3583" s="7"/>
      <c r="I3583" s="7"/>
      <c r="J3583" s="7"/>
      <c r="K3583" s="7"/>
      <c r="L3583" s="10">
        <v>7.5</v>
      </c>
      <c r="M3583" s="9">
        <v>44950</v>
      </c>
      <c r="N3583" s="10">
        <v>9.5</v>
      </c>
      <c r="O3583" s="9">
        <v>44959</v>
      </c>
      <c r="P3583">
        <v>21</v>
      </c>
      <c r="Q3583" s="11" t="s">
        <v>49</v>
      </c>
      <c r="R3583" s="7"/>
      <c r="S3583" s="7"/>
      <c r="T3583" s="7"/>
      <c r="U3583" s="7"/>
      <c r="V3583" s="10">
        <v>9.5</v>
      </c>
      <c r="W3583" s="9">
        <v>44952</v>
      </c>
      <c r="X3583" s="10">
        <v>11.5</v>
      </c>
      <c r="Y3583" s="9">
        <v>44959</v>
      </c>
      <c r="Z3583">
        <v>21</v>
      </c>
      <c r="AA3583" s="11" t="s">
        <v>49</v>
      </c>
    </row>
    <row r="3584" spans="2:27" ht="16" x14ac:dyDescent="0.2">
      <c r="B3584" t="s">
        <v>35</v>
      </c>
      <c r="C3584">
        <v>40358096</v>
      </c>
      <c r="D3584" t="s">
        <v>409</v>
      </c>
      <c r="E3584">
        <v>1012167</v>
      </c>
      <c r="F3584" t="s">
        <v>70</v>
      </c>
      <c r="G3584" s="9">
        <v>44936</v>
      </c>
      <c r="H3584" s="7"/>
      <c r="I3584" s="7"/>
      <c r="J3584" s="7"/>
      <c r="K3584" s="7"/>
      <c r="L3584" s="10">
        <v>7.5</v>
      </c>
      <c r="M3584" s="9">
        <v>44943</v>
      </c>
      <c r="N3584" s="10">
        <v>9.5</v>
      </c>
      <c r="O3584" s="9">
        <v>44952</v>
      </c>
      <c r="P3584">
        <v>4</v>
      </c>
      <c r="Q3584" s="11" t="s">
        <v>49</v>
      </c>
      <c r="R3584" s="7"/>
      <c r="S3584" s="7"/>
      <c r="T3584" s="7"/>
      <c r="U3584" s="7"/>
      <c r="V3584" s="10">
        <v>9.5</v>
      </c>
      <c r="W3584" s="9">
        <v>44945</v>
      </c>
      <c r="X3584" s="10">
        <v>11.5</v>
      </c>
      <c r="Y3584" s="9">
        <v>44952</v>
      </c>
      <c r="Z3584">
        <v>4</v>
      </c>
      <c r="AA3584" s="11" t="s">
        <v>49</v>
      </c>
    </row>
    <row r="3585" spans="2:27" ht="16" x14ac:dyDescent="0.2">
      <c r="B3585" t="s">
        <v>35</v>
      </c>
      <c r="C3585">
        <v>40358095</v>
      </c>
      <c r="D3585" t="s">
        <v>409</v>
      </c>
      <c r="E3585">
        <v>1012167</v>
      </c>
      <c r="F3585" t="s">
        <v>70</v>
      </c>
      <c r="G3585" s="9">
        <v>44936</v>
      </c>
      <c r="H3585" s="7"/>
      <c r="I3585" s="7"/>
      <c r="J3585" s="7"/>
      <c r="K3585" s="7"/>
      <c r="L3585" s="10">
        <v>7.5</v>
      </c>
      <c r="M3585" s="9">
        <v>44943</v>
      </c>
      <c r="N3585" s="10">
        <v>9.5</v>
      </c>
      <c r="O3585" s="9">
        <v>44952</v>
      </c>
      <c r="P3585">
        <v>4</v>
      </c>
      <c r="Q3585" s="11" t="s">
        <v>49</v>
      </c>
      <c r="R3585" s="7"/>
      <c r="S3585" s="7"/>
      <c r="T3585" s="7"/>
      <c r="U3585" s="7"/>
      <c r="V3585" s="10">
        <v>9.5</v>
      </c>
      <c r="W3585" s="9">
        <v>44945</v>
      </c>
      <c r="X3585" s="10">
        <v>11.5</v>
      </c>
      <c r="Y3585" s="9">
        <v>44952</v>
      </c>
      <c r="Z3585">
        <v>4</v>
      </c>
      <c r="AA3585" s="11" t="s">
        <v>49</v>
      </c>
    </row>
    <row r="3586" spans="2:27" ht="16" x14ac:dyDescent="0.2">
      <c r="B3586" t="s">
        <v>35</v>
      </c>
      <c r="C3586">
        <v>40358094</v>
      </c>
      <c r="D3586" t="s">
        <v>409</v>
      </c>
      <c r="E3586">
        <v>1012167</v>
      </c>
      <c r="F3586" t="s">
        <v>70</v>
      </c>
      <c r="G3586" s="9">
        <v>44936</v>
      </c>
      <c r="H3586" s="7"/>
      <c r="I3586" s="7"/>
      <c r="J3586" s="7"/>
      <c r="K3586" s="7"/>
      <c r="L3586" s="10">
        <v>7.5</v>
      </c>
      <c r="M3586" s="9">
        <v>44943</v>
      </c>
      <c r="N3586" s="10">
        <v>9.5</v>
      </c>
      <c r="O3586" s="9">
        <v>44952</v>
      </c>
      <c r="P3586">
        <v>4</v>
      </c>
      <c r="Q3586" s="11" t="s">
        <v>49</v>
      </c>
      <c r="R3586" s="7"/>
      <c r="S3586" s="7"/>
      <c r="T3586" s="7"/>
      <c r="U3586" s="7"/>
      <c r="V3586" s="10">
        <v>9.5</v>
      </c>
      <c r="W3586" s="9">
        <v>44945</v>
      </c>
      <c r="X3586" s="10">
        <v>11.5</v>
      </c>
      <c r="Y3586" s="9">
        <v>44952</v>
      </c>
      <c r="Z3586">
        <v>4</v>
      </c>
      <c r="AA3586" s="11" t="s">
        <v>49</v>
      </c>
    </row>
    <row r="3587" spans="2:27" ht="16" x14ac:dyDescent="0.2">
      <c r="B3587" t="s">
        <v>35</v>
      </c>
      <c r="C3587">
        <v>40358093</v>
      </c>
      <c r="D3587" t="s">
        <v>409</v>
      </c>
      <c r="E3587">
        <v>1012167</v>
      </c>
      <c r="F3587" t="s">
        <v>70</v>
      </c>
      <c r="G3587" s="9">
        <v>44950</v>
      </c>
      <c r="H3587" s="7"/>
      <c r="I3587" s="7"/>
      <c r="J3587" s="7"/>
      <c r="K3587" s="7"/>
      <c r="L3587" s="10">
        <v>7.5</v>
      </c>
      <c r="M3587" s="9">
        <v>44957</v>
      </c>
      <c r="N3587" s="10">
        <v>9.5</v>
      </c>
      <c r="O3587" s="9">
        <v>44966</v>
      </c>
      <c r="P3587">
        <v>15</v>
      </c>
      <c r="Q3587" s="11" t="s">
        <v>49</v>
      </c>
      <c r="R3587" s="7"/>
      <c r="S3587" s="7"/>
      <c r="T3587" s="7"/>
      <c r="U3587" s="7"/>
      <c r="V3587" s="10">
        <v>9.5</v>
      </c>
      <c r="W3587" s="9">
        <v>44959</v>
      </c>
      <c r="X3587" s="10">
        <v>11.5</v>
      </c>
      <c r="Y3587" s="9">
        <v>44966</v>
      </c>
      <c r="Z3587">
        <v>15</v>
      </c>
      <c r="AA3587" s="11" t="s">
        <v>49</v>
      </c>
    </row>
    <row r="3588" spans="2:27" ht="16" x14ac:dyDescent="0.2">
      <c r="B3588" t="s">
        <v>35</v>
      </c>
      <c r="C3588">
        <v>40358092</v>
      </c>
      <c r="D3588" t="s">
        <v>409</v>
      </c>
      <c r="E3588">
        <v>1012167</v>
      </c>
      <c r="F3588" t="s">
        <v>70</v>
      </c>
      <c r="G3588" s="9">
        <v>44936</v>
      </c>
      <c r="H3588" s="7"/>
      <c r="I3588" s="7"/>
      <c r="J3588" s="7"/>
      <c r="K3588" s="7"/>
      <c r="L3588" s="10">
        <v>7.5</v>
      </c>
      <c r="M3588" s="9">
        <v>44943</v>
      </c>
      <c r="N3588" s="10">
        <v>9.5</v>
      </c>
      <c r="O3588" s="9">
        <v>44952</v>
      </c>
      <c r="P3588">
        <v>4</v>
      </c>
      <c r="Q3588" s="11" t="s">
        <v>49</v>
      </c>
      <c r="R3588" s="7"/>
      <c r="S3588" s="7"/>
      <c r="T3588" s="7"/>
      <c r="U3588" s="7"/>
      <c r="V3588" s="10">
        <v>9.5</v>
      </c>
      <c r="W3588" s="9">
        <v>44945</v>
      </c>
      <c r="X3588" s="10">
        <v>11.5</v>
      </c>
      <c r="Y3588" s="9">
        <v>44952</v>
      </c>
      <c r="Z3588">
        <v>4</v>
      </c>
      <c r="AA3588" s="11" t="s">
        <v>49</v>
      </c>
    </row>
    <row r="3589" spans="2:27" ht="16" x14ac:dyDescent="0.2">
      <c r="B3589" t="s">
        <v>35</v>
      </c>
      <c r="C3589">
        <v>40358091</v>
      </c>
      <c r="D3589" t="s">
        <v>409</v>
      </c>
      <c r="E3589">
        <v>1012145</v>
      </c>
      <c r="F3589" t="s">
        <v>84</v>
      </c>
      <c r="G3589" s="9">
        <v>44936</v>
      </c>
      <c r="H3589" s="7"/>
      <c r="I3589" s="7"/>
      <c r="J3589" s="7"/>
      <c r="K3589" s="7"/>
      <c r="L3589" s="10">
        <v>7.5</v>
      </c>
      <c r="M3589" s="9">
        <v>44943</v>
      </c>
      <c r="N3589" s="10">
        <v>9.5</v>
      </c>
      <c r="O3589" s="9">
        <v>44952</v>
      </c>
      <c r="P3589">
        <v>4</v>
      </c>
      <c r="Q3589" s="11" t="s">
        <v>49</v>
      </c>
      <c r="R3589" s="7"/>
      <c r="S3589" s="7"/>
      <c r="T3589" s="7"/>
      <c r="U3589" s="7"/>
      <c r="V3589" s="10">
        <v>9.5</v>
      </c>
      <c r="W3589" s="9">
        <v>44945</v>
      </c>
      <c r="X3589" s="10">
        <v>11.5</v>
      </c>
      <c r="Y3589" s="9">
        <v>44952</v>
      </c>
      <c r="Z3589">
        <v>4</v>
      </c>
      <c r="AA3589" s="11" t="s">
        <v>49</v>
      </c>
    </row>
    <row r="3590" spans="2:27" ht="16" x14ac:dyDescent="0.2">
      <c r="B3590" t="s">
        <v>35</v>
      </c>
      <c r="C3590">
        <v>40358090</v>
      </c>
      <c r="D3590" t="s">
        <v>409</v>
      </c>
      <c r="E3590">
        <v>1012145</v>
      </c>
      <c r="F3590" t="s">
        <v>84</v>
      </c>
      <c r="G3590" s="9">
        <v>44936</v>
      </c>
      <c r="H3590" s="7"/>
      <c r="I3590" s="7"/>
      <c r="J3590" s="7"/>
      <c r="K3590" s="7"/>
      <c r="L3590" s="10">
        <v>7.5</v>
      </c>
      <c r="M3590" s="9">
        <v>44943</v>
      </c>
      <c r="N3590" s="10">
        <v>9.5</v>
      </c>
      <c r="O3590" s="9">
        <v>44952</v>
      </c>
      <c r="P3590">
        <v>4</v>
      </c>
      <c r="Q3590" s="11" t="s">
        <v>49</v>
      </c>
      <c r="R3590" s="7"/>
      <c r="S3590" s="7"/>
      <c r="T3590" s="7"/>
      <c r="U3590" s="7"/>
      <c r="V3590" s="10">
        <v>9.5</v>
      </c>
      <c r="W3590" s="9">
        <v>44945</v>
      </c>
      <c r="X3590" s="10">
        <v>11.5</v>
      </c>
      <c r="Y3590" s="9">
        <v>44952</v>
      </c>
      <c r="Z3590">
        <v>4</v>
      </c>
      <c r="AA3590" s="11" t="s">
        <v>49</v>
      </c>
    </row>
    <row r="3591" spans="2:27" ht="16" x14ac:dyDescent="0.2">
      <c r="B3591" t="s">
        <v>35</v>
      </c>
      <c r="C3591">
        <v>40358089</v>
      </c>
      <c r="D3591" t="s">
        <v>409</v>
      </c>
      <c r="E3591">
        <v>1012523</v>
      </c>
      <c r="F3591" t="s">
        <v>116</v>
      </c>
      <c r="G3591" s="9">
        <v>44936</v>
      </c>
      <c r="H3591" s="7"/>
      <c r="I3591" s="7"/>
      <c r="J3591" s="7"/>
      <c r="K3591" s="7"/>
      <c r="L3591" s="10">
        <v>7.5</v>
      </c>
      <c r="M3591" s="9">
        <v>44943</v>
      </c>
      <c r="N3591" s="10">
        <v>9.5</v>
      </c>
      <c r="O3591" s="9">
        <v>44952</v>
      </c>
      <c r="P3591">
        <v>4</v>
      </c>
      <c r="Q3591" s="11" t="s">
        <v>49</v>
      </c>
      <c r="R3591" s="7"/>
      <c r="S3591" s="7"/>
      <c r="T3591" s="7"/>
      <c r="U3591" s="7"/>
      <c r="V3591" s="10">
        <v>9.5</v>
      </c>
      <c r="W3591" s="9">
        <v>44945</v>
      </c>
      <c r="X3591" s="10">
        <v>11.5</v>
      </c>
      <c r="Y3591" s="9">
        <v>44952</v>
      </c>
      <c r="Z3591">
        <v>4</v>
      </c>
      <c r="AA3591" s="11" t="s">
        <v>49</v>
      </c>
    </row>
    <row r="3592" spans="2:27" ht="16" x14ac:dyDescent="0.2">
      <c r="B3592" t="s">
        <v>35</v>
      </c>
      <c r="C3592">
        <v>40358089</v>
      </c>
      <c r="D3592" t="s">
        <v>409</v>
      </c>
      <c r="E3592">
        <v>1012111</v>
      </c>
      <c r="F3592" t="s">
        <v>137</v>
      </c>
      <c r="G3592" s="9">
        <v>44936</v>
      </c>
      <c r="H3592" s="7"/>
      <c r="I3592" s="7"/>
      <c r="J3592" s="7"/>
      <c r="K3592" s="7"/>
      <c r="L3592" s="10">
        <v>7.5</v>
      </c>
      <c r="M3592" s="9">
        <v>44943</v>
      </c>
      <c r="N3592" s="10">
        <v>9.5</v>
      </c>
      <c r="O3592" s="9">
        <v>44952</v>
      </c>
      <c r="P3592">
        <v>4</v>
      </c>
      <c r="Q3592" s="11" t="s">
        <v>49</v>
      </c>
      <c r="R3592" s="7"/>
      <c r="S3592" s="7"/>
      <c r="T3592" s="7"/>
      <c r="U3592" s="7"/>
      <c r="V3592" s="10">
        <v>9.5</v>
      </c>
      <c r="W3592" s="9">
        <v>44945</v>
      </c>
      <c r="X3592" s="10">
        <v>11.5</v>
      </c>
      <c r="Y3592" s="9">
        <v>44952</v>
      </c>
      <c r="Z3592">
        <v>4</v>
      </c>
      <c r="AA3592" s="11" t="s">
        <v>49</v>
      </c>
    </row>
    <row r="3593" spans="2:27" x14ac:dyDescent="0.2">
      <c r="B3593" t="s">
        <v>394</v>
      </c>
      <c r="C3593">
        <v>40358082</v>
      </c>
      <c r="D3593" t="s">
        <v>485</v>
      </c>
      <c r="E3593">
        <v>1011042</v>
      </c>
      <c r="F3593" t="s">
        <v>510</v>
      </c>
      <c r="G3593" s="9">
        <v>44926</v>
      </c>
      <c r="H3593" s="7"/>
      <c r="I3593" s="7"/>
      <c r="J3593" s="7"/>
      <c r="K3593" s="7"/>
      <c r="L3593" s="10"/>
      <c r="N3593" s="10"/>
      <c r="Q3593" s="11"/>
      <c r="R3593" s="7"/>
      <c r="S3593" s="7"/>
      <c r="T3593" s="7"/>
      <c r="U3593" s="7"/>
      <c r="V3593" s="10"/>
      <c r="X3593" s="10"/>
      <c r="AA3593" s="11"/>
    </row>
    <row r="3594" spans="2:27" x14ac:dyDescent="0.2">
      <c r="B3594" t="s">
        <v>394</v>
      </c>
      <c r="C3594">
        <v>40358081</v>
      </c>
      <c r="D3594" t="s">
        <v>485</v>
      </c>
      <c r="E3594">
        <v>1011042</v>
      </c>
      <c r="F3594" t="s">
        <v>510</v>
      </c>
      <c r="G3594" s="9">
        <v>44927</v>
      </c>
      <c r="H3594" s="7"/>
      <c r="I3594" s="7"/>
      <c r="J3594" s="7"/>
      <c r="K3594" s="7"/>
      <c r="L3594" s="10"/>
      <c r="N3594" s="10"/>
      <c r="Q3594" s="11"/>
      <c r="R3594" s="7"/>
      <c r="S3594" s="7"/>
      <c r="T3594" s="7"/>
      <c r="U3594" s="7"/>
      <c r="V3594" s="10"/>
      <c r="X3594" s="10"/>
      <c r="AA3594" s="11"/>
    </row>
    <row r="3595" spans="2:27" ht="16" x14ac:dyDescent="0.2">
      <c r="B3595" t="s">
        <v>35</v>
      </c>
      <c r="C3595">
        <v>40358079</v>
      </c>
      <c r="D3595" t="s">
        <v>423</v>
      </c>
      <c r="E3595">
        <v>1023302</v>
      </c>
      <c r="F3595" t="s">
        <v>268</v>
      </c>
      <c r="G3595" s="9">
        <v>44941</v>
      </c>
      <c r="H3595" s="7"/>
      <c r="I3595" s="7"/>
      <c r="J3595" s="7"/>
      <c r="K3595" s="7"/>
      <c r="L3595" s="10">
        <v>5.4496124031007751</v>
      </c>
      <c r="M3595" s="9">
        <v>44946</v>
      </c>
      <c r="N3595" s="10">
        <v>10</v>
      </c>
      <c r="O3595" s="9">
        <v>44956</v>
      </c>
      <c r="P3595">
        <v>1</v>
      </c>
      <c r="Q3595" s="11" t="s">
        <v>648</v>
      </c>
      <c r="R3595" s="7"/>
      <c r="S3595" s="7"/>
      <c r="T3595" s="7"/>
      <c r="U3595" s="7"/>
      <c r="V3595" s="10">
        <v>7.4496124031007751</v>
      </c>
      <c r="W3595" s="9">
        <v>44948</v>
      </c>
      <c r="X3595" s="10">
        <v>12</v>
      </c>
      <c r="Y3595" s="9">
        <v>44956</v>
      </c>
      <c r="Z3595">
        <v>1</v>
      </c>
      <c r="AA3595" s="11" t="s">
        <v>648</v>
      </c>
    </row>
    <row r="3596" spans="2:27" ht="16" x14ac:dyDescent="0.2">
      <c r="B3596" t="s">
        <v>35</v>
      </c>
      <c r="C3596">
        <v>40358075</v>
      </c>
      <c r="D3596" t="s">
        <v>423</v>
      </c>
      <c r="E3596">
        <v>1030658</v>
      </c>
      <c r="F3596" t="s">
        <v>371</v>
      </c>
      <c r="G3596" s="9">
        <v>44941</v>
      </c>
      <c r="H3596" s="7"/>
      <c r="I3596" s="7"/>
      <c r="J3596" s="7"/>
      <c r="K3596" s="7"/>
      <c r="L3596" s="10">
        <v>5.4496124031007751</v>
      </c>
      <c r="M3596" s="9">
        <v>44946</v>
      </c>
      <c r="N3596" s="10">
        <v>10</v>
      </c>
      <c r="O3596" s="9">
        <v>44956</v>
      </c>
      <c r="P3596">
        <v>1</v>
      </c>
      <c r="Q3596" s="11" t="s">
        <v>648</v>
      </c>
      <c r="R3596" s="7"/>
      <c r="S3596" s="7"/>
      <c r="T3596" s="7"/>
      <c r="U3596" s="7"/>
      <c r="V3596" s="10">
        <v>7.4496124031007751</v>
      </c>
      <c r="W3596" s="9">
        <v>44948</v>
      </c>
      <c r="X3596" s="10">
        <v>12</v>
      </c>
      <c r="Y3596" s="9">
        <v>44956</v>
      </c>
      <c r="Z3596">
        <v>1</v>
      </c>
      <c r="AA3596" s="11" t="s">
        <v>648</v>
      </c>
    </row>
    <row r="3597" spans="2:27" ht="16" x14ac:dyDescent="0.2">
      <c r="B3597" t="s">
        <v>35</v>
      </c>
      <c r="C3597">
        <v>40358071</v>
      </c>
      <c r="D3597" t="s">
        <v>423</v>
      </c>
      <c r="E3597">
        <v>1030658</v>
      </c>
      <c r="F3597" t="s">
        <v>371</v>
      </c>
      <c r="G3597" s="9">
        <v>44941</v>
      </c>
      <c r="H3597" s="7"/>
      <c r="I3597" s="7"/>
      <c r="J3597" s="7"/>
      <c r="K3597" s="7"/>
      <c r="L3597" s="10">
        <v>5.4496124031007751</v>
      </c>
      <c r="M3597" s="9">
        <v>44946</v>
      </c>
      <c r="N3597" s="10">
        <v>10</v>
      </c>
      <c r="O3597" s="9">
        <v>44956</v>
      </c>
      <c r="P3597">
        <v>1</v>
      </c>
      <c r="Q3597" s="11" t="s">
        <v>648</v>
      </c>
      <c r="R3597" s="7"/>
      <c r="S3597" s="7"/>
      <c r="T3597" s="7"/>
      <c r="U3597" s="7"/>
      <c r="V3597" s="10">
        <v>7.4496124031007751</v>
      </c>
      <c r="W3597" s="9">
        <v>44948</v>
      </c>
      <c r="X3597" s="10">
        <v>12</v>
      </c>
      <c r="Y3597" s="9">
        <v>44956</v>
      </c>
      <c r="Z3597">
        <v>1</v>
      </c>
      <c r="AA3597" s="11" t="s">
        <v>648</v>
      </c>
    </row>
    <row r="3598" spans="2:27" ht="16" x14ac:dyDescent="0.2">
      <c r="B3598" t="s">
        <v>35</v>
      </c>
      <c r="C3598">
        <v>40358065</v>
      </c>
      <c r="D3598" t="s">
        <v>423</v>
      </c>
      <c r="E3598">
        <v>1030337</v>
      </c>
      <c r="F3598" t="s">
        <v>369</v>
      </c>
      <c r="G3598" s="9">
        <v>44941</v>
      </c>
      <c r="H3598" s="7"/>
      <c r="I3598" s="7"/>
      <c r="J3598" s="7"/>
      <c r="K3598" s="7"/>
      <c r="L3598" s="10">
        <v>5.4496124031007751</v>
      </c>
      <c r="M3598" s="9">
        <v>44946</v>
      </c>
      <c r="N3598" s="10">
        <v>10</v>
      </c>
      <c r="O3598" s="9">
        <v>44956</v>
      </c>
      <c r="P3598">
        <v>1</v>
      </c>
      <c r="Q3598" s="11" t="s">
        <v>648</v>
      </c>
      <c r="R3598" s="7"/>
      <c r="S3598" s="7"/>
      <c r="T3598" s="7"/>
      <c r="U3598" s="7"/>
      <c r="V3598" s="10">
        <v>7.4496124031007751</v>
      </c>
      <c r="W3598" s="9">
        <v>44948</v>
      </c>
      <c r="X3598" s="10">
        <v>12</v>
      </c>
      <c r="Y3598" s="9">
        <v>44956</v>
      </c>
      <c r="Z3598">
        <v>1</v>
      </c>
      <c r="AA3598" s="11" t="s">
        <v>648</v>
      </c>
    </row>
    <row r="3599" spans="2:27" ht="16" x14ac:dyDescent="0.2">
      <c r="B3599" t="s">
        <v>35</v>
      </c>
      <c r="C3599">
        <v>40358064</v>
      </c>
      <c r="D3599" t="s">
        <v>423</v>
      </c>
      <c r="E3599">
        <v>1030337</v>
      </c>
      <c r="F3599" t="s">
        <v>369</v>
      </c>
      <c r="G3599" s="9">
        <v>44941</v>
      </c>
      <c r="H3599" s="7"/>
      <c r="I3599" s="7"/>
      <c r="J3599" s="7"/>
      <c r="K3599" s="7"/>
      <c r="L3599" s="10">
        <v>5.4496124031007751</v>
      </c>
      <c r="M3599" s="9">
        <v>44946</v>
      </c>
      <c r="N3599" s="10">
        <v>10</v>
      </c>
      <c r="O3599" s="9">
        <v>44956</v>
      </c>
      <c r="P3599">
        <v>1</v>
      </c>
      <c r="Q3599" s="11" t="s">
        <v>648</v>
      </c>
      <c r="R3599" s="7"/>
      <c r="S3599" s="7"/>
      <c r="T3599" s="7"/>
      <c r="U3599" s="7"/>
      <c r="V3599" s="10">
        <v>7.4496124031007751</v>
      </c>
      <c r="W3599" s="9">
        <v>44948</v>
      </c>
      <c r="X3599" s="10">
        <v>12</v>
      </c>
      <c r="Y3599" s="9">
        <v>44956</v>
      </c>
      <c r="Z3599">
        <v>1</v>
      </c>
      <c r="AA3599" s="11" t="s">
        <v>648</v>
      </c>
    </row>
    <row r="3600" spans="2:27" ht="16" x14ac:dyDescent="0.2">
      <c r="B3600" t="s">
        <v>35</v>
      </c>
      <c r="C3600">
        <v>40358063</v>
      </c>
      <c r="D3600" t="s">
        <v>423</v>
      </c>
      <c r="E3600">
        <v>1030337</v>
      </c>
      <c r="F3600" t="s">
        <v>369</v>
      </c>
      <c r="G3600" s="9">
        <v>44935</v>
      </c>
      <c r="H3600" s="7"/>
      <c r="I3600" s="7"/>
      <c r="J3600" s="7"/>
      <c r="K3600" s="7"/>
      <c r="L3600" s="10">
        <v>5.4496124031007751</v>
      </c>
      <c r="M3600" s="9">
        <v>44940</v>
      </c>
      <c r="N3600" s="10">
        <v>10</v>
      </c>
      <c r="O3600" s="9">
        <v>44950</v>
      </c>
      <c r="P3600">
        <v>6</v>
      </c>
      <c r="Q3600" s="11" t="s">
        <v>49</v>
      </c>
      <c r="R3600" s="7"/>
      <c r="S3600" s="7"/>
      <c r="T3600" s="7"/>
      <c r="U3600" s="7"/>
      <c r="V3600" s="10">
        <v>7.4496124031007751</v>
      </c>
      <c r="W3600" s="9">
        <v>44942</v>
      </c>
      <c r="X3600" s="10">
        <v>12</v>
      </c>
      <c r="Y3600" s="9">
        <v>44950</v>
      </c>
      <c r="Z3600">
        <v>6</v>
      </c>
      <c r="AA3600" s="11" t="s">
        <v>49</v>
      </c>
    </row>
    <row r="3601" spans="2:27" ht="16" x14ac:dyDescent="0.2">
      <c r="B3601" t="s">
        <v>35</v>
      </c>
      <c r="C3601">
        <v>40358062</v>
      </c>
      <c r="D3601" t="s">
        <v>423</v>
      </c>
      <c r="E3601">
        <v>1030337</v>
      </c>
      <c r="F3601" t="s">
        <v>369</v>
      </c>
      <c r="G3601" s="9">
        <v>44941</v>
      </c>
      <c r="H3601" s="7"/>
      <c r="I3601" s="7"/>
      <c r="J3601" s="7"/>
      <c r="K3601" s="7"/>
      <c r="L3601" s="10">
        <v>5.4496124031007751</v>
      </c>
      <c r="M3601" s="9">
        <v>44946</v>
      </c>
      <c r="N3601" s="10">
        <v>10</v>
      </c>
      <c r="O3601" s="9">
        <v>44956</v>
      </c>
      <c r="P3601">
        <v>1</v>
      </c>
      <c r="Q3601" s="11" t="s">
        <v>648</v>
      </c>
      <c r="R3601" s="7"/>
      <c r="S3601" s="7"/>
      <c r="T3601" s="7"/>
      <c r="U3601" s="7"/>
      <c r="V3601" s="10">
        <v>7.4496124031007751</v>
      </c>
      <c r="W3601" s="9">
        <v>44948</v>
      </c>
      <c r="X3601" s="10">
        <v>12</v>
      </c>
      <c r="Y3601" s="9">
        <v>44956</v>
      </c>
      <c r="Z3601">
        <v>1</v>
      </c>
      <c r="AA3601" s="11" t="s">
        <v>648</v>
      </c>
    </row>
    <row r="3602" spans="2:27" ht="16" x14ac:dyDescent="0.2">
      <c r="B3602" t="s">
        <v>35</v>
      </c>
      <c r="C3602">
        <v>40358061</v>
      </c>
      <c r="D3602" t="s">
        <v>423</v>
      </c>
      <c r="E3602">
        <v>1030337</v>
      </c>
      <c r="F3602" t="s">
        <v>369</v>
      </c>
      <c r="G3602" s="9">
        <v>44941</v>
      </c>
      <c r="H3602" s="7"/>
      <c r="I3602" s="7"/>
      <c r="J3602" s="7"/>
      <c r="K3602" s="7"/>
      <c r="L3602" s="10">
        <v>5.4496124031007751</v>
      </c>
      <c r="M3602" s="9">
        <v>44946</v>
      </c>
      <c r="N3602" s="10">
        <v>10</v>
      </c>
      <c r="O3602" s="9">
        <v>44956</v>
      </c>
      <c r="P3602">
        <v>1</v>
      </c>
      <c r="Q3602" s="11" t="s">
        <v>648</v>
      </c>
      <c r="R3602" s="7"/>
      <c r="S3602" s="7"/>
      <c r="T3602" s="7"/>
      <c r="U3602" s="7"/>
      <c r="V3602" s="10">
        <v>7.4496124031007751</v>
      </c>
      <c r="W3602" s="9">
        <v>44948</v>
      </c>
      <c r="X3602" s="10">
        <v>12</v>
      </c>
      <c r="Y3602" s="9">
        <v>44956</v>
      </c>
      <c r="Z3602">
        <v>1</v>
      </c>
      <c r="AA3602" s="11" t="s">
        <v>648</v>
      </c>
    </row>
    <row r="3603" spans="2:27" ht="16" x14ac:dyDescent="0.2">
      <c r="B3603" t="s">
        <v>35</v>
      </c>
      <c r="C3603">
        <v>40358060</v>
      </c>
      <c r="D3603" t="s">
        <v>423</v>
      </c>
      <c r="E3603">
        <v>1030337</v>
      </c>
      <c r="F3603" t="s">
        <v>369</v>
      </c>
      <c r="G3603" s="9">
        <v>44941</v>
      </c>
      <c r="H3603" s="7"/>
      <c r="I3603" s="7"/>
      <c r="J3603" s="7"/>
      <c r="K3603" s="7"/>
      <c r="L3603" s="10">
        <v>5.4496124031007751</v>
      </c>
      <c r="M3603" s="9">
        <v>44946</v>
      </c>
      <c r="N3603" s="10">
        <v>10</v>
      </c>
      <c r="O3603" s="9">
        <v>44956</v>
      </c>
      <c r="P3603">
        <v>1</v>
      </c>
      <c r="Q3603" s="11" t="s">
        <v>648</v>
      </c>
      <c r="R3603" s="7"/>
      <c r="S3603" s="7"/>
      <c r="T3603" s="7"/>
      <c r="U3603" s="7"/>
      <c r="V3603" s="10">
        <v>7.4496124031007751</v>
      </c>
      <c r="W3603" s="9">
        <v>44948</v>
      </c>
      <c r="X3603" s="10">
        <v>12</v>
      </c>
      <c r="Y3603" s="9">
        <v>44956</v>
      </c>
      <c r="Z3603">
        <v>1</v>
      </c>
      <c r="AA3603" s="11" t="s">
        <v>648</v>
      </c>
    </row>
    <row r="3604" spans="2:27" ht="16" x14ac:dyDescent="0.2">
      <c r="B3604" t="s">
        <v>35</v>
      </c>
      <c r="C3604">
        <v>40358059</v>
      </c>
      <c r="D3604" t="s">
        <v>423</v>
      </c>
      <c r="E3604">
        <v>1030337</v>
      </c>
      <c r="F3604" t="s">
        <v>369</v>
      </c>
      <c r="G3604" s="9">
        <v>44935</v>
      </c>
      <c r="H3604" s="7"/>
      <c r="I3604" s="7"/>
      <c r="J3604" s="7"/>
      <c r="K3604" s="7"/>
      <c r="L3604" s="10">
        <v>5.4496124031007751</v>
      </c>
      <c r="M3604" s="9">
        <v>44940</v>
      </c>
      <c r="N3604" s="10">
        <v>10</v>
      </c>
      <c r="O3604" s="9">
        <v>44950</v>
      </c>
      <c r="P3604">
        <v>6</v>
      </c>
      <c r="Q3604" s="11" t="s">
        <v>49</v>
      </c>
      <c r="R3604" s="7"/>
      <c r="S3604" s="7"/>
      <c r="T3604" s="7"/>
      <c r="U3604" s="7"/>
      <c r="V3604" s="10">
        <v>7.4496124031007751</v>
      </c>
      <c r="W3604" s="9">
        <v>44942</v>
      </c>
      <c r="X3604" s="10">
        <v>12</v>
      </c>
      <c r="Y3604" s="9">
        <v>44950</v>
      </c>
      <c r="Z3604">
        <v>6</v>
      </c>
      <c r="AA3604" s="11" t="s">
        <v>49</v>
      </c>
    </row>
    <row r="3605" spans="2:27" ht="16" x14ac:dyDescent="0.2">
      <c r="B3605" t="s">
        <v>35</v>
      </c>
      <c r="C3605">
        <v>40358058</v>
      </c>
      <c r="D3605" t="s">
        <v>423</v>
      </c>
      <c r="E3605">
        <v>1030337</v>
      </c>
      <c r="F3605" t="s">
        <v>369</v>
      </c>
      <c r="G3605" s="9">
        <v>44941</v>
      </c>
      <c r="H3605" s="7"/>
      <c r="I3605" s="7"/>
      <c r="J3605" s="7"/>
      <c r="K3605" s="7"/>
      <c r="L3605" s="10">
        <v>5.4496124031007751</v>
      </c>
      <c r="M3605" s="9">
        <v>44946</v>
      </c>
      <c r="N3605" s="10">
        <v>10</v>
      </c>
      <c r="O3605" s="9">
        <v>44956</v>
      </c>
      <c r="P3605">
        <v>1</v>
      </c>
      <c r="Q3605" s="11" t="s">
        <v>648</v>
      </c>
      <c r="R3605" s="7"/>
      <c r="S3605" s="7"/>
      <c r="T3605" s="7"/>
      <c r="U3605" s="7"/>
      <c r="V3605" s="10">
        <v>7.4496124031007751</v>
      </c>
      <c r="W3605" s="9">
        <v>44948</v>
      </c>
      <c r="X3605" s="10">
        <v>12</v>
      </c>
      <c r="Y3605" s="9">
        <v>44956</v>
      </c>
      <c r="Z3605">
        <v>1</v>
      </c>
      <c r="AA3605" s="11" t="s">
        <v>648</v>
      </c>
    </row>
    <row r="3606" spans="2:27" ht="16" x14ac:dyDescent="0.2">
      <c r="B3606" t="s">
        <v>35</v>
      </c>
      <c r="C3606">
        <v>40358057</v>
      </c>
      <c r="D3606" t="s">
        <v>423</v>
      </c>
      <c r="E3606">
        <v>1030337</v>
      </c>
      <c r="F3606" t="s">
        <v>369</v>
      </c>
      <c r="G3606" s="9">
        <v>44941</v>
      </c>
      <c r="H3606" s="7"/>
      <c r="I3606" s="7"/>
      <c r="J3606" s="7"/>
      <c r="K3606" s="7"/>
      <c r="L3606" s="10">
        <v>5.4496124031007751</v>
      </c>
      <c r="M3606" s="9">
        <v>44946</v>
      </c>
      <c r="N3606" s="10">
        <v>10</v>
      </c>
      <c r="O3606" s="9">
        <v>44956</v>
      </c>
      <c r="P3606">
        <v>1</v>
      </c>
      <c r="Q3606" s="11" t="s">
        <v>648</v>
      </c>
      <c r="R3606" s="7"/>
      <c r="S3606" s="7"/>
      <c r="T3606" s="7"/>
      <c r="U3606" s="7"/>
      <c r="V3606" s="10">
        <v>7.4496124031007751</v>
      </c>
      <c r="W3606" s="9">
        <v>44948</v>
      </c>
      <c r="X3606" s="10">
        <v>12</v>
      </c>
      <c r="Y3606" s="9">
        <v>44956</v>
      </c>
      <c r="Z3606">
        <v>1</v>
      </c>
      <c r="AA3606" s="11" t="s">
        <v>648</v>
      </c>
    </row>
    <row r="3607" spans="2:27" ht="16" x14ac:dyDescent="0.2">
      <c r="B3607" t="s">
        <v>35</v>
      </c>
      <c r="C3607">
        <v>40358056</v>
      </c>
      <c r="D3607" t="s">
        <v>423</v>
      </c>
      <c r="E3607">
        <v>1030337</v>
      </c>
      <c r="F3607" t="s">
        <v>369</v>
      </c>
      <c r="G3607" s="9">
        <v>44935</v>
      </c>
      <c r="H3607" s="7"/>
      <c r="I3607" s="7"/>
      <c r="J3607" s="7"/>
      <c r="K3607" s="7"/>
      <c r="L3607" s="10">
        <v>5.4496124031007751</v>
      </c>
      <c r="M3607" s="9">
        <v>44940</v>
      </c>
      <c r="N3607" s="10">
        <v>10</v>
      </c>
      <c r="O3607" s="9">
        <v>44950</v>
      </c>
      <c r="P3607">
        <v>6</v>
      </c>
      <c r="Q3607" s="11" t="s">
        <v>49</v>
      </c>
      <c r="R3607" s="7"/>
      <c r="S3607" s="7"/>
      <c r="T3607" s="7"/>
      <c r="U3607" s="7"/>
      <c r="V3607" s="10">
        <v>7.4496124031007751</v>
      </c>
      <c r="W3607" s="9">
        <v>44942</v>
      </c>
      <c r="X3607" s="10">
        <v>12</v>
      </c>
      <c r="Y3607" s="9">
        <v>44950</v>
      </c>
      <c r="Z3607">
        <v>6</v>
      </c>
      <c r="AA3607" s="11" t="s">
        <v>49</v>
      </c>
    </row>
    <row r="3608" spans="2:27" ht="16" x14ac:dyDescent="0.2">
      <c r="B3608" t="s">
        <v>35</v>
      </c>
      <c r="C3608">
        <v>40358043</v>
      </c>
      <c r="D3608" t="s">
        <v>423</v>
      </c>
      <c r="E3608">
        <v>1021020</v>
      </c>
      <c r="F3608" t="s">
        <v>608</v>
      </c>
      <c r="G3608" s="9">
        <v>44935</v>
      </c>
      <c r="H3608" s="7"/>
      <c r="I3608" s="7"/>
      <c r="J3608" s="7"/>
      <c r="K3608" s="7"/>
      <c r="L3608" s="10">
        <v>5.4496124031007751</v>
      </c>
      <c r="M3608" s="9">
        <v>44940</v>
      </c>
      <c r="N3608" s="10">
        <v>10</v>
      </c>
      <c r="O3608" s="9">
        <v>44950</v>
      </c>
      <c r="P3608">
        <v>6</v>
      </c>
      <c r="Q3608" s="11" t="s">
        <v>49</v>
      </c>
      <c r="R3608" s="7"/>
      <c r="S3608" s="7"/>
      <c r="T3608" s="7"/>
      <c r="U3608" s="7"/>
      <c r="V3608" s="10">
        <v>7.4496124031007751</v>
      </c>
      <c r="W3608" s="9">
        <v>44942</v>
      </c>
      <c r="X3608" s="10">
        <v>12</v>
      </c>
      <c r="Y3608" s="9">
        <v>44950</v>
      </c>
      <c r="Z3608">
        <v>6</v>
      </c>
      <c r="AA3608" s="11" t="s">
        <v>49</v>
      </c>
    </row>
    <row r="3609" spans="2:27" ht="16" x14ac:dyDescent="0.2">
      <c r="B3609" t="s">
        <v>35</v>
      </c>
      <c r="C3609">
        <v>40358043</v>
      </c>
      <c r="D3609" t="s">
        <v>423</v>
      </c>
      <c r="E3609">
        <v>1021020</v>
      </c>
      <c r="F3609" t="s">
        <v>608</v>
      </c>
      <c r="G3609" s="9">
        <v>44935</v>
      </c>
      <c r="H3609" s="7"/>
      <c r="I3609" s="7"/>
      <c r="J3609" s="7"/>
      <c r="K3609" s="7"/>
      <c r="L3609" s="10">
        <v>5.4496124031007751</v>
      </c>
      <c r="M3609" s="9">
        <v>44940</v>
      </c>
      <c r="N3609" s="10">
        <v>10</v>
      </c>
      <c r="O3609" s="9">
        <v>44950</v>
      </c>
      <c r="P3609">
        <v>6</v>
      </c>
      <c r="Q3609" s="11" t="s">
        <v>49</v>
      </c>
      <c r="R3609" s="7"/>
      <c r="S3609" s="7"/>
      <c r="T3609" s="7"/>
      <c r="U3609" s="7"/>
      <c r="V3609" s="10">
        <v>7.4496124031007751</v>
      </c>
      <c r="W3609" s="9">
        <v>44942</v>
      </c>
      <c r="X3609" s="10">
        <v>12</v>
      </c>
      <c r="Y3609" s="9">
        <v>44950</v>
      </c>
      <c r="Z3609">
        <v>6</v>
      </c>
      <c r="AA3609" s="11" t="s">
        <v>49</v>
      </c>
    </row>
    <row r="3610" spans="2:27" ht="16" x14ac:dyDescent="0.2">
      <c r="B3610" t="s">
        <v>35</v>
      </c>
      <c r="C3610">
        <v>40358027</v>
      </c>
      <c r="D3610" t="s">
        <v>423</v>
      </c>
      <c r="E3610">
        <v>1023324</v>
      </c>
      <c r="F3610" t="s">
        <v>269</v>
      </c>
      <c r="G3610" s="9">
        <v>44927</v>
      </c>
      <c r="H3610" s="7"/>
      <c r="I3610" s="7"/>
      <c r="J3610" s="7"/>
      <c r="K3610" s="7"/>
      <c r="L3610" s="10">
        <v>5.4496124031007751</v>
      </c>
      <c r="M3610" s="9">
        <v>44932</v>
      </c>
      <c r="N3610" s="10">
        <v>10</v>
      </c>
      <c r="O3610" s="9">
        <v>44942</v>
      </c>
      <c r="P3610">
        <v>13</v>
      </c>
      <c r="Q3610" s="11" t="s">
        <v>49</v>
      </c>
      <c r="R3610" s="7"/>
      <c r="S3610" s="7"/>
      <c r="T3610" s="7"/>
      <c r="U3610" s="7"/>
      <c r="V3610" s="10">
        <v>7.4496124031007751</v>
      </c>
      <c r="W3610" s="9">
        <v>44934</v>
      </c>
      <c r="X3610" s="10">
        <v>12</v>
      </c>
      <c r="Y3610" s="9">
        <v>44942</v>
      </c>
      <c r="Z3610">
        <v>13</v>
      </c>
      <c r="AA3610" s="11" t="s">
        <v>49</v>
      </c>
    </row>
    <row r="3611" spans="2:27" ht="16" x14ac:dyDescent="0.2">
      <c r="B3611" t="s">
        <v>35</v>
      </c>
      <c r="C3611">
        <v>40358026</v>
      </c>
      <c r="D3611" t="s">
        <v>423</v>
      </c>
      <c r="E3611">
        <v>1023324</v>
      </c>
      <c r="F3611" t="s">
        <v>269</v>
      </c>
      <c r="G3611" s="9">
        <v>44935</v>
      </c>
      <c r="H3611" s="7"/>
      <c r="I3611" s="7"/>
      <c r="J3611" s="7"/>
      <c r="K3611" s="7"/>
      <c r="L3611" s="10">
        <v>5.4496124031007751</v>
      </c>
      <c r="M3611" s="9">
        <v>44940</v>
      </c>
      <c r="N3611" s="10">
        <v>10</v>
      </c>
      <c r="O3611" s="9">
        <v>44950</v>
      </c>
      <c r="P3611">
        <v>6</v>
      </c>
      <c r="Q3611" s="11" t="s">
        <v>49</v>
      </c>
      <c r="R3611" s="7"/>
      <c r="S3611" s="7"/>
      <c r="T3611" s="7"/>
      <c r="U3611" s="7"/>
      <c r="V3611" s="10">
        <v>7.4496124031007751</v>
      </c>
      <c r="W3611" s="9">
        <v>44942</v>
      </c>
      <c r="X3611" s="10">
        <v>12</v>
      </c>
      <c r="Y3611" s="9">
        <v>44950</v>
      </c>
      <c r="Z3611">
        <v>6</v>
      </c>
      <c r="AA3611" s="11" t="s">
        <v>49</v>
      </c>
    </row>
    <row r="3612" spans="2:27" ht="16" x14ac:dyDescent="0.2">
      <c r="B3612" t="s">
        <v>35</v>
      </c>
      <c r="C3612">
        <v>40358025</v>
      </c>
      <c r="D3612" t="s">
        <v>423</v>
      </c>
      <c r="E3612">
        <v>1023324</v>
      </c>
      <c r="F3612" t="s">
        <v>269</v>
      </c>
      <c r="G3612" s="9">
        <v>44935</v>
      </c>
      <c r="H3612" s="7"/>
      <c r="I3612" s="7"/>
      <c r="J3612" s="7"/>
      <c r="K3612" s="7"/>
      <c r="L3612" s="10">
        <v>5.4496124031007751</v>
      </c>
      <c r="M3612" s="9">
        <v>44940</v>
      </c>
      <c r="N3612" s="10">
        <v>10</v>
      </c>
      <c r="O3612" s="9">
        <v>44950</v>
      </c>
      <c r="P3612">
        <v>6</v>
      </c>
      <c r="Q3612" s="11" t="s">
        <v>49</v>
      </c>
      <c r="R3612" s="7"/>
      <c r="S3612" s="7"/>
      <c r="T3612" s="7"/>
      <c r="U3612" s="7"/>
      <c r="V3612" s="10">
        <v>7.4496124031007751</v>
      </c>
      <c r="W3612" s="9">
        <v>44942</v>
      </c>
      <c r="X3612" s="10">
        <v>12</v>
      </c>
      <c r="Y3612" s="9">
        <v>44950</v>
      </c>
      <c r="Z3612">
        <v>6</v>
      </c>
      <c r="AA3612" s="11" t="s">
        <v>49</v>
      </c>
    </row>
    <row r="3613" spans="2:27" ht="16" x14ac:dyDescent="0.2">
      <c r="B3613" t="s">
        <v>35</v>
      </c>
      <c r="C3613">
        <v>40358024</v>
      </c>
      <c r="D3613" t="s">
        <v>423</v>
      </c>
      <c r="E3613">
        <v>1023324</v>
      </c>
      <c r="F3613" t="s">
        <v>269</v>
      </c>
      <c r="G3613" s="9">
        <v>44935</v>
      </c>
      <c r="H3613" s="7"/>
      <c r="I3613" s="7"/>
      <c r="J3613" s="7"/>
      <c r="K3613" s="7"/>
      <c r="L3613" s="10">
        <v>5.4496124031007751</v>
      </c>
      <c r="M3613" s="9">
        <v>44940</v>
      </c>
      <c r="N3613" s="10">
        <v>10</v>
      </c>
      <c r="O3613" s="9">
        <v>44950</v>
      </c>
      <c r="P3613">
        <v>6</v>
      </c>
      <c r="Q3613" s="11" t="s">
        <v>49</v>
      </c>
      <c r="R3613" s="7"/>
      <c r="S3613" s="7"/>
      <c r="T3613" s="7"/>
      <c r="U3613" s="7"/>
      <c r="V3613" s="10">
        <v>7.4496124031007751</v>
      </c>
      <c r="W3613" s="9">
        <v>44942</v>
      </c>
      <c r="X3613" s="10">
        <v>12</v>
      </c>
      <c r="Y3613" s="9">
        <v>44950</v>
      </c>
      <c r="Z3613">
        <v>6</v>
      </c>
      <c r="AA3613" s="11" t="s">
        <v>49</v>
      </c>
    </row>
    <row r="3614" spans="2:27" ht="16" x14ac:dyDescent="0.2">
      <c r="B3614" t="s">
        <v>35</v>
      </c>
      <c r="C3614">
        <v>40358022</v>
      </c>
      <c r="D3614" t="s">
        <v>423</v>
      </c>
      <c r="E3614">
        <v>1023324</v>
      </c>
      <c r="F3614" t="s">
        <v>269</v>
      </c>
      <c r="G3614" s="9">
        <v>44935</v>
      </c>
      <c r="H3614" s="7"/>
      <c r="I3614" s="7"/>
      <c r="J3614" s="7"/>
      <c r="K3614" s="7"/>
      <c r="L3614" s="10">
        <v>5.4496124031007751</v>
      </c>
      <c r="M3614" s="9">
        <v>44940</v>
      </c>
      <c r="N3614" s="10">
        <v>10</v>
      </c>
      <c r="O3614" s="9">
        <v>44950</v>
      </c>
      <c r="P3614">
        <v>6</v>
      </c>
      <c r="Q3614" s="11" t="s">
        <v>49</v>
      </c>
      <c r="R3614" s="7"/>
      <c r="S3614" s="7"/>
      <c r="T3614" s="7"/>
      <c r="U3614" s="7"/>
      <c r="V3614" s="10">
        <v>7.4496124031007751</v>
      </c>
      <c r="W3614" s="9">
        <v>44942</v>
      </c>
      <c r="X3614" s="10">
        <v>12</v>
      </c>
      <c r="Y3614" s="9">
        <v>44950</v>
      </c>
      <c r="Z3614">
        <v>6</v>
      </c>
      <c r="AA3614" s="11" t="s">
        <v>49</v>
      </c>
    </row>
    <row r="3615" spans="2:27" ht="16" x14ac:dyDescent="0.2">
      <c r="B3615" t="s">
        <v>35</v>
      </c>
      <c r="C3615">
        <v>40358021</v>
      </c>
      <c r="D3615" t="s">
        <v>423</v>
      </c>
      <c r="E3615">
        <v>1023324</v>
      </c>
      <c r="F3615" t="s">
        <v>269</v>
      </c>
      <c r="G3615" s="9">
        <v>44935</v>
      </c>
      <c r="H3615" s="7"/>
      <c r="I3615" s="7"/>
      <c r="J3615" s="7"/>
      <c r="K3615" s="7"/>
      <c r="L3615" s="10">
        <v>5.4496124031007751</v>
      </c>
      <c r="M3615" s="9">
        <v>44940</v>
      </c>
      <c r="N3615" s="10">
        <v>10</v>
      </c>
      <c r="O3615" s="9">
        <v>44950</v>
      </c>
      <c r="P3615">
        <v>6</v>
      </c>
      <c r="Q3615" s="11" t="s">
        <v>49</v>
      </c>
      <c r="R3615" s="7"/>
      <c r="S3615" s="7"/>
      <c r="T3615" s="7"/>
      <c r="U3615" s="7"/>
      <c r="V3615" s="10">
        <v>7.4496124031007751</v>
      </c>
      <c r="W3615" s="9">
        <v>44942</v>
      </c>
      <c r="X3615" s="10">
        <v>12</v>
      </c>
      <c r="Y3615" s="9">
        <v>44950</v>
      </c>
      <c r="Z3615">
        <v>6</v>
      </c>
      <c r="AA3615" s="11" t="s">
        <v>49</v>
      </c>
    </row>
    <row r="3616" spans="2:27" ht="16" x14ac:dyDescent="0.2">
      <c r="B3616" t="s">
        <v>35</v>
      </c>
      <c r="C3616">
        <v>40358020</v>
      </c>
      <c r="D3616" t="s">
        <v>423</v>
      </c>
      <c r="E3616">
        <v>1023324</v>
      </c>
      <c r="F3616" t="s">
        <v>269</v>
      </c>
      <c r="G3616" s="9">
        <v>44935</v>
      </c>
      <c r="H3616" s="7"/>
      <c r="I3616" s="7"/>
      <c r="J3616" s="7"/>
      <c r="K3616" s="7"/>
      <c r="L3616" s="10">
        <v>5.4496124031007751</v>
      </c>
      <c r="M3616" s="9">
        <v>44940</v>
      </c>
      <c r="N3616" s="10">
        <v>10</v>
      </c>
      <c r="O3616" s="9">
        <v>44950</v>
      </c>
      <c r="P3616">
        <v>6</v>
      </c>
      <c r="Q3616" s="11" t="s">
        <v>49</v>
      </c>
      <c r="R3616" s="7"/>
      <c r="S3616" s="7"/>
      <c r="T3616" s="7"/>
      <c r="U3616" s="7"/>
      <c r="V3616" s="10">
        <v>7.4496124031007751</v>
      </c>
      <c r="W3616" s="9">
        <v>44942</v>
      </c>
      <c r="X3616" s="10">
        <v>12</v>
      </c>
      <c r="Y3616" s="9">
        <v>44950</v>
      </c>
      <c r="Z3616">
        <v>6</v>
      </c>
      <c r="AA3616" s="11" t="s">
        <v>49</v>
      </c>
    </row>
    <row r="3617" spans="2:27" ht="16" x14ac:dyDescent="0.2">
      <c r="B3617" t="s">
        <v>35</v>
      </c>
      <c r="C3617">
        <v>40358018</v>
      </c>
      <c r="D3617" t="s">
        <v>423</v>
      </c>
      <c r="E3617">
        <v>1021874</v>
      </c>
      <c r="F3617" t="s">
        <v>514</v>
      </c>
      <c r="G3617" s="9">
        <v>44941</v>
      </c>
      <c r="H3617" s="7"/>
      <c r="I3617" s="7"/>
      <c r="J3617" s="7"/>
      <c r="K3617" s="7"/>
      <c r="L3617" s="10">
        <v>5.4496124031007751</v>
      </c>
      <c r="M3617" s="9">
        <v>44946</v>
      </c>
      <c r="N3617" s="10">
        <v>10</v>
      </c>
      <c r="O3617" s="9">
        <v>44956</v>
      </c>
      <c r="P3617">
        <v>1</v>
      </c>
      <c r="Q3617" s="11" t="s">
        <v>648</v>
      </c>
      <c r="R3617" s="7"/>
      <c r="S3617" s="7"/>
      <c r="T3617" s="7"/>
      <c r="U3617" s="7"/>
      <c r="V3617" s="10">
        <v>7.4496124031007751</v>
      </c>
      <c r="W3617" s="9">
        <v>44948</v>
      </c>
      <c r="X3617" s="10">
        <v>12</v>
      </c>
      <c r="Y3617" s="9">
        <v>44956</v>
      </c>
      <c r="Z3617">
        <v>1</v>
      </c>
      <c r="AA3617" s="11" t="s">
        <v>648</v>
      </c>
    </row>
    <row r="3618" spans="2:27" ht="16" x14ac:dyDescent="0.2">
      <c r="B3618" t="s">
        <v>35</v>
      </c>
      <c r="C3618">
        <v>40358017</v>
      </c>
      <c r="D3618" t="s">
        <v>423</v>
      </c>
      <c r="E3618">
        <v>1021874</v>
      </c>
      <c r="F3618" t="s">
        <v>514</v>
      </c>
      <c r="G3618" s="9">
        <v>44941</v>
      </c>
      <c r="H3618" s="7"/>
      <c r="I3618" s="7"/>
      <c r="J3618" s="7"/>
      <c r="K3618" s="7"/>
      <c r="L3618" s="10">
        <v>5.4496124031007751</v>
      </c>
      <c r="M3618" s="9">
        <v>44946</v>
      </c>
      <c r="N3618" s="10">
        <v>10</v>
      </c>
      <c r="O3618" s="9">
        <v>44956</v>
      </c>
      <c r="P3618">
        <v>1</v>
      </c>
      <c r="Q3618" s="11" t="s">
        <v>648</v>
      </c>
      <c r="R3618" s="7"/>
      <c r="S3618" s="7"/>
      <c r="T3618" s="7"/>
      <c r="U3618" s="7"/>
      <c r="V3618" s="10">
        <v>7.4496124031007751</v>
      </c>
      <c r="W3618" s="9">
        <v>44948</v>
      </c>
      <c r="X3618" s="10">
        <v>12</v>
      </c>
      <c r="Y3618" s="9">
        <v>44956</v>
      </c>
      <c r="Z3618">
        <v>1</v>
      </c>
      <c r="AA3618" s="11" t="s">
        <v>648</v>
      </c>
    </row>
    <row r="3619" spans="2:27" ht="16" x14ac:dyDescent="0.2">
      <c r="B3619" t="s">
        <v>35</v>
      </c>
      <c r="C3619">
        <v>40358014</v>
      </c>
      <c r="D3619" t="s">
        <v>423</v>
      </c>
      <c r="E3619">
        <v>1021874</v>
      </c>
      <c r="F3619" t="s">
        <v>514</v>
      </c>
      <c r="G3619" s="9">
        <v>44941</v>
      </c>
      <c r="H3619" s="7"/>
      <c r="I3619" s="7"/>
      <c r="J3619" s="7"/>
      <c r="K3619" s="7"/>
      <c r="L3619" s="10">
        <v>5.4496124031007751</v>
      </c>
      <c r="M3619" s="9">
        <v>44946</v>
      </c>
      <c r="N3619" s="10">
        <v>10</v>
      </c>
      <c r="O3619" s="9">
        <v>44956</v>
      </c>
      <c r="P3619">
        <v>1</v>
      </c>
      <c r="Q3619" s="11" t="s">
        <v>648</v>
      </c>
      <c r="R3619" s="7"/>
      <c r="S3619" s="7"/>
      <c r="T3619" s="7"/>
      <c r="U3619" s="7"/>
      <c r="V3619" s="10">
        <v>7.4496124031007751</v>
      </c>
      <c r="W3619" s="9">
        <v>44948</v>
      </c>
      <c r="X3619" s="10">
        <v>12</v>
      </c>
      <c r="Y3619" s="9">
        <v>44956</v>
      </c>
      <c r="Z3619">
        <v>1</v>
      </c>
      <c r="AA3619" s="11" t="s">
        <v>648</v>
      </c>
    </row>
    <row r="3620" spans="2:27" ht="16" x14ac:dyDescent="0.2">
      <c r="B3620" t="s">
        <v>35</v>
      </c>
      <c r="C3620">
        <v>40358013</v>
      </c>
      <c r="D3620" t="s">
        <v>423</v>
      </c>
      <c r="E3620">
        <v>1021874</v>
      </c>
      <c r="F3620" t="s">
        <v>514</v>
      </c>
      <c r="G3620" s="9">
        <v>44941</v>
      </c>
      <c r="H3620" s="7"/>
      <c r="I3620" s="7"/>
      <c r="J3620" s="7"/>
      <c r="K3620" s="7"/>
      <c r="L3620" s="10">
        <v>5.4496124031007751</v>
      </c>
      <c r="M3620" s="9">
        <v>44946</v>
      </c>
      <c r="N3620" s="10">
        <v>10</v>
      </c>
      <c r="O3620" s="9">
        <v>44956</v>
      </c>
      <c r="P3620">
        <v>1</v>
      </c>
      <c r="Q3620" s="11" t="s">
        <v>648</v>
      </c>
      <c r="R3620" s="7"/>
      <c r="S3620" s="7"/>
      <c r="T3620" s="7"/>
      <c r="U3620" s="7"/>
      <c r="V3620" s="10">
        <v>7.4496124031007751</v>
      </c>
      <c r="W3620" s="9">
        <v>44948</v>
      </c>
      <c r="X3620" s="10">
        <v>12</v>
      </c>
      <c r="Y3620" s="9">
        <v>44956</v>
      </c>
      <c r="Z3620">
        <v>1</v>
      </c>
      <c r="AA3620" s="11" t="s">
        <v>648</v>
      </c>
    </row>
    <row r="3621" spans="2:27" ht="16" x14ac:dyDescent="0.2">
      <c r="B3621" t="s">
        <v>35</v>
      </c>
      <c r="C3621">
        <v>40358013</v>
      </c>
      <c r="D3621" t="s">
        <v>423</v>
      </c>
      <c r="E3621">
        <v>1021874</v>
      </c>
      <c r="F3621" t="s">
        <v>514</v>
      </c>
      <c r="G3621" s="9">
        <v>44941</v>
      </c>
      <c r="H3621" s="7"/>
      <c r="I3621" s="7"/>
      <c r="J3621" s="7"/>
      <c r="K3621" s="7"/>
      <c r="L3621" s="10">
        <v>5.4496124031007751</v>
      </c>
      <c r="M3621" s="9">
        <v>44946</v>
      </c>
      <c r="N3621" s="10">
        <v>10</v>
      </c>
      <c r="O3621" s="9">
        <v>44956</v>
      </c>
      <c r="P3621">
        <v>1</v>
      </c>
      <c r="Q3621" s="11" t="s">
        <v>648</v>
      </c>
      <c r="R3621" s="7"/>
      <c r="S3621" s="7"/>
      <c r="T3621" s="7"/>
      <c r="U3621" s="7"/>
      <c r="V3621" s="10">
        <v>7.4496124031007751</v>
      </c>
      <c r="W3621" s="9">
        <v>44948</v>
      </c>
      <c r="X3621" s="10">
        <v>12</v>
      </c>
      <c r="Y3621" s="9">
        <v>44956</v>
      </c>
      <c r="Z3621">
        <v>1</v>
      </c>
      <c r="AA3621" s="11" t="s">
        <v>648</v>
      </c>
    </row>
    <row r="3622" spans="2:27" ht="16" x14ac:dyDescent="0.2">
      <c r="B3622" t="s">
        <v>35</v>
      </c>
      <c r="C3622">
        <v>40358008</v>
      </c>
      <c r="D3622" t="s">
        <v>423</v>
      </c>
      <c r="E3622">
        <v>1021874</v>
      </c>
      <c r="F3622" t="s">
        <v>514</v>
      </c>
      <c r="G3622" s="9">
        <v>44941</v>
      </c>
      <c r="H3622" s="7"/>
      <c r="I3622" s="7"/>
      <c r="J3622" s="7"/>
      <c r="K3622" s="7"/>
      <c r="L3622" s="10">
        <v>5.4496124031007751</v>
      </c>
      <c r="M3622" s="9">
        <v>44946</v>
      </c>
      <c r="N3622" s="10">
        <v>10</v>
      </c>
      <c r="O3622" s="9">
        <v>44956</v>
      </c>
      <c r="P3622">
        <v>1</v>
      </c>
      <c r="Q3622" s="11" t="s">
        <v>648</v>
      </c>
      <c r="R3622" s="7"/>
      <c r="S3622" s="7"/>
      <c r="T3622" s="7"/>
      <c r="U3622" s="7"/>
      <c r="V3622" s="10">
        <v>7.4496124031007751</v>
      </c>
      <c r="W3622" s="9">
        <v>44948</v>
      </c>
      <c r="X3622" s="10">
        <v>12</v>
      </c>
      <c r="Y3622" s="9">
        <v>44956</v>
      </c>
      <c r="Z3622">
        <v>1</v>
      </c>
      <c r="AA3622" s="11" t="s">
        <v>648</v>
      </c>
    </row>
    <row r="3623" spans="2:27" ht="16" x14ac:dyDescent="0.2">
      <c r="B3623" t="s">
        <v>35</v>
      </c>
      <c r="C3623">
        <v>40358007</v>
      </c>
      <c r="D3623" t="s">
        <v>423</v>
      </c>
      <c r="E3623">
        <v>1021874</v>
      </c>
      <c r="F3623" t="s">
        <v>514</v>
      </c>
      <c r="G3623" s="9">
        <v>44941</v>
      </c>
      <c r="H3623" s="7"/>
      <c r="I3623" s="7"/>
      <c r="J3623" s="7"/>
      <c r="K3623" s="7"/>
      <c r="L3623" s="10">
        <v>5.4496124031007751</v>
      </c>
      <c r="M3623" s="9">
        <v>44946</v>
      </c>
      <c r="N3623" s="10">
        <v>10</v>
      </c>
      <c r="O3623" s="9">
        <v>44956</v>
      </c>
      <c r="P3623">
        <v>1</v>
      </c>
      <c r="Q3623" s="11" t="s">
        <v>648</v>
      </c>
      <c r="R3623" s="7"/>
      <c r="S3623" s="7"/>
      <c r="T3623" s="7"/>
      <c r="U3623" s="7"/>
      <c r="V3623" s="10">
        <v>7.4496124031007751</v>
      </c>
      <c r="W3623" s="9">
        <v>44948</v>
      </c>
      <c r="X3623" s="10">
        <v>12</v>
      </c>
      <c r="Y3623" s="9">
        <v>44956</v>
      </c>
      <c r="Z3623">
        <v>1</v>
      </c>
      <c r="AA3623" s="11" t="s">
        <v>648</v>
      </c>
    </row>
    <row r="3624" spans="2:27" ht="16" x14ac:dyDescent="0.2">
      <c r="B3624" t="s">
        <v>35</v>
      </c>
      <c r="C3624">
        <v>40344359</v>
      </c>
      <c r="D3624" t="s">
        <v>389</v>
      </c>
      <c r="E3624">
        <v>1022125</v>
      </c>
      <c r="F3624" t="s">
        <v>296</v>
      </c>
      <c r="G3624" s="9">
        <v>45282</v>
      </c>
      <c r="H3624" s="7"/>
      <c r="I3624" s="7"/>
      <c r="J3624" s="7"/>
      <c r="K3624" s="7"/>
      <c r="L3624" s="10">
        <v>5.5741092456127026</v>
      </c>
      <c r="M3624" s="9">
        <v>45287</v>
      </c>
      <c r="N3624" s="10">
        <v>5.5</v>
      </c>
      <c r="O3624" s="9">
        <v>45292</v>
      </c>
      <c r="P3624">
        <v>26</v>
      </c>
      <c r="Q3624" s="11" t="s">
        <v>49</v>
      </c>
      <c r="R3624" s="7"/>
      <c r="S3624" s="7"/>
      <c r="T3624" s="7"/>
      <c r="U3624" s="7"/>
      <c r="V3624" s="10">
        <v>7.5741092456127026</v>
      </c>
      <c r="W3624" s="9">
        <v>45289</v>
      </c>
      <c r="X3624" s="10">
        <v>7.5</v>
      </c>
      <c r="Y3624" s="9">
        <v>45292</v>
      </c>
      <c r="Z3624">
        <v>26</v>
      </c>
      <c r="AA3624" s="11" t="s">
        <v>49</v>
      </c>
    </row>
    <row r="3625" spans="2:27" ht="16" x14ac:dyDescent="0.2">
      <c r="B3625" t="s">
        <v>35</v>
      </c>
      <c r="C3625">
        <v>40358002</v>
      </c>
      <c r="D3625" t="s">
        <v>423</v>
      </c>
      <c r="E3625">
        <v>1021272</v>
      </c>
      <c r="F3625" t="s">
        <v>263</v>
      </c>
      <c r="G3625" s="9">
        <v>44941</v>
      </c>
      <c r="H3625" s="7"/>
      <c r="I3625" s="7"/>
      <c r="J3625" s="7"/>
      <c r="K3625" s="7"/>
      <c r="L3625" s="10">
        <v>5.4496124031007751</v>
      </c>
      <c r="M3625" s="9">
        <v>44946</v>
      </c>
      <c r="N3625" s="10">
        <v>10</v>
      </c>
      <c r="O3625" s="9">
        <v>44956</v>
      </c>
      <c r="P3625">
        <v>1</v>
      </c>
      <c r="Q3625" s="11" t="s">
        <v>648</v>
      </c>
      <c r="R3625" s="7"/>
      <c r="S3625" s="7"/>
      <c r="T3625" s="7"/>
      <c r="U3625" s="7"/>
      <c r="V3625" s="10">
        <v>7.4496124031007751</v>
      </c>
      <c r="W3625" s="9">
        <v>44948</v>
      </c>
      <c r="X3625" s="10">
        <v>12</v>
      </c>
      <c r="Y3625" s="9">
        <v>44956</v>
      </c>
      <c r="Z3625">
        <v>1</v>
      </c>
      <c r="AA3625" s="11" t="s">
        <v>648</v>
      </c>
    </row>
    <row r="3626" spans="2:27" ht="16" x14ac:dyDescent="0.2">
      <c r="B3626" t="s">
        <v>35</v>
      </c>
      <c r="C3626">
        <v>40358001</v>
      </c>
      <c r="D3626" t="s">
        <v>423</v>
      </c>
      <c r="E3626">
        <v>1021272</v>
      </c>
      <c r="F3626" t="s">
        <v>263</v>
      </c>
      <c r="G3626" s="9">
        <v>44941</v>
      </c>
      <c r="H3626" s="7"/>
      <c r="I3626" s="7"/>
      <c r="J3626" s="7"/>
      <c r="K3626" s="7"/>
      <c r="L3626" s="10">
        <v>5.4496124031007751</v>
      </c>
      <c r="M3626" s="9">
        <v>44946</v>
      </c>
      <c r="N3626" s="10">
        <v>10</v>
      </c>
      <c r="O3626" s="9">
        <v>44956</v>
      </c>
      <c r="P3626">
        <v>1</v>
      </c>
      <c r="Q3626" s="11" t="s">
        <v>648</v>
      </c>
      <c r="R3626" s="7"/>
      <c r="S3626" s="7"/>
      <c r="T3626" s="7"/>
      <c r="U3626" s="7"/>
      <c r="V3626" s="10">
        <v>7.4496124031007751</v>
      </c>
      <c r="W3626" s="9">
        <v>44948</v>
      </c>
      <c r="X3626" s="10">
        <v>12</v>
      </c>
      <c r="Y3626" s="9">
        <v>44956</v>
      </c>
      <c r="Z3626">
        <v>1</v>
      </c>
      <c r="AA3626" s="11" t="s">
        <v>648</v>
      </c>
    </row>
    <row r="3627" spans="2:27" ht="16" x14ac:dyDescent="0.2">
      <c r="B3627" t="s">
        <v>35</v>
      </c>
      <c r="C3627">
        <v>40357998</v>
      </c>
      <c r="D3627" t="s">
        <v>423</v>
      </c>
      <c r="E3627">
        <v>1021272</v>
      </c>
      <c r="F3627" t="s">
        <v>263</v>
      </c>
      <c r="G3627" s="9">
        <v>44941</v>
      </c>
      <c r="H3627" s="7"/>
      <c r="I3627" s="7"/>
      <c r="J3627" s="7"/>
      <c r="K3627" s="7"/>
      <c r="L3627" s="10">
        <v>5.4496124031007751</v>
      </c>
      <c r="M3627" s="9">
        <v>44946</v>
      </c>
      <c r="N3627" s="10">
        <v>10</v>
      </c>
      <c r="O3627" s="9">
        <v>44956</v>
      </c>
      <c r="P3627">
        <v>1</v>
      </c>
      <c r="Q3627" s="11" t="s">
        <v>648</v>
      </c>
      <c r="R3627" s="7"/>
      <c r="S3627" s="7"/>
      <c r="T3627" s="7"/>
      <c r="U3627" s="7"/>
      <c r="V3627" s="10">
        <v>7.4496124031007751</v>
      </c>
      <c r="W3627" s="9">
        <v>44948</v>
      </c>
      <c r="X3627" s="10">
        <v>12</v>
      </c>
      <c r="Y3627" s="9">
        <v>44956</v>
      </c>
      <c r="Z3627">
        <v>1</v>
      </c>
      <c r="AA3627" s="11" t="s">
        <v>648</v>
      </c>
    </row>
    <row r="3628" spans="2:27" ht="16" x14ac:dyDescent="0.2">
      <c r="B3628" t="s">
        <v>35</v>
      </c>
      <c r="C3628">
        <v>40357995</v>
      </c>
      <c r="D3628" t="s">
        <v>423</v>
      </c>
      <c r="E3628">
        <v>1021272</v>
      </c>
      <c r="F3628" t="s">
        <v>263</v>
      </c>
      <c r="G3628" s="9">
        <v>44941</v>
      </c>
      <c r="H3628" s="7"/>
      <c r="I3628" s="7"/>
      <c r="J3628" s="7"/>
      <c r="K3628" s="7"/>
      <c r="L3628" s="10">
        <v>5.4496124031007751</v>
      </c>
      <c r="M3628" s="9">
        <v>44946</v>
      </c>
      <c r="N3628" s="10">
        <v>10</v>
      </c>
      <c r="O3628" s="9">
        <v>44956</v>
      </c>
      <c r="P3628">
        <v>1</v>
      </c>
      <c r="Q3628" s="11" t="s">
        <v>648</v>
      </c>
      <c r="R3628" s="7"/>
      <c r="S3628" s="7"/>
      <c r="T3628" s="7"/>
      <c r="U3628" s="7"/>
      <c r="V3628" s="10">
        <v>7.4496124031007751</v>
      </c>
      <c r="W3628" s="9">
        <v>44948</v>
      </c>
      <c r="X3628" s="10">
        <v>12</v>
      </c>
      <c r="Y3628" s="9">
        <v>44956</v>
      </c>
      <c r="Z3628">
        <v>1</v>
      </c>
      <c r="AA3628" s="11" t="s">
        <v>648</v>
      </c>
    </row>
    <row r="3629" spans="2:27" ht="16" x14ac:dyDescent="0.2">
      <c r="B3629" t="s">
        <v>35</v>
      </c>
      <c r="C3629">
        <v>40357994</v>
      </c>
      <c r="D3629" t="s">
        <v>423</v>
      </c>
      <c r="E3629">
        <v>1021272</v>
      </c>
      <c r="F3629" t="s">
        <v>263</v>
      </c>
      <c r="G3629" s="9">
        <v>44941</v>
      </c>
      <c r="H3629" s="7"/>
      <c r="I3629" s="7"/>
      <c r="J3629" s="7"/>
      <c r="K3629" s="7"/>
      <c r="L3629" s="10">
        <v>5.4496124031007751</v>
      </c>
      <c r="M3629" s="9">
        <v>44946</v>
      </c>
      <c r="N3629" s="10">
        <v>10</v>
      </c>
      <c r="O3629" s="9">
        <v>44956</v>
      </c>
      <c r="P3629">
        <v>1</v>
      </c>
      <c r="Q3629" s="11" t="s">
        <v>648</v>
      </c>
      <c r="R3629" s="7"/>
      <c r="S3629" s="7"/>
      <c r="T3629" s="7"/>
      <c r="U3629" s="7"/>
      <c r="V3629" s="10">
        <v>7.4496124031007751</v>
      </c>
      <c r="W3629" s="9">
        <v>44948</v>
      </c>
      <c r="X3629" s="10">
        <v>12</v>
      </c>
      <c r="Y3629" s="9">
        <v>44956</v>
      </c>
      <c r="Z3629">
        <v>1</v>
      </c>
      <c r="AA3629" s="11" t="s">
        <v>648</v>
      </c>
    </row>
    <row r="3630" spans="2:27" ht="16" x14ac:dyDescent="0.2">
      <c r="B3630" t="s">
        <v>35</v>
      </c>
      <c r="C3630">
        <v>40357993</v>
      </c>
      <c r="D3630" t="s">
        <v>423</v>
      </c>
      <c r="E3630">
        <v>1021272</v>
      </c>
      <c r="F3630" t="s">
        <v>263</v>
      </c>
      <c r="G3630" s="9">
        <v>44935</v>
      </c>
      <c r="H3630" s="7"/>
      <c r="I3630" s="7"/>
      <c r="J3630" s="7"/>
      <c r="K3630" s="7"/>
      <c r="L3630" s="10">
        <v>5.4496124031007751</v>
      </c>
      <c r="M3630" s="9">
        <v>44940</v>
      </c>
      <c r="N3630" s="10">
        <v>10</v>
      </c>
      <c r="O3630" s="9">
        <v>44950</v>
      </c>
      <c r="P3630">
        <v>6</v>
      </c>
      <c r="Q3630" s="11" t="s">
        <v>49</v>
      </c>
      <c r="R3630" s="7"/>
      <c r="S3630" s="7"/>
      <c r="T3630" s="7"/>
      <c r="U3630" s="7"/>
      <c r="V3630" s="10">
        <v>7.4496124031007751</v>
      </c>
      <c r="W3630" s="9">
        <v>44942</v>
      </c>
      <c r="X3630" s="10">
        <v>12</v>
      </c>
      <c r="Y3630" s="9">
        <v>44950</v>
      </c>
      <c r="Z3630">
        <v>6</v>
      </c>
      <c r="AA3630" s="11" t="s">
        <v>49</v>
      </c>
    </row>
    <row r="3631" spans="2:27" ht="16" x14ac:dyDescent="0.2">
      <c r="B3631" t="s">
        <v>35</v>
      </c>
      <c r="C3631">
        <v>40357990</v>
      </c>
      <c r="D3631" t="s">
        <v>423</v>
      </c>
      <c r="E3631">
        <v>1021272</v>
      </c>
      <c r="F3631" t="s">
        <v>263</v>
      </c>
      <c r="G3631" s="9">
        <v>44941</v>
      </c>
      <c r="H3631" s="7"/>
      <c r="I3631" s="7"/>
      <c r="J3631" s="7"/>
      <c r="K3631" s="7"/>
      <c r="L3631" s="10">
        <v>5.4496124031007751</v>
      </c>
      <c r="M3631" s="9">
        <v>44946</v>
      </c>
      <c r="N3631" s="10">
        <v>10</v>
      </c>
      <c r="O3631" s="9">
        <v>44956</v>
      </c>
      <c r="P3631">
        <v>1</v>
      </c>
      <c r="Q3631" s="11" t="s">
        <v>648</v>
      </c>
      <c r="R3631" s="7"/>
      <c r="S3631" s="7"/>
      <c r="T3631" s="7"/>
      <c r="U3631" s="7"/>
      <c r="V3631" s="10">
        <v>7.4496124031007751</v>
      </c>
      <c r="W3631" s="9">
        <v>44948</v>
      </c>
      <c r="X3631" s="10">
        <v>12</v>
      </c>
      <c r="Y3631" s="9">
        <v>44956</v>
      </c>
      <c r="Z3631">
        <v>1</v>
      </c>
      <c r="AA3631" s="11" t="s">
        <v>648</v>
      </c>
    </row>
    <row r="3632" spans="2:27" ht="16" x14ac:dyDescent="0.2">
      <c r="B3632" t="s">
        <v>35</v>
      </c>
      <c r="C3632">
        <v>40357989</v>
      </c>
      <c r="D3632" t="s">
        <v>423</v>
      </c>
      <c r="E3632">
        <v>1021272</v>
      </c>
      <c r="F3632" t="s">
        <v>263</v>
      </c>
      <c r="G3632" s="9">
        <v>44941</v>
      </c>
      <c r="H3632" s="7"/>
      <c r="I3632" s="7"/>
      <c r="J3632" s="7"/>
      <c r="K3632" s="7"/>
      <c r="L3632" s="10">
        <v>5.4496124031007751</v>
      </c>
      <c r="M3632" s="9">
        <v>44946</v>
      </c>
      <c r="N3632" s="10">
        <v>10</v>
      </c>
      <c r="O3632" s="9">
        <v>44956</v>
      </c>
      <c r="P3632">
        <v>1</v>
      </c>
      <c r="Q3632" s="11" t="s">
        <v>648</v>
      </c>
      <c r="R3632" s="7"/>
      <c r="S3632" s="7"/>
      <c r="T3632" s="7"/>
      <c r="U3632" s="7"/>
      <c r="V3632" s="10">
        <v>7.4496124031007751</v>
      </c>
      <c r="W3632" s="9">
        <v>44948</v>
      </c>
      <c r="X3632" s="10">
        <v>12</v>
      </c>
      <c r="Y3632" s="9">
        <v>44956</v>
      </c>
      <c r="Z3632">
        <v>1</v>
      </c>
      <c r="AA3632" s="11" t="s">
        <v>648</v>
      </c>
    </row>
    <row r="3633" spans="2:27" ht="16" x14ac:dyDescent="0.2">
      <c r="B3633" t="s">
        <v>35</v>
      </c>
      <c r="C3633">
        <v>40357988</v>
      </c>
      <c r="D3633" t="s">
        <v>423</v>
      </c>
      <c r="E3633">
        <v>1021272</v>
      </c>
      <c r="F3633" t="s">
        <v>263</v>
      </c>
      <c r="G3633" s="9">
        <v>44935</v>
      </c>
      <c r="H3633" s="7"/>
      <c r="I3633" s="7"/>
      <c r="J3633" s="7"/>
      <c r="K3633" s="7"/>
      <c r="L3633" s="10">
        <v>5.4496124031007751</v>
      </c>
      <c r="M3633" s="9">
        <v>44940</v>
      </c>
      <c r="N3633" s="10">
        <v>10</v>
      </c>
      <c r="O3633" s="9">
        <v>44950</v>
      </c>
      <c r="P3633">
        <v>6</v>
      </c>
      <c r="Q3633" s="11" t="s">
        <v>49</v>
      </c>
      <c r="R3633" s="7"/>
      <c r="S3633" s="7"/>
      <c r="T3633" s="7"/>
      <c r="U3633" s="7"/>
      <c r="V3633" s="10">
        <v>7.4496124031007751</v>
      </c>
      <c r="W3633" s="9">
        <v>44942</v>
      </c>
      <c r="X3633" s="10">
        <v>12</v>
      </c>
      <c r="Y3633" s="9">
        <v>44950</v>
      </c>
      <c r="Z3633">
        <v>6</v>
      </c>
      <c r="AA3633" s="11" t="s">
        <v>49</v>
      </c>
    </row>
    <row r="3634" spans="2:27" ht="16" x14ac:dyDescent="0.2">
      <c r="B3634" t="s">
        <v>35</v>
      </c>
      <c r="C3634">
        <v>40357984</v>
      </c>
      <c r="D3634" t="s">
        <v>409</v>
      </c>
      <c r="E3634">
        <v>1012111</v>
      </c>
      <c r="F3634" t="s">
        <v>137</v>
      </c>
      <c r="G3634" s="9">
        <v>44958</v>
      </c>
      <c r="H3634" s="7"/>
      <c r="I3634" s="7"/>
      <c r="J3634" s="7"/>
      <c r="K3634" s="7"/>
      <c r="L3634" s="10">
        <v>7.5</v>
      </c>
      <c r="M3634" s="9">
        <v>44965</v>
      </c>
      <c r="N3634" s="10">
        <v>9.5</v>
      </c>
      <c r="O3634" s="9">
        <v>44974</v>
      </c>
      <c r="P3634">
        <v>8</v>
      </c>
      <c r="Q3634" s="11" t="s">
        <v>49</v>
      </c>
      <c r="R3634" s="7"/>
      <c r="S3634" s="7"/>
      <c r="T3634" s="7"/>
      <c r="U3634" s="7"/>
      <c r="V3634" s="10">
        <v>9.5</v>
      </c>
      <c r="W3634" s="9">
        <v>44967</v>
      </c>
      <c r="X3634" s="10">
        <v>11.5</v>
      </c>
      <c r="Y3634" s="9">
        <v>44974</v>
      </c>
      <c r="Z3634">
        <v>8</v>
      </c>
      <c r="AA3634" s="11" t="s">
        <v>49</v>
      </c>
    </row>
    <row r="3635" spans="2:27" ht="16" x14ac:dyDescent="0.2">
      <c r="B3635" t="s">
        <v>35</v>
      </c>
      <c r="C3635">
        <v>40357983</v>
      </c>
      <c r="D3635" t="s">
        <v>409</v>
      </c>
      <c r="E3635">
        <v>1012111</v>
      </c>
      <c r="F3635" t="s">
        <v>137</v>
      </c>
      <c r="G3635" s="9">
        <v>44951</v>
      </c>
      <c r="H3635" s="7"/>
      <c r="I3635" s="7"/>
      <c r="J3635" s="7"/>
      <c r="K3635" s="7"/>
      <c r="L3635" s="10">
        <v>7.5</v>
      </c>
      <c r="M3635" s="9">
        <v>44958</v>
      </c>
      <c r="N3635" s="10">
        <v>9.5</v>
      </c>
      <c r="O3635" s="9">
        <v>44967</v>
      </c>
      <c r="P3635">
        <v>14</v>
      </c>
      <c r="Q3635" s="11" t="s">
        <v>49</v>
      </c>
      <c r="R3635" s="7"/>
      <c r="S3635" s="7"/>
      <c r="T3635" s="7"/>
      <c r="U3635" s="7"/>
      <c r="V3635" s="10">
        <v>9.5</v>
      </c>
      <c r="W3635" s="9">
        <v>44960</v>
      </c>
      <c r="X3635" s="10">
        <v>11.5</v>
      </c>
      <c r="Y3635" s="9">
        <v>44967</v>
      </c>
      <c r="Z3635">
        <v>14</v>
      </c>
      <c r="AA3635" s="11" t="s">
        <v>49</v>
      </c>
    </row>
    <row r="3636" spans="2:27" ht="16" x14ac:dyDescent="0.2">
      <c r="B3636" t="s">
        <v>35</v>
      </c>
      <c r="C3636">
        <v>40357982</v>
      </c>
      <c r="D3636" t="s">
        <v>409</v>
      </c>
      <c r="E3636">
        <v>1012111</v>
      </c>
      <c r="F3636" t="s">
        <v>137</v>
      </c>
      <c r="G3636" s="9">
        <v>44948</v>
      </c>
      <c r="H3636" s="7"/>
      <c r="I3636" s="7"/>
      <c r="J3636" s="7"/>
      <c r="K3636" s="7"/>
      <c r="L3636" s="10">
        <v>7.5</v>
      </c>
      <c r="M3636" s="9">
        <v>44955</v>
      </c>
      <c r="N3636" s="10">
        <v>9.5</v>
      </c>
      <c r="O3636" s="9">
        <v>44964</v>
      </c>
      <c r="P3636">
        <v>17</v>
      </c>
      <c r="Q3636" s="11" t="s">
        <v>49</v>
      </c>
      <c r="R3636" s="7"/>
      <c r="S3636" s="7"/>
      <c r="T3636" s="7"/>
      <c r="U3636" s="7"/>
      <c r="V3636" s="10">
        <v>9.5</v>
      </c>
      <c r="W3636" s="9">
        <v>44957</v>
      </c>
      <c r="X3636" s="10">
        <v>11.5</v>
      </c>
      <c r="Y3636" s="9">
        <v>44964</v>
      </c>
      <c r="Z3636">
        <v>17</v>
      </c>
      <c r="AA3636" s="11" t="s">
        <v>49</v>
      </c>
    </row>
    <row r="3637" spans="2:27" ht="16" x14ac:dyDescent="0.2">
      <c r="B3637" t="s">
        <v>35</v>
      </c>
      <c r="C3637">
        <v>40357979</v>
      </c>
      <c r="D3637" t="s">
        <v>409</v>
      </c>
      <c r="E3637">
        <v>1012110</v>
      </c>
      <c r="F3637" t="s">
        <v>109</v>
      </c>
      <c r="G3637" s="9">
        <v>44949</v>
      </c>
      <c r="H3637" s="7"/>
      <c r="I3637" s="7"/>
      <c r="J3637" s="7"/>
      <c r="K3637" s="7"/>
      <c r="L3637" s="10">
        <v>7.5</v>
      </c>
      <c r="M3637" s="9">
        <v>44956</v>
      </c>
      <c r="N3637" s="10">
        <v>9.5</v>
      </c>
      <c r="O3637" s="9">
        <v>44965</v>
      </c>
      <c r="P3637">
        <v>16</v>
      </c>
      <c r="Q3637" s="11" t="s">
        <v>49</v>
      </c>
      <c r="R3637" s="7"/>
      <c r="S3637" s="7"/>
      <c r="T3637" s="7"/>
      <c r="U3637" s="7"/>
      <c r="V3637" s="10">
        <v>9.5</v>
      </c>
      <c r="W3637" s="9">
        <v>44958</v>
      </c>
      <c r="X3637" s="10">
        <v>11.5</v>
      </c>
      <c r="Y3637" s="9">
        <v>44965</v>
      </c>
      <c r="Z3637">
        <v>16</v>
      </c>
      <c r="AA3637" s="11" t="s">
        <v>49</v>
      </c>
    </row>
    <row r="3638" spans="2:27" ht="16" x14ac:dyDescent="0.2">
      <c r="B3638" t="s">
        <v>35</v>
      </c>
      <c r="C3638">
        <v>40357978</v>
      </c>
      <c r="D3638" t="s">
        <v>409</v>
      </c>
      <c r="E3638">
        <v>1012110</v>
      </c>
      <c r="F3638" t="s">
        <v>109</v>
      </c>
      <c r="G3638" s="9">
        <v>44949</v>
      </c>
      <c r="H3638" s="7"/>
      <c r="I3638" s="7"/>
      <c r="J3638" s="7"/>
      <c r="K3638" s="7"/>
      <c r="L3638" s="10">
        <v>7.5</v>
      </c>
      <c r="M3638" s="9">
        <v>44956</v>
      </c>
      <c r="N3638" s="10">
        <v>9.5</v>
      </c>
      <c r="O3638" s="9">
        <v>44965</v>
      </c>
      <c r="P3638">
        <v>16</v>
      </c>
      <c r="Q3638" s="11" t="s">
        <v>49</v>
      </c>
      <c r="R3638" s="7"/>
      <c r="S3638" s="7"/>
      <c r="T3638" s="7"/>
      <c r="U3638" s="7"/>
      <c r="V3638" s="10">
        <v>9.5</v>
      </c>
      <c r="W3638" s="9">
        <v>44958</v>
      </c>
      <c r="X3638" s="10">
        <v>11.5</v>
      </c>
      <c r="Y3638" s="9">
        <v>44965</v>
      </c>
      <c r="Z3638">
        <v>16</v>
      </c>
      <c r="AA3638" s="11" t="s">
        <v>49</v>
      </c>
    </row>
    <row r="3639" spans="2:27" ht="16" x14ac:dyDescent="0.2">
      <c r="B3639" t="s">
        <v>35</v>
      </c>
      <c r="C3639">
        <v>40357977</v>
      </c>
      <c r="D3639" t="s">
        <v>409</v>
      </c>
      <c r="E3639">
        <v>1012110</v>
      </c>
      <c r="F3639" t="s">
        <v>109</v>
      </c>
      <c r="G3639" s="9">
        <v>44951</v>
      </c>
      <c r="H3639" s="7"/>
      <c r="I3639" s="7"/>
      <c r="J3639" s="7"/>
      <c r="K3639" s="7"/>
      <c r="L3639" s="10">
        <v>7.5</v>
      </c>
      <c r="M3639" s="9">
        <v>44958</v>
      </c>
      <c r="N3639" s="10">
        <v>9.5</v>
      </c>
      <c r="O3639" s="9">
        <v>44967</v>
      </c>
      <c r="P3639">
        <v>14</v>
      </c>
      <c r="Q3639" s="11" t="s">
        <v>49</v>
      </c>
      <c r="R3639" s="7"/>
      <c r="S3639" s="7"/>
      <c r="T3639" s="7"/>
      <c r="U3639" s="7"/>
      <c r="V3639" s="10">
        <v>9.5</v>
      </c>
      <c r="W3639" s="9">
        <v>44960</v>
      </c>
      <c r="X3639" s="10">
        <v>11.5</v>
      </c>
      <c r="Y3639" s="9">
        <v>44967</v>
      </c>
      <c r="Z3639">
        <v>14</v>
      </c>
      <c r="AA3639" s="11" t="s">
        <v>49</v>
      </c>
    </row>
    <row r="3640" spans="2:27" ht="16" x14ac:dyDescent="0.2">
      <c r="B3640" t="s">
        <v>35</v>
      </c>
      <c r="C3640">
        <v>40357976</v>
      </c>
      <c r="D3640" t="s">
        <v>409</v>
      </c>
      <c r="E3640">
        <v>1012110</v>
      </c>
      <c r="F3640" t="s">
        <v>109</v>
      </c>
      <c r="G3640" s="9">
        <v>44957</v>
      </c>
      <c r="H3640" s="7"/>
      <c r="I3640" s="7"/>
      <c r="J3640" s="7"/>
      <c r="K3640" s="7"/>
      <c r="L3640" s="10">
        <v>7.5</v>
      </c>
      <c r="M3640" s="9">
        <v>44964</v>
      </c>
      <c r="N3640" s="10">
        <v>9.5</v>
      </c>
      <c r="O3640" s="9">
        <v>44973</v>
      </c>
      <c r="P3640">
        <v>9</v>
      </c>
      <c r="Q3640" s="11" t="s">
        <v>49</v>
      </c>
      <c r="R3640" s="7"/>
      <c r="S3640" s="7"/>
      <c r="T3640" s="7"/>
      <c r="U3640" s="7"/>
      <c r="V3640" s="10">
        <v>9.5</v>
      </c>
      <c r="W3640" s="9">
        <v>44966</v>
      </c>
      <c r="X3640" s="10">
        <v>11.5</v>
      </c>
      <c r="Y3640" s="9">
        <v>44973</v>
      </c>
      <c r="Z3640">
        <v>9</v>
      </c>
      <c r="AA3640" s="11" t="s">
        <v>49</v>
      </c>
    </row>
    <row r="3641" spans="2:27" ht="16" x14ac:dyDescent="0.2">
      <c r="B3641" t="s">
        <v>35</v>
      </c>
      <c r="C3641">
        <v>40357975</v>
      </c>
      <c r="D3641" t="s">
        <v>409</v>
      </c>
      <c r="E3641">
        <v>1012110</v>
      </c>
      <c r="F3641" t="s">
        <v>109</v>
      </c>
      <c r="G3641" s="9">
        <v>44949</v>
      </c>
      <c r="H3641" s="7"/>
      <c r="I3641" s="7"/>
      <c r="J3641" s="7"/>
      <c r="K3641" s="7"/>
      <c r="L3641" s="10">
        <v>7.5</v>
      </c>
      <c r="M3641" s="9">
        <v>44956</v>
      </c>
      <c r="N3641" s="10">
        <v>9.5</v>
      </c>
      <c r="O3641" s="9">
        <v>44965</v>
      </c>
      <c r="P3641">
        <v>16</v>
      </c>
      <c r="Q3641" s="11" t="s">
        <v>49</v>
      </c>
      <c r="R3641" s="7"/>
      <c r="S3641" s="7"/>
      <c r="T3641" s="7"/>
      <c r="U3641" s="7"/>
      <c r="V3641" s="10">
        <v>9.5</v>
      </c>
      <c r="W3641" s="9">
        <v>44958</v>
      </c>
      <c r="X3641" s="10">
        <v>11.5</v>
      </c>
      <c r="Y3641" s="9">
        <v>44965</v>
      </c>
      <c r="Z3641">
        <v>16</v>
      </c>
      <c r="AA3641" s="11" t="s">
        <v>49</v>
      </c>
    </row>
    <row r="3642" spans="2:27" ht="16" x14ac:dyDescent="0.2">
      <c r="B3642" t="s">
        <v>35</v>
      </c>
      <c r="C3642">
        <v>40357974</v>
      </c>
      <c r="D3642" t="s">
        <v>409</v>
      </c>
      <c r="E3642">
        <v>1012522</v>
      </c>
      <c r="F3642" t="s">
        <v>115</v>
      </c>
      <c r="G3642" s="9">
        <v>44958</v>
      </c>
      <c r="H3642" s="7"/>
      <c r="I3642" s="7"/>
      <c r="J3642" s="7"/>
      <c r="K3642" s="7"/>
      <c r="L3642" s="10">
        <v>7.5</v>
      </c>
      <c r="M3642" s="9">
        <v>44965</v>
      </c>
      <c r="N3642" s="10">
        <v>9.5</v>
      </c>
      <c r="O3642" s="9">
        <v>44974</v>
      </c>
      <c r="P3642">
        <v>8</v>
      </c>
      <c r="Q3642" s="11" t="s">
        <v>49</v>
      </c>
      <c r="R3642" s="7"/>
      <c r="S3642" s="7"/>
      <c r="T3642" s="7"/>
      <c r="U3642" s="7"/>
      <c r="V3642" s="10">
        <v>9.5</v>
      </c>
      <c r="W3642" s="9">
        <v>44967</v>
      </c>
      <c r="X3642" s="10">
        <v>11.5</v>
      </c>
      <c r="Y3642" s="9">
        <v>44974</v>
      </c>
      <c r="Z3642">
        <v>8</v>
      </c>
      <c r="AA3642" s="11" t="s">
        <v>49</v>
      </c>
    </row>
    <row r="3643" spans="2:27" ht="16" x14ac:dyDescent="0.2">
      <c r="B3643" t="s">
        <v>35</v>
      </c>
      <c r="C3643">
        <v>40357971</v>
      </c>
      <c r="D3643" t="s">
        <v>409</v>
      </c>
      <c r="E3643">
        <v>1012109</v>
      </c>
      <c r="F3643" t="s">
        <v>68</v>
      </c>
      <c r="G3643" s="9">
        <v>44949</v>
      </c>
      <c r="H3643" s="7"/>
      <c r="I3643" s="7"/>
      <c r="J3643" s="7"/>
      <c r="K3643" s="7"/>
      <c r="L3643" s="10">
        <v>7.5</v>
      </c>
      <c r="M3643" s="9">
        <v>44956</v>
      </c>
      <c r="N3643" s="10">
        <v>9.5</v>
      </c>
      <c r="O3643" s="9">
        <v>44965</v>
      </c>
      <c r="P3643">
        <v>16</v>
      </c>
      <c r="Q3643" s="11" t="s">
        <v>49</v>
      </c>
      <c r="R3643" s="7"/>
      <c r="S3643" s="7"/>
      <c r="T3643" s="7"/>
      <c r="U3643" s="7"/>
      <c r="V3643" s="10">
        <v>9.5</v>
      </c>
      <c r="W3643" s="9">
        <v>44958</v>
      </c>
      <c r="X3643" s="10">
        <v>11.5</v>
      </c>
      <c r="Y3643" s="9">
        <v>44965</v>
      </c>
      <c r="Z3643">
        <v>16</v>
      </c>
      <c r="AA3643" s="11" t="s">
        <v>49</v>
      </c>
    </row>
    <row r="3644" spans="2:27" ht="16" x14ac:dyDescent="0.2">
      <c r="B3644" t="s">
        <v>35</v>
      </c>
      <c r="C3644">
        <v>40357970</v>
      </c>
      <c r="D3644" t="s">
        <v>409</v>
      </c>
      <c r="E3644">
        <v>1012109</v>
      </c>
      <c r="F3644" t="s">
        <v>68</v>
      </c>
      <c r="G3644" s="9">
        <v>44950</v>
      </c>
      <c r="H3644" s="7"/>
      <c r="I3644" s="7"/>
      <c r="J3644" s="7"/>
      <c r="K3644" s="7"/>
      <c r="L3644" s="10">
        <v>7.5</v>
      </c>
      <c r="M3644" s="9">
        <v>44957</v>
      </c>
      <c r="N3644" s="10">
        <v>9.5</v>
      </c>
      <c r="O3644" s="9">
        <v>44966</v>
      </c>
      <c r="P3644">
        <v>15</v>
      </c>
      <c r="Q3644" s="11" t="s">
        <v>49</v>
      </c>
      <c r="R3644" s="7"/>
      <c r="S3644" s="7"/>
      <c r="T3644" s="7"/>
      <c r="U3644" s="7"/>
      <c r="V3644" s="10">
        <v>9.5</v>
      </c>
      <c r="W3644" s="9">
        <v>44959</v>
      </c>
      <c r="X3644" s="10">
        <v>11.5</v>
      </c>
      <c r="Y3644" s="9">
        <v>44966</v>
      </c>
      <c r="Z3644">
        <v>15</v>
      </c>
      <c r="AA3644" s="11" t="s">
        <v>49</v>
      </c>
    </row>
    <row r="3645" spans="2:27" ht="16" x14ac:dyDescent="0.2">
      <c r="B3645" t="s">
        <v>35</v>
      </c>
      <c r="C3645">
        <v>40357969</v>
      </c>
      <c r="D3645" t="s">
        <v>409</v>
      </c>
      <c r="E3645">
        <v>1012109</v>
      </c>
      <c r="F3645" t="s">
        <v>68</v>
      </c>
      <c r="G3645" s="9">
        <v>44949</v>
      </c>
      <c r="H3645" s="7"/>
      <c r="I3645" s="7"/>
      <c r="J3645" s="7"/>
      <c r="K3645" s="7"/>
      <c r="L3645" s="10">
        <v>7.5</v>
      </c>
      <c r="M3645" s="9">
        <v>44956</v>
      </c>
      <c r="N3645" s="10">
        <v>9.5</v>
      </c>
      <c r="O3645" s="9">
        <v>44965</v>
      </c>
      <c r="P3645">
        <v>16</v>
      </c>
      <c r="Q3645" s="11" t="s">
        <v>49</v>
      </c>
      <c r="R3645" s="7"/>
      <c r="S3645" s="7"/>
      <c r="T3645" s="7"/>
      <c r="U3645" s="7"/>
      <c r="V3645" s="10">
        <v>9.5</v>
      </c>
      <c r="W3645" s="9">
        <v>44958</v>
      </c>
      <c r="X3645" s="10">
        <v>11.5</v>
      </c>
      <c r="Y3645" s="9">
        <v>44965</v>
      </c>
      <c r="Z3645">
        <v>16</v>
      </c>
      <c r="AA3645" s="11" t="s">
        <v>49</v>
      </c>
    </row>
    <row r="3646" spans="2:27" ht="16" x14ac:dyDescent="0.2">
      <c r="B3646" t="s">
        <v>35</v>
      </c>
      <c r="C3646">
        <v>40357968</v>
      </c>
      <c r="D3646" t="s">
        <v>409</v>
      </c>
      <c r="E3646">
        <v>1012109</v>
      </c>
      <c r="F3646" t="s">
        <v>68</v>
      </c>
      <c r="G3646" s="9">
        <v>44949</v>
      </c>
      <c r="H3646" s="7"/>
      <c r="I3646" s="7"/>
      <c r="J3646" s="7"/>
      <c r="K3646" s="7"/>
      <c r="L3646" s="10">
        <v>7.5</v>
      </c>
      <c r="M3646" s="9">
        <v>44956</v>
      </c>
      <c r="N3646" s="10">
        <v>9.5</v>
      </c>
      <c r="O3646" s="9">
        <v>44965</v>
      </c>
      <c r="P3646">
        <v>16</v>
      </c>
      <c r="Q3646" s="11" t="s">
        <v>49</v>
      </c>
      <c r="R3646" s="7"/>
      <c r="S3646" s="7"/>
      <c r="T3646" s="7"/>
      <c r="U3646" s="7"/>
      <c r="V3646" s="10">
        <v>9.5</v>
      </c>
      <c r="W3646" s="9">
        <v>44958</v>
      </c>
      <c r="X3646" s="10">
        <v>11.5</v>
      </c>
      <c r="Y3646" s="9">
        <v>44965</v>
      </c>
      <c r="Z3646">
        <v>16</v>
      </c>
      <c r="AA3646" s="11" t="s">
        <v>49</v>
      </c>
    </row>
    <row r="3647" spans="2:27" ht="16" x14ac:dyDescent="0.2">
      <c r="B3647" t="s">
        <v>35</v>
      </c>
      <c r="C3647">
        <v>40357967</v>
      </c>
      <c r="D3647" t="s">
        <v>409</v>
      </c>
      <c r="E3647">
        <v>1012109</v>
      </c>
      <c r="F3647" t="s">
        <v>68</v>
      </c>
      <c r="G3647" s="9">
        <v>44949</v>
      </c>
      <c r="H3647" s="7"/>
      <c r="I3647" s="7"/>
      <c r="J3647" s="7"/>
      <c r="K3647" s="7"/>
      <c r="L3647" s="10">
        <v>7.5</v>
      </c>
      <c r="M3647" s="9">
        <v>44956</v>
      </c>
      <c r="N3647" s="10">
        <v>9.5</v>
      </c>
      <c r="O3647" s="9">
        <v>44965</v>
      </c>
      <c r="P3647">
        <v>16</v>
      </c>
      <c r="Q3647" s="11" t="s">
        <v>49</v>
      </c>
      <c r="R3647" s="7"/>
      <c r="S3647" s="7"/>
      <c r="T3647" s="7"/>
      <c r="U3647" s="7"/>
      <c r="V3647" s="10">
        <v>9.5</v>
      </c>
      <c r="W3647" s="9">
        <v>44958</v>
      </c>
      <c r="X3647" s="10">
        <v>11.5</v>
      </c>
      <c r="Y3647" s="9">
        <v>44965</v>
      </c>
      <c r="Z3647">
        <v>16</v>
      </c>
      <c r="AA3647" s="11" t="s">
        <v>49</v>
      </c>
    </row>
    <row r="3648" spans="2:27" ht="16" x14ac:dyDescent="0.2">
      <c r="B3648" t="s">
        <v>35</v>
      </c>
      <c r="C3648">
        <v>40357966</v>
      </c>
      <c r="D3648" t="s">
        <v>409</v>
      </c>
      <c r="E3648">
        <v>1012108</v>
      </c>
      <c r="F3648" t="s">
        <v>57</v>
      </c>
      <c r="G3648" s="9">
        <v>44956</v>
      </c>
      <c r="H3648" s="7"/>
      <c r="I3648" s="7"/>
      <c r="J3648" s="7"/>
      <c r="K3648" s="7"/>
      <c r="L3648" s="10">
        <v>7.5</v>
      </c>
      <c r="M3648" s="9">
        <v>44963</v>
      </c>
      <c r="N3648" s="10">
        <v>9.5</v>
      </c>
      <c r="O3648" s="9">
        <v>44972</v>
      </c>
      <c r="P3648">
        <v>10</v>
      </c>
      <c r="Q3648" s="11" t="s">
        <v>49</v>
      </c>
      <c r="R3648" s="7"/>
      <c r="S3648" s="7"/>
      <c r="T3648" s="7"/>
      <c r="U3648" s="7"/>
      <c r="V3648" s="10">
        <v>9.5</v>
      </c>
      <c r="W3648" s="9">
        <v>44965</v>
      </c>
      <c r="X3648" s="10">
        <v>11.5</v>
      </c>
      <c r="Y3648" s="9">
        <v>44972</v>
      </c>
      <c r="Z3648">
        <v>10</v>
      </c>
      <c r="AA3648" s="11" t="s">
        <v>49</v>
      </c>
    </row>
    <row r="3649" spans="2:27" ht="16" x14ac:dyDescent="0.2">
      <c r="B3649" t="s">
        <v>35</v>
      </c>
      <c r="C3649">
        <v>40357965</v>
      </c>
      <c r="D3649" t="s">
        <v>409</v>
      </c>
      <c r="E3649">
        <v>1012109</v>
      </c>
      <c r="F3649" t="s">
        <v>68</v>
      </c>
      <c r="G3649" s="9">
        <v>44948</v>
      </c>
      <c r="H3649" s="7"/>
      <c r="I3649" s="7"/>
      <c r="J3649" s="7"/>
      <c r="K3649" s="7"/>
      <c r="L3649" s="10">
        <v>7.5</v>
      </c>
      <c r="M3649" s="9">
        <v>44955</v>
      </c>
      <c r="N3649" s="10">
        <v>9.5</v>
      </c>
      <c r="O3649" s="9">
        <v>44964</v>
      </c>
      <c r="P3649">
        <v>17</v>
      </c>
      <c r="Q3649" s="11" t="s">
        <v>49</v>
      </c>
      <c r="R3649" s="7"/>
      <c r="S3649" s="7"/>
      <c r="T3649" s="7"/>
      <c r="U3649" s="7"/>
      <c r="V3649" s="10">
        <v>9.5</v>
      </c>
      <c r="W3649" s="9">
        <v>44957</v>
      </c>
      <c r="X3649" s="10">
        <v>11.5</v>
      </c>
      <c r="Y3649" s="9">
        <v>44964</v>
      </c>
      <c r="Z3649">
        <v>17</v>
      </c>
      <c r="AA3649" s="11" t="s">
        <v>49</v>
      </c>
    </row>
    <row r="3650" spans="2:27" ht="16" x14ac:dyDescent="0.2">
      <c r="B3650" t="s">
        <v>35</v>
      </c>
      <c r="C3650">
        <v>40357963</v>
      </c>
      <c r="D3650" t="s">
        <v>409</v>
      </c>
      <c r="E3650">
        <v>1012521</v>
      </c>
      <c r="F3650" t="s">
        <v>114</v>
      </c>
      <c r="G3650" s="9">
        <v>44955</v>
      </c>
      <c r="H3650" s="7"/>
      <c r="I3650" s="7"/>
      <c r="J3650" s="7"/>
      <c r="K3650" s="7"/>
      <c r="L3650" s="10">
        <v>7.5</v>
      </c>
      <c r="M3650" s="9">
        <v>44962</v>
      </c>
      <c r="N3650" s="10">
        <v>9.5</v>
      </c>
      <c r="O3650" s="9">
        <v>44971</v>
      </c>
      <c r="P3650">
        <v>11</v>
      </c>
      <c r="Q3650" s="11" t="s">
        <v>49</v>
      </c>
      <c r="R3650" s="7"/>
      <c r="S3650" s="7"/>
      <c r="T3650" s="7"/>
      <c r="U3650" s="7"/>
      <c r="V3650" s="10">
        <v>9.5</v>
      </c>
      <c r="W3650" s="9">
        <v>44964</v>
      </c>
      <c r="X3650" s="10">
        <v>11.5</v>
      </c>
      <c r="Y3650" s="9">
        <v>44971</v>
      </c>
      <c r="Z3650">
        <v>11</v>
      </c>
      <c r="AA3650" s="11" t="s">
        <v>49</v>
      </c>
    </row>
    <row r="3651" spans="2:27" ht="16" x14ac:dyDescent="0.2">
      <c r="B3651" t="s">
        <v>35</v>
      </c>
      <c r="C3651">
        <v>40357952</v>
      </c>
      <c r="D3651" t="s">
        <v>409</v>
      </c>
      <c r="E3651">
        <v>1012145</v>
      </c>
      <c r="F3651" t="s">
        <v>84</v>
      </c>
      <c r="G3651" s="9">
        <v>44954</v>
      </c>
      <c r="H3651" s="7"/>
      <c r="I3651" s="7"/>
      <c r="J3651" s="7"/>
      <c r="K3651" s="7"/>
      <c r="L3651" s="10">
        <v>7.5</v>
      </c>
      <c r="M3651" s="9">
        <v>44961</v>
      </c>
      <c r="N3651" s="10">
        <v>9.5</v>
      </c>
      <c r="O3651" s="9">
        <v>44970</v>
      </c>
      <c r="P3651">
        <v>12</v>
      </c>
      <c r="Q3651" s="11" t="s">
        <v>49</v>
      </c>
      <c r="R3651" s="7"/>
      <c r="S3651" s="7"/>
      <c r="T3651" s="7"/>
      <c r="U3651" s="7"/>
      <c r="V3651" s="10">
        <v>9.5</v>
      </c>
      <c r="W3651" s="9">
        <v>44963</v>
      </c>
      <c r="X3651" s="10">
        <v>11.5</v>
      </c>
      <c r="Y3651" s="9">
        <v>44970</v>
      </c>
      <c r="Z3651">
        <v>12</v>
      </c>
      <c r="AA3651" s="11" t="s">
        <v>49</v>
      </c>
    </row>
    <row r="3652" spans="2:27" ht="16" x14ac:dyDescent="0.2">
      <c r="B3652" t="s">
        <v>35</v>
      </c>
      <c r="C3652">
        <v>40357951</v>
      </c>
      <c r="D3652" t="s">
        <v>409</v>
      </c>
      <c r="E3652">
        <v>1012145</v>
      </c>
      <c r="F3652" t="s">
        <v>84</v>
      </c>
      <c r="G3652" s="9">
        <v>44948</v>
      </c>
      <c r="H3652" s="7"/>
      <c r="I3652" s="7"/>
      <c r="J3652" s="7"/>
      <c r="K3652" s="7"/>
      <c r="L3652" s="10">
        <v>7.5</v>
      </c>
      <c r="M3652" s="9">
        <v>44955</v>
      </c>
      <c r="N3652" s="10">
        <v>9.5</v>
      </c>
      <c r="O3652" s="9">
        <v>44964</v>
      </c>
      <c r="P3652">
        <v>17</v>
      </c>
      <c r="Q3652" s="11" t="s">
        <v>49</v>
      </c>
      <c r="R3652" s="7"/>
      <c r="S3652" s="7"/>
      <c r="T3652" s="7"/>
      <c r="U3652" s="7"/>
      <c r="V3652" s="10">
        <v>9.5</v>
      </c>
      <c r="W3652" s="9">
        <v>44957</v>
      </c>
      <c r="X3652" s="10">
        <v>11.5</v>
      </c>
      <c r="Y3652" s="9">
        <v>44964</v>
      </c>
      <c r="Z3652">
        <v>17</v>
      </c>
      <c r="AA3652" s="11" t="s">
        <v>49</v>
      </c>
    </row>
    <row r="3653" spans="2:27" ht="16" x14ac:dyDescent="0.2">
      <c r="B3653" t="s">
        <v>35</v>
      </c>
      <c r="C3653">
        <v>40357947</v>
      </c>
      <c r="D3653" t="s">
        <v>409</v>
      </c>
      <c r="E3653">
        <v>1012167</v>
      </c>
      <c r="F3653" t="s">
        <v>70</v>
      </c>
      <c r="G3653" s="9">
        <v>44957</v>
      </c>
      <c r="H3653" s="7"/>
      <c r="I3653" s="7"/>
      <c r="J3653" s="7"/>
      <c r="K3653" s="7"/>
      <c r="L3653" s="10">
        <v>7.5</v>
      </c>
      <c r="M3653" s="9">
        <v>44964</v>
      </c>
      <c r="N3653" s="10">
        <v>9.5</v>
      </c>
      <c r="O3653" s="9">
        <v>44973</v>
      </c>
      <c r="P3653">
        <v>9</v>
      </c>
      <c r="Q3653" s="11" t="s">
        <v>49</v>
      </c>
      <c r="R3653" s="7"/>
      <c r="S3653" s="7"/>
      <c r="T3653" s="7"/>
      <c r="U3653" s="7"/>
      <c r="V3653" s="10">
        <v>9.5</v>
      </c>
      <c r="W3653" s="9">
        <v>44966</v>
      </c>
      <c r="X3653" s="10">
        <v>11.5</v>
      </c>
      <c r="Y3653" s="9">
        <v>44973</v>
      </c>
      <c r="Z3653">
        <v>9</v>
      </c>
      <c r="AA3653" s="11" t="s">
        <v>49</v>
      </c>
    </row>
    <row r="3654" spans="2:27" ht="16" x14ac:dyDescent="0.2">
      <c r="B3654" t="s">
        <v>35</v>
      </c>
      <c r="C3654">
        <v>40357946</v>
      </c>
      <c r="D3654" t="s">
        <v>409</v>
      </c>
      <c r="E3654">
        <v>1012167</v>
      </c>
      <c r="F3654" t="s">
        <v>70</v>
      </c>
      <c r="G3654" s="9">
        <v>44956</v>
      </c>
      <c r="H3654" s="7"/>
      <c r="I3654" s="7"/>
      <c r="J3654" s="7"/>
      <c r="K3654" s="7"/>
      <c r="L3654" s="10">
        <v>7.5</v>
      </c>
      <c r="M3654" s="9">
        <v>44963</v>
      </c>
      <c r="N3654" s="10">
        <v>9.5</v>
      </c>
      <c r="O3654" s="9">
        <v>44972</v>
      </c>
      <c r="P3654">
        <v>10</v>
      </c>
      <c r="Q3654" s="11" t="s">
        <v>49</v>
      </c>
      <c r="R3654" s="7"/>
      <c r="S3654" s="7"/>
      <c r="T3654" s="7"/>
      <c r="U3654" s="7"/>
      <c r="V3654" s="10">
        <v>9.5</v>
      </c>
      <c r="W3654" s="9">
        <v>44965</v>
      </c>
      <c r="X3654" s="10">
        <v>11.5</v>
      </c>
      <c r="Y3654" s="9">
        <v>44972</v>
      </c>
      <c r="Z3654">
        <v>10</v>
      </c>
      <c r="AA3654" s="11" t="s">
        <v>49</v>
      </c>
    </row>
    <row r="3655" spans="2:27" ht="16" x14ac:dyDescent="0.2">
      <c r="B3655" t="s">
        <v>35</v>
      </c>
      <c r="C3655">
        <v>40357945</v>
      </c>
      <c r="D3655" t="s">
        <v>409</v>
      </c>
      <c r="E3655">
        <v>1012167</v>
      </c>
      <c r="F3655" t="s">
        <v>70</v>
      </c>
      <c r="G3655" s="9">
        <v>44954</v>
      </c>
      <c r="H3655" s="7"/>
      <c r="I3655" s="7"/>
      <c r="J3655" s="7"/>
      <c r="K3655" s="7"/>
      <c r="L3655" s="10">
        <v>7.5</v>
      </c>
      <c r="M3655" s="9">
        <v>44961</v>
      </c>
      <c r="N3655" s="10">
        <v>9.5</v>
      </c>
      <c r="O3655" s="9">
        <v>44970</v>
      </c>
      <c r="P3655">
        <v>12</v>
      </c>
      <c r="Q3655" s="11" t="s">
        <v>49</v>
      </c>
      <c r="R3655" s="7"/>
      <c r="S3655" s="7"/>
      <c r="T3655" s="7"/>
      <c r="U3655" s="7"/>
      <c r="V3655" s="10">
        <v>9.5</v>
      </c>
      <c r="W3655" s="9">
        <v>44963</v>
      </c>
      <c r="X3655" s="10">
        <v>11.5</v>
      </c>
      <c r="Y3655" s="9">
        <v>44970</v>
      </c>
      <c r="Z3655">
        <v>12</v>
      </c>
      <c r="AA3655" s="11" t="s">
        <v>49</v>
      </c>
    </row>
    <row r="3656" spans="2:27" ht="16" x14ac:dyDescent="0.2">
      <c r="B3656" t="s">
        <v>35</v>
      </c>
      <c r="C3656">
        <v>40357944</v>
      </c>
      <c r="D3656" t="s">
        <v>409</v>
      </c>
      <c r="E3656">
        <v>1012167</v>
      </c>
      <c r="F3656" t="s">
        <v>70</v>
      </c>
      <c r="G3656" s="9">
        <v>44954</v>
      </c>
      <c r="H3656" s="7"/>
      <c r="I3656" s="7"/>
      <c r="J3656" s="7"/>
      <c r="K3656" s="7"/>
      <c r="L3656" s="10">
        <v>7.5</v>
      </c>
      <c r="M3656" s="9">
        <v>44961</v>
      </c>
      <c r="N3656" s="10">
        <v>9.5</v>
      </c>
      <c r="O3656" s="9">
        <v>44970</v>
      </c>
      <c r="P3656">
        <v>12</v>
      </c>
      <c r="Q3656" s="11" t="s">
        <v>49</v>
      </c>
      <c r="R3656" s="7"/>
      <c r="S3656" s="7"/>
      <c r="T3656" s="7"/>
      <c r="U3656" s="7"/>
      <c r="V3656" s="10">
        <v>9.5</v>
      </c>
      <c r="W3656" s="9">
        <v>44963</v>
      </c>
      <c r="X3656" s="10">
        <v>11.5</v>
      </c>
      <c r="Y3656" s="9">
        <v>44970</v>
      </c>
      <c r="Z3656">
        <v>12</v>
      </c>
      <c r="AA3656" s="11" t="s">
        <v>49</v>
      </c>
    </row>
    <row r="3657" spans="2:27" ht="16" x14ac:dyDescent="0.2">
      <c r="B3657" t="s">
        <v>35</v>
      </c>
      <c r="C3657">
        <v>40357943</v>
      </c>
      <c r="D3657" t="s">
        <v>409</v>
      </c>
      <c r="E3657">
        <v>1012167</v>
      </c>
      <c r="F3657" t="s">
        <v>70</v>
      </c>
      <c r="G3657" s="9">
        <v>44950</v>
      </c>
      <c r="H3657" s="7"/>
      <c r="I3657" s="7"/>
      <c r="J3657" s="7"/>
      <c r="K3657" s="7"/>
      <c r="L3657" s="10">
        <v>7.5</v>
      </c>
      <c r="M3657" s="9">
        <v>44957</v>
      </c>
      <c r="N3657" s="10">
        <v>9.5</v>
      </c>
      <c r="O3657" s="9">
        <v>44966</v>
      </c>
      <c r="P3657">
        <v>15</v>
      </c>
      <c r="Q3657" s="11" t="s">
        <v>49</v>
      </c>
      <c r="R3657" s="7"/>
      <c r="S3657" s="7"/>
      <c r="T3657" s="7"/>
      <c r="U3657" s="7"/>
      <c r="V3657" s="10">
        <v>9.5</v>
      </c>
      <c r="W3657" s="9">
        <v>44959</v>
      </c>
      <c r="X3657" s="10">
        <v>11.5</v>
      </c>
      <c r="Y3657" s="9">
        <v>44966</v>
      </c>
      <c r="Z3657">
        <v>15</v>
      </c>
      <c r="AA3657" s="11" t="s">
        <v>49</v>
      </c>
    </row>
    <row r="3658" spans="2:27" ht="16" x14ac:dyDescent="0.2">
      <c r="B3658" t="s">
        <v>35</v>
      </c>
      <c r="C3658">
        <v>40357940</v>
      </c>
      <c r="D3658" t="s">
        <v>409</v>
      </c>
      <c r="E3658">
        <v>1011701</v>
      </c>
      <c r="F3658" t="s">
        <v>82</v>
      </c>
      <c r="G3658" s="9">
        <v>44946</v>
      </c>
      <c r="H3658" s="7"/>
      <c r="I3658" s="7"/>
      <c r="J3658" s="7"/>
      <c r="K3658" s="7"/>
      <c r="L3658" s="10">
        <v>7.5</v>
      </c>
      <c r="M3658" s="9">
        <v>44953</v>
      </c>
      <c r="N3658" s="10">
        <v>9.5</v>
      </c>
      <c r="O3658" s="9">
        <v>44962</v>
      </c>
      <c r="P3658">
        <v>19</v>
      </c>
      <c r="Q3658" s="11" t="s">
        <v>49</v>
      </c>
      <c r="R3658" s="7"/>
      <c r="S3658" s="7"/>
      <c r="T3658" s="7"/>
      <c r="U3658" s="7"/>
      <c r="V3658" s="10">
        <v>9.5</v>
      </c>
      <c r="W3658" s="9">
        <v>44955</v>
      </c>
      <c r="X3658" s="10">
        <v>11.5</v>
      </c>
      <c r="Y3658" s="9">
        <v>44962</v>
      </c>
      <c r="Z3658">
        <v>19</v>
      </c>
      <c r="AA3658" s="11" t="s">
        <v>49</v>
      </c>
    </row>
    <row r="3659" spans="2:27" ht="16" x14ac:dyDescent="0.2">
      <c r="B3659" t="s">
        <v>35</v>
      </c>
      <c r="C3659">
        <v>40357939</v>
      </c>
      <c r="D3659" t="s">
        <v>409</v>
      </c>
      <c r="E3659">
        <v>1011701</v>
      </c>
      <c r="F3659" t="s">
        <v>82</v>
      </c>
      <c r="G3659" s="9">
        <v>44939</v>
      </c>
      <c r="H3659" s="7"/>
      <c r="I3659" s="7"/>
      <c r="J3659" s="7"/>
      <c r="K3659" s="7"/>
      <c r="L3659" s="10">
        <v>7.5</v>
      </c>
      <c r="M3659" s="9">
        <v>44946</v>
      </c>
      <c r="N3659" s="10">
        <v>9.5</v>
      </c>
      <c r="O3659" s="9">
        <v>44955</v>
      </c>
      <c r="P3659">
        <v>2</v>
      </c>
      <c r="Q3659" s="11" t="s">
        <v>648</v>
      </c>
      <c r="R3659" s="7"/>
      <c r="S3659" s="7"/>
      <c r="T3659" s="7"/>
      <c r="U3659" s="7"/>
      <c r="V3659" s="10">
        <v>9.5</v>
      </c>
      <c r="W3659" s="9">
        <v>44948</v>
      </c>
      <c r="X3659" s="10">
        <v>11.5</v>
      </c>
      <c r="Y3659" s="9">
        <v>44955</v>
      </c>
      <c r="Z3659">
        <v>2</v>
      </c>
      <c r="AA3659" s="11" t="s">
        <v>648</v>
      </c>
    </row>
    <row r="3660" spans="2:27" ht="16" x14ac:dyDescent="0.2">
      <c r="B3660" t="s">
        <v>35</v>
      </c>
      <c r="C3660">
        <v>40357938</v>
      </c>
      <c r="D3660" t="s">
        <v>409</v>
      </c>
      <c r="E3660">
        <v>1011701</v>
      </c>
      <c r="F3660" t="s">
        <v>82</v>
      </c>
      <c r="G3660" s="9">
        <v>44940</v>
      </c>
      <c r="H3660" s="7"/>
      <c r="I3660" s="7"/>
      <c r="J3660" s="7"/>
      <c r="K3660" s="7"/>
      <c r="L3660" s="10">
        <v>7.5</v>
      </c>
      <c r="M3660" s="9">
        <v>44947</v>
      </c>
      <c r="N3660" s="10">
        <v>9.5</v>
      </c>
      <c r="O3660" s="9">
        <v>44956</v>
      </c>
      <c r="P3660">
        <v>1</v>
      </c>
      <c r="Q3660" s="11" t="s">
        <v>648</v>
      </c>
      <c r="R3660" s="7"/>
      <c r="S3660" s="7"/>
      <c r="T3660" s="7"/>
      <c r="U3660" s="7"/>
      <c r="V3660" s="10">
        <v>9.5</v>
      </c>
      <c r="W3660" s="9">
        <v>44949</v>
      </c>
      <c r="X3660" s="10">
        <v>11.5</v>
      </c>
      <c r="Y3660" s="9">
        <v>44956</v>
      </c>
      <c r="Z3660">
        <v>1</v>
      </c>
      <c r="AA3660" s="11" t="s">
        <v>648</v>
      </c>
    </row>
    <row r="3661" spans="2:27" ht="16" x14ac:dyDescent="0.2">
      <c r="B3661" t="s">
        <v>35</v>
      </c>
      <c r="C3661">
        <v>40344359</v>
      </c>
      <c r="D3661" t="s">
        <v>389</v>
      </c>
      <c r="E3661">
        <v>1022125</v>
      </c>
      <c r="F3661" t="s">
        <v>296</v>
      </c>
      <c r="G3661" s="9">
        <v>45281</v>
      </c>
      <c r="H3661" s="7"/>
      <c r="I3661" s="7"/>
      <c r="J3661" s="7"/>
      <c r="K3661" s="7"/>
      <c r="L3661" s="10">
        <v>5.5741092456127026</v>
      </c>
      <c r="M3661" s="9">
        <v>45286</v>
      </c>
      <c r="N3661" s="10">
        <v>5.5</v>
      </c>
      <c r="O3661" s="9">
        <v>45291</v>
      </c>
      <c r="P3661">
        <v>0</v>
      </c>
      <c r="Q3661" s="11" t="s">
        <v>652</v>
      </c>
      <c r="R3661" s="7"/>
      <c r="S3661" s="7"/>
      <c r="T3661" s="7"/>
      <c r="U3661" s="7"/>
      <c r="V3661" s="10">
        <v>7.5741092456127026</v>
      </c>
      <c r="W3661" s="9">
        <v>45288</v>
      </c>
      <c r="X3661" s="10">
        <v>7.5</v>
      </c>
      <c r="Y3661" s="9">
        <v>45291</v>
      </c>
      <c r="Z3661">
        <v>0</v>
      </c>
      <c r="AA3661" s="11" t="s">
        <v>652</v>
      </c>
    </row>
    <row r="3662" spans="2:27" ht="16" x14ac:dyDescent="0.2">
      <c r="B3662" t="s">
        <v>35</v>
      </c>
      <c r="C3662">
        <v>40357935</v>
      </c>
      <c r="D3662" t="s">
        <v>409</v>
      </c>
      <c r="E3662">
        <v>1012518</v>
      </c>
      <c r="F3662" t="s">
        <v>65</v>
      </c>
      <c r="G3662" s="9">
        <v>44950</v>
      </c>
      <c r="H3662" s="7"/>
      <c r="I3662" s="7"/>
      <c r="J3662" s="7"/>
      <c r="K3662" s="7"/>
      <c r="L3662" s="10">
        <v>7.5</v>
      </c>
      <c r="M3662" s="9">
        <v>44957</v>
      </c>
      <c r="N3662" s="10">
        <v>9.5</v>
      </c>
      <c r="O3662" s="9">
        <v>44966</v>
      </c>
      <c r="P3662">
        <v>15</v>
      </c>
      <c r="Q3662" s="11" t="s">
        <v>49</v>
      </c>
      <c r="R3662" s="7"/>
      <c r="S3662" s="7"/>
      <c r="T3662" s="7"/>
      <c r="U3662" s="7"/>
      <c r="V3662" s="10">
        <v>9.5</v>
      </c>
      <c r="W3662" s="9">
        <v>44959</v>
      </c>
      <c r="X3662" s="10">
        <v>11.5</v>
      </c>
      <c r="Y3662" s="9">
        <v>44966</v>
      </c>
      <c r="Z3662">
        <v>15</v>
      </c>
      <c r="AA3662" s="11" t="s">
        <v>49</v>
      </c>
    </row>
    <row r="3663" spans="2:27" ht="16" x14ac:dyDescent="0.2">
      <c r="B3663" t="s">
        <v>35</v>
      </c>
      <c r="C3663">
        <v>40357934</v>
      </c>
      <c r="D3663" t="s">
        <v>409</v>
      </c>
      <c r="E3663">
        <v>1012518</v>
      </c>
      <c r="F3663" t="s">
        <v>65</v>
      </c>
      <c r="G3663" s="9">
        <v>44965</v>
      </c>
      <c r="H3663" s="7"/>
      <c r="I3663" s="7"/>
      <c r="J3663" s="7"/>
      <c r="K3663" s="7"/>
      <c r="L3663" s="10">
        <v>7.5</v>
      </c>
      <c r="M3663" s="9">
        <v>44972</v>
      </c>
      <c r="N3663" s="10">
        <v>9.5</v>
      </c>
      <c r="O3663" s="9">
        <v>44981</v>
      </c>
      <c r="P3663">
        <v>3</v>
      </c>
      <c r="Q3663" s="11" t="s">
        <v>49</v>
      </c>
      <c r="R3663" s="7"/>
      <c r="S3663" s="7"/>
      <c r="T3663" s="7"/>
      <c r="U3663" s="7"/>
      <c r="V3663" s="10">
        <v>9.5</v>
      </c>
      <c r="W3663" s="9">
        <v>44974</v>
      </c>
      <c r="X3663" s="10">
        <v>11.5</v>
      </c>
      <c r="Y3663" s="9">
        <v>44981</v>
      </c>
      <c r="Z3663">
        <v>3</v>
      </c>
      <c r="AA3663" s="11" t="s">
        <v>49</v>
      </c>
    </row>
    <row r="3664" spans="2:27" ht="16" x14ac:dyDescent="0.2">
      <c r="B3664" t="s">
        <v>35</v>
      </c>
      <c r="C3664">
        <v>40357933</v>
      </c>
      <c r="D3664" t="s">
        <v>409</v>
      </c>
      <c r="E3664">
        <v>1012518</v>
      </c>
      <c r="F3664" t="s">
        <v>65</v>
      </c>
      <c r="G3664" s="9">
        <v>44965</v>
      </c>
      <c r="H3664" s="7"/>
      <c r="I3664" s="7"/>
      <c r="J3664" s="7"/>
      <c r="K3664" s="7"/>
      <c r="L3664" s="10">
        <v>7.5</v>
      </c>
      <c r="M3664" s="9">
        <v>44972</v>
      </c>
      <c r="N3664" s="10">
        <v>9.5</v>
      </c>
      <c r="O3664" s="9">
        <v>44981</v>
      </c>
      <c r="P3664">
        <v>3</v>
      </c>
      <c r="Q3664" s="11" t="s">
        <v>49</v>
      </c>
      <c r="R3664" s="7"/>
      <c r="S3664" s="7"/>
      <c r="T3664" s="7"/>
      <c r="U3664" s="7"/>
      <c r="V3664" s="10">
        <v>9.5</v>
      </c>
      <c r="W3664" s="9">
        <v>44974</v>
      </c>
      <c r="X3664" s="10">
        <v>11.5</v>
      </c>
      <c r="Y3664" s="9">
        <v>44981</v>
      </c>
      <c r="Z3664">
        <v>3</v>
      </c>
      <c r="AA3664" s="11" t="s">
        <v>49</v>
      </c>
    </row>
    <row r="3665" spans="2:27" ht="16" x14ac:dyDescent="0.2">
      <c r="B3665" t="s">
        <v>35</v>
      </c>
      <c r="C3665">
        <v>40357932</v>
      </c>
      <c r="D3665" t="s">
        <v>409</v>
      </c>
      <c r="E3665">
        <v>1012518</v>
      </c>
      <c r="F3665" t="s">
        <v>65</v>
      </c>
      <c r="G3665" s="9">
        <v>44949</v>
      </c>
      <c r="H3665" s="7"/>
      <c r="I3665" s="7"/>
      <c r="J3665" s="7"/>
      <c r="K3665" s="7"/>
      <c r="L3665" s="10">
        <v>7.5</v>
      </c>
      <c r="M3665" s="9">
        <v>44956</v>
      </c>
      <c r="N3665" s="10">
        <v>9.5</v>
      </c>
      <c r="O3665" s="9">
        <v>44965</v>
      </c>
      <c r="P3665">
        <v>16</v>
      </c>
      <c r="Q3665" s="11" t="s">
        <v>49</v>
      </c>
      <c r="R3665" s="7"/>
      <c r="S3665" s="7"/>
      <c r="T3665" s="7"/>
      <c r="U3665" s="7"/>
      <c r="V3665" s="10">
        <v>9.5</v>
      </c>
      <c r="W3665" s="9">
        <v>44958</v>
      </c>
      <c r="X3665" s="10">
        <v>11.5</v>
      </c>
      <c r="Y3665" s="9">
        <v>44965</v>
      </c>
      <c r="Z3665">
        <v>16</v>
      </c>
      <c r="AA3665" s="11" t="s">
        <v>49</v>
      </c>
    </row>
    <row r="3666" spans="2:27" ht="16" x14ac:dyDescent="0.2">
      <c r="B3666" t="s">
        <v>35</v>
      </c>
      <c r="C3666">
        <v>40357931</v>
      </c>
      <c r="D3666" t="s">
        <v>409</v>
      </c>
      <c r="E3666">
        <v>1012518</v>
      </c>
      <c r="F3666" t="s">
        <v>65</v>
      </c>
      <c r="G3666" s="9">
        <v>44965</v>
      </c>
      <c r="H3666" s="7"/>
      <c r="I3666" s="7"/>
      <c r="J3666" s="7"/>
      <c r="K3666" s="7"/>
      <c r="L3666" s="10">
        <v>7.5</v>
      </c>
      <c r="M3666" s="9">
        <v>44972</v>
      </c>
      <c r="N3666" s="10">
        <v>9.5</v>
      </c>
      <c r="O3666" s="9">
        <v>44981</v>
      </c>
      <c r="P3666">
        <v>3</v>
      </c>
      <c r="Q3666" s="11" t="s">
        <v>49</v>
      </c>
      <c r="R3666" s="7"/>
      <c r="S3666" s="7"/>
      <c r="T3666" s="7"/>
      <c r="U3666" s="7"/>
      <c r="V3666" s="10">
        <v>9.5</v>
      </c>
      <c r="W3666" s="9">
        <v>44974</v>
      </c>
      <c r="X3666" s="10">
        <v>11.5</v>
      </c>
      <c r="Y3666" s="9">
        <v>44981</v>
      </c>
      <c r="Z3666">
        <v>3</v>
      </c>
      <c r="AA3666" s="11" t="s">
        <v>49</v>
      </c>
    </row>
    <row r="3667" spans="2:27" ht="16" x14ac:dyDescent="0.2">
      <c r="B3667" t="s">
        <v>35</v>
      </c>
      <c r="C3667">
        <v>40357930</v>
      </c>
      <c r="D3667" t="s">
        <v>409</v>
      </c>
      <c r="E3667">
        <v>1012163</v>
      </c>
      <c r="F3667" t="s">
        <v>140</v>
      </c>
      <c r="G3667" s="9">
        <v>44943</v>
      </c>
      <c r="H3667" s="7"/>
      <c r="I3667" s="7"/>
      <c r="J3667" s="7"/>
      <c r="K3667" s="7"/>
      <c r="L3667" s="10">
        <v>7.5</v>
      </c>
      <c r="M3667" s="9">
        <v>44950</v>
      </c>
      <c r="N3667" s="10">
        <v>9.5</v>
      </c>
      <c r="O3667" s="9">
        <v>44959</v>
      </c>
      <c r="P3667">
        <v>21</v>
      </c>
      <c r="Q3667" s="11" t="s">
        <v>49</v>
      </c>
      <c r="R3667" s="7"/>
      <c r="S3667" s="7"/>
      <c r="T3667" s="7"/>
      <c r="U3667" s="7"/>
      <c r="V3667" s="10">
        <v>9.5</v>
      </c>
      <c r="W3667" s="9">
        <v>44952</v>
      </c>
      <c r="X3667" s="10">
        <v>11.5</v>
      </c>
      <c r="Y3667" s="9">
        <v>44959</v>
      </c>
      <c r="Z3667">
        <v>21</v>
      </c>
      <c r="AA3667" s="11" t="s">
        <v>49</v>
      </c>
    </row>
    <row r="3668" spans="2:27" ht="16" x14ac:dyDescent="0.2">
      <c r="B3668" t="s">
        <v>35</v>
      </c>
      <c r="C3668">
        <v>40357929</v>
      </c>
      <c r="D3668" t="s">
        <v>409</v>
      </c>
      <c r="E3668">
        <v>1012163</v>
      </c>
      <c r="F3668" t="s">
        <v>140</v>
      </c>
      <c r="G3668" s="9">
        <v>44950</v>
      </c>
      <c r="H3668" s="7"/>
      <c r="I3668" s="7"/>
      <c r="J3668" s="7"/>
      <c r="K3668" s="7"/>
      <c r="L3668" s="10">
        <v>7.5</v>
      </c>
      <c r="M3668" s="9">
        <v>44957</v>
      </c>
      <c r="N3668" s="10">
        <v>9.5</v>
      </c>
      <c r="O3668" s="9">
        <v>44966</v>
      </c>
      <c r="P3668">
        <v>15</v>
      </c>
      <c r="Q3668" s="11" t="s">
        <v>49</v>
      </c>
      <c r="R3668" s="7"/>
      <c r="S3668" s="7"/>
      <c r="T3668" s="7"/>
      <c r="U3668" s="7"/>
      <c r="V3668" s="10">
        <v>9.5</v>
      </c>
      <c r="W3668" s="9">
        <v>44959</v>
      </c>
      <c r="X3668" s="10">
        <v>11.5</v>
      </c>
      <c r="Y3668" s="9">
        <v>44966</v>
      </c>
      <c r="Z3668">
        <v>15</v>
      </c>
      <c r="AA3668" s="11" t="s">
        <v>49</v>
      </c>
    </row>
    <row r="3669" spans="2:27" ht="16" x14ac:dyDescent="0.2">
      <c r="B3669" t="s">
        <v>35</v>
      </c>
      <c r="C3669">
        <v>40357928</v>
      </c>
      <c r="D3669" t="s">
        <v>409</v>
      </c>
      <c r="E3669">
        <v>1012483</v>
      </c>
      <c r="F3669" t="s">
        <v>90</v>
      </c>
      <c r="G3669" s="9">
        <v>44944</v>
      </c>
      <c r="H3669" s="7"/>
      <c r="I3669" s="7"/>
      <c r="J3669" s="7"/>
      <c r="K3669" s="7"/>
      <c r="L3669" s="10">
        <v>7.5</v>
      </c>
      <c r="M3669" s="9">
        <v>44951</v>
      </c>
      <c r="N3669" s="10">
        <v>9.5</v>
      </c>
      <c r="O3669" s="9">
        <v>44960</v>
      </c>
      <c r="P3669">
        <v>20</v>
      </c>
      <c r="Q3669" s="11" t="s">
        <v>49</v>
      </c>
      <c r="R3669" s="7"/>
      <c r="S3669" s="7"/>
      <c r="T3669" s="7"/>
      <c r="U3669" s="7"/>
      <c r="V3669" s="10">
        <v>9.5</v>
      </c>
      <c r="W3669" s="9">
        <v>44953</v>
      </c>
      <c r="X3669" s="10">
        <v>11.5</v>
      </c>
      <c r="Y3669" s="9">
        <v>44960</v>
      </c>
      <c r="Z3669">
        <v>20</v>
      </c>
      <c r="AA3669" s="11" t="s">
        <v>49</v>
      </c>
    </row>
    <row r="3670" spans="2:27" ht="16" x14ac:dyDescent="0.2">
      <c r="B3670" t="s">
        <v>35</v>
      </c>
      <c r="C3670">
        <v>40357926</v>
      </c>
      <c r="D3670" t="s">
        <v>409</v>
      </c>
      <c r="E3670">
        <v>1012483</v>
      </c>
      <c r="F3670" t="s">
        <v>90</v>
      </c>
      <c r="G3670" s="9">
        <v>44942</v>
      </c>
      <c r="H3670" s="7"/>
      <c r="I3670" s="7"/>
      <c r="J3670" s="7"/>
      <c r="K3670" s="7"/>
      <c r="L3670" s="10">
        <v>7.5</v>
      </c>
      <c r="M3670" s="9">
        <v>44949</v>
      </c>
      <c r="N3670" s="10">
        <v>9.5</v>
      </c>
      <c r="O3670" s="9">
        <v>44958</v>
      </c>
      <c r="P3670">
        <v>22</v>
      </c>
      <c r="Q3670" s="11" t="s">
        <v>49</v>
      </c>
      <c r="R3670" s="7"/>
      <c r="S3670" s="7"/>
      <c r="T3670" s="7"/>
      <c r="U3670" s="7"/>
      <c r="V3670" s="10">
        <v>9.5</v>
      </c>
      <c r="W3670" s="9">
        <v>44951</v>
      </c>
      <c r="X3670" s="10">
        <v>11.5</v>
      </c>
      <c r="Y3670" s="9">
        <v>44958</v>
      </c>
      <c r="Z3670">
        <v>22</v>
      </c>
      <c r="AA3670" s="11" t="s">
        <v>49</v>
      </c>
    </row>
    <row r="3671" spans="2:27" ht="16" x14ac:dyDescent="0.2">
      <c r="B3671" t="s">
        <v>35</v>
      </c>
      <c r="C3671">
        <v>40357636</v>
      </c>
      <c r="D3671" t="s">
        <v>389</v>
      </c>
      <c r="E3671">
        <v>1022851</v>
      </c>
      <c r="F3671" t="s">
        <v>322</v>
      </c>
      <c r="G3671" s="9">
        <v>44960</v>
      </c>
      <c r="H3671" s="7"/>
      <c r="I3671" s="7"/>
      <c r="J3671" s="7"/>
      <c r="K3671" s="7"/>
      <c r="L3671" s="10">
        <v>5.5741092456127026</v>
      </c>
      <c r="M3671" s="9">
        <v>44965</v>
      </c>
      <c r="N3671" s="10">
        <v>5.5</v>
      </c>
      <c r="O3671" s="9">
        <v>44970</v>
      </c>
      <c r="P3671">
        <v>13</v>
      </c>
      <c r="Q3671" s="11" t="s">
        <v>49</v>
      </c>
      <c r="R3671" s="7"/>
      <c r="S3671" s="7"/>
      <c r="T3671" s="7"/>
      <c r="U3671" s="7"/>
      <c r="V3671" s="10">
        <v>7.5741092456127026</v>
      </c>
      <c r="W3671" s="9">
        <v>44967</v>
      </c>
      <c r="X3671" s="10">
        <v>7.5</v>
      </c>
      <c r="Y3671" s="9">
        <v>44970</v>
      </c>
      <c r="Z3671">
        <v>13</v>
      </c>
      <c r="AA3671" s="11" t="s">
        <v>49</v>
      </c>
    </row>
    <row r="3672" spans="2:27" ht="16" x14ac:dyDescent="0.2">
      <c r="B3672" t="s">
        <v>35</v>
      </c>
      <c r="C3672">
        <v>40357583</v>
      </c>
      <c r="D3672" t="s">
        <v>389</v>
      </c>
      <c r="E3672">
        <v>1022639</v>
      </c>
      <c r="F3672" t="s">
        <v>316</v>
      </c>
      <c r="G3672" s="9">
        <v>44952</v>
      </c>
      <c r="H3672" s="7"/>
      <c r="I3672" s="7"/>
      <c r="J3672" s="7"/>
      <c r="K3672" s="7"/>
      <c r="L3672" s="10">
        <v>5.5741092456127026</v>
      </c>
      <c r="M3672" s="9">
        <v>44957</v>
      </c>
      <c r="N3672" s="10">
        <v>5.5</v>
      </c>
      <c r="O3672" s="9">
        <v>44962</v>
      </c>
      <c r="P3672">
        <v>20</v>
      </c>
      <c r="Q3672" s="11" t="s">
        <v>49</v>
      </c>
      <c r="R3672" s="7"/>
      <c r="S3672" s="7"/>
      <c r="T3672" s="7"/>
      <c r="U3672" s="7"/>
      <c r="V3672" s="10">
        <v>7.5741092456127026</v>
      </c>
      <c r="W3672" s="9">
        <v>44959</v>
      </c>
      <c r="X3672" s="10">
        <v>7.5</v>
      </c>
      <c r="Y3672" s="9">
        <v>44962</v>
      </c>
      <c r="Z3672">
        <v>20</v>
      </c>
      <c r="AA3672" s="11" t="s">
        <v>49</v>
      </c>
    </row>
    <row r="3673" spans="2:27" ht="16" x14ac:dyDescent="0.2">
      <c r="B3673" t="s">
        <v>35</v>
      </c>
      <c r="C3673">
        <v>40357582</v>
      </c>
      <c r="D3673" t="s">
        <v>389</v>
      </c>
      <c r="E3673">
        <v>1022639</v>
      </c>
      <c r="F3673" t="s">
        <v>316</v>
      </c>
      <c r="G3673" s="9">
        <v>44956</v>
      </c>
      <c r="H3673" s="7"/>
      <c r="I3673" s="7"/>
      <c r="J3673" s="7"/>
      <c r="K3673" s="7"/>
      <c r="L3673" s="10">
        <v>5.5741092456127026</v>
      </c>
      <c r="M3673" s="9">
        <v>44961</v>
      </c>
      <c r="N3673" s="10">
        <v>5.5</v>
      </c>
      <c r="O3673" s="9">
        <v>44966</v>
      </c>
      <c r="P3673">
        <v>16</v>
      </c>
      <c r="Q3673" s="11" t="s">
        <v>49</v>
      </c>
      <c r="R3673" s="7"/>
      <c r="S3673" s="7"/>
      <c r="T3673" s="7"/>
      <c r="U3673" s="7"/>
      <c r="V3673" s="10">
        <v>7.5741092456127026</v>
      </c>
      <c r="W3673" s="9">
        <v>44963</v>
      </c>
      <c r="X3673" s="10">
        <v>7.5</v>
      </c>
      <c r="Y3673" s="9">
        <v>44966</v>
      </c>
      <c r="Z3673">
        <v>16</v>
      </c>
      <c r="AA3673" s="11" t="s">
        <v>49</v>
      </c>
    </row>
    <row r="3674" spans="2:27" ht="16" x14ac:dyDescent="0.2">
      <c r="B3674" t="s">
        <v>35</v>
      </c>
      <c r="C3674">
        <v>40357581</v>
      </c>
      <c r="D3674" t="s">
        <v>389</v>
      </c>
      <c r="E3674">
        <v>1022639</v>
      </c>
      <c r="F3674" t="s">
        <v>316</v>
      </c>
      <c r="G3674" s="9">
        <v>44956</v>
      </c>
      <c r="H3674" s="7"/>
      <c r="I3674" s="7"/>
      <c r="J3674" s="7"/>
      <c r="K3674" s="7"/>
      <c r="L3674" s="10">
        <v>5.5741092456127026</v>
      </c>
      <c r="M3674" s="9">
        <v>44961</v>
      </c>
      <c r="N3674" s="10">
        <v>5.5</v>
      </c>
      <c r="O3674" s="9">
        <v>44966</v>
      </c>
      <c r="P3674">
        <v>16</v>
      </c>
      <c r="Q3674" s="11" t="s">
        <v>49</v>
      </c>
      <c r="R3674" s="7"/>
      <c r="S3674" s="7"/>
      <c r="T3674" s="7"/>
      <c r="U3674" s="7"/>
      <c r="V3674" s="10">
        <v>7.5741092456127026</v>
      </c>
      <c r="W3674" s="9">
        <v>44963</v>
      </c>
      <c r="X3674" s="10">
        <v>7.5</v>
      </c>
      <c r="Y3674" s="9">
        <v>44966</v>
      </c>
      <c r="Z3674">
        <v>16</v>
      </c>
      <c r="AA3674" s="11" t="s">
        <v>49</v>
      </c>
    </row>
    <row r="3675" spans="2:27" ht="16" x14ac:dyDescent="0.2">
      <c r="B3675" t="s">
        <v>35</v>
      </c>
      <c r="C3675">
        <v>40357580</v>
      </c>
      <c r="D3675" t="s">
        <v>389</v>
      </c>
      <c r="E3675">
        <v>1022639</v>
      </c>
      <c r="F3675" t="s">
        <v>316</v>
      </c>
      <c r="G3675" s="9">
        <v>44952</v>
      </c>
      <c r="H3675" s="7"/>
      <c r="I3675" s="7"/>
      <c r="J3675" s="7"/>
      <c r="K3675" s="7"/>
      <c r="L3675" s="10">
        <v>5.5741092456127026</v>
      </c>
      <c r="M3675" s="9">
        <v>44957</v>
      </c>
      <c r="N3675" s="10">
        <v>5.5</v>
      </c>
      <c r="O3675" s="9">
        <v>44962</v>
      </c>
      <c r="P3675">
        <v>20</v>
      </c>
      <c r="Q3675" s="11" t="s">
        <v>49</v>
      </c>
      <c r="R3675" s="7"/>
      <c r="S3675" s="7"/>
      <c r="T3675" s="7"/>
      <c r="U3675" s="7"/>
      <c r="V3675" s="10">
        <v>7.5741092456127026</v>
      </c>
      <c r="W3675" s="9">
        <v>44959</v>
      </c>
      <c r="X3675" s="10">
        <v>7.5</v>
      </c>
      <c r="Y3675" s="9">
        <v>44962</v>
      </c>
      <c r="Z3675">
        <v>20</v>
      </c>
      <c r="AA3675" s="11" t="s">
        <v>49</v>
      </c>
    </row>
    <row r="3676" spans="2:27" ht="16" x14ac:dyDescent="0.2">
      <c r="B3676" t="s">
        <v>35</v>
      </c>
      <c r="C3676">
        <v>40357579</v>
      </c>
      <c r="D3676" t="s">
        <v>389</v>
      </c>
      <c r="E3676">
        <v>1022639</v>
      </c>
      <c r="F3676" t="s">
        <v>316</v>
      </c>
      <c r="G3676" s="9">
        <v>44941</v>
      </c>
      <c r="H3676" s="7"/>
      <c r="I3676" s="7"/>
      <c r="J3676" s="7"/>
      <c r="K3676" s="7"/>
      <c r="L3676" s="10">
        <v>5.5741092456127026</v>
      </c>
      <c r="M3676" s="9">
        <v>44946</v>
      </c>
      <c r="N3676" s="10">
        <v>5.5</v>
      </c>
      <c r="O3676" s="9">
        <v>44951</v>
      </c>
      <c r="P3676">
        <v>5</v>
      </c>
      <c r="Q3676" s="11" t="s">
        <v>49</v>
      </c>
      <c r="R3676" s="7"/>
      <c r="S3676" s="7"/>
      <c r="T3676" s="7"/>
      <c r="U3676" s="7"/>
      <c r="V3676" s="10">
        <v>7.5741092456127026</v>
      </c>
      <c r="W3676" s="9">
        <v>44948</v>
      </c>
      <c r="X3676" s="10">
        <v>7.5</v>
      </c>
      <c r="Y3676" s="9">
        <v>44951</v>
      </c>
      <c r="Z3676">
        <v>5</v>
      </c>
      <c r="AA3676" s="11" t="s">
        <v>49</v>
      </c>
    </row>
    <row r="3677" spans="2:27" ht="16" x14ac:dyDescent="0.2">
      <c r="B3677" t="s">
        <v>35</v>
      </c>
      <c r="C3677">
        <v>40357578</v>
      </c>
      <c r="D3677" t="s">
        <v>389</v>
      </c>
      <c r="E3677">
        <v>1022639</v>
      </c>
      <c r="F3677" t="s">
        <v>316</v>
      </c>
      <c r="G3677" s="9">
        <v>44952</v>
      </c>
      <c r="H3677" s="7"/>
      <c r="I3677" s="7"/>
      <c r="J3677" s="7"/>
      <c r="K3677" s="7"/>
      <c r="L3677" s="10">
        <v>5.5741092456127026</v>
      </c>
      <c r="M3677" s="9">
        <v>44957</v>
      </c>
      <c r="N3677" s="10">
        <v>5.5</v>
      </c>
      <c r="O3677" s="9">
        <v>44962</v>
      </c>
      <c r="P3677">
        <v>20</v>
      </c>
      <c r="Q3677" s="11" t="s">
        <v>49</v>
      </c>
      <c r="R3677" s="7"/>
      <c r="S3677" s="7"/>
      <c r="T3677" s="7"/>
      <c r="U3677" s="7"/>
      <c r="V3677" s="10">
        <v>7.5741092456127026</v>
      </c>
      <c r="W3677" s="9">
        <v>44959</v>
      </c>
      <c r="X3677" s="10">
        <v>7.5</v>
      </c>
      <c r="Y3677" s="9">
        <v>44962</v>
      </c>
      <c r="Z3677">
        <v>20</v>
      </c>
      <c r="AA3677" s="11" t="s">
        <v>49</v>
      </c>
    </row>
    <row r="3678" spans="2:27" ht="16" x14ac:dyDescent="0.2">
      <c r="B3678" t="s">
        <v>35</v>
      </c>
      <c r="C3678">
        <v>40357577</v>
      </c>
      <c r="D3678" t="s">
        <v>389</v>
      </c>
      <c r="E3678">
        <v>1022639</v>
      </c>
      <c r="F3678" t="s">
        <v>316</v>
      </c>
      <c r="G3678" s="9">
        <v>44956</v>
      </c>
      <c r="H3678" s="7"/>
      <c r="I3678" s="7"/>
      <c r="J3678" s="7"/>
      <c r="K3678" s="7"/>
      <c r="L3678" s="10">
        <v>5.5741092456127026</v>
      </c>
      <c r="M3678" s="9">
        <v>44961</v>
      </c>
      <c r="N3678" s="10">
        <v>5.5</v>
      </c>
      <c r="O3678" s="9">
        <v>44966</v>
      </c>
      <c r="P3678">
        <v>16</v>
      </c>
      <c r="Q3678" s="11" t="s">
        <v>49</v>
      </c>
      <c r="R3678" s="7"/>
      <c r="S3678" s="7"/>
      <c r="T3678" s="7"/>
      <c r="U3678" s="7"/>
      <c r="V3678" s="10">
        <v>7.5741092456127026</v>
      </c>
      <c r="W3678" s="9">
        <v>44963</v>
      </c>
      <c r="X3678" s="10">
        <v>7.5</v>
      </c>
      <c r="Y3678" s="9">
        <v>44966</v>
      </c>
      <c r="Z3678">
        <v>16</v>
      </c>
      <c r="AA3678" s="11" t="s">
        <v>49</v>
      </c>
    </row>
    <row r="3679" spans="2:27" ht="16" x14ac:dyDescent="0.2">
      <c r="B3679" t="s">
        <v>35</v>
      </c>
      <c r="C3679">
        <v>40357576</v>
      </c>
      <c r="D3679" t="s">
        <v>389</v>
      </c>
      <c r="E3679">
        <v>1022639</v>
      </c>
      <c r="F3679" t="s">
        <v>316</v>
      </c>
      <c r="G3679" s="9">
        <v>44952</v>
      </c>
      <c r="H3679" s="7"/>
      <c r="I3679" s="7"/>
      <c r="J3679" s="7"/>
      <c r="K3679" s="7"/>
      <c r="L3679" s="10">
        <v>5.5741092456127026</v>
      </c>
      <c r="M3679" s="9">
        <v>44957</v>
      </c>
      <c r="N3679" s="10">
        <v>5.5</v>
      </c>
      <c r="O3679" s="9">
        <v>44962</v>
      </c>
      <c r="P3679">
        <v>20</v>
      </c>
      <c r="Q3679" s="11" t="s">
        <v>49</v>
      </c>
      <c r="R3679" s="7"/>
      <c r="S3679" s="7"/>
      <c r="T3679" s="7"/>
      <c r="U3679" s="7"/>
      <c r="V3679" s="10">
        <v>7.5741092456127026</v>
      </c>
      <c r="W3679" s="9">
        <v>44959</v>
      </c>
      <c r="X3679" s="10">
        <v>7.5</v>
      </c>
      <c r="Y3679" s="9">
        <v>44962</v>
      </c>
      <c r="Z3679">
        <v>20</v>
      </c>
      <c r="AA3679" s="11" t="s">
        <v>49</v>
      </c>
    </row>
    <row r="3680" spans="2:27" ht="16" x14ac:dyDescent="0.2">
      <c r="B3680" t="s">
        <v>35</v>
      </c>
      <c r="C3680">
        <v>40357575</v>
      </c>
      <c r="D3680" t="s">
        <v>389</v>
      </c>
      <c r="E3680">
        <v>1022639</v>
      </c>
      <c r="F3680" t="s">
        <v>316</v>
      </c>
      <c r="G3680" s="9">
        <v>44941</v>
      </c>
      <c r="H3680" s="7"/>
      <c r="I3680" s="7"/>
      <c r="J3680" s="7"/>
      <c r="K3680" s="7"/>
      <c r="L3680" s="10">
        <v>5.5741092456127026</v>
      </c>
      <c r="M3680" s="9">
        <v>44946</v>
      </c>
      <c r="N3680" s="10">
        <v>5.5</v>
      </c>
      <c r="O3680" s="9">
        <v>44951</v>
      </c>
      <c r="P3680">
        <v>5</v>
      </c>
      <c r="Q3680" s="11" t="s">
        <v>49</v>
      </c>
      <c r="R3680" s="7"/>
      <c r="S3680" s="7"/>
      <c r="T3680" s="7"/>
      <c r="U3680" s="7"/>
      <c r="V3680" s="10">
        <v>7.5741092456127026</v>
      </c>
      <c r="W3680" s="9">
        <v>44948</v>
      </c>
      <c r="X3680" s="10">
        <v>7.5</v>
      </c>
      <c r="Y3680" s="9">
        <v>44951</v>
      </c>
      <c r="Z3680">
        <v>5</v>
      </c>
      <c r="AA3680" s="11" t="s">
        <v>49</v>
      </c>
    </row>
    <row r="3681" spans="2:27" ht="16" x14ac:dyDescent="0.2">
      <c r="B3681" t="s">
        <v>35</v>
      </c>
      <c r="C3681">
        <v>40357527</v>
      </c>
      <c r="D3681" t="s">
        <v>389</v>
      </c>
      <c r="E3681">
        <v>1022096</v>
      </c>
      <c r="F3681" t="s">
        <v>440</v>
      </c>
      <c r="G3681" s="9">
        <v>44956</v>
      </c>
      <c r="H3681" s="7"/>
      <c r="I3681" s="7"/>
      <c r="J3681" s="7"/>
      <c r="K3681" s="7"/>
      <c r="L3681" s="10">
        <v>5.5741092456127026</v>
      </c>
      <c r="M3681" s="9">
        <v>44961</v>
      </c>
      <c r="N3681" s="10">
        <v>5.5</v>
      </c>
      <c r="O3681" s="9">
        <v>44966</v>
      </c>
      <c r="P3681">
        <v>16</v>
      </c>
      <c r="Q3681" s="11" t="s">
        <v>49</v>
      </c>
      <c r="R3681" s="7"/>
      <c r="S3681" s="7"/>
      <c r="T3681" s="7"/>
      <c r="U3681" s="7"/>
      <c r="V3681" s="10">
        <v>7.5741092456127026</v>
      </c>
      <c r="W3681" s="9">
        <v>44963</v>
      </c>
      <c r="X3681" s="10">
        <v>7.5</v>
      </c>
      <c r="Y3681" s="9">
        <v>44966</v>
      </c>
      <c r="Z3681">
        <v>16</v>
      </c>
      <c r="AA3681" s="11" t="s">
        <v>49</v>
      </c>
    </row>
    <row r="3682" spans="2:27" ht="16" x14ac:dyDescent="0.2">
      <c r="B3682" t="s">
        <v>35</v>
      </c>
      <c r="C3682">
        <v>40357518</v>
      </c>
      <c r="D3682" t="s">
        <v>389</v>
      </c>
      <c r="E3682">
        <v>1023034</v>
      </c>
      <c r="F3682" t="s">
        <v>441</v>
      </c>
      <c r="G3682" s="9">
        <v>44962</v>
      </c>
      <c r="H3682" s="7"/>
      <c r="I3682" s="7"/>
      <c r="J3682" s="7"/>
      <c r="K3682" s="7"/>
      <c r="L3682" s="10">
        <v>5.5741092456127026</v>
      </c>
      <c r="M3682" s="9">
        <v>44967</v>
      </c>
      <c r="N3682" s="10">
        <v>5.5</v>
      </c>
      <c r="O3682" s="9">
        <v>44972</v>
      </c>
      <c r="P3682">
        <v>11</v>
      </c>
      <c r="Q3682" s="11" t="s">
        <v>49</v>
      </c>
      <c r="R3682" s="7"/>
      <c r="S3682" s="7"/>
      <c r="T3682" s="7"/>
      <c r="U3682" s="7"/>
      <c r="V3682" s="10">
        <v>7.5741092456127026</v>
      </c>
      <c r="W3682" s="9">
        <v>44969</v>
      </c>
      <c r="X3682" s="10">
        <v>7.5</v>
      </c>
      <c r="Y3682" s="9">
        <v>44972</v>
      </c>
      <c r="Z3682">
        <v>11</v>
      </c>
      <c r="AA3682" s="11" t="s">
        <v>49</v>
      </c>
    </row>
    <row r="3683" spans="2:27" ht="16" x14ac:dyDescent="0.2">
      <c r="B3683" t="s">
        <v>35</v>
      </c>
      <c r="C3683">
        <v>40357508</v>
      </c>
      <c r="D3683" t="s">
        <v>389</v>
      </c>
      <c r="E3683">
        <v>1021766</v>
      </c>
      <c r="F3683" t="s">
        <v>286</v>
      </c>
      <c r="G3683" s="9">
        <v>44975</v>
      </c>
      <c r="H3683" s="7"/>
      <c r="I3683" s="7"/>
      <c r="J3683" s="7"/>
      <c r="K3683" s="7"/>
      <c r="L3683" s="10">
        <v>5.5741092456127026</v>
      </c>
      <c r="M3683" s="9">
        <v>44980</v>
      </c>
      <c r="N3683" s="10">
        <v>5.5</v>
      </c>
      <c r="O3683" s="9">
        <v>44985</v>
      </c>
      <c r="P3683">
        <v>0</v>
      </c>
      <c r="Q3683" s="11" t="s">
        <v>594</v>
      </c>
      <c r="R3683" s="7"/>
      <c r="S3683" s="7"/>
      <c r="T3683" s="7"/>
      <c r="U3683" s="7"/>
      <c r="V3683" s="10">
        <v>7.5741092456127026</v>
      </c>
      <c r="W3683" s="9">
        <v>44982</v>
      </c>
      <c r="X3683" s="10">
        <v>7.5</v>
      </c>
      <c r="Y3683" s="9">
        <v>44985</v>
      </c>
      <c r="Z3683">
        <v>0</v>
      </c>
      <c r="AA3683" s="11" t="s">
        <v>594</v>
      </c>
    </row>
    <row r="3684" spans="2:27" ht="16" x14ac:dyDescent="0.2">
      <c r="B3684" t="s">
        <v>35</v>
      </c>
      <c r="C3684">
        <v>40357507</v>
      </c>
      <c r="D3684" t="s">
        <v>389</v>
      </c>
      <c r="E3684">
        <v>1021766</v>
      </c>
      <c r="F3684" t="s">
        <v>286</v>
      </c>
      <c r="G3684" s="9">
        <v>44975</v>
      </c>
      <c r="H3684" s="7"/>
      <c r="I3684" s="7"/>
      <c r="J3684" s="7"/>
      <c r="K3684" s="7"/>
      <c r="L3684" s="10">
        <v>5.5741092456127026</v>
      </c>
      <c r="M3684" s="9">
        <v>44980</v>
      </c>
      <c r="N3684" s="10">
        <v>5.5</v>
      </c>
      <c r="O3684" s="9">
        <v>44985</v>
      </c>
      <c r="P3684">
        <v>0</v>
      </c>
      <c r="Q3684" s="11" t="s">
        <v>594</v>
      </c>
      <c r="R3684" s="7"/>
      <c r="S3684" s="7"/>
      <c r="T3684" s="7"/>
      <c r="U3684" s="7"/>
      <c r="V3684" s="10">
        <v>7.5741092456127026</v>
      </c>
      <c r="W3684" s="9">
        <v>44982</v>
      </c>
      <c r="X3684" s="10">
        <v>7.5</v>
      </c>
      <c r="Y3684" s="9">
        <v>44985</v>
      </c>
      <c r="Z3684">
        <v>0</v>
      </c>
      <c r="AA3684" s="11" t="s">
        <v>594</v>
      </c>
    </row>
    <row r="3685" spans="2:27" ht="16" x14ac:dyDescent="0.2">
      <c r="B3685" t="s">
        <v>35</v>
      </c>
      <c r="C3685">
        <v>40357506</v>
      </c>
      <c r="D3685" t="s">
        <v>389</v>
      </c>
      <c r="E3685">
        <v>1021766</v>
      </c>
      <c r="F3685" t="s">
        <v>286</v>
      </c>
      <c r="G3685" s="9">
        <v>44975</v>
      </c>
      <c r="H3685" s="7"/>
      <c r="I3685" s="7"/>
      <c r="J3685" s="7"/>
      <c r="K3685" s="7"/>
      <c r="L3685" s="10">
        <v>5.5741092456127026</v>
      </c>
      <c r="M3685" s="9">
        <v>44980</v>
      </c>
      <c r="N3685" s="10">
        <v>5.5</v>
      </c>
      <c r="O3685" s="9">
        <v>44985</v>
      </c>
      <c r="P3685">
        <v>0</v>
      </c>
      <c r="Q3685" s="11" t="s">
        <v>594</v>
      </c>
      <c r="R3685" s="7"/>
      <c r="S3685" s="7"/>
      <c r="T3685" s="7"/>
      <c r="U3685" s="7"/>
      <c r="V3685" s="10">
        <v>7.5741092456127026</v>
      </c>
      <c r="W3685" s="9">
        <v>44982</v>
      </c>
      <c r="X3685" s="10">
        <v>7.5</v>
      </c>
      <c r="Y3685" s="9">
        <v>44985</v>
      </c>
      <c r="Z3685">
        <v>0</v>
      </c>
      <c r="AA3685" s="11" t="s">
        <v>594</v>
      </c>
    </row>
    <row r="3686" spans="2:27" ht="16" x14ac:dyDescent="0.2">
      <c r="B3686" t="s">
        <v>35</v>
      </c>
      <c r="C3686">
        <v>40357506</v>
      </c>
      <c r="D3686" t="s">
        <v>389</v>
      </c>
      <c r="E3686">
        <v>1021766</v>
      </c>
      <c r="F3686" t="s">
        <v>286</v>
      </c>
      <c r="G3686" s="9">
        <v>44975</v>
      </c>
      <c r="H3686" s="7"/>
      <c r="I3686" s="7"/>
      <c r="J3686" s="7"/>
      <c r="K3686" s="7"/>
      <c r="L3686" s="10">
        <v>5.5741092456127026</v>
      </c>
      <c r="M3686" s="9">
        <v>44980</v>
      </c>
      <c r="N3686" s="10">
        <v>5.5</v>
      </c>
      <c r="O3686" s="9">
        <v>44985</v>
      </c>
      <c r="P3686">
        <v>0</v>
      </c>
      <c r="Q3686" s="11" t="s">
        <v>594</v>
      </c>
      <c r="R3686" s="7"/>
      <c r="S3686" s="7"/>
      <c r="T3686" s="7"/>
      <c r="U3686" s="7"/>
      <c r="V3686" s="10">
        <v>7.5741092456127026</v>
      </c>
      <c r="W3686" s="9">
        <v>44982</v>
      </c>
      <c r="X3686" s="10">
        <v>7.5</v>
      </c>
      <c r="Y3686" s="9">
        <v>44985</v>
      </c>
      <c r="Z3686">
        <v>0</v>
      </c>
      <c r="AA3686" s="11" t="s">
        <v>594</v>
      </c>
    </row>
    <row r="3687" spans="2:27" ht="16" x14ac:dyDescent="0.2">
      <c r="B3687" t="s">
        <v>35</v>
      </c>
      <c r="C3687">
        <v>40357505</v>
      </c>
      <c r="D3687" t="s">
        <v>389</v>
      </c>
      <c r="E3687">
        <v>1021766</v>
      </c>
      <c r="F3687" t="s">
        <v>286</v>
      </c>
      <c r="G3687" s="9">
        <v>44975</v>
      </c>
      <c r="H3687" s="7"/>
      <c r="I3687" s="7"/>
      <c r="J3687" s="7"/>
      <c r="K3687" s="7"/>
      <c r="L3687" s="10">
        <v>5.5741092456127026</v>
      </c>
      <c r="M3687" s="9">
        <v>44980</v>
      </c>
      <c r="N3687" s="10">
        <v>5.5</v>
      </c>
      <c r="O3687" s="9">
        <v>44985</v>
      </c>
      <c r="P3687">
        <v>0</v>
      </c>
      <c r="Q3687" s="11" t="s">
        <v>594</v>
      </c>
      <c r="R3687" s="7"/>
      <c r="S3687" s="7"/>
      <c r="T3687" s="7"/>
      <c r="U3687" s="7"/>
      <c r="V3687" s="10">
        <v>7.5741092456127026</v>
      </c>
      <c r="W3687" s="9">
        <v>44982</v>
      </c>
      <c r="X3687" s="10">
        <v>7.5</v>
      </c>
      <c r="Y3687" s="9">
        <v>44985</v>
      </c>
      <c r="Z3687">
        <v>0</v>
      </c>
      <c r="AA3687" s="11" t="s">
        <v>594</v>
      </c>
    </row>
    <row r="3688" spans="2:27" ht="16" x14ac:dyDescent="0.2">
      <c r="B3688" t="s">
        <v>35</v>
      </c>
      <c r="C3688">
        <v>40357504</v>
      </c>
      <c r="D3688" t="s">
        <v>389</v>
      </c>
      <c r="E3688">
        <v>1021766</v>
      </c>
      <c r="F3688" t="s">
        <v>286</v>
      </c>
      <c r="G3688" s="9">
        <v>44962</v>
      </c>
      <c r="H3688" s="7"/>
      <c r="I3688" s="7"/>
      <c r="J3688" s="7"/>
      <c r="K3688" s="7"/>
      <c r="L3688" s="10">
        <v>5.5741092456127026</v>
      </c>
      <c r="M3688" s="9">
        <v>44967</v>
      </c>
      <c r="N3688" s="10">
        <v>5.5</v>
      </c>
      <c r="O3688" s="9">
        <v>44972</v>
      </c>
      <c r="P3688">
        <v>11</v>
      </c>
      <c r="Q3688" s="11" t="s">
        <v>49</v>
      </c>
      <c r="R3688" s="7"/>
      <c r="S3688" s="7"/>
      <c r="T3688" s="7"/>
      <c r="U3688" s="7"/>
      <c r="V3688" s="10">
        <v>7.5741092456127026</v>
      </c>
      <c r="W3688" s="9">
        <v>44969</v>
      </c>
      <c r="X3688" s="10">
        <v>7.5</v>
      </c>
      <c r="Y3688" s="9">
        <v>44972</v>
      </c>
      <c r="Z3688">
        <v>11</v>
      </c>
      <c r="AA3688" s="11" t="s">
        <v>49</v>
      </c>
    </row>
    <row r="3689" spans="2:27" ht="16" x14ac:dyDescent="0.2">
      <c r="B3689" t="s">
        <v>35</v>
      </c>
      <c r="C3689">
        <v>40357503</v>
      </c>
      <c r="D3689" t="s">
        <v>389</v>
      </c>
      <c r="E3689">
        <v>1021766</v>
      </c>
      <c r="F3689" t="s">
        <v>286</v>
      </c>
      <c r="G3689" s="9">
        <v>44962</v>
      </c>
      <c r="H3689" s="7"/>
      <c r="I3689" s="7"/>
      <c r="J3689" s="7"/>
      <c r="K3689" s="7"/>
      <c r="L3689" s="10">
        <v>5.5741092456127026</v>
      </c>
      <c r="M3689" s="9">
        <v>44967</v>
      </c>
      <c r="N3689" s="10">
        <v>5.5</v>
      </c>
      <c r="O3689" s="9">
        <v>44972</v>
      </c>
      <c r="P3689">
        <v>11</v>
      </c>
      <c r="Q3689" s="11" t="s">
        <v>49</v>
      </c>
      <c r="R3689" s="7"/>
      <c r="S3689" s="7"/>
      <c r="T3689" s="7"/>
      <c r="U3689" s="7"/>
      <c r="V3689" s="10">
        <v>7.5741092456127026</v>
      </c>
      <c r="W3689" s="9">
        <v>44969</v>
      </c>
      <c r="X3689" s="10">
        <v>7.5</v>
      </c>
      <c r="Y3689" s="9">
        <v>44972</v>
      </c>
      <c r="Z3689">
        <v>11</v>
      </c>
      <c r="AA3689" s="11" t="s">
        <v>49</v>
      </c>
    </row>
    <row r="3690" spans="2:27" ht="16" x14ac:dyDescent="0.2">
      <c r="B3690" t="s">
        <v>35</v>
      </c>
      <c r="C3690">
        <v>40357503</v>
      </c>
      <c r="D3690" t="s">
        <v>389</v>
      </c>
      <c r="E3690">
        <v>1021766</v>
      </c>
      <c r="F3690" t="s">
        <v>286</v>
      </c>
      <c r="G3690" s="9">
        <v>44962</v>
      </c>
      <c r="H3690" s="7"/>
      <c r="I3690" s="7"/>
      <c r="J3690" s="7"/>
      <c r="K3690" s="7"/>
      <c r="L3690" s="10">
        <v>5.5741092456127026</v>
      </c>
      <c r="M3690" s="9">
        <v>44967</v>
      </c>
      <c r="N3690" s="10">
        <v>5.5</v>
      </c>
      <c r="O3690" s="9">
        <v>44972</v>
      </c>
      <c r="P3690">
        <v>11</v>
      </c>
      <c r="Q3690" s="11" t="s">
        <v>49</v>
      </c>
      <c r="R3690" s="7"/>
      <c r="S3690" s="7"/>
      <c r="T3690" s="7"/>
      <c r="U3690" s="7"/>
      <c r="V3690" s="10">
        <v>7.5741092456127026</v>
      </c>
      <c r="W3690" s="9">
        <v>44969</v>
      </c>
      <c r="X3690" s="10">
        <v>7.5</v>
      </c>
      <c r="Y3690" s="9">
        <v>44972</v>
      </c>
      <c r="Z3690">
        <v>11</v>
      </c>
      <c r="AA3690" s="11" t="s">
        <v>49</v>
      </c>
    </row>
    <row r="3691" spans="2:27" ht="16" x14ac:dyDescent="0.2">
      <c r="B3691" t="s">
        <v>35</v>
      </c>
      <c r="C3691">
        <v>40357502</v>
      </c>
      <c r="D3691" t="s">
        <v>389</v>
      </c>
      <c r="E3691">
        <v>1021766</v>
      </c>
      <c r="F3691" t="s">
        <v>286</v>
      </c>
      <c r="G3691" s="9">
        <v>44960</v>
      </c>
      <c r="H3691" s="7"/>
      <c r="I3691" s="7"/>
      <c r="J3691" s="7"/>
      <c r="K3691" s="7"/>
      <c r="L3691" s="10">
        <v>5.5741092456127026</v>
      </c>
      <c r="M3691" s="9">
        <v>44965</v>
      </c>
      <c r="N3691" s="10">
        <v>5.5</v>
      </c>
      <c r="O3691" s="9">
        <v>44970</v>
      </c>
      <c r="P3691">
        <v>13</v>
      </c>
      <c r="Q3691" s="11" t="s">
        <v>49</v>
      </c>
      <c r="R3691" s="7"/>
      <c r="S3691" s="7"/>
      <c r="T3691" s="7"/>
      <c r="U3691" s="7"/>
      <c r="V3691" s="10">
        <v>7.5741092456127026</v>
      </c>
      <c r="W3691" s="9">
        <v>44967</v>
      </c>
      <c r="X3691" s="10">
        <v>7.5</v>
      </c>
      <c r="Y3691" s="9">
        <v>44970</v>
      </c>
      <c r="Z3691">
        <v>13</v>
      </c>
      <c r="AA3691" s="11" t="s">
        <v>49</v>
      </c>
    </row>
    <row r="3692" spans="2:27" ht="16" x14ac:dyDescent="0.2">
      <c r="B3692" t="s">
        <v>35</v>
      </c>
      <c r="C3692">
        <v>40357501</v>
      </c>
      <c r="D3692" t="s">
        <v>389</v>
      </c>
      <c r="E3692">
        <v>1021766</v>
      </c>
      <c r="F3692" t="s">
        <v>286</v>
      </c>
      <c r="G3692" s="9">
        <v>44951</v>
      </c>
      <c r="H3692" s="7"/>
      <c r="I3692" s="7"/>
      <c r="J3692" s="7"/>
      <c r="K3692" s="7"/>
      <c r="L3692" s="10">
        <v>5.5741092456127026</v>
      </c>
      <c r="M3692" s="9">
        <v>44956</v>
      </c>
      <c r="N3692" s="10">
        <v>5.5</v>
      </c>
      <c r="O3692" s="9">
        <v>44961</v>
      </c>
      <c r="P3692">
        <v>20</v>
      </c>
      <c r="Q3692" s="11" t="s">
        <v>49</v>
      </c>
      <c r="R3692" s="7"/>
      <c r="S3692" s="7"/>
      <c r="T3692" s="7"/>
      <c r="U3692" s="7"/>
      <c r="V3692" s="10">
        <v>7.5741092456127026</v>
      </c>
      <c r="W3692" s="9">
        <v>44958</v>
      </c>
      <c r="X3692" s="10">
        <v>7.5</v>
      </c>
      <c r="Y3692" s="9">
        <v>44961</v>
      </c>
      <c r="Z3692">
        <v>20</v>
      </c>
      <c r="AA3692" s="11" t="s">
        <v>49</v>
      </c>
    </row>
    <row r="3693" spans="2:27" ht="16" x14ac:dyDescent="0.2">
      <c r="B3693" t="s">
        <v>35</v>
      </c>
      <c r="C3693">
        <v>40357390</v>
      </c>
      <c r="D3693" t="s">
        <v>389</v>
      </c>
      <c r="E3693">
        <v>1022183</v>
      </c>
      <c r="F3693" t="s">
        <v>165</v>
      </c>
      <c r="G3693" s="9">
        <v>44956</v>
      </c>
      <c r="H3693" s="7"/>
      <c r="I3693" s="7"/>
      <c r="J3693" s="7"/>
      <c r="K3693" s="7"/>
      <c r="L3693" s="10">
        <v>5.5741092456127026</v>
      </c>
      <c r="M3693" s="9">
        <v>44961</v>
      </c>
      <c r="N3693" s="10">
        <v>5.5</v>
      </c>
      <c r="O3693" s="9">
        <v>44966</v>
      </c>
      <c r="P3693">
        <v>16</v>
      </c>
      <c r="Q3693" s="11" t="s">
        <v>49</v>
      </c>
      <c r="R3693" s="7"/>
      <c r="S3693" s="7"/>
      <c r="T3693" s="7"/>
      <c r="U3693" s="7"/>
      <c r="V3693" s="10">
        <v>7.5741092456127026</v>
      </c>
      <c r="W3693" s="9">
        <v>44963</v>
      </c>
      <c r="X3693" s="10">
        <v>7.5</v>
      </c>
      <c r="Y3693" s="9">
        <v>44966</v>
      </c>
      <c r="Z3693">
        <v>16</v>
      </c>
      <c r="AA3693" s="11" t="s">
        <v>49</v>
      </c>
    </row>
    <row r="3694" spans="2:27" ht="16" x14ac:dyDescent="0.2">
      <c r="B3694" t="s">
        <v>35</v>
      </c>
      <c r="C3694">
        <v>40357389</v>
      </c>
      <c r="D3694" t="s">
        <v>389</v>
      </c>
      <c r="E3694">
        <v>1022183</v>
      </c>
      <c r="F3694" t="s">
        <v>165</v>
      </c>
      <c r="G3694" s="9">
        <v>44956</v>
      </c>
      <c r="H3694" s="7"/>
      <c r="I3694" s="7"/>
      <c r="J3694" s="7"/>
      <c r="K3694" s="7"/>
      <c r="L3694" s="10">
        <v>5.5741092456127026</v>
      </c>
      <c r="M3694" s="9">
        <v>44961</v>
      </c>
      <c r="N3694" s="10">
        <v>5.5</v>
      </c>
      <c r="O3694" s="9">
        <v>44966</v>
      </c>
      <c r="P3694">
        <v>16</v>
      </c>
      <c r="Q3694" s="11" t="s">
        <v>49</v>
      </c>
      <c r="R3694" s="7"/>
      <c r="S3694" s="7"/>
      <c r="T3694" s="7"/>
      <c r="U3694" s="7"/>
      <c r="V3694" s="10">
        <v>7.5741092456127026</v>
      </c>
      <c r="W3694" s="9">
        <v>44963</v>
      </c>
      <c r="X3694" s="10">
        <v>7.5</v>
      </c>
      <c r="Y3694" s="9">
        <v>44966</v>
      </c>
      <c r="Z3694">
        <v>16</v>
      </c>
      <c r="AA3694" s="11" t="s">
        <v>49</v>
      </c>
    </row>
    <row r="3695" spans="2:27" ht="16" x14ac:dyDescent="0.2">
      <c r="B3695" t="s">
        <v>35</v>
      </c>
      <c r="C3695">
        <v>40357388</v>
      </c>
      <c r="D3695" t="s">
        <v>389</v>
      </c>
      <c r="E3695">
        <v>1022183</v>
      </c>
      <c r="F3695" t="s">
        <v>165</v>
      </c>
      <c r="G3695" s="9">
        <v>44952</v>
      </c>
      <c r="H3695" s="7"/>
      <c r="I3695" s="7"/>
      <c r="J3695" s="7"/>
      <c r="K3695" s="7"/>
      <c r="L3695" s="10">
        <v>5.5741092456127026</v>
      </c>
      <c r="M3695" s="9">
        <v>44957</v>
      </c>
      <c r="N3695" s="10">
        <v>5.5</v>
      </c>
      <c r="O3695" s="9">
        <v>44962</v>
      </c>
      <c r="P3695">
        <v>20</v>
      </c>
      <c r="Q3695" s="11" t="s">
        <v>49</v>
      </c>
      <c r="R3695" s="7"/>
      <c r="S3695" s="7"/>
      <c r="T3695" s="7"/>
      <c r="U3695" s="7"/>
      <c r="V3695" s="10">
        <v>7.5741092456127026</v>
      </c>
      <c r="W3695" s="9">
        <v>44959</v>
      </c>
      <c r="X3695" s="10">
        <v>7.5</v>
      </c>
      <c r="Y3695" s="9">
        <v>44962</v>
      </c>
      <c r="Z3695">
        <v>20</v>
      </c>
      <c r="AA3695" s="11" t="s">
        <v>49</v>
      </c>
    </row>
    <row r="3696" spans="2:27" ht="16" x14ac:dyDescent="0.2">
      <c r="B3696" t="s">
        <v>35</v>
      </c>
      <c r="C3696">
        <v>40357385</v>
      </c>
      <c r="D3696" t="s">
        <v>389</v>
      </c>
      <c r="E3696">
        <v>1021738</v>
      </c>
      <c r="F3696" t="s">
        <v>282</v>
      </c>
      <c r="G3696" s="9">
        <v>44960</v>
      </c>
      <c r="H3696" s="7"/>
      <c r="I3696" s="7"/>
      <c r="J3696" s="7"/>
      <c r="K3696" s="7"/>
      <c r="L3696" s="10">
        <v>5.5741092456127026</v>
      </c>
      <c r="M3696" s="9">
        <v>44965</v>
      </c>
      <c r="N3696" s="10">
        <v>5.5</v>
      </c>
      <c r="O3696" s="9">
        <v>44970</v>
      </c>
      <c r="P3696">
        <v>13</v>
      </c>
      <c r="Q3696" s="11" t="s">
        <v>49</v>
      </c>
      <c r="R3696" s="7"/>
      <c r="S3696" s="7"/>
      <c r="T3696" s="7"/>
      <c r="U3696" s="7"/>
      <c r="V3696" s="10">
        <v>7.5741092456127026</v>
      </c>
      <c r="W3696" s="9">
        <v>44967</v>
      </c>
      <c r="X3696" s="10">
        <v>7.5</v>
      </c>
      <c r="Y3696" s="9">
        <v>44970</v>
      </c>
      <c r="Z3696">
        <v>13</v>
      </c>
      <c r="AA3696" s="11" t="s">
        <v>49</v>
      </c>
    </row>
    <row r="3697" spans="2:27" ht="16" x14ac:dyDescent="0.2">
      <c r="B3697" t="s">
        <v>35</v>
      </c>
      <c r="C3697">
        <v>40357384</v>
      </c>
      <c r="D3697" t="s">
        <v>389</v>
      </c>
      <c r="E3697">
        <v>1021738</v>
      </c>
      <c r="F3697" t="s">
        <v>282</v>
      </c>
      <c r="G3697" s="9">
        <v>44958</v>
      </c>
      <c r="H3697" s="7"/>
      <c r="I3697" s="7"/>
      <c r="J3697" s="7"/>
      <c r="K3697" s="7"/>
      <c r="L3697" s="10">
        <v>5.5741092456127026</v>
      </c>
      <c r="M3697" s="9">
        <v>44963</v>
      </c>
      <c r="N3697" s="10">
        <v>5.5</v>
      </c>
      <c r="O3697" s="9">
        <v>44968</v>
      </c>
      <c r="P3697">
        <v>14</v>
      </c>
      <c r="Q3697" s="11" t="s">
        <v>49</v>
      </c>
      <c r="R3697" s="7"/>
      <c r="S3697" s="7"/>
      <c r="T3697" s="7"/>
      <c r="U3697" s="7"/>
      <c r="V3697" s="10">
        <v>7.5741092456127026</v>
      </c>
      <c r="W3697" s="9">
        <v>44965</v>
      </c>
      <c r="X3697" s="10">
        <v>7.5</v>
      </c>
      <c r="Y3697" s="9">
        <v>44968</v>
      </c>
      <c r="Z3697">
        <v>14</v>
      </c>
      <c r="AA3697" s="11" t="s">
        <v>49</v>
      </c>
    </row>
    <row r="3698" spans="2:27" ht="16" x14ac:dyDescent="0.2">
      <c r="B3698" t="s">
        <v>35</v>
      </c>
      <c r="C3698">
        <v>40357383</v>
      </c>
      <c r="D3698" t="s">
        <v>389</v>
      </c>
      <c r="E3698">
        <v>1021738</v>
      </c>
      <c r="F3698" t="s">
        <v>282</v>
      </c>
      <c r="G3698" s="9">
        <v>44952</v>
      </c>
      <c r="H3698" s="7"/>
      <c r="I3698" s="7"/>
      <c r="J3698" s="7"/>
      <c r="K3698" s="7"/>
      <c r="L3698" s="10">
        <v>5.5741092456127026</v>
      </c>
      <c r="M3698" s="9">
        <v>44957</v>
      </c>
      <c r="N3698" s="10">
        <v>5.5</v>
      </c>
      <c r="O3698" s="9">
        <v>44962</v>
      </c>
      <c r="P3698">
        <v>20</v>
      </c>
      <c r="Q3698" s="11" t="s">
        <v>49</v>
      </c>
      <c r="R3698" s="7"/>
      <c r="S3698" s="7"/>
      <c r="T3698" s="7"/>
      <c r="U3698" s="7"/>
      <c r="V3698" s="10">
        <v>7.5741092456127026</v>
      </c>
      <c r="W3698" s="9">
        <v>44959</v>
      </c>
      <c r="X3698" s="10">
        <v>7.5</v>
      </c>
      <c r="Y3698" s="9">
        <v>44962</v>
      </c>
      <c r="Z3698">
        <v>20</v>
      </c>
      <c r="AA3698" s="11" t="s">
        <v>49</v>
      </c>
    </row>
    <row r="3699" spans="2:27" ht="16" x14ac:dyDescent="0.2">
      <c r="B3699" t="s">
        <v>35</v>
      </c>
      <c r="C3699">
        <v>40357375</v>
      </c>
      <c r="D3699" t="s">
        <v>389</v>
      </c>
      <c r="E3699">
        <v>1021735</v>
      </c>
      <c r="F3699" t="s">
        <v>278</v>
      </c>
      <c r="G3699" s="9">
        <v>44958</v>
      </c>
      <c r="H3699" s="7"/>
      <c r="I3699" s="7"/>
      <c r="J3699" s="7"/>
      <c r="K3699" s="7"/>
      <c r="L3699" s="10">
        <v>5.5741092456127026</v>
      </c>
      <c r="M3699" s="9">
        <v>44963</v>
      </c>
      <c r="N3699" s="10">
        <v>5.5</v>
      </c>
      <c r="O3699" s="9">
        <v>44968</v>
      </c>
      <c r="P3699">
        <v>14</v>
      </c>
      <c r="Q3699" s="11" t="s">
        <v>49</v>
      </c>
      <c r="R3699" s="7"/>
      <c r="S3699" s="7"/>
      <c r="T3699" s="7"/>
      <c r="U3699" s="7"/>
      <c r="V3699" s="10">
        <v>7.5741092456127026</v>
      </c>
      <c r="W3699" s="9">
        <v>44965</v>
      </c>
      <c r="X3699" s="10">
        <v>7.5</v>
      </c>
      <c r="Y3699" s="9">
        <v>44968</v>
      </c>
      <c r="Z3699">
        <v>14</v>
      </c>
      <c r="AA3699" s="11" t="s">
        <v>49</v>
      </c>
    </row>
    <row r="3700" spans="2:27" ht="16" x14ac:dyDescent="0.2">
      <c r="B3700" t="s">
        <v>35</v>
      </c>
      <c r="C3700">
        <v>40357348</v>
      </c>
      <c r="D3700" t="s">
        <v>389</v>
      </c>
      <c r="E3700">
        <v>1021731</v>
      </c>
      <c r="F3700" t="s">
        <v>273</v>
      </c>
      <c r="G3700" s="9">
        <v>44962</v>
      </c>
      <c r="H3700" s="7"/>
      <c r="I3700" s="7"/>
      <c r="J3700" s="7"/>
      <c r="K3700" s="7"/>
      <c r="L3700" s="10">
        <v>5.5741092456127026</v>
      </c>
      <c r="M3700" s="9">
        <v>44967</v>
      </c>
      <c r="N3700" s="10">
        <v>5.5</v>
      </c>
      <c r="O3700" s="9">
        <v>44972</v>
      </c>
      <c r="P3700">
        <v>11</v>
      </c>
      <c r="Q3700" s="11" t="s">
        <v>49</v>
      </c>
      <c r="R3700" s="7"/>
      <c r="S3700" s="7"/>
      <c r="T3700" s="7"/>
      <c r="U3700" s="7"/>
      <c r="V3700" s="10">
        <v>7.5741092456127026</v>
      </c>
      <c r="W3700" s="9">
        <v>44969</v>
      </c>
      <c r="X3700" s="10">
        <v>7.5</v>
      </c>
      <c r="Y3700" s="9">
        <v>44972</v>
      </c>
      <c r="Z3700">
        <v>11</v>
      </c>
      <c r="AA3700" s="11" t="s">
        <v>49</v>
      </c>
    </row>
    <row r="3701" spans="2:27" ht="16" x14ac:dyDescent="0.2">
      <c r="B3701" t="s">
        <v>35</v>
      </c>
      <c r="C3701">
        <v>40357347</v>
      </c>
      <c r="D3701" t="s">
        <v>389</v>
      </c>
      <c r="E3701">
        <v>1021731</v>
      </c>
      <c r="F3701" t="s">
        <v>273</v>
      </c>
      <c r="G3701" s="9">
        <v>44961</v>
      </c>
      <c r="H3701" s="7"/>
      <c r="I3701" s="7"/>
      <c r="J3701" s="7"/>
      <c r="K3701" s="7"/>
      <c r="L3701" s="10">
        <v>5.5741092456127026</v>
      </c>
      <c r="M3701" s="9">
        <v>44966</v>
      </c>
      <c r="N3701" s="10">
        <v>5.5</v>
      </c>
      <c r="O3701" s="9">
        <v>44971</v>
      </c>
      <c r="P3701">
        <v>12</v>
      </c>
      <c r="Q3701" s="11" t="s">
        <v>49</v>
      </c>
      <c r="R3701" s="7"/>
      <c r="S3701" s="7"/>
      <c r="T3701" s="7"/>
      <c r="U3701" s="7"/>
      <c r="V3701" s="10">
        <v>7.5741092456127026</v>
      </c>
      <c r="W3701" s="9">
        <v>44968</v>
      </c>
      <c r="X3701" s="10">
        <v>7.5</v>
      </c>
      <c r="Y3701" s="9">
        <v>44971</v>
      </c>
      <c r="Z3701">
        <v>12</v>
      </c>
      <c r="AA3701" s="11" t="s">
        <v>49</v>
      </c>
    </row>
    <row r="3702" spans="2:27" ht="16" x14ac:dyDescent="0.2">
      <c r="B3702" t="s">
        <v>35</v>
      </c>
      <c r="C3702">
        <v>40357346</v>
      </c>
      <c r="D3702" t="s">
        <v>389</v>
      </c>
      <c r="E3702">
        <v>1021731</v>
      </c>
      <c r="F3702" t="s">
        <v>273</v>
      </c>
      <c r="G3702" s="9">
        <v>44962</v>
      </c>
      <c r="H3702" s="7"/>
      <c r="I3702" s="7"/>
      <c r="J3702" s="7"/>
      <c r="K3702" s="7"/>
      <c r="L3702" s="10">
        <v>5.5741092456127026</v>
      </c>
      <c r="M3702" s="9">
        <v>44967</v>
      </c>
      <c r="N3702" s="10">
        <v>5.5</v>
      </c>
      <c r="O3702" s="9">
        <v>44972</v>
      </c>
      <c r="P3702">
        <v>11</v>
      </c>
      <c r="Q3702" s="11" t="s">
        <v>49</v>
      </c>
      <c r="R3702" s="7"/>
      <c r="S3702" s="7"/>
      <c r="T3702" s="7"/>
      <c r="U3702" s="7"/>
      <c r="V3702" s="10">
        <v>7.5741092456127026</v>
      </c>
      <c r="W3702" s="9">
        <v>44969</v>
      </c>
      <c r="X3702" s="10">
        <v>7.5</v>
      </c>
      <c r="Y3702" s="9">
        <v>44972</v>
      </c>
      <c r="Z3702">
        <v>11</v>
      </c>
      <c r="AA3702" s="11" t="s">
        <v>49</v>
      </c>
    </row>
    <row r="3703" spans="2:27" ht="16" x14ac:dyDescent="0.2">
      <c r="B3703" t="s">
        <v>35</v>
      </c>
      <c r="C3703">
        <v>40357345</v>
      </c>
      <c r="D3703" t="s">
        <v>389</v>
      </c>
      <c r="E3703">
        <v>1021731</v>
      </c>
      <c r="F3703" t="s">
        <v>273</v>
      </c>
      <c r="G3703" s="9">
        <v>44955</v>
      </c>
      <c r="H3703" s="7"/>
      <c r="I3703" s="7"/>
      <c r="J3703" s="7"/>
      <c r="K3703" s="7"/>
      <c r="L3703" s="10">
        <v>5.5741092456127026</v>
      </c>
      <c r="M3703" s="9">
        <v>44960</v>
      </c>
      <c r="N3703" s="10">
        <v>5.5</v>
      </c>
      <c r="O3703" s="9">
        <v>44965</v>
      </c>
      <c r="P3703">
        <v>17</v>
      </c>
      <c r="Q3703" s="11" t="s">
        <v>49</v>
      </c>
      <c r="R3703" s="7"/>
      <c r="S3703" s="7"/>
      <c r="T3703" s="7"/>
      <c r="U3703" s="7"/>
      <c r="V3703" s="10">
        <v>7.5741092456127026</v>
      </c>
      <c r="W3703" s="9">
        <v>44962</v>
      </c>
      <c r="X3703" s="10">
        <v>7.5</v>
      </c>
      <c r="Y3703" s="9">
        <v>44965</v>
      </c>
      <c r="Z3703">
        <v>17</v>
      </c>
      <c r="AA3703" s="11" t="s">
        <v>49</v>
      </c>
    </row>
    <row r="3704" spans="2:27" ht="16" x14ac:dyDescent="0.2">
      <c r="B3704" t="s">
        <v>35</v>
      </c>
      <c r="C3704">
        <v>40357344</v>
      </c>
      <c r="D3704" t="s">
        <v>389</v>
      </c>
      <c r="E3704">
        <v>1021731</v>
      </c>
      <c r="F3704" t="s">
        <v>273</v>
      </c>
      <c r="G3704" s="9">
        <v>44960</v>
      </c>
      <c r="H3704" s="7"/>
      <c r="I3704" s="7"/>
      <c r="J3704" s="7"/>
      <c r="K3704" s="7"/>
      <c r="L3704" s="10">
        <v>5.5741092456127026</v>
      </c>
      <c r="M3704" s="9">
        <v>44965</v>
      </c>
      <c r="N3704" s="10">
        <v>5.5</v>
      </c>
      <c r="O3704" s="9">
        <v>44970</v>
      </c>
      <c r="P3704">
        <v>13</v>
      </c>
      <c r="Q3704" s="11" t="s">
        <v>49</v>
      </c>
      <c r="R3704" s="7"/>
      <c r="S3704" s="7"/>
      <c r="T3704" s="7"/>
      <c r="U3704" s="7"/>
      <c r="V3704" s="10">
        <v>7.5741092456127026</v>
      </c>
      <c r="W3704" s="9">
        <v>44967</v>
      </c>
      <c r="X3704" s="10">
        <v>7.5</v>
      </c>
      <c r="Y3704" s="9">
        <v>44970</v>
      </c>
      <c r="Z3704">
        <v>13</v>
      </c>
      <c r="AA3704" s="11" t="s">
        <v>49</v>
      </c>
    </row>
    <row r="3705" spans="2:27" ht="16" x14ac:dyDescent="0.2">
      <c r="B3705" t="s">
        <v>35</v>
      </c>
      <c r="C3705">
        <v>40357335</v>
      </c>
      <c r="D3705" t="s">
        <v>389</v>
      </c>
      <c r="E3705">
        <v>1022099</v>
      </c>
      <c r="F3705" t="s">
        <v>294</v>
      </c>
      <c r="G3705" s="9">
        <v>44968</v>
      </c>
      <c r="H3705" s="7"/>
      <c r="I3705" s="7"/>
      <c r="J3705" s="7"/>
      <c r="K3705" s="7"/>
      <c r="L3705" s="10">
        <v>5.5741092456127026</v>
      </c>
      <c r="M3705" s="9">
        <v>44973</v>
      </c>
      <c r="N3705" s="10">
        <v>5.5</v>
      </c>
      <c r="O3705" s="9">
        <v>44978</v>
      </c>
      <c r="P3705">
        <v>6</v>
      </c>
      <c r="Q3705" s="11" t="s">
        <v>49</v>
      </c>
      <c r="R3705" s="7"/>
      <c r="S3705" s="7"/>
      <c r="T3705" s="7"/>
      <c r="U3705" s="7"/>
      <c r="V3705" s="10">
        <v>7.5741092456127026</v>
      </c>
      <c r="W3705" s="9">
        <v>44975</v>
      </c>
      <c r="X3705" s="10">
        <v>7.5</v>
      </c>
      <c r="Y3705" s="9">
        <v>44978</v>
      </c>
      <c r="Z3705">
        <v>6</v>
      </c>
      <c r="AA3705" s="11" t="s">
        <v>49</v>
      </c>
    </row>
    <row r="3706" spans="2:27" ht="16" x14ac:dyDescent="0.2">
      <c r="B3706" t="s">
        <v>35</v>
      </c>
      <c r="C3706">
        <v>40357335</v>
      </c>
      <c r="D3706" t="s">
        <v>389</v>
      </c>
      <c r="E3706">
        <v>1022099</v>
      </c>
      <c r="F3706" t="s">
        <v>294</v>
      </c>
      <c r="G3706" s="9">
        <v>44968</v>
      </c>
      <c r="H3706" s="7"/>
      <c r="I3706" s="7"/>
      <c r="J3706" s="7"/>
      <c r="K3706" s="7"/>
      <c r="L3706" s="10">
        <v>5.5741092456127026</v>
      </c>
      <c r="M3706" s="9">
        <v>44973</v>
      </c>
      <c r="N3706" s="10">
        <v>5.5</v>
      </c>
      <c r="O3706" s="9">
        <v>44978</v>
      </c>
      <c r="P3706">
        <v>6</v>
      </c>
      <c r="Q3706" s="11" t="s">
        <v>49</v>
      </c>
      <c r="R3706" s="7"/>
      <c r="S3706" s="7"/>
      <c r="T3706" s="7"/>
      <c r="U3706" s="7"/>
      <c r="V3706" s="10">
        <v>7.5741092456127026</v>
      </c>
      <c r="W3706" s="9">
        <v>44975</v>
      </c>
      <c r="X3706" s="10">
        <v>7.5</v>
      </c>
      <c r="Y3706" s="9">
        <v>44978</v>
      </c>
      <c r="Z3706">
        <v>6</v>
      </c>
      <c r="AA3706" s="11" t="s">
        <v>49</v>
      </c>
    </row>
    <row r="3707" spans="2:27" ht="16" x14ac:dyDescent="0.2">
      <c r="B3707" t="s">
        <v>35</v>
      </c>
      <c r="C3707">
        <v>40357334</v>
      </c>
      <c r="D3707" t="s">
        <v>389</v>
      </c>
      <c r="E3707">
        <v>1022099</v>
      </c>
      <c r="F3707" t="s">
        <v>294</v>
      </c>
      <c r="G3707" s="9">
        <v>44968</v>
      </c>
      <c r="H3707" s="7"/>
      <c r="I3707" s="7"/>
      <c r="J3707" s="7"/>
      <c r="K3707" s="7"/>
      <c r="L3707" s="10">
        <v>5.5741092456127026</v>
      </c>
      <c r="M3707" s="9">
        <v>44973</v>
      </c>
      <c r="N3707" s="10">
        <v>5.5</v>
      </c>
      <c r="O3707" s="9">
        <v>44978</v>
      </c>
      <c r="P3707">
        <v>6</v>
      </c>
      <c r="Q3707" s="11" t="s">
        <v>49</v>
      </c>
      <c r="R3707" s="7"/>
      <c r="S3707" s="7"/>
      <c r="T3707" s="7"/>
      <c r="U3707" s="7"/>
      <c r="V3707" s="10">
        <v>7.5741092456127026</v>
      </c>
      <c r="W3707" s="9">
        <v>44975</v>
      </c>
      <c r="X3707" s="10">
        <v>7.5</v>
      </c>
      <c r="Y3707" s="9">
        <v>44978</v>
      </c>
      <c r="Z3707">
        <v>6</v>
      </c>
      <c r="AA3707" s="11" t="s">
        <v>49</v>
      </c>
    </row>
    <row r="3708" spans="2:27" ht="16" x14ac:dyDescent="0.2">
      <c r="B3708" t="s">
        <v>35</v>
      </c>
      <c r="C3708">
        <v>40357328</v>
      </c>
      <c r="D3708" t="s">
        <v>389</v>
      </c>
      <c r="E3708">
        <v>1021732</v>
      </c>
      <c r="F3708" t="s">
        <v>275</v>
      </c>
      <c r="G3708" s="9">
        <v>44975</v>
      </c>
      <c r="H3708" s="7"/>
      <c r="I3708" s="7"/>
      <c r="J3708" s="7"/>
      <c r="K3708" s="7"/>
      <c r="L3708" s="10">
        <v>5.5741092456127026</v>
      </c>
      <c r="M3708" s="9">
        <v>44980</v>
      </c>
      <c r="N3708" s="10">
        <v>5.5</v>
      </c>
      <c r="O3708" s="9">
        <v>44985</v>
      </c>
      <c r="P3708">
        <v>0</v>
      </c>
      <c r="Q3708" s="11" t="s">
        <v>594</v>
      </c>
      <c r="R3708" s="7"/>
      <c r="S3708" s="7"/>
      <c r="T3708" s="7"/>
      <c r="U3708" s="7"/>
      <c r="V3708" s="10">
        <v>7.5741092456127026</v>
      </c>
      <c r="W3708" s="9">
        <v>44982</v>
      </c>
      <c r="X3708" s="10">
        <v>7.5</v>
      </c>
      <c r="Y3708" s="9">
        <v>44985</v>
      </c>
      <c r="Z3708">
        <v>0</v>
      </c>
      <c r="AA3708" s="11" t="s">
        <v>594</v>
      </c>
    </row>
    <row r="3709" spans="2:27" ht="16" x14ac:dyDescent="0.2">
      <c r="B3709" t="s">
        <v>35</v>
      </c>
      <c r="C3709">
        <v>40357327</v>
      </c>
      <c r="D3709" t="s">
        <v>389</v>
      </c>
      <c r="E3709">
        <v>1021732</v>
      </c>
      <c r="F3709" t="s">
        <v>275</v>
      </c>
      <c r="G3709" s="9">
        <v>44975</v>
      </c>
      <c r="H3709" s="7"/>
      <c r="I3709" s="7"/>
      <c r="J3709" s="7"/>
      <c r="K3709" s="7"/>
      <c r="L3709" s="10">
        <v>5.5741092456127026</v>
      </c>
      <c r="M3709" s="9">
        <v>44980</v>
      </c>
      <c r="N3709" s="10">
        <v>5.5</v>
      </c>
      <c r="O3709" s="9">
        <v>44985</v>
      </c>
      <c r="P3709">
        <v>0</v>
      </c>
      <c r="Q3709" s="11" t="s">
        <v>594</v>
      </c>
      <c r="R3709" s="7"/>
      <c r="S3709" s="7"/>
      <c r="T3709" s="7"/>
      <c r="U3709" s="7"/>
      <c r="V3709" s="10">
        <v>7.5741092456127026</v>
      </c>
      <c r="W3709" s="9">
        <v>44982</v>
      </c>
      <c r="X3709" s="10">
        <v>7.5</v>
      </c>
      <c r="Y3709" s="9">
        <v>44985</v>
      </c>
      <c r="Z3709">
        <v>0</v>
      </c>
      <c r="AA3709" s="11" t="s">
        <v>594</v>
      </c>
    </row>
    <row r="3710" spans="2:27" ht="16" x14ac:dyDescent="0.2">
      <c r="B3710" t="s">
        <v>35</v>
      </c>
      <c r="C3710">
        <v>40357326</v>
      </c>
      <c r="D3710" t="s">
        <v>389</v>
      </c>
      <c r="E3710">
        <v>1021732</v>
      </c>
      <c r="F3710" t="s">
        <v>275</v>
      </c>
      <c r="G3710" s="9">
        <v>44975</v>
      </c>
      <c r="H3710" s="7"/>
      <c r="I3710" s="7"/>
      <c r="J3710" s="7"/>
      <c r="K3710" s="7"/>
      <c r="L3710" s="10">
        <v>5.5741092456127026</v>
      </c>
      <c r="M3710" s="9">
        <v>44980</v>
      </c>
      <c r="N3710" s="10">
        <v>5.5</v>
      </c>
      <c r="O3710" s="9">
        <v>44985</v>
      </c>
      <c r="P3710">
        <v>0</v>
      </c>
      <c r="Q3710" s="11" t="s">
        <v>594</v>
      </c>
      <c r="R3710" s="7"/>
      <c r="S3710" s="7"/>
      <c r="T3710" s="7"/>
      <c r="U3710" s="7"/>
      <c r="V3710" s="10">
        <v>7.5741092456127026</v>
      </c>
      <c r="W3710" s="9">
        <v>44982</v>
      </c>
      <c r="X3710" s="10">
        <v>7.5</v>
      </c>
      <c r="Y3710" s="9">
        <v>44985</v>
      </c>
      <c r="Z3710">
        <v>0</v>
      </c>
      <c r="AA3710" s="11" t="s">
        <v>594</v>
      </c>
    </row>
    <row r="3711" spans="2:27" ht="16" x14ac:dyDescent="0.2">
      <c r="B3711" t="s">
        <v>35</v>
      </c>
      <c r="C3711">
        <v>40357324</v>
      </c>
      <c r="D3711" t="s">
        <v>389</v>
      </c>
      <c r="E3711">
        <v>1021732</v>
      </c>
      <c r="F3711" t="s">
        <v>275</v>
      </c>
      <c r="G3711" s="9">
        <v>44975</v>
      </c>
      <c r="H3711" s="7"/>
      <c r="I3711" s="7"/>
      <c r="J3711" s="7"/>
      <c r="K3711" s="7"/>
      <c r="L3711" s="10">
        <v>5.5741092456127026</v>
      </c>
      <c r="M3711" s="9">
        <v>44980</v>
      </c>
      <c r="N3711" s="10">
        <v>5.5</v>
      </c>
      <c r="O3711" s="9">
        <v>44985</v>
      </c>
      <c r="P3711">
        <v>0</v>
      </c>
      <c r="Q3711" s="11" t="s">
        <v>594</v>
      </c>
      <c r="R3711" s="7"/>
      <c r="S3711" s="7"/>
      <c r="T3711" s="7"/>
      <c r="U3711" s="7"/>
      <c r="V3711" s="10">
        <v>7.5741092456127026</v>
      </c>
      <c r="W3711" s="9">
        <v>44982</v>
      </c>
      <c r="X3711" s="10">
        <v>7.5</v>
      </c>
      <c r="Y3711" s="9">
        <v>44985</v>
      </c>
      <c r="Z3711">
        <v>0</v>
      </c>
      <c r="AA3711" s="11" t="s">
        <v>594</v>
      </c>
    </row>
    <row r="3712" spans="2:27" ht="16" x14ac:dyDescent="0.2">
      <c r="B3712" t="s">
        <v>35</v>
      </c>
      <c r="C3712">
        <v>40357324</v>
      </c>
      <c r="D3712" t="s">
        <v>389</v>
      </c>
      <c r="E3712">
        <v>1021732</v>
      </c>
      <c r="F3712" t="s">
        <v>275</v>
      </c>
      <c r="G3712" s="9">
        <v>44975</v>
      </c>
      <c r="H3712" s="7"/>
      <c r="I3712" s="7"/>
      <c r="J3712" s="7"/>
      <c r="K3712" s="7"/>
      <c r="L3712" s="10">
        <v>5.5741092456127026</v>
      </c>
      <c r="M3712" s="9">
        <v>44980</v>
      </c>
      <c r="N3712" s="10">
        <v>5.5</v>
      </c>
      <c r="O3712" s="9">
        <v>44985</v>
      </c>
      <c r="P3712">
        <v>0</v>
      </c>
      <c r="Q3712" s="11" t="s">
        <v>594</v>
      </c>
      <c r="R3712" s="7"/>
      <c r="S3712" s="7"/>
      <c r="T3712" s="7"/>
      <c r="U3712" s="7"/>
      <c r="V3712" s="10">
        <v>7.5741092456127026</v>
      </c>
      <c r="W3712" s="9">
        <v>44982</v>
      </c>
      <c r="X3712" s="10">
        <v>7.5</v>
      </c>
      <c r="Y3712" s="9">
        <v>44985</v>
      </c>
      <c r="Z3712">
        <v>0</v>
      </c>
      <c r="AA3712" s="11" t="s">
        <v>594</v>
      </c>
    </row>
    <row r="3713" spans="2:27" ht="16" x14ac:dyDescent="0.2">
      <c r="B3713" t="s">
        <v>35</v>
      </c>
      <c r="C3713">
        <v>40357323</v>
      </c>
      <c r="D3713" t="s">
        <v>389</v>
      </c>
      <c r="E3713">
        <v>1021732</v>
      </c>
      <c r="F3713" t="s">
        <v>275</v>
      </c>
      <c r="G3713" s="9">
        <v>44975</v>
      </c>
      <c r="H3713" s="7"/>
      <c r="I3713" s="7"/>
      <c r="J3713" s="7"/>
      <c r="K3713" s="7"/>
      <c r="L3713" s="10">
        <v>5.5741092456127026</v>
      </c>
      <c r="M3713" s="9">
        <v>44980</v>
      </c>
      <c r="N3713" s="10">
        <v>5.5</v>
      </c>
      <c r="O3713" s="9">
        <v>44985</v>
      </c>
      <c r="P3713">
        <v>0</v>
      </c>
      <c r="Q3713" s="11" t="s">
        <v>594</v>
      </c>
      <c r="R3713" s="7"/>
      <c r="S3713" s="7"/>
      <c r="T3713" s="7"/>
      <c r="U3713" s="7"/>
      <c r="V3713" s="10">
        <v>7.5741092456127026</v>
      </c>
      <c r="W3713" s="9">
        <v>44982</v>
      </c>
      <c r="X3713" s="10">
        <v>7.5</v>
      </c>
      <c r="Y3713" s="9">
        <v>44985</v>
      </c>
      <c r="Z3713">
        <v>0</v>
      </c>
      <c r="AA3713" s="11" t="s">
        <v>594</v>
      </c>
    </row>
    <row r="3714" spans="2:27" ht="16" x14ac:dyDescent="0.2">
      <c r="B3714" t="s">
        <v>35</v>
      </c>
      <c r="C3714">
        <v>40357322</v>
      </c>
      <c r="D3714" t="s">
        <v>389</v>
      </c>
      <c r="E3714">
        <v>1021732</v>
      </c>
      <c r="F3714" t="s">
        <v>275</v>
      </c>
      <c r="G3714" s="9">
        <v>44955</v>
      </c>
      <c r="H3714" s="7"/>
      <c r="I3714" s="7"/>
      <c r="J3714" s="7"/>
      <c r="K3714" s="7"/>
      <c r="L3714" s="10">
        <v>5.5741092456127026</v>
      </c>
      <c r="M3714" s="9">
        <v>44960</v>
      </c>
      <c r="N3714" s="10">
        <v>5.5</v>
      </c>
      <c r="O3714" s="9">
        <v>44965</v>
      </c>
      <c r="P3714">
        <v>17</v>
      </c>
      <c r="Q3714" s="11" t="s">
        <v>49</v>
      </c>
      <c r="R3714" s="7"/>
      <c r="S3714" s="7"/>
      <c r="T3714" s="7"/>
      <c r="U3714" s="7"/>
      <c r="V3714" s="10">
        <v>7.5741092456127026</v>
      </c>
      <c r="W3714" s="9">
        <v>44962</v>
      </c>
      <c r="X3714" s="10">
        <v>7.5</v>
      </c>
      <c r="Y3714" s="9">
        <v>44965</v>
      </c>
      <c r="Z3714">
        <v>17</v>
      </c>
      <c r="AA3714" s="11" t="s">
        <v>49</v>
      </c>
    </row>
    <row r="3715" spans="2:27" ht="16" x14ac:dyDescent="0.2">
      <c r="B3715" t="s">
        <v>35</v>
      </c>
      <c r="C3715">
        <v>40357321</v>
      </c>
      <c r="D3715" t="s">
        <v>389</v>
      </c>
      <c r="E3715">
        <v>1021732</v>
      </c>
      <c r="F3715" t="s">
        <v>275</v>
      </c>
      <c r="G3715" s="9">
        <v>44952</v>
      </c>
      <c r="H3715" s="7"/>
      <c r="I3715" s="7"/>
      <c r="J3715" s="7"/>
      <c r="K3715" s="7"/>
      <c r="L3715" s="10">
        <v>5.5741092456127026</v>
      </c>
      <c r="M3715" s="9">
        <v>44957</v>
      </c>
      <c r="N3715" s="10">
        <v>5.5</v>
      </c>
      <c r="O3715" s="9">
        <v>44962</v>
      </c>
      <c r="P3715">
        <v>20</v>
      </c>
      <c r="Q3715" s="11" t="s">
        <v>49</v>
      </c>
      <c r="R3715" s="7"/>
      <c r="S3715" s="7"/>
      <c r="T3715" s="7"/>
      <c r="U3715" s="7"/>
      <c r="V3715" s="10">
        <v>7.5741092456127026</v>
      </c>
      <c r="W3715" s="9">
        <v>44959</v>
      </c>
      <c r="X3715" s="10">
        <v>7.5</v>
      </c>
      <c r="Y3715" s="9">
        <v>44962</v>
      </c>
      <c r="Z3715">
        <v>20</v>
      </c>
      <c r="AA3715" s="11" t="s">
        <v>49</v>
      </c>
    </row>
    <row r="3716" spans="2:27" ht="16" x14ac:dyDescent="0.2">
      <c r="B3716" t="s">
        <v>35</v>
      </c>
      <c r="C3716">
        <v>40357304</v>
      </c>
      <c r="D3716" t="s">
        <v>389</v>
      </c>
      <c r="E3716">
        <v>1022379</v>
      </c>
      <c r="F3716" t="s">
        <v>306</v>
      </c>
      <c r="G3716" s="9">
        <v>44956</v>
      </c>
      <c r="H3716" s="7"/>
      <c r="I3716" s="7"/>
      <c r="J3716" s="7"/>
      <c r="K3716" s="7"/>
      <c r="L3716" s="10">
        <v>5.5741092456127026</v>
      </c>
      <c r="M3716" s="9">
        <v>44961</v>
      </c>
      <c r="N3716" s="10">
        <v>5.5</v>
      </c>
      <c r="O3716" s="9">
        <v>44966</v>
      </c>
      <c r="P3716">
        <v>16</v>
      </c>
      <c r="Q3716" s="11" t="s">
        <v>49</v>
      </c>
      <c r="R3716" s="7"/>
      <c r="S3716" s="7"/>
      <c r="T3716" s="7"/>
      <c r="U3716" s="7"/>
      <c r="V3716" s="10">
        <v>7.5741092456127026</v>
      </c>
      <c r="W3716" s="9">
        <v>44963</v>
      </c>
      <c r="X3716" s="10">
        <v>7.5</v>
      </c>
      <c r="Y3716" s="9">
        <v>44966</v>
      </c>
      <c r="Z3716">
        <v>16</v>
      </c>
      <c r="AA3716" s="11" t="s">
        <v>49</v>
      </c>
    </row>
    <row r="3717" spans="2:27" ht="16" x14ac:dyDescent="0.2">
      <c r="B3717" t="s">
        <v>35</v>
      </c>
      <c r="C3717">
        <v>40357303</v>
      </c>
      <c r="D3717" t="s">
        <v>389</v>
      </c>
      <c r="E3717">
        <v>1022379</v>
      </c>
      <c r="F3717" t="s">
        <v>306</v>
      </c>
      <c r="G3717" s="9">
        <v>44958</v>
      </c>
      <c r="H3717" s="7"/>
      <c r="I3717" s="7"/>
      <c r="J3717" s="7"/>
      <c r="K3717" s="7"/>
      <c r="L3717" s="10">
        <v>5.5741092456127026</v>
      </c>
      <c r="M3717" s="9">
        <v>44963</v>
      </c>
      <c r="N3717" s="10">
        <v>5.5</v>
      </c>
      <c r="O3717" s="9">
        <v>44968</v>
      </c>
      <c r="P3717">
        <v>14</v>
      </c>
      <c r="Q3717" s="11" t="s">
        <v>49</v>
      </c>
      <c r="R3717" s="7"/>
      <c r="S3717" s="7"/>
      <c r="T3717" s="7"/>
      <c r="U3717" s="7"/>
      <c r="V3717" s="10">
        <v>7.5741092456127026</v>
      </c>
      <c r="W3717" s="9">
        <v>44965</v>
      </c>
      <c r="X3717" s="10">
        <v>7.5</v>
      </c>
      <c r="Y3717" s="9">
        <v>44968</v>
      </c>
      <c r="Z3717">
        <v>14</v>
      </c>
      <c r="AA3717" s="11" t="s">
        <v>49</v>
      </c>
    </row>
    <row r="3718" spans="2:27" ht="16" x14ac:dyDescent="0.2">
      <c r="B3718" t="s">
        <v>35</v>
      </c>
      <c r="C3718">
        <v>40357301</v>
      </c>
      <c r="D3718" t="s">
        <v>389</v>
      </c>
      <c r="E3718">
        <v>1022646</v>
      </c>
      <c r="F3718" t="s">
        <v>176</v>
      </c>
      <c r="G3718" s="9">
        <v>44955</v>
      </c>
      <c r="H3718" s="7"/>
      <c r="I3718" s="7"/>
      <c r="J3718" s="7"/>
      <c r="K3718" s="7"/>
      <c r="L3718" s="10">
        <v>5.5741092456127026</v>
      </c>
      <c r="M3718" s="9">
        <v>44960</v>
      </c>
      <c r="N3718" s="10">
        <v>5.5</v>
      </c>
      <c r="O3718" s="9">
        <v>44965</v>
      </c>
      <c r="P3718">
        <v>17</v>
      </c>
      <c r="Q3718" s="11" t="s">
        <v>49</v>
      </c>
      <c r="R3718" s="7"/>
      <c r="S3718" s="7"/>
      <c r="T3718" s="7"/>
      <c r="U3718" s="7"/>
      <c r="V3718" s="10">
        <v>7.5741092456127026</v>
      </c>
      <c r="W3718" s="9">
        <v>44962</v>
      </c>
      <c r="X3718" s="10">
        <v>7.5</v>
      </c>
      <c r="Y3718" s="9">
        <v>44965</v>
      </c>
      <c r="Z3718">
        <v>17</v>
      </c>
      <c r="AA3718" s="11" t="s">
        <v>49</v>
      </c>
    </row>
    <row r="3719" spans="2:27" ht="16" x14ac:dyDescent="0.2">
      <c r="B3719" t="s">
        <v>35</v>
      </c>
      <c r="C3719">
        <v>40357300</v>
      </c>
      <c r="D3719" t="s">
        <v>389</v>
      </c>
      <c r="E3719">
        <v>1022646</v>
      </c>
      <c r="F3719" t="s">
        <v>176</v>
      </c>
      <c r="G3719" s="9">
        <v>44955</v>
      </c>
      <c r="H3719" s="7"/>
      <c r="I3719" s="7"/>
      <c r="J3719" s="7"/>
      <c r="K3719" s="7"/>
      <c r="L3719" s="10">
        <v>5.5741092456127026</v>
      </c>
      <c r="M3719" s="9">
        <v>44960</v>
      </c>
      <c r="N3719" s="10">
        <v>5.5</v>
      </c>
      <c r="O3719" s="9">
        <v>44965</v>
      </c>
      <c r="P3719">
        <v>17</v>
      </c>
      <c r="Q3719" s="11" t="s">
        <v>49</v>
      </c>
      <c r="R3719" s="7"/>
      <c r="S3719" s="7"/>
      <c r="T3719" s="7"/>
      <c r="U3719" s="7"/>
      <c r="V3719" s="10">
        <v>7.5741092456127026</v>
      </c>
      <c r="W3719" s="9">
        <v>44962</v>
      </c>
      <c r="X3719" s="10">
        <v>7.5</v>
      </c>
      <c r="Y3719" s="9">
        <v>44965</v>
      </c>
      <c r="Z3719">
        <v>17</v>
      </c>
      <c r="AA3719" s="11" t="s">
        <v>49</v>
      </c>
    </row>
    <row r="3720" spans="2:27" ht="16" x14ac:dyDescent="0.2">
      <c r="B3720" t="s">
        <v>35</v>
      </c>
      <c r="C3720">
        <v>40357300</v>
      </c>
      <c r="D3720" t="s">
        <v>389</v>
      </c>
      <c r="E3720">
        <v>1022646</v>
      </c>
      <c r="F3720" t="s">
        <v>176</v>
      </c>
      <c r="G3720" s="9">
        <v>44955</v>
      </c>
      <c r="H3720" s="7"/>
      <c r="I3720" s="7"/>
      <c r="J3720" s="7"/>
      <c r="K3720" s="7"/>
      <c r="L3720" s="10">
        <v>5.5741092456127026</v>
      </c>
      <c r="M3720" s="9">
        <v>44960</v>
      </c>
      <c r="N3720" s="10">
        <v>5.5</v>
      </c>
      <c r="O3720" s="9">
        <v>44965</v>
      </c>
      <c r="P3720">
        <v>17</v>
      </c>
      <c r="Q3720" s="11" t="s">
        <v>49</v>
      </c>
      <c r="R3720" s="7"/>
      <c r="S3720" s="7"/>
      <c r="T3720" s="7"/>
      <c r="U3720" s="7"/>
      <c r="V3720" s="10">
        <v>7.5741092456127026</v>
      </c>
      <c r="W3720" s="9">
        <v>44962</v>
      </c>
      <c r="X3720" s="10">
        <v>7.5</v>
      </c>
      <c r="Y3720" s="9">
        <v>44965</v>
      </c>
      <c r="Z3720">
        <v>17</v>
      </c>
      <c r="AA3720" s="11" t="s">
        <v>49</v>
      </c>
    </row>
    <row r="3721" spans="2:27" ht="16" x14ac:dyDescent="0.2">
      <c r="B3721" t="s">
        <v>35</v>
      </c>
      <c r="C3721">
        <v>40357298</v>
      </c>
      <c r="D3721" t="s">
        <v>389</v>
      </c>
      <c r="E3721">
        <v>1022645</v>
      </c>
      <c r="F3721" t="s">
        <v>622</v>
      </c>
      <c r="G3721" s="9">
        <v>44956</v>
      </c>
      <c r="H3721" s="7"/>
      <c r="I3721" s="7"/>
      <c r="J3721" s="7"/>
      <c r="K3721" s="7"/>
      <c r="L3721" s="10">
        <v>5.5741092456127026</v>
      </c>
      <c r="M3721" s="9">
        <v>44961</v>
      </c>
      <c r="N3721" s="10">
        <v>5.5</v>
      </c>
      <c r="O3721" s="9">
        <v>44966</v>
      </c>
      <c r="P3721">
        <v>16</v>
      </c>
      <c r="Q3721" s="11" t="s">
        <v>49</v>
      </c>
      <c r="R3721" s="7"/>
      <c r="S3721" s="7"/>
      <c r="T3721" s="7"/>
      <c r="U3721" s="7"/>
      <c r="V3721" s="10">
        <v>7.5741092456127026</v>
      </c>
      <c r="W3721" s="9">
        <v>44963</v>
      </c>
      <c r="X3721" s="10">
        <v>7.5</v>
      </c>
      <c r="Y3721" s="9">
        <v>44966</v>
      </c>
      <c r="Z3721">
        <v>16</v>
      </c>
      <c r="AA3721" s="11" t="s">
        <v>49</v>
      </c>
    </row>
    <row r="3722" spans="2:27" ht="16" x14ac:dyDescent="0.2">
      <c r="B3722" t="s">
        <v>35</v>
      </c>
      <c r="C3722">
        <v>40357294</v>
      </c>
      <c r="D3722" t="s">
        <v>389</v>
      </c>
      <c r="E3722">
        <v>1021992</v>
      </c>
      <c r="F3722" t="s">
        <v>290</v>
      </c>
      <c r="G3722" s="9">
        <v>44962</v>
      </c>
      <c r="H3722" s="7"/>
      <c r="I3722" s="7"/>
      <c r="J3722" s="7"/>
      <c r="K3722" s="7"/>
      <c r="L3722" s="10">
        <v>5.5741092456127026</v>
      </c>
      <c r="M3722" s="9">
        <v>44967</v>
      </c>
      <c r="N3722" s="10">
        <v>5.5</v>
      </c>
      <c r="O3722" s="9">
        <v>44972</v>
      </c>
      <c r="P3722">
        <v>11</v>
      </c>
      <c r="Q3722" s="11" t="s">
        <v>49</v>
      </c>
      <c r="R3722" s="7"/>
      <c r="S3722" s="7"/>
      <c r="T3722" s="7"/>
      <c r="U3722" s="7"/>
      <c r="V3722" s="10">
        <v>7.5741092456127026</v>
      </c>
      <c r="W3722" s="9">
        <v>44969</v>
      </c>
      <c r="X3722" s="10">
        <v>7.5</v>
      </c>
      <c r="Y3722" s="9">
        <v>44972</v>
      </c>
      <c r="Z3722">
        <v>11</v>
      </c>
      <c r="AA3722" s="11" t="s">
        <v>49</v>
      </c>
    </row>
    <row r="3723" spans="2:27" ht="16" x14ac:dyDescent="0.2">
      <c r="B3723" t="s">
        <v>35</v>
      </c>
      <c r="C3723">
        <v>40357294</v>
      </c>
      <c r="D3723" t="s">
        <v>389</v>
      </c>
      <c r="E3723">
        <v>1021992</v>
      </c>
      <c r="F3723" t="s">
        <v>290</v>
      </c>
      <c r="G3723" s="9">
        <v>44962</v>
      </c>
      <c r="H3723" s="7"/>
      <c r="I3723" s="7"/>
      <c r="J3723" s="7"/>
      <c r="K3723" s="7"/>
      <c r="L3723" s="10">
        <v>5.5741092456127026</v>
      </c>
      <c r="M3723" s="9">
        <v>44967</v>
      </c>
      <c r="N3723" s="10">
        <v>5.5</v>
      </c>
      <c r="O3723" s="9">
        <v>44972</v>
      </c>
      <c r="P3723">
        <v>11</v>
      </c>
      <c r="Q3723" s="11" t="s">
        <v>49</v>
      </c>
      <c r="R3723" s="7"/>
      <c r="S3723" s="7"/>
      <c r="T3723" s="7"/>
      <c r="U3723" s="7"/>
      <c r="V3723" s="10">
        <v>7.5741092456127026</v>
      </c>
      <c r="W3723" s="9">
        <v>44969</v>
      </c>
      <c r="X3723" s="10">
        <v>7.5</v>
      </c>
      <c r="Y3723" s="9">
        <v>44972</v>
      </c>
      <c r="Z3723">
        <v>11</v>
      </c>
      <c r="AA3723" s="11" t="s">
        <v>49</v>
      </c>
    </row>
    <row r="3724" spans="2:27" ht="16" x14ac:dyDescent="0.2">
      <c r="B3724" t="s">
        <v>35</v>
      </c>
      <c r="C3724">
        <v>40357286</v>
      </c>
      <c r="D3724" t="s">
        <v>389</v>
      </c>
      <c r="E3724">
        <v>1021767</v>
      </c>
      <c r="F3724" t="s">
        <v>288</v>
      </c>
      <c r="G3724" s="9">
        <v>44975</v>
      </c>
      <c r="H3724" s="7"/>
      <c r="I3724" s="7"/>
      <c r="J3724" s="7"/>
      <c r="K3724" s="7"/>
      <c r="L3724" s="10">
        <v>5.5741092456127026</v>
      </c>
      <c r="M3724" s="9">
        <v>44980</v>
      </c>
      <c r="N3724" s="10">
        <v>5.5</v>
      </c>
      <c r="O3724" s="9">
        <v>44985</v>
      </c>
      <c r="P3724">
        <v>0</v>
      </c>
      <c r="Q3724" s="11" t="s">
        <v>594</v>
      </c>
      <c r="R3724" s="7"/>
      <c r="S3724" s="7"/>
      <c r="T3724" s="7"/>
      <c r="U3724" s="7"/>
      <c r="V3724" s="10">
        <v>7.5741092456127026</v>
      </c>
      <c r="W3724" s="9">
        <v>44982</v>
      </c>
      <c r="X3724" s="10">
        <v>7.5</v>
      </c>
      <c r="Y3724" s="9">
        <v>44985</v>
      </c>
      <c r="Z3724">
        <v>0</v>
      </c>
      <c r="AA3724" s="11" t="s">
        <v>594</v>
      </c>
    </row>
    <row r="3725" spans="2:27" ht="16" x14ac:dyDescent="0.2">
      <c r="B3725" t="s">
        <v>35</v>
      </c>
      <c r="C3725">
        <v>40357284</v>
      </c>
      <c r="D3725" t="s">
        <v>389</v>
      </c>
      <c r="E3725">
        <v>1021767</v>
      </c>
      <c r="F3725" t="s">
        <v>288</v>
      </c>
      <c r="G3725" s="9">
        <v>44975</v>
      </c>
      <c r="H3725" s="7"/>
      <c r="I3725" s="7"/>
      <c r="J3725" s="7"/>
      <c r="K3725" s="7"/>
      <c r="L3725" s="10">
        <v>5.5741092456127026</v>
      </c>
      <c r="M3725" s="9">
        <v>44980</v>
      </c>
      <c r="N3725" s="10">
        <v>5.5</v>
      </c>
      <c r="O3725" s="9">
        <v>44985</v>
      </c>
      <c r="P3725">
        <v>0</v>
      </c>
      <c r="Q3725" s="11" t="s">
        <v>594</v>
      </c>
      <c r="R3725" s="7"/>
      <c r="S3725" s="7"/>
      <c r="T3725" s="7"/>
      <c r="U3725" s="7"/>
      <c r="V3725" s="10">
        <v>7.5741092456127026</v>
      </c>
      <c r="W3725" s="9">
        <v>44982</v>
      </c>
      <c r="X3725" s="10">
        <v>7.5</v>
      </c>
      <c r="Y3725" s="9">
        <v>44985</v>
      </c>
      <c r="Z3725">
        <v>0</v>
      </c>
      <c r="AA3725" s="11" t="s">
        <v>594</v>
      </c>
    </row>
    <row r="3726" spans="2:27" ht="16" x14ac:dyDescent="0.2">
      <c r="B3726" t="s">
        <v>35</v>
      </c>
      <c r="C3726">
        <v>40357284</v>
      </c>
      <c r="D3726" t="s">
        <v>389</v>
      </c>
      <c r="E3726">
        <v>1021767</v>
      </c>
      <c r="F3726" t="s">
        <v>288</v>
      </c>
      <c r="G3726" s="9">
        <v>44975</v>
      </c>
      <c r="H3726" s="7"/>
      <c r="I3726" s="7"/>
      <c r="J3726" s="7"/>
      <c r="K3726" s="7"/>
      <c r="L3726" s="10">
        <v>5.5741092456127026</v>
      </c>
      <c r="M3726" s="9">
        <v>44980</v>
      </c>
      <c r="N3726" s="10">
        <v>5.5</v>
      </c>
      <c r="O3726" s="9">
        <v>44985</v>
      </c>
      <c r="P3726">
        <v>0</v>
      </c>
      <c r="Q3726" s="11" t="s">
        <v>594</v>
      </c>
      <c r="R3726" s="7"/>
      <c r="S3726" s="7"/>
      <c r="T3726" s="7"/>
      <c r="U3726" s="7"/>
      <c r="V3726" s="10">
        <v>7.5741092456127026</v>
      </c>
      <c r="W3726" s="9">
        <v>44982</v>
      </c>
      <c r="X3726" s="10">
        <v>7.5</v>
      </c>
      <c r="Y3726" s="9">
        <v>44985</v>
      </c>
      <c r="Z3726">
        <v>0</v>
      </c>
      <c r="AA3726" s="11" t="s">
        <v>594</v>
      </c>
    </row>
    <row r="3727" spans="2:27" ht="16" x14ac:dyDescent="0.2">
      <c r="B3727" t="s">
        <v>35</v>
      </c>
      <c r="C3727">
        <v>40357283</v>
      </c>
      <c r="D3727" t="s">
        <v>389</v>
      </c>
      <c r="E3727">
        <v>1021767</v>
      </c>
      <c r="F3727" t="s">
        <v>288</v>
      </c>
      <c r="G3727" s="9">
        <v>44975</v>
      </c>
      <c r="H3727" s="7"/>
      <c r="I3727" s="7"/>
      <c r="J3727" s="7"/>
      <c r="K3727" s="7"/>
      <c r="L3727" s="10">
        <v>5.5741092456127026</v>
      </c>
      <c r="M3727" s="9">
        <v>44980</v>
      </c>
      <c r="N3727" s="10">
        <v>5.5</v>
      </c>
      <c r="O3727" s="9">
        <v>44985</v>
      </c>
      <c r="P3727">
        <v>0</v>
      </c>
      <c r="Q3727" s="11" t="s">
        <v>594</v>
      </c>
      <c r="R3727" s="7"/>
      <c r="S3727" s="7"/>
      <c r="T3727" s="7"/>
      <c r="U3727" s="7"/>
      <c r="V3727" s="10">
        <v>7.5741092456127026</v>
      </c>
      <c r="W3727" s="9">
        <v>44982</v>
      </c>
      <c r="X3727" s="10">
        <v>7.5</v>
      </c>
      <c r="Y3727" s="9">
        <v>44985</v>
      </c>
      <c r="Z3727">
        <v>0</v>
      </c>
      <c r="AA3727" s="11" t="s">
        <v>594</v>
      </c>
    </row>
    <row r="3728" spans="2:27" ht="16" x14ac:dyDescent="0.2">
      <c r="B3728" t="s">
        <v>35</v>
      </c>
      <c r="C3728">
        <v>40357282</v>
      </c>
      <c r="D3728" t="s">
        <v>389</v>
      </c>
      <c r="E3728">
        <v>1021767</v>
      </c>
      <c r="F3728" t="s">
        <v>288</v>
      </c>
      <c r="G3728" s="9">
        <v>44975</v>
      </c>
      <c r="H3728" s="7"/>
      <c r="I3728" s="7"/>
      <c r="J3728" s="7"/>
      <c r="K3728" s="7"/>
      <c r="L3728" s="10">
        <v>5.5741092456127026</v>
      </c>
      <c r="M3728" s="9">
        <v>44980</v>
      </c>
      <c r="N3728" s="10">
        <v>5.5</v>
      </c>
      <c r="O3728" s="9">
        <v>44985</v>
      </c>
      <c r="P3728">
        <v>0</v>
      </c>
      <c r="Q3728" s="11" t="s">
        <v>594</v>
      </c>
      <c r="R3728" s="7"/>
      <c r="S3728" s="7"/>
      <c r="T3728" s="7"/>
      <c r="U3728" s="7"/>
      <c r="V3728" s="10">
        <v>7.5741092456127026</v>
      </c>
      <c r="W3728" s="9">
        <v>44982</v>
      </c>
      <c r="X3728" s="10">
        <v>7.5</v>
      </c>
      <c r="Y3728" s="9">
        <v>44985</v>
      </c>
      <c r="Z3728">
        <v>0</v>
      </c>
      <c r="AA3728" s="11" t="s">
        <v>594</v>
      </c>
    </row>
    <row r="3729" spans="2:27" ht="16" x14ac:dyDescent="0.2">
      <c r="B3729" t="s">
        <v>35</v>
      </c>
      <c r="C3729">
        <v>40357281</v>
      </c>
      <c r="D3729" t="s">
        <v>389</v>
      </c>
      <c r="E3729">
        <v>1021767</v>
      </c>
      <c r="F3729" t="s">
        <v>288</v>
      </c>
      <c r="G3729" s="9">
        <v>44962</v>
      </c>
      <c r="H3729" s="7"/>
      <c r="I3729" s="7"/>
      <c r="J3729" s="7"/>
      <c r="K3729" s="7"/>
      <c r="L3729" s="10">
        <v>5.5741092456127026</v>
      </c>
      <c r="M3729" s="9">
        <v>44967</v>
      </c>
      <c r="N3729" s="10">
        <v>5.5</v>
      </c>
      <c r="O3729" s="9">
        <v>44972</v>
      </c>
      <c r="P3729">
        <v>11</v>
      </c>
      <c r="Q3729" s="11" t="s">
        <v>49</v>
      </c>
      <c r="R3729" s="7"/>
      <c r="S3729" s="7"/>
      <c r="T3729" s="7"/>
      <c r="U3729" s="7"/>
      <c r="V3729" s="10">
        <v>7.5741092456127026</v>
      </c>
      <c r="W3729" s="9">
        <v>44969</v>
      </c>
      <c r="X3729" s="10">
        <v>7.5</v>
      </c>
      <c r="Y3729" s="9">
        <v>44972</v>
      </c>
      <c r="Z3729">
        <v>11</v>
      </c>
      <c r="AA3729" s="11" t="s">
        <v>49</v>
      </c>
    </row>
    <row r="3730" spans="2:27" ht="16" x14ac:dyDescent="0.2">
      <c r="B3730" t="s">
        <v>35</v>
      </c>
      <c r="C3730">
        <v>40357280</v>
      </c>
      <c r="D3730" t="s">
        <v>389</v>
      </c>
      <c r="E3730">
        <v>1021767</v>
      </c>
      <c r="F3730" t="s">
        <v>288</v>
      </c>
      <c r="G3730" s="9">
        <v>44955</v>
      </c>
      <c r="H3730" s="7"/>
      <c r="I3730" s="7"/>
      <c r="J3730" s="7"/>
      <c r="K3730" s="7"/>
      <c r="L3730" s="10">
        <v>5.5741092456127026</v>
      </c>
      <c r="M3730" s="9">
        <v>44960</v>
      </c>
      <c r="N3730" s="10">
        <v>5.5</v>
      </c>
      <c r="O3730" s="9">
        <v>44965</v>
      </c>
      <c r="P3730">
        <v>17</v>
      </c>
      <c r="Q3730" s="11" t="s">
        <v>49</v>
      </c>
      <c r="R3730" s="7"/>
      <c r="S3730" s="7"/>
      <c r="T3730" s="7"/>
      <c r="U3730" s="7"/>
      <c r="V3730" s="10">
        <v>7.5741092456127026</v>
      </c>
      <c r="W3730" s="9">
        <v>44962</v>
      </c>
      <c r="X3730" s="10">
        <v>7.5</v>
      </c>
      <c r="Y3730" s="9">
        <v>44965</v>
      </c>
      <c r="Z3730">
        <v>17</v>
      </c>
      <c r="AA3730" s="11" t="s">
        <v>49</v>
      </c>
    </row>
    <row r="3731" spans="2:27" ht="16" x14ac:dyDescent="0.2">
      <c r="B3731" t="s">
        <v>35</v>
      </c>
      <c r="C3731">
        <v>40357279</v>
      </c>
      <c r="D3731" t="s">
        <v>389</v>
      </c>
      <c r="E3731">
        <v>1021767</v>
      </c>
      <c r="F3731" t="s">
        <v>288</v>
      </c>
      <c r="G3731" s="9">
        <v>44960</v>
      </c>
      <c r="H3731" s="7"/>
      <c r="I3731" s="7"/>
      <c r="J3731" s="7"/>
      <c r="K3731" s="7"/>
      <c r="L3731" s="10">
        <v>5.5741092456127026</v>
      </c>
      <c r="M3731" s="9">
        <v>44965</v>
      </c>
      <c r="N3731" s="10">
        <v>5.5</v>
      </c>
      <c r="O3731" s="9">
        <v>44970</v>
      </c>
      <c r="P3731">
        <v>13</v>
      </c>
      <c r="Q3731" s="11" t="s">
        <v>49</v>
      </c>
      <c r="R3731" s="7"/>
      <c r="S3731" s="7"/>
      <c r="T3731" s="7"/>
      <c r="U3731" s="7"/>
      <c r="V3731" s="10">
        <v>7.5741092456127026</v>
      </c>
      <c r="W3731" s="9">
        <v>44967</v>
      </c>
      <c r="X3731" s="10">
        <v>7.5</v>
      </c>
      <c r="Y3731" s="9">
        <v>44970</v>
      </c>
      <c r="Z3731">
        <v>13</v>
      </c>
      <c r="AA3731" s="11" t="s">
        <v>49</v>
      </c>
    </row>
    <row r="3732" spans="2:27" ht="16" x14ac:dyDescent="0.2">
      <c r="B3732" t="s">
        <v>35</v>
      </c>
      <c r="C3732">
        <v>40357278</v>
      </c>
      <c r="D3732" t="s">
        <v>389</v>
      </c>
      <c r="E3732">
        <v>1021767</v>
      </c>
      <c r="F3732" t="s">
        <v>288</v>
      </c>
      <c r="G3732" s="9">
        <v>44956</v>
      </c>
      <c r="H3732" s="7"/>
      <c r="I3732" s="7"/>
      <c r="J3732" s="7"/>
      <c r="K3732" s="7"/>
      <c r="L3732" s="10">
        <v>5.5741092456127026</v>
      </c>
      <c r="M3732" s="9">
        <v>44961</v>
      </c>
      <c r="N3732" s="10">
        <v>5.5</v>
      </c>
      <c r="O3732" s="9">
        <v>44966</v>
      </c>
      <c r="P3732">
        <v>16</v>
      </c>
      <c r="Q3732" s="11" t="s">
        <v>49</v>
      </c>
      <c r="R3732" s="7"/>
      <c r="S3732" s="7"/>
      <c r="T3732" s="7"/>
      <c r="U3732" s="7"/>
      <c r="V3732" s="10">
        <v>7.5741092456127026</v>
      </c>
      <c r="W3732" s="9">
        <v>44963</v>
      </c>
      <c r="X3732" s="10">
        <v>7.5</v>
      </c>
      <c r="Y3732" s="9">
        <v>44966</v>
      </c>
      <c r="Z3732">
        <v>16</v>
      </c>
      <c r="AA3732" s="11" t="s">
        <v>49</v>
      </c>
    </row>
    <row r="3733" spans="2:27" ht="16" x14ac:dyDescent="0.2">
      <c r="B3733" t="s">
        <v>35</v>
      </c>
      <c r="C3733">
        <v>40357277</v>
      </c>
      <c r="D3733" t="s">
        <v>389</v>
      </c>
      <c r="E3733">
        <v>1021767</v>
      </c>
      <c r="F3733" t="s">
        <v>288</v>
      </c>
      <c r="G3733" s="9">
        <v>44952</v>
      </c>
      <c r="H3733" s="7"/>
      <c r="I3733" s="7"/>
      <c r="J3733" s="7"/>
      <c r="K3733" s="7"/>
      <c r="L3733" s="10">
        <v>5.5741092456127026</v>
      </c>
      <c r="M3733" s="9">
        <v>44957</v>
      </c>
      <c r="N3733" s="10">
        <v>5.5</v>
      </c>
      <c r="O3733" s="9">
        <v>44962</v>
      </c>
      <c r="P3733">
        <v>20</v>
      </c>
      <c r="Q3733" s="11" t="s">
        <v>49</v>
      </c>
      <c r="R3733" s="7"/>
      <c r="S3733" s="7"/>
      <c r="T3733" s="7"/>
      <c r="U3733" s="7"/>
      <c r="V3733" s="10">
        <v>7.5741092456127026</v>
      </c>
      <c r="W3733" s="9">
        <v>44959</v>
      </c>
      <c r="X3733" s="10">
        <v>7.5</v>
      </c>
      <c r="Y3733" s="9">
        <v>44962</v>
      </c>
      <c r="Z3733">
        <v>20</v>
      </c>
      <c r="AA3733" s="11" t="s">
        <v>49</v>
      </c>
    </row>
    <row r="3734" spans="2:27" ht="16" x14ac:dyDescent="0.2">
      <c r="B3734" t="s">
        <v>35</v>
      </c>
      <c r="C3734">
        <v>40357276</v>
      </c>
      <c r="D3734" t="s">
        <v>389</v>
      </c>
      <c r="E3734">
        <v>1021767</v>
      </c>
      <c r="F3734" t="s">
        <v>288</v>
      </c>
      <c r="G3734" s="9">
        <v>44950</v>
      </c>
      <c r="H3734" s="7"/>
      <c r="I3734" s="7"/>
      <c r="J3734" s="7"/>
      <c r="K3734" s="7"/>
      <c r="L3734" s="10">
        <v>5.5741092456127026</v>
      </c>
      <c r="M3734" s="9">
        <v>44955</v>
      </c>
      <c r="N3734" s="10">
        <v>5.5</v>
      </c>
      <c r="O3734" s="9">
        <v>44960</v>
      </c>
      <c r="P3734">
        <v>21</v>
      </c>
      <c r="Q3734" s="11" t="s">
        <v>49</v>
      </c>
      <c r="R3734" s="7"/>
      <c r="S3734" s="7"/>
      <c r="T3734" s="7"/>
      <c r="U3734" s="7"/>
      <c r="V3734" s="10">
        <v>7.5741092456127026</v>
      </c>
      <c r="W3734" s="9">
        <v>44957</v>
      </c>
      <c r="X3734" s="10">
        <v>7.5</v>
      </c>
      <c r="Y3734" s="9">
        <v>44960</v>
      </c>
      <c r="Z3734">
        <v>21</v>
      </c>
      <c r="AA3734" s="11" t="s">
        <v>49</v>
      </c>
    </row>
    <row r="3735" spans="2:27" ht="16" x14ac:dyDescent="0.2">
      <c r="B3735" t="s">
        <v>35</v>
      </c>
      <c r="C3735">
        <v>40357275</v>
      </c>
      <c r="D3735" t="s">
        <v>389</v>
      </c>
      <c r="E3735">
        <v>1021767</v>
      </c>
      <c r="F3735" t="s">
        <v>288</v>
      </c>
      <c r="G3735" s="9">
        <v>44952</v>
      </c>
      <c r="H3735" s="7"/>
      <c r="I3735" s="7"/>
      <c r="J3735" s="7"/>
      <c r="K3735" s="7"/>
      <c r="L3735" s="10">
        <v>5.5741092456127026</v>
      </c>
      <c r="M3735" s="9">
        <v>44957</v>
      </c>
      <c r="N3735" s="10">
        <v>5.5</v>
      </c>
      <c r="O3735" s="9">
        <v>44962</v>
      </c>
      <c r="P3735">
        <v>20</v>
      </c>
      <c r="Q3735" s="11" t="s">
        <v>49</v>
      </c>
      <c r="R3735" s="7"/>
      <c r="S3735" s="7"/>
      <c r="T3735" s="7"/>
      <c r="U3735" s="7"/>
      <c r="V3735" s="10">
        <v>7.5741092456127026</v>
      </c>
      <c r="W3735" s="9">
        <v>44959</v>
      </c>
      <c r="X3735" s="10">
        <v>7.5</v>
      </c>
      <c r="Y3735" s="9">
        <v>44962</v>
      </c>
      <c r="Z3735">
        <v>20</v>
      </c>
      <c r="AA3735" s="11" t="s">
        <v>49</v>
      </c>
    </row>
    <row r="3736" spans="2:27" ht="16" x14ac:dyDescent="0.2">
      <c r="B3736" t="s">
        <v>35</v>
      </c>
      <c r="C3736">
        <v>40357274</v>
      </c>
      <c r="D3736" t="s">
        <v>389</v>
      </c>
      <c r="E3736">
        <v>1021767</v>
      </c>
      <c r="F3736" t="s">
        <v>288</v>
      </c>
      <c r="G3736" s="9">
        <v>44951</v>
      </c>
      <c r="H3736" s="7"/>
      <c r="I3736" s="7"/>
      <c r="J3736" s="7"/>
      <c r="K3736" s="7"/>
      <c r="L3736" s="10">
        <v>5.5741092456127026</v>
      </c>
      <c r="M3736" s="9">
        <v>44956</v>
      </c>
      <c r="N3736" s="10">
        <v>5.5</v>
      </c>
      <c r="O3736" s="9">
        <v>44961</v>
      </c>
      <c r="P3736">
        <v>20</v>
      </c>
      <c r="Q3736" s="11" t="s">
        <v>49</v>
      </c>
      <c r="R3736" s="7"/>
      <c r="S3736" s="7"/>
      <c r="T3736" s="7"/>
      <c r="U3736" s="7"/>
      <c r="V3736" s="10">
        <v>7.5741092456127026</v>
      </c>
      <c r="W3736" s="9">
        <v>44958</v>
      </c>
      <c r="X3736" s="10">
        <v>7.5</v>
      </c>
      <c r="Y3736" s="9">
        <v>44961</v>
      </c>
      <c r="Z3736">
        <v>20</v>
      </c>
      <c r="AA3736" s="11" t="s">
        <v>49</v>
      </c>
    </row>
    <row r="3737" spans="2:27" ht="16" x14ac:dyDescent="0.2">
      <c r="B3737" t="s">
        <v>35</v>
      </c>
      <c r="C3737">
        <v>40357258</v>
      </c>
      <c r="D3737" t="s">
        <v>389</v>
      </c>
      <c r="E3737">
        <v>1011969</v>
      </c>
      <c r="F3737" t="s">
        <v>417</v>
      </c>
      <c r="G3737" s="9">
        <v>44956</v>
      </c>
      <c r="H3737" s="7"/>
      <c r="I3737" s="7"/>
      <c r="J3737" s="7"/>
      <c r="K3737" s="7"/>
      <c r="L3737" s="10">
        <v>5.5741092456127026</v>
      </c>
      <c r="M3737" s="9">
        <v>44961</v>
      </c>
      <c r="N3737" s="10">
        <v>5.5</v>
      </c>
      <c r="O3737" s="9">
        <v>44966</v>
      </c>
      <c r="P3737">
        <v>16</v>
      </c>
      <c r="Q3737" s="11" t="s">
        <v>49</v>
      </c>
      <c r="R3737" s="7"/>
      <c r="S3737" s="7"/>
      <c r="T3737" s="7"/>
      <c r="U3737" s="7"/>
      <c r="V3737" s="10">
        <v>7.5741092456127026</v>
      </c>
      <c r="W3737" s="9">
        <v>44963</v>
      </c>
      <c r="X3737" s="10">
        <v>7.5</v>
      </c>
      <c r="Y3737" s="9">
        <v>44966</v>
      </c>
      <c r="Z3737">
        <v>16</v>
      </c>
      <c r="AA3737" s="11" t="s">
        <v>49</v>
      </c>
    </row>
    <row r="3738" spans="2:27" ht="16" x14ac:dyDescent="0.2">
      <c r="B3738" t="s">
        <v>35</v>
      </c>
      <c r="C3738">
        <v>40357257</v>
      </c>
      <c r="D3738" t="s">
        <v>389</v>
      </c>
      <c r="E3738">
        <v>1011969</v>
      </c>
      <c r="F3738" t="s">
        <v>417</v>
      </c>
      <c r="G3738" s="9">
        <v>44958</v>
      </c>
      <c r="H3738" s="7"/>
      <c r="I3738" s="7"/>
      <c r="J3738" s="7"/>
      <c r="K3738" s="7"/>
      <c r="L3738" s="10">
        <v>5.5741092456127026</v>
      </c>
      <c r="M3738" s="9">
        <v>44963</v>
      </c>
      <c r="N3738" s="10">
        <v>5.5</v>
      </c>
      <c r="O3738" s="9">
        <v>44968</v>
      </c>
      <c r="P3738">
        <v>14</v>
      </c>
      <c r="Q3738" s="11" t="s">
        <v>49</v>
      </c>
      <c r="R3738" s="7"/>
      <c r="S3738" s="7"/>
      <c r="T3738" s="7"/>
      <c r="U3738" s="7"/>
      <c r="V3738" s="10">
        <v>7.5741092456127026</v>
      </c>
      <c r="W3738" s="9">
        <v>44965</v>
      </c>
      <c r="X3738" s="10">
        <v>7.5</v>
      </c>
      <c r="Y3738" s="9">
        <v>44968</v>
      </c>
      <c r="Z3738">
        <v>14</v>
      </c>
      <c r="AA3738" s="11" t="s">
        <v>49</v>
      </c>
    </row>
    <row r="3739" spans="2:27" ht="16" x14ac:dyDescent="0.2">
      <c r="B3739" t="s">
        <v>35</v>
      </c>
      <c r="C3739">
        <v>40357256</v>
      </c>
      <c r="D3739" t="s">
        <v>389</v>
      </c>
      <c r="E3739">
        <v>1011969</v>
      </c>
      <c r="F3739" t="s">
        <v>417</v>
      </c>
      <c r="G3739" s="9">
        <v>44941</v>
      </c>
      <c r="H3739" s="7"/>
      <c r="I3739" s="7"/>
      <c r="J3739" s="7"/>
      <c r="K3739" s="7"/>
      <c r="L3739" s="10">
        <v>5.5741092456127026</v>
      </c>
      <c r="M3739" s="9">
        <v>44946</v>
      </c>
      <c r="N3739" s="10">
        <v>5.5</v>
      </c>
      <c r="O3739" s="9">
        <v>44951</v>
      </c>
      <c r="P3739">
        <v>5</v>
      </c>
      <c r="Q3739" s="11" t="s">
        <v>49</v>
      </c>
      <c r="R3739" s="7"/>
      <c r="S3739" s="7"/>
      <c r="T3739" s="7"/>
      <c r="U3739" s="7"/>
      <c r="V3739" s="10">
        <v>7.5741092456127026</v>
      </c>
      <c r="W3739" s="9">
        <v>44948</v>
      </c>
      <c r="X3739" s="10">
        <v>7.5</v>
      </c>
      <c r="Y3739" s="9">
        <v>44951</v>
      </c>
      <c r="Z3739">
        <v>5</v>
      </c>
      <c r="AA3739" s="11" t="s">
        <v>49</v>
      </c>
    </row>
    <row r="3740" spans="2:27" ht="16" x14ac:dyDescent="0.2">
      <c r="B3740" t="s">
        <v>35</v>
      </c>
      <c r="C3740">
        <v>40357254</v>
      </c>
      <c r="D3740" t="s">
        <v>389</v>
      </c>
      <c r="E3740">
        <v>1011967</v>
      </c>
      <c r="F3740" t="s">
        <v>418</v>
      </c>
      <c r="G3740" s="9">
        <v>44956</v>
      </c>
      <c r="H3740" s="7"/>
      <c r="I3740" s="7"/>
      <c r="J3740" s="7"/>
      <c r="K3740" s="7"/>
      <c r="L3740" s="10">
        <v>5.5741092456127026</v>
      </c>
      <c r="M3740" s="9">
        <v>44961</v>
      </c>
      <c r="N3740" s="10">
        <v>5.5</v>
      </c>
      <c r="O3740" s="9">
        <v>44966</v>
      </c>
      <c r="P3740">
        <v>16</v>
      </c>
      <c r="Q3740" s="11" t="s">
        <v>49</v>
      </c>
      <c r="R3740" s="7"/>
      <c r="S3740" s="7"/>
      <c r="T3740" s="7"/>
      <c r="U3740" s="7"/>
      <c r="V3740" s="10">
        <v>7.5741092456127026</v>
      </c>
      <c r="W3740" s="9">
        <v>44963</v>
      </c>
      <c r="X3740" s="10">
        <v>7.5</v>
      </c>
      <c r="Y3740" s="9">
        <v>44966</v>
      </c>
      <c r="Z3740">
        <v>16</v>
      </c>
      <c r="AA3740" s="11" t="s">
        <v>49</v>
      </c>
    </row>
    <row r="3741" spans="2:27" ht="16" x14ac:dyDescent="0.2">
      <c r="B3741" t="s">
        <v>35</v>
      </c>
      <c r="C3741">
        <v>40357253</v>
      </c>
      <c r="D3741" t="s">
        <v>389</v>
      </c>
      <c r="E3741">
        <v>1011967</v>
      </c>
      <c r="F3741" t="s">
        <v>418</v>
      </c>
      <c r="G3741" s="9">
        <v>44958</v>
      </c>
      <c r="H3741" s="7"/>
      <c r="I3741" s="7"/>
      <c r="J3741" s="7"/>
      <c r="K3741" s="7"/>
      <c r="L3741" s="10">
        <v>5.5741092456127026</v>
      </c>
      <c r="M3741" s="9">
        <v>44963</v>
      </c>
      <c r="N3741" s="10">
        <v>5.5</v>
      </c>
      <c r="O3741" s="9">
        <v>44968</v>
      </c>
      <c r="P3741">
        <v>14</v>
      </c>
      <c r="Q3741" s="11" t="s">
        <v>49</v>
      </c>
      <c r="R3741" s="7"/>
      <c r="S3741" s="7"/>
      <c r="T3741" s="7"/>
      <c r="U3741" s="7"/>
      <c r="V3741" s="10">
        <v>7.5741092456127026</v>
      </c>
      <c r="W3741" s="9">
        <v>44965</v>
      </c>
      <c r="X3741" s="10">
        <v>7.5</v>
      </c>
      <c r="Y3741" s="9">
        <v>44968</v>
      </c>
      <c r="Z3741">
        <v>14</v>
      </c>
      <c r="AA3741" s="11" t="s">
        <v>49</v>
      </c>
    </row>
    <row r="3742" spans="2:27" ht="16" x14ac:dyDescent="0.2">
      <c r="B3742" t="s">
        <v>35</v>
      </c>
      <c r="C3742">
        <v>40357252</v>
      </c>
      <c r="D3742" t="s">
        <v>389</v>
      </c>
      <c r="E3742">
        <v>1011967</v>
      </c>
      <c r="F3742" t="s">
        <v>418</v>
      </c>
      <c r="G3742" s="9">
        <v>44945</v>
      </c>
      <c r="H3742" s="7"/>
      <c r="I3742" s="7"/>
      <c r="J3742" s="7"/>
      <c r="K3742" s="7"/>
      <c r="L3742" s="10">
        <v>5.5741092456127026</v>
      </c>
      <c r="M3742" s="9">
        <v>44950</v>
      </c>
      <c r="N3742" s="10">
        <v>5.5</v>
      </c>
      <c r="O3742" s="9">
        <v>44955</v>
      </c>
      <c r="P3742">
        <v>2</v>
      </c>
      <c r="Q3742" s="11" t="s">
        <v>648</v>
      </c>
      <c r="R3742" s="7"/>
      <c r="S3742" s="7"/>
      <c r="T3742" s="7"/>
      <c r="U3742" s="7"/>
      <c r="V3742" s="10">
        <v>7.5741092456127026</v>
      </c>
      <c r="W3742" s="9">
        <v>44952</v>
      </c>
      <c r="X3742" s="10">
        <v>7.5</v>
      </c>
      <c r="Y3742" s="9">
        <v>44955</v>
      </c>
      <c r="Z3742">
        <v>2</v>
      </c>
      <c r="AA3742" s="11" t="s">
        <v>648</v>
      </c>
    </row>
    <row r="3743" spans="2:27" ht="16" x14ac:dyDescent="0.2">
      <c r="B3743" t="s">
        <v>35</v>
      </c>
      <c r="C3743">
        <v>40357251</v>
      </c>
      <c r="D3743" t="s">
        <v>389</v>
      </c>
      <c r="E3743">
        <v>1011967</v>
      </c>
      <c r="F3743" t="s">
        <v>418</v>
      </c>
      <c r="G3743" s="9">
        <v>44955</v>
      </c>
      <c r="H3743" s="7"/>
      <c r="I3743" s="7"/>
      <c r="J3743" s="7"/>
      <c r="K3743" s="7"/>
      <c r="L3743" s="10">
        <v>5.5741092456127026</v>
      </c>
      <c r="M3743" s="9">
        <v>44960</v>
      </c>
      <c r="N3743" s="10">
        <v>5.5</v>
      </c>
      <c r="O3743" s="9">
        <v>44965</v>
      </c>
      <c r="P3743">
        <v>17</v>
      </c>
      <c r="Q3743" s="11" t="s">
        <v>49</v>
      </c>
      <c r="R3743" s="7"/>
      <c r="S3743" s="7"/>
      <c r="T3743" s="7"/>
      <c r="U3743" s="7"/>
      <c r="V3743" s="10">
        <v>7.5741092456127026</v>
      </c>
      <c r="W3743" s="9">
        <v>44962</v>
      </c>
      <c r="X3743" s="10">
        <v>7.5</v>
      </c>
      <c r="Y3743" s="9">
        <v>44965</v>
      </c>
      <c r="Z3743">
        <v>17</v>
      </c>
      <c r="AA3743" s="11" t="s">
        <v>49</v>
      </c>
    </row>
    <row r="3744" spans="2:27" ht="16" x14ac:dyDescent="0.2">
      <c r="B3744" t="s">
        <v>35</v>
      </c>
      <c r="C3744">
        <v>40357250</v>
      </c>
      <c r="D3744" t="s">
        <v>389</v>
      </c>
      <c r="E3744">
        <v>1011967</v>
      </c>
      <c r="F3744" t="s">
        <v>418</v>
      </c>
      <c r="G3744" s="9">
        <v>44945</v>
      </c>
      <c r="H3744" s="7"/>
      <c r="I3744" s="7"/>
      <c r="J3744" s="7"/>
      <c r="K3744" s="7"/>
      <c r="L3744" s="10">
        <v>5.5741092456127026</v>
      </c>
      <c r="M3744" s="9">
        <v>44950</v>
      </c>
      <c r="N3744" s="10">
        <v>5.5</v>
      </c>
      <c r="O3744" s="9">
        <v>44955</v>
      </c>
      <c r="P3744">
        <v>2</v>
      </c>
      <c r="Q3744" s="11" t="s">
        <v>648</v>
      </c>
      <c r="R3744" s="7"/>
      <c r="S3744" s="7"/>
      <c r="T3744" s="7"/>
      <c r="U3744" s="7"/>
      <c r="V3744" s="10">
        <v>7.5741092456127026</v>
      </c>
      <c r="W3744" s="9">
        <v>44952</v>
      </c>
      <c r="X3744" s="10">
        <v>7.5</v>
      </c>
      <c r="Y3744" s="9">
        <v>44955</v>
      </c>
      <c r="Z3744">
        <v>2</v>
      </c>
      <c r="AA3744" s="11" t="s">
        <v>648</v>
      </c>
    </row>
    <row r="3745" spans="2:27" ht="16" x14ac:dyDescent="0.2">
      <c r="B3745" t="s">
        <v>35</v>
      </c>
      <c r="C3745">
        <v>40357248</v>
      </c>
      <c r="D3745" t="s">
        <v>389</v>
      </c>
      <c r="E3745">
        <v>1012452</v>
      </c>
      <c r="F3745" t="s">
        <v>419</v>
      </c>
      <c r="G3745" s="9">
        <v>44955</v>
      </c>
      <c r="H3745" s="7"/>
      <c r="I3745" s="7"/>
      <c r="J3745" s="7"/>
      <c r="K3745" s="7"/>
      <c r="L3745" s="10">
        <v>5.5741092456127026</v>
      </c>
      <c r="M3745" s="9">
        <v>44960</v>
      </c>
      <c r="N3745" s="10">
        <v>5.5</v>
      </c>
      <c r="O3745" s="9">
        <v>44965</v>
      </c>
      <c r="P3745">
        <v>17</v>
      </c>
      <c r="Q3745" s="11" t="s">
        <v>49</v>
      </c>
      <c r="R3745" s="7"/>
      <c r="S3745" s="7"/>
      <c r="T3745" s="7"/>
      <c r="U3745" s="7"/>
      <c r="V3745" s="10">
        <v>7.5741092456127026</v>
      </c>
      <c r="W3745" s="9">
        <v>44962</v>
      </c>
      <c r="X3745" s="10">
        <v>7.5</v>
      </c>
      <c r="Y3745" s="9">
        <v>44965</v>
      </c>
      <c r="Z3745">
        <v>17</v>
      </c>
      <c r="AA3745" s="11" t="s">
        <v>49</v>
      </c>
    </row>
    <row r="3746" spans="2:27" ht="16" x14ac:dyDescent="0.2">
      <c r="B3746" t="s">
        <v>35</v>
      </c>
      <c r="C3746">
        <v>40357246</v>
      </c>
      <c r="D3746" t="s">
        <v>389</v>
      </c>
      <c r="E3746">
        <v>1011586</v>
      </c>
      <c r="F3746" t="s">
        <v>420</v>
      </c>
      <c r="G3746" s="9">
        <v>44962</v>
      </c>
      <c r="H3746" s="7"/>
      <c r="I3746" s="7"/>
      <c r="J3746" s="7"/>
      <c r="K3746" s="7"/>
      <c r="L3746" s="10">
        <v>5.5741092456127026</v>
      </c>
      <c r="M3746" s="9">
        <v>44967</v>
      </c>
      <c r="N3746" s="10">
        <v>5.5</v>
      </c>
      <c r="O3746" s="9">
        <v>44972</v>
      </c>
      <c r="P3746">
        <v>11</v>
      </c>
      <c r="Q3746" s="11" t="s">
        <v>49</v>
      </c>
      <c r="R3746" s="7"/>
      <c r="S3746" s="7"/>
      <c r="T3746" s="7"/>
      <c r="U3746" s="7"/>
      <c r="V3746" s="10">
        <v>7.5741092456127026</v>
      </c>
      <c r="W3746" s="9">
        <v>44969</v>
      </c>
      <c r="X3746" s="10">
        <v>7.5</v>
      </c>
      <c r="Y3746" s="9">
        <v>44972</v>
      </c>
      <c r="Z3746">
        <v>11</v>
      </c>
      <c r="AA3746" s="11" t="s">
        <v>49</v>
      </c>
    </row>
    <row r="3747" spans="2:27" ht="16" x14ac:dyDescent="0.2">
      <c r="B3747" t="s">
        <v>35</v>
      </c>
      <c r="C3747">
        <v>40357243</v>
      </c>
      <c r="D3747" t="s">
        <v>389</v>
      </c>
      <c r="E3747">
        <v>1012218</v>
      </c>
      <c r="F3747" t="s">
        <v>235</v>
      </c>
      <c r="G3747" s="9">
        <v>44960</v>
      </c>
      <c r="H3747" s="7"/>
      <c r="I3747" s="7"/>
      <c r="J3747" s="7"/>
      <c r="K3747" s="7"/>
      <c r="L3747" s="10">
        <v>5.5741092456127026</v>
      </c>
      <c r="M3747" s="9">
        <v>44965</v>
      </c>
      <c r="N3747" s="10">
        <v>5.5</v>
      </c>
      <c r="O3747" s="9">
        <v>44970</v>
      </c>
      <c r="P3747">
        <v>13</v>
      </c>
      <c r="Q3747" s="11" t="s">
        <v>49</v>
      </c>
      <c r="R3747" s="7"/>
      <c r="S3747" s="7"/>
      <c r="T3747" s="7"/>
      <c r="U3747" s="7"/>
      <c r="V3747" s="10">
        <v>7.5741092456127026</v>
      </c>
      <c r="W3747" s="9">
        <v>44967</v>
      </c>
      <c r="X3747" s="10">
        <v>7.5</v>
      </c>
      <c r="Y3747" s="9">
        <v>44970</v>
      </c>
      <c r="Z3747">
        <v>13</v>
      </c>
      <c r="AA3747" s="11" t="s">
        <v>49</v>
      </c>
    </row>
    <row r="3748" spans="2:27" ht="16" x14ac:dyDescent="0.2">
      <c r="B3748" t="s">
        <v>35</v>
      </c>
      <c r="C3748">
        <v>40357240</v>
      </c>
      <c r="D3748" t="s">
        <v>389</v>
      </c>
      <c r="E3748">
        <v>1011417</v>
      </c>
      <c r="F3748" t="s">
        <v>421</v>
      </c>
      <c r="G3748" s="9">
        <v>44958</v>
      </c>
      <c r="H3748" s="7"/>
      <c r="I3748" s="7"/>
      <c r="J3748" s="7"/>
      <c r="K3748" s="7"/>
      <c r="L3748" s="10">
        <v>5.5741092456127026</v>
      </c>
      <c r="M3748" s="9">
        <v>44963</v>
      </c>
      <c r="N3748" s="10">
        <v>5.5</v>
      </c>
      <c r="O3748" s="9">
        <v>44968</v>
      </c>
      <c r="P3748">
        <v>14</v>
      </c>
      <c r="Q3748" s="11" t="s">
        <v>49</v>
      </c>
      <c r="R3748" s="7"/>
      <c r="S3748" s="7"/>
      <c r="T3748" s="7"/>
      <c r="U3748" s="7"/>
      <c r="V3748" s="10">
        <v>7.5741092456127026</v>
      </c>
      <c r="W3748" s="9">
        <v>44965</v>
      </c>
      <c r="X3748" s="10">
        <v>7.5</v>
      </c>
      <c r="Y3748" s="9">
        <v>44968</v>
      </c>
      <c r="Z3748">
        <v>14</v>
      </c>
      <c r="AA3748" s="11" t="s">
        <v>49</v>
      </c>
    </row>
    <row r="3749" spans="2:27" ht="16" x14ac:dyDescent="0.2">
      <c r="B3749" t="s">
        <v>35</v>
      </c>
      <c r="C3749">
        <v>40357235</v>
      </c>
      <c r="D3749" t="s">
        <v>389</v>
      </c>
      <c r="E3749">
        <v>1011417</v>
      </c>
      <c r="F3749" t="s">
        <v>421</v>
      </c>
      <c r="G3749" s="9">
        <v>44962</v>
      </c>
      <c r="H3749" s="7"/>
      <c r="I3749" s="7"/>
      <c r="J3749" s="7"/>
      <c r="K3749" s="7"/>
      <c r="L3749" s="10">
        <v>5.5741092456127026</v>
      </c>
      <c r="M3749" s="9">
        <v>44967</v>
      </c>
      <c r="N3749" s="10">
        <v>5.5</v>
      </c>
      <c r="O3749" s="9">
        <v>44972</v>
      </c>
      <c r="P3749">
        <v>11</v>
      </c>
      <c r="Q3749" s="11" t="s">
        <v>49</v>
      </c>
      <c r="R3749" s="7"/>
      <c r="S3749" s="7"/>
      <c r="T3749" s="7"/>
      <c r="U3749" s="7"/>
      <c r="V3749" s="10">
        <v>7.5741092456127026</v>
      </c>
      <c r="W3749" s="9">
        <v>44969</v>
      </c>
      <c r="X3749" s="10">
        <v>7.5</v>
      </c>
      <c r="Y3749" s="9">
        <v>44972</v>
      </c>
      <c r="Z3749">
        <v>11</v>
      </c>
      <c r="AA3749" s="11" t="s">
        <v>49</v>
      </c>
    </row>
    <row r="3750" spans="2:27" ht="16" x14ac:dyDescent="0.2">
      <c r="B3750" t="s">
        <v>35</v>
      </c>
      <c r="C3750">
        <v>40357234</v>
      </c>
      <c r="D3750" t="s">
        <v>389</v>
      </c>
      <c r="E3750">
        <v>1011417</v>
      </c>
      <c r="F3750" t="s">
        <v>421</v>
      </c>
      <c r="G3750" s="9">
        <v>44962</v>
      </c>
      <c r="H3750" s="7"/>
      <c r="I3750" s="7"/>
      <c r="J3750" s="7"/>
      <c r="K3750" s="7"/>
      <c r="L3750" s="10">
        <v>5.5741092456127026</v>
      </c>
      <c r="M3750" s="9">
        <v>44967</v>
      </c>
      <c r="N3750" s="10">
        <v>5.5</v>
      </c>
      <c r="O3750" s="9">
        <v>44972</v>
      </c>
      <c r="P3750">
        <v>11</v>
      </c>
      <c r="Q3750" s="11" t="s">
        <v>49</v>
      </c>
      <c r="R3750" s="7"/>
      <c r="S3750" s="7"/>
      <c r="T3750" s="7"/>
      <c r="U3750" s="7"/>
      <c r="V3750" s="10">
        <v>7.5741092456127026</v>
      </c>
      <c r="W3750" s="9">
        <v>44969</v>
      </c>
      <c r="X3750" s="10">
        <v>7.5</v>
      </c>
      <c r="Y3750" s="9">
        <v>44972</v>
      </c>
      <c r="Z3750">
        <v>11</v>
      </c>
      <c r="AA3750" s="11" t="s">
        <v>49</v>
      </c>
    </row>
    <row r="3751" spans="2:27" ht="16" x14ac:dyDescent="0.2">
      <c r="B3751" t="s">
        <v>35</v>
      </c>
      <c r="C3751">
        <v>40357217</v>
      </c>
      <c r="D3751" t="s">
        <v>389</v>
      </c>
      <c r="E3751">
        <v>1012448</v>
      </c>
      <c r="F3751" t="s">
        <v>451</v>
      </c>
      <c r="G3751" s="9">
        <v>44958</v>
      </c>
      <c r="H3751" s="7"/>
      <c r="I3751" s="7"/>
      <c r="J3751" s="7"/>
      <c r="K3751" s="7"/>
      <c r="L3751" s="10">
        <v>5.5741092456127026</v>
      </c>
      <c r="M3751" s="9">
        <v>44963</v>
      </c>
      <c r="N3751" s="10">
        <v>5.5</v>
      </c>
      <c r="O3751" s="9">
        <v>44968</v>
      </c>
      <c r="P3751">
        <v>14</v>
      </c>
      <c r="Q3751" s="11" t="s">
        <v>49</v>
      </c>
      <c r="R3751" s="7"/>
      <c r="S3751" s="7"/>
      <c r="T3751" s="7"/>
      <c r="U3751" s="7"/>
      <c r="V3751" s="10">
        <v>7.5741092456127026</v>
      </c>
      <c r="W3751" s="9">
        <v>44965</v>
      </c>
      <c r="X3751" s="10">
        <v>7.5</v>
      </c>
      <c r="Y3751" s="9">
        <v>44968</v>
      </c>
      <c r="Z3751">
        <v>14</v>
      </c>
      <c r="AA3751" s="11" t="s">
        <v>49</v>
      </c>
    </row>
    <row r="3752" spans="2:27" x14ac:dyDescent="0.2">
      <c r="B3752" t="s">
        <v>394</v>
      </c>
      <c r="C3752">
        <v>40357197</v>
      </c>
      <c r="D3752" t="s">
        <v>485</v>
      </c>
      <c r="E3752">
        <v>1020367</v>
      </c>
      <c r="F3752" t="s">
        <v>596</v>
      </c>
      <c r="G3752" s="9">
        <v>44932</v>
      </c>
      <c r="H3752" s="7"/>
      <c r="I3752" s="7"/>
      <c r="J3752" s="7"/>
      <c r="K3752" s="7"/>
      <c r="L3752" s="10"/>
      <c r="N3752" s="10"/>
      <c r="Q3752" s="11"/>
      <c r="R3752" s="7"/>
      <c r="S3752" s="7"/>
      <c r="T3752" s="7"/>
      <c r="U3752" s="7"/>
      <c r="V3752" s="10"/>
      <c r="X3752" s="10"/>
      <c r="AA3752" s="11"/>
    </row>
    <row r="3753" spans="2:27" x14ac:dyDescent="0.2">
      <c r="B3753" t="s">
        <v>394</v>
      </c>
      <c r="C3753">
        <v>40357197</v>
      </c>
      <c r="D3753" t="s">
        <v>485</v>
      </c>
      <c r="E3753">
        <v>1020367</v>
      </c>
      <c r="F3753" t="s">
        <v>596</v>
      </c>
      <c r="G3753" s="9">
        <v>44932</v>
      </c>
      <c r="H3753" s="7"/>
      <c r="I3753" s="7"/>
      <c r="J3753" s="7"/>
      <c r="K3753" s="7"/>
      <c r="L3753" s="10"/>
      <c r="N3753" s="10"/>
      <c r="Q3753" s="11"/>
      <c r="R3753" s="7"/>
      <c r="S3753" s="7"/>
      <c r="T3753" s="7"/>
      <c r="U3753" s="7"/>
      <c r="V3753" s="10"/>
      <c r="X3753" s="10"/>
      <c r="AA3753" s="11"/>
    </row>
    <row r="3754" spans="2:27" x14ac:dyDescent="0.2">
      <c r="B3754" t="s">
        <v>394</v>
      </c>
      <c r="C3754">
        <v>40357184</v>
      </c>
      <c r="D3754" t="s">
        <v>485</v>
      </c>
      <c r="E3754">
        <v>1022709</v>
      </c>
      <c r="F3754" t="s">
        <v>493</v>
      </c>
      <c r="G3754" s="9">
        <v>44927</v>
      </c>
      <c r="H3754" s="7"/>
      <c r="I3754" s="7"/>
      <c r="J3754" s="7"/>
      <c r="K3754" s="7"/>
      <c r="L3754" s="10"/>
      <c r="N3754" s="10"/>
      <c r="Q3754" s="11"/>
      <c r="R3754" s="7"/>
      <c r="S3754" s="7"/>
      <c r="T3754" s="7"/>
      <c r="U3754" s="7"/>
      <c r="V3754" s="10"/>
      <c r="X3754" s="10"/>
      <c r="AA3754" s="11"/>
    </row>
    <row r="3755" spans="2:27" x14ac:dyDescent="0.2">
      <c r="B3755" t="s">
        <v>394</v>
      </c>
      <c r="C3755">
        <v>40357159</v>
      </c>
      <c r="D3755" t="s">
        <v>485</v>
      </c>
      <c r="E3755">
        <v>1021105</v>
      </c>
      <c r="F3755" t="s">
        <v>499</v>
      </c>
      <c r="G3755" s="9">
        <v>44937</v>
      </c>
      <c r="H3755" s="7"/>
      <c r="I3755" s="7"/>
      <c r="J3755" s="7"/>
      <c r="K3755" s="7"/>
      <c r="L3755" s="10"/>
      <c r="N3755" s="10"/>
      <c r="Q3755" s="11"/>
      <c r="R3755" s="7"/>
      <c r="S3755" s="7"/>
      <c r="T3755" s="7"/>
      <c r="U3755" s="7"/>
      <c r="V3755" s="10"/>
      <c r="X3755" s="10"/>
      <c r="AA3755" s="11"/>
    </row>
    <row r="3756" spans="2:27" x14ac:dyDescent="0.2">
      <c r="B3756" t="s">
        <v>394</v>
      </c>
      <c r="C3756">
        <v>40357158</v>
      </c>
      <c r="D3756" t="s">
        <v>485</v>
      </c>
      <c r="E3756">
        <v>1022150</v>
      </c>
      <c r="F3756" t="s">
        <v>500</v>
      </c>
      <c r="G3756" s="9">
        <v>44933</v>
      </c>
      <c r="H3756" s="7"/>
      <c r="I3756" s="7"/>
      <c r="J3756" s="7"/>
      <c r="K3756" s="7"/>
      <c r="L3756" s="10"/>
      <c r="N3756" s="10"/>
      <c r="Q3756" s="11"/>
      <c r="R3756" s="7"/>
      <c r="S3756" s="7"/>
      <c r="T3756" s="7"/>
      <c r="U3756" s="7"/>
      <c r="V3756" s="10"/>
      <c r="X3756" s="10"/>
      <c r="AA3756" s="11"/>
    </row>
    <row r="3757" spans="2:27" ht="16" x14ac:dyDescent="0.2">
      <c r="B3757" t="s">
        <v>35</v>
      </c>
      <c r="C3757">
        <v>40357154</v>
      </c>
      <c r="D3757" t="s">
        <v>391</v>
      </c>
      <c r="E3757">
        <v>1021936</v>
      </c>
      <c r="F3757" t="s">
        <v>411</v>
      </c>
      <c r="G3757" s="9">
        <v>44977</v>
      </c>
      <c r="H3757" s="7">
        <v>24000</v>
      </c>
      <c r="I3757" s="7"/>
      <c r="J3757" s="7"/>
      <c r="K3757" s="7"/>
      <c r="L3757" s="10">
        <v>4.830303030303031</v>
      </c>
      <c r="M3757" s="9">
        <v>44981</v>
      </c>
      <c r="N3757" s="10">
        <v>15</v>
      </c>
      <c r="O3757" s="9">
        <v>44996</v>
      </c>
      <c r="P3757">
        <v>17</v>
      </c>
      <c r="Q3757" s="11" t="s">
        <v>49</v>
      </c>
      <c r="R3757" s="7">
        <v>24000</v>
      </c>
      <c r="S3757" s="7"/>
      <c r="T3757" s="7"/>
      <c r="U3757" s="7"/>
      <c r="V3757" s="10">
        <v>6.830303030303031</v>
      </c>
      <c r="W3757" s="9">
        <v>44983</v>
      </c>
      <c r="X3757" s="10">
        <v>17</v>
      </c>
      <c r="Y3757" s="9">
        <v>44996</v>
      </c>
      <c r="Z3757">
        <v>17</v>
      </c>
      <c r="AA3757" s="11" t="s">
        <v>49</v>
      </c>
    </row>
    <row r="3758" spans="2:27" ht="16" x14ac:dyDescent="0.2">
      <c r="B3758" t="s">
        <v>35</v>
      </c>
      <c r="C3758">
        <v>40357153</v>
      </c>
      <c r="D3758" t="s">
        <v>391</v>
      </c>
      <c r="E3758">
        <v>1021936</v>
      </c>
      <c r="F3758" t="s">
        <v>411</v>
      </c>
      <c r="G3758" s="9">
        <v>44977</v>
      </c>
      <c r="H3758" s="7">
        <v>24000</v>
      </c>
      <c r="I3758" s="7"/>
      <c r="J3758" s="7"/>
      <c r="K3758" s="7"/>
      <c r="L3758" s="10">
        <v>4.830303030303031</v>
      </c>
      <c r="M3758" s="9">
        <v>44981</v>
      </c>
      <c r="N3758" s="10">
        <v>15</v>
      </c>
      <c r="O3758" s="9">
        <v>44996</v>
      </c>
      <c r="P3758">
        <v>17</v>
      </c>
      <c r="Q3758" s="11" t="s">
        <v>49</v>
      </c>
      <c r="R3758" s="7">
        <v>24000</v>
      </c>
      <c r="S3758" s="7"/>
      <c r="T3758" s="7"/>
      <c r="U3758" s="7"/>
      <c r="V3758" s="10">
        <v>6.830303030303031</v>
      </c>
      <c r="W3758" s="9">
        <v>44983</v>
      </c>
      <c r="X3758" s="10">
        <v>17</v>
      </c>
      <c r="Y3758" s="9">
        <v>44996</v>
      </c>
      <c r="Z3758">
        <v>17</v>
      </c>
      <c r="AA3758" s="11" t="s">
        <v>49</v>
      </c>
    </row>
    <row r="3759" spans="2:27" ht="16" x14ac:dyDescent="0.2">
      <c r="B3759" t="s">
        <v>35</v>
      </c>
      <c r="C3759">
        <v>40357151</v>
      </c>
      <c r="D3759" t="s">
        <v>391</v>
      </c>
      <c r="E3759">
        <v>1021936</v>
      </c>
      <c r="F3759" t="s">
        <v>411</v>
      </c>
      <c r="G3759" s="9">
        <v>44962</v>
      </c>
      <c r="H3759" s="7"/>
      <c r="I3759" s="7"/>
      <c r="J3759" s="7"/>
      <c r="K3759" s="7"/>
      <c r="L3759" s="10">
        <v>4.830303030303031</v>
      </c>
      <c r="M3759" s="9">
        <v>44966</v>
      </c>
      <c r="N3759" s="10">
        <v>15</v>
      </c>
      <c r="O3759" s="9">
        <v>44981</v>
      </c>
      <c r="P3759">
        <v>3</v>
      </c>
      <c r="Q3759" s="11" t="s">
        <v>49</v>
      </c>
      <c r="R3759" s="7"/>
      <c r="S3759" s="7"/>
      <c r="T3759" s="7"/>
      <c r="U3759" s="7"/>
      <c r="V3759" s="10">
        <v>6.830303030303031</v>
      </c>
      <c r="W3759" s="9">
        <v>44968</v>
      </c>
      <c r="X3759" s="10">
        <v>17</v>
      </c>
      <c r="Y3759" s="9">
        <v>44981</v>
      </c>
      <c r="Z3759">
        <v>3</v>
      </c>
      <c r="AA3759" s="11" t="s">
        <v>49</v>
      </c>
    </row>
    <row r="3760" spans="2:27" ht="16" x14ac:dyDescent="0.2">
      <c r="B3760" t="s">
        <v>35</v>
      </c>
      <c r="C3760">
        <v>40357150</v>
      </c>
      <c r="D3760" t="s">
        <v>391</v>
      </c>
      <c r="E3760">
        <v>1021936</v>
      </c>
      <c r="F3760" t="s">
        <v>411</v>
      </c>
      <c r="G3760" s="9">
        <v>44979</v>
      </c>
      <c r="H3760" s="7">
        <v>24000</v>
      </c>
      <c r="I3760" s="7"/>
      <c r="J3760" s="7"/>
      <c r="K3760" s="7"/>
      <c r="L3760" s="10">
        <v>4.830303030303031</v>
      </c>
      <c r="M3760" s="9">
        <v>44983</v>
      </c>
      <c r="N3760" s="10">
        <v>15</v>
      </c>
      <c r="O3760" s="9">
        <v>44998</v>
      </c>
      <c r="P3760">
        <v>16</v>
      </c>
      <c r="Q3760" s="11" t="s">
        <v>49</v>
      </c>
      <c r="R3760" s="7">
        <v>24000</v>
      </c>
      <c r="S3760" s="7"/>
      <c r="T3760" s="7"/>
      <c r="U3760" s="7"/>
      <c r="V3760" s="10">
        <v>6.830303030303031</v>
      </c>
      <c r="W3760" s="9">
        <v>44985</v>
      </c>
      <c r="X3760" s="10">
        <v>17</v>
      </c>
      <c r="Y3760" s="9">
        <v>44998</v>
      </c>
      <c r="Z3760">
        <v>16</v>
      </c>
      <c r="AA3760" s="11" t="s">
        <v>49</v>
      </c>
    </row>
    <row r="3761" spans="2:27" ht="16" x14ac:dyDescent="0.2">
      <c r="B3761" t="s">
        <v>35</v>
      </c>
      <c r="C3761">
        <v>40357149</v>
      </c>
      <c r="D3761" t="s">
        <v>391</v>
      </c>
      <c r="E3761">
        <v>1021936</v>
      </c>
      <c r="F3761" t="s">
        <v>411</v>
      </c>
      <c r="G3761" s="9">
        <v>44979</v>
      </c>
      <c r="H3761" s="7">
        <v>24000</v>
      </c>
      <c r="I3761" s="7"/>
      <c r="J3761" s="7"/>
      <c r="K3761" s="7"/>
      <c r="L3761" s="10">
        <v>4.830303030303031</v>
      </c>
      <c r="M3761" s="9">
        <v>44983</v>
      </c>
      <c r="N3761" s="10">
        <v>15</v>
      </c>
      <c r="O3761" s="9">
        <v>44998</v>
      </c>
      <c r="P3761">
        <v>16</v>
      </c>
      <c r="Q3761" s="11" t="s">
        <v>49</v>
      </c>
      <c r="R3761" s="7">
        <v>24000</v>
      </c>
      <c r="S3761" s="7"/>
      <c r="T3761" s="7"/>
      <c r="U3761" s="7"/>
      <c r="V3761" s="10">
        <v>6.830303030303031</v>
      </c>
      <c r="W3761" s="9">
        <v>44985</v>
      </c>
      <c r="X3761" s="10">
        <v>17</v>
      </c>
      <c r="Y3761" s="9">
        <v>44998</v>
      </c>
      <c r="Z3761">
        <v>16</v>
      </c>
      <c r="AA3761" s="11" t="s">
        <v>49</v>
      </c>
    </row>
    <row r="3762" spans="2:27" ht="16" x14ac:dyDescent="0.2">
      <c r="B3762" t="s">
        <v>35</v>
      </c>
      <c r="C3762">
        <v>40357148</v>
      </c>
      <c r="D3762" t="s">
        <v>391</v>
      </c>
      <c r="E3762">
        <v>1021936</v>
      </c>
      <c r="F3762" t="s">
        <v>411</v>
      </c>
      <c r="G3762" s="9">
        <v>44979</v>
      </c>
      <c r="H3762" s="7">
        <v>24000</v>
      </c>
      <c r="I3762" s="7"/>
      <c r="J3762" s="7"/>
      <c r="K3762" s="7"/>
      <c r="L3762" s="10">
        <v>4.830303030303031</v>
      </c>
      <c r="M3762" s="9">
        <v>44983</v>
      </c>
      <c r="N3762" s="10">
        <v>15</v>
      </c>
      <c r="O3762" s="9">
        <v>44998</v>
      </c>
      <c r="P3762">
        <v>16</v>
      </c>
      <c r="Q3762" s="11" t="s">
        <v>49</v>
      </c>
      <c r="R3762" s="7">
        <v>24000</v>
      </c>
      <c r="S3762" s="7"/>
      <c r="T3762" s="7"/>
      <c r="U3762" s="7"/>
      <c r="V3762" s="10">
        <v>6.830303030303031</v>
      </c>
      <c r="W3762" s="9">
        <v>44985</v>
      </c>
      <c r="X3762" s="10">
        <v>17</v>
      </c>
      <c r="Y3762" s="9">
        <v>44998</v>
      </c>
      <c r="Z3762">
        <v>16</v>
      </c>
      <c r="AA3762" s="11" t="s">
        <v>49</v>
      </c>
    </row>
    <row r="3763" spans="2:27" ht="16" x14ac:dyDescent="0.2">
      <c r="B3763" t="s">
        <v>35</v>
      </c>
      <c r="C3763">
        <v>40357146</v>
      </c>
      <c r="D3763" t="s">
        <v>391</v>
      </c>
      <c r="E3763">
        <v>1021936</v>
      </c>
      <c r="F3763" t="s">
        <v>411</v>
      </c>
      <c r="G3763" s="9">
        <v>44962</v>
      </c>
      <c r="H3763" s="7"/>
      <c r="I3763" s="7"/>
      <c r="J3763" s="7"/>
      <c r="K3763" s="7"/>
      <c r="L3763" s="10">
        <v>4.830303030303031</v>
      </c>
      <c r="M3763" s="9">
        <v>44966</v>
      </c>
      <c r="N3763" s="10">
        <v>15</v>
      </c>
      <c r="O3763" s="9">
        <v>44981</v>
      </c>
      <c r="P3763">
        <v>3</v>
      </c>
      <c r="Q3763" s="11" t="s">
        <v>49</v>
      </c>
      <c r="R3763" s="7"/>
      <c r="S3763" s="7"/>
      <c r="T3763" s="7"/>
      <c r="U3763" s="7"/>
      <c r="V3763" s="10">
        <v>6.830303030303031</v>
      </c>
      <c r="W3763" s="9">
        <v>44968</v>
      </c>
      <c r="X3763" s="10">
        <v>17</v>
      </c>
      <c r="Y3763" s="9">
        <v>44981</v>
      </c>
      <c r="Z3763">
        <v>3</v>
      </c>
      <c r="AA3763" s="11" t="s">
        <v>49</v>
      </c>
    </row>
    <row r="3764" spans="2:27" ht="16" x14ac:dyDescent="0.2">
      <c r="B3764" t="s">
        <v>35</v>
      </c>
      <c r="C3764">
        <v>40357145</v>
      </c>
      <c r="D3764" t="s">
        <v>391</v>
      </c>
      <c r="E3764">
        <v>1021936</v>
      </c>
      <c r="F3764" t="s">
        <v>411</v>
      </c>
      <c r="G3764" s="9">
        <v>44962</v>
      </c>
      <c r="H3764" s="7"/>
      <c r="I3764" s="7"/>
      <c r="J3764" s="7"/>
      <c r="K3764" s="7"/>
      <c r="L3764" s="10">
        <v>4.830303030303031</v>
      </c>
      <c r="M3764" s="9">
        <v>44966</v>
      </c>
      <c r="N3764" s="10">
        <v>15</v>
      </c>
      <c r="O3764" s="9">
        <v>44981</v>
      </c>
      <c r="P3764">
        <v>3</v>
      </c>
      <c r="Q3764" s="11" t="s">
        <v>49</v>
      </c>
      <c r="R3764" s="7"/>
      <c r="S3764" s="7"/>
      <c r="T3764" s="7"/>
      <c r="U3764" s="7"/>
      <c r="V3764" s="10">
        <v>6.830303030303031</v>
      </c>
      <c r="W3764" s="9">
        <v>44968</v>
      </c>
      <c r="X3764" s="10">
        <v>17</v>
      </c>
      <c r="Y3764" s="9">
        <v>44981</v>
      </c>
      <c r="Z3764">
        <v>3</v>
      </c>
      <c r="AA3764" s="11" t="s">
        <v>49</v>
      </c>
    </row>
    <row r="3765" spans="2:27" ht="16" x14ac:dyDescent="0.2">
      <c r="B3765" t="s">
        <v>35</v>
      </c>
      <c r="C3765">
        <v>40357144</v>
      </c>
      <c r="D3765" t="s">
        <v>391</v>
      </c>
      <c r="E3765">
        <v>1021936</v>
      </c>
      <c r="F3765" t="s">
        <v>411</v>
      </c>
      <c r="G3765" s="9">
        <v>44962</v>
      </c>
      <c r="H3765" s="7"/>
      <c r="I3765" s="7"/>
      <c r="J3765" s="7"/>
      <c r="K3765" s="7"/>
      <c r="L3765" s="10">
        <v>4.830303030303031</v>
      </c>
      <c r="M3765" s="9">
        <v>44966</v>
      </c>
      <c r="N3765" s="10">
        <v>15</v>
      </c>
      <c r="O3765" s="9">
        <v>44981</v>
      </c>
      <c r="P3765">
        <v>3</v>
      </c>
      <c r="Q3765" s="11" t="s">
        <v>49</v>
      </c>
      <c r="R3765" s="7"/>
      <c r="S3765" s="7"/>
      <c r="T3765" s="7"/>
      <c r="U3765" s="7"/>
      <c r="V3765" s="10">
        <v>6.830303030303031</v>
      </c>
      <c r="W3765" s="9">
        <v>44968</v>
      </c>
      <c r="X3765" s="10">
        <v>17</v>
      </c>
      <c r="Y3765" s="9">
        <v>44981</v>
      </c>
      <c r="Z3765">
        <v>3</v>
      </c>
      <c r="AA3765" s="11" t="s">
        <v>49</v>
      </c>
    </row>
    <row r="3766" spans="2:27" ht="16" x14ac:dyDescent="0.2">
      <c r="B3766" t="s">
        <v>35</v>
      </c>
      <c r="C3766">
        <v>40357143</v>
      </c>
      <c r="D3766" t="s">
        <v>391</v>
      </c>
      <c r="E3766">
        <v>1021936</v>
      </c>
      <c r="F3766" t="s">
        <v>411</v>
      </c>
      <c r="G3766" s="9">
        <v>44972</v>
      </c>
      <c r="H3766" s="7">
        <v>24000</v>
      </c>
      <c r="I3766" s="7"/>
      <c r="J3766" s="7"/>
      <c r="K3766" s="7"/>
      <c r="L3766" s="10">
        <v>4.830303030303031</v>
      </c>
      <c r="M3766" s="9">
        <v>44976</v>
      </c>
      <c r="N3766" s="10">
        <v>15</v>
      </c>
      <c r="O3766" s="9">
        <v>44991</v>
      </c>
      <c r="P3766">
        <v>22</v>
      </c>
      <c r="Q3766" s="11" t="s">
        <v>49</v>
      </c>
      <c r="R3766" s="7">
        <v>24000</v>
      </c>
      <c r="S3766" s="7"/>
      <c r="T3766" s="7"/>
      <c r="U3766" s="7"/>
      <c r="V3766" s="10">
        <v>6.830303030303031</v>
      </c>
      <c r="W3766" s="9">
        <v>44978</v>
      </c>
      <c r="X3766" s="10">
        <v>17</v>
      </c>
      <c r="Y3766" s="9">
        <v>44991</v>
      </c>
      <c r="Z3766">
        <v>22</v>
      </c>
      <c r="AA3766" s="11" t="s">
        <v>49</v>
      </c>
    </row>
    <row r="3767" spans="2:27" ht="16" x14ac:dyDescent="0.2">
      <c r="B3767" t="s">
        <v>35</v>
      </c>
      <c r="C3767">
        <v>40357142</v>
      </c>
      <c r="D3767" t="s">
        <v>391</v>
      </c>
      <c r="E3767">
        <v>1021936</v>
      </c>
      <c r="F3767" t="s">
        <v>411</v>
      </c>
      <c r="G3767" s="9">
        <v>44977</v>
      </c>
      <c r="H3767" s="7">
        <v>24000</v>
      </c>
      <c r="I3767" s="7"/>
      <c r="J3767" s="7"/>
      <c r="K3767" s="7"/>
      <c r="L3767" s="10">
        <v>4.830303030303031</v>
      </c>
      <c r="M3767" s="9">
        <v>44981</v>
      </c>
      <c r="N3767" s="10">
        <v>15</v>
      </c>
      <c r="O3767" s="9">
        <v>44996</v>
      </c>
      <c r="P3767">
        <v>17</v>
      </c>
      <c r="Q3767" s="11" t="s">
        <v>49</v>
      </c>
      <c r="R3767" s="7">
        <v>24000</v>
      </c>
      <c r="S3767" s="7"/>
      <c r="T3767" s="7"/>
      <c r="U3767" s="7"/>
      <c r="V3767" s="10">
        <v>6.830303030303031</v>
      </c>
      <c r="W3767" s="9">
        <v>44983</v>
      </c>
      <c r="X3767" s="10">
        <v>17</v>
      </c>
      <c r="Y3767" s="9">
        <v>44996</v>
      </c>
      <c r="Z3767">
        <v>17</v>
      </c>
      <c r="AA3767" s="11" t="s">
        <v>49</v>
      </c>
    </row>
    <row r="3768" spans="2:27" ht="16" x14ac:dyDescent="0.2">
      <c r="B3768" t="s">
        <v>35</v>
      </c>
      <c r="C3768">
        <v>40357141</v>
      </c>
      <c r="D3768" t="s">
        <v>391</v>
      </c>
      <c r="E3768">
        <v>1022918</v>
      </c>
      <c r="F3768" t="s">
        <v>410</v>
      </c>
      <c r="G3768" s="9">
        <v>44977</v>
      </c>
      <c r="H3768" s="7">
        <v>24000</v>
      </c>
      <c r="I3768" s="7"/>
      <c r="J3768" s="7"/>
      <c r="K3768" s="7"/>
      <c r="L3768" s="10">
        <v>4.830303030303031</v>
      </c>
      <c r="M3768" s="9">
        <v>44981</v>
      </c>
      <c r="N3768" s="10">
        <v>15</v>
      </c>
      <c r="O3768" s="9">
        <v>44996</v>
      </c>
      <c r="P3768">
        <v>17</v>
      </c>
      <c r="Q3768" s="11" t="s">
        <v>49</v>
      </c>
      <c r="R3768" s="7">
        <v>24000</v>
      </c>
      <c r="S3768" s="7"/>
      <c r="T3768" s="7"/>
      <c r="U3768" s="7"/>
      <c r="V3768" s="10">
        <v>6.830303030303031</v>
      </c>
      <c r="W3768" s="9">
        <v>44983</v>
      </c>
      <c r="X3768" s="10">
        <v>17</v>
      </c>
      <c r="Y3768" s="9">
        <v>44996</v>
      </c>
      <c r="Z3768">
        <v>17</v>
      </c>
      <c r="AA3768" s="11" t="s">
        <v>49</v>
      </c>
    </row>
    <row r="3769" spans="2:27" ht="16" x14ac:dyDescent="0.2">
      <c r="B3769" t="s">
        <v>35</v>
      </c>
      <c r="C3769">
        <v>40357140</v>
      </c>
      <c r="D3769" t="s">
        <v>391</v>
      </c>
      <c r="E3769">
        <v>1021936</v>
      </c>
      <c r="F3769" t="s">
        <v>411</v>
      </c>
      <c r="G3769" s="9">
        <v>44962</v>
      </c>
      <c r="H3769" s="7"/>
      <c r="I3769" s="7"/>
      <c r="J3769" s="7"/>
      <c r="K3769" s="7"/>
      <c r="L3769" s="10">
        <v>4.830303030303031</v>
      </c>
      <c r="M3769" s="9">
        <v>44966</v>
      </c>
      <c r="N3769" s="10">
        <v>15</v>
      </c>
      <c r="O3769" s="9">
        <v>44981</v>
      </c>
      <c r="P3769">
        <v>3</v>
      </c>
      <c r="Q3769" s="11" t="s">
        <v>49</v>
      </c>
      <c r="R3769" s="7"/>
      <c r="S3769" s="7"/>
      <c r="T3769" s="7"/>
      <c r="U3769" s="7"/>
      <c r="V3769" s="10">
        <v>6.830303030303031</v>
      </c>
      <c r="W3769" s="9">
        <v>44968</v>
      </c>
      <c r="X3769" s="10">
        <v>17</v>
      </c>
      <c r="Y3769" s="9">
        <v>44981</v>
      </c>
      <c r="Z3769">
        <v>3</v>
      </c>
      <c r="AA3769" s="11" t="s">
        <v>49</v>
      </c>
    </row>
    <row r="3770" spans="2:27" ht="16" x14ac:dyDescent="0.2">
      <c r="B3770" t="s">
        <v>35</v>
      </c>
      <c r="C3770">
        <v>40357139</v>
      </c>
      <c r="D3770" t="s">
        <v>391</v>
      </c>
      <c r="E3770">
        <v>1021936</v>
      </c>
      <c r="F3770" t="s">
        <v>411</v>
      </c>
      <c r="G3770" s="9">
        <v>44955</v>
      </c>
      <c r="H3770" s="7"/>
      <c r="I3770" s="7"/>
      <c r="J3770" s="7"/>
      <c r="K3770" s="7"/>
      <c r="L3770" s="10">
        <v>4.830303030303031</v>
      </c>
      <c r="M3770" s="9">
        <v>44959</v>
      </c>
      <c r="N3770" s="10">
        <v>15</v>
      </c>
      <c r="O3770" s="9">
        <v>44974</v>
      </c>
      <c r="P3770">
        <v>9</v>
      </c>
      <c r="Q3770" s="11" t="s">
        <v>49</v>
      </c>
      <c r="R3770" s="7"/>
      <c r="S3770" s="7"/>
      <c r="T3770" s="7"/>
      <c r="U3770" s="7"/>
      <c r="V3770" s="10">
        <v>6.830303030303031</v>
      </c>
      <c r="W3770" s="9">
        <v>44961</v>
      </c>
      <c r="X3770" s="10">
        <v>17</v>
      </c>
      <c r="Y3770" s="9">
        <v>44974</v>
      </c>
      <c r="Z3770">
        <v>9</v>
      </c>
      <c r="AA3770" s="11" t="s">
        <v>49</v>
      </c>
    </row>
    <row r="3771" spans="2:27" ht="16" x14ac:dyDescent="0.2">
      <c r="B3771" t="s">
        <v>35</v>
      </c>
      <c r="C3771">
        <v>40357138</v>
      </c>
      <c r="D3771" t="s">
        <v>391</v>
      </c>
      <c r="E3771">
        <v>1021936</v>
      </c>
      <c r="F3771" t="s">
        <v>411</v>
      </c>
      <c r="G3771" s="9">
        <v>44972</v>
      </c>
      <c r="H3771" s="7">
        <v>24000</v>
      </c>
      <c r="I3771" s="7"/>
      <c r="J3771" s="7"/>
      <c r="K3771" s="7"/>
      <c r="L3771" s="10">
        <v>4.830303030303031</v>
      </c>
      <c r="M3771" s="9">
        <v>44976</v>
      </c>
      <c r="N3771" s="10">
        <v>15</v>
      </c>
      <c r="O3771" s="9">
        <v>44991</v>
      </c>
      <c r="P3771">
        <v>22</v>
      </c>
      <c r="Q3771" s="11" t="s">
        <v>49</v>
      </c>
      <c r="R3771" s="7">
        <v>24000</v>
      </c>
      <c r="S3771" s="7"/>
      <c r="T3771" s="7"/>
      <c r="U3771" s="7"/>
      <c r="V3771" s="10">
        <v>6.830303030303031</v>
      </c>
      <c r="W3771" s="9">
        <v>44978</v>
      </c>
      <c r="X3771" s="10">
        <v>17</v>
      </c>
      <c r="Y3771" s="9">
        <v>44991</v>
      </c>
      <c r="Z3771">
        <v>22</v>
      </c>
      <c r="AA3771" s="11" t="s">
        <v>49</v>
      </c>
    </row>
    <row r="3772" spans="2:27" ht="16" x14ac:dyDescent="0.2">
      <c r="B3772" t="s">
        <v>35</v>
      </c>
      <c r="C3772">
        <v>40357137</v>
      </c>
      <c r="D3772" t="s">
        <v>391</v>
      </c>
      <c r="E3772">
        <v>1021936</v>
      </c>
      <c r="F3772" t="s">
        <v>411</v>
      </c>
      <c r="G3772" s="9">
        <v>44973</v>
      </c>
      <c r="H3772" s="7">
        <v>24000</v>
      </c>
      <c r="I3772" s="7"/>
      <c r="J3772" s="7"/>
      <c r="K3772" s="7"/>
      <c r="L3772" s="10">
        <v>4.830303030303031</v>
      </c>
      <c r="M3772" s="9">
        <v>44977</v>
      </c>
      <c r="N3772" s="10">
        <v>15</v>
      </c>
      <c r="O3772" s="9">
        <v>44992</v>
      </c>
      <c r="P3772">
        <v>21</v>
      </c>
      <c r="Q3772" s="11" t="s">
        <v>49</v>
      </c>
      <c r="R3772" s="7">
        <v>24000</v>
      </c>
      <c r="S3772" s="7"/>
      <c r="T3772" s="7"/>
      <c r="U3772" s="7"/>
      <c r="V3772" s="10">
        <v>6.830303030303031</v>
      </c>
      <c r="W3772" s="9">
        <v>44979</v>
      </c>
      <c r="X3772" s="10">
        <v>17</v>
      </c>
      <c r="Y3772" s="9">
        <v>44992</v>
      </c>
      <c r="Z3772">
        <v>21</v>
      </c>
      <c r="AA3772" s="11" t="s">
        <v>49</v>
      </c>
    </row>
    <row r="3773" spans="2:27" ht="16" x14ac:dyDescent="0.2">
      <c r="B3773" t="s">
        <v>35</v>
      </c>
      <c r="C3773">
        <v>40357096</v>
      </c>
      <c r="D3773" t="s">
        <v>409</v>
      </c>
      <c r="E3773">
        <v>1021539</v>
      </c>
      <c r="F3773" t="s">
        <v>437</v>
      </c>
      <c r="G3773" s="9">
        <v>44939</v>
      </c>
      <c r="H3773" s="7"/>
      <c r="I3773" s="7"/>
      <c r="J3773" s="7"/>
      <c r="K3773" s="7"/>
      <c r="L3773" s="10">
        <v>7.5</v>
      </c>
      <c r="M3773" s="9">
        <v>44946</v>
      </c>
      <c r="N3773" s="10">
        <v>9.5</v>
      </c>
      <c r="O3773" s="9">
        <v>44955</v>
      </c>
      <c r="P3773">
        <v>2</v>
      </c>
      <c r="Q3773" s="11" t="s">
        <v>648</v>
      </c>
      <c r="R3773" s="7"/>
      <c r="S3773" s="7"/>
      <c r="T3773" s="7"/>
      <c r="U3773" s="7"/>
      <c r="V3773" s="10">
        <v>9.5</v>
      </c>
      <c r="W3773" s="9">
        <v>44948</v>
      </c>
      <c r="X3773" s="10">
        <v>11.5</v>
      </c>
      <c r="Y3773" s="9">
        <v>44955</v>
      </c>
      <c r="Z3773">
        <v>2</v>
      </c>
      <c r="AA3773" s="11" t="s">
        <v>648</v>
      </c>
    </row>
    <row r="3774" spans="2:27" ht="16" x14ac:dyDescent="0.2">
      <c r="B3774" t="s">
        <v>35</v>
      </c>
      <c r="C3774">
        <v>40357096</v>
      </c>
      <c r="D3774" t="s">
        <v>409</v>
      </c>
      <c r="E3774">
        <v>1021538</v>
      </c>
      <c r="F3774" t="s">
        <v>256</v>
      </c>
      <c r="G3774" s="9">
        <v>44939</v>
      </c>
      <c r="H3774" s="7"/>
      <c r="I3774" s="7"/>
      <c r="J3774" s="7"/>
      <c r="K3774" s="7"/>
      <c r="L3774" s="10">
        <v>7.5</v>
      </c>
      <c r="M3774" s="9">
        <v>44946</v>
      </c>
      <c r="N3774" s="10">
        <v>9.5</v>
      </c>
      <c r="O3774" s="9">
        <v>44955</v>
      </c>
      <c r="P3774">
        <v>2</v>
      </c>
      <c r="Q3774" s="11" t="s">
        <v>648</v>
      </c>
      <c r="R3774" s="7"/>
      <c r="S3774" s="7"/>
      <c r="T3774" s="7"/>
      <c r="U3774" s="7"/>
      <c r="V3774" s="10">
        <v>9.5</v>
      </c>
      <c r="W3774" s="9">
        <v>44948</v>
      </c>
      <c r="X3774" s="10">
        <v>11.5</v>
      </c>
      <c r="Y3774" s="9">
        <v>44955</v>
      </c>
      <c r="Z3774">
        <v>2</v>
      </c>
      <c r="AA3774" s="11" t="s">
        <v>648</v>
      </c>
    </row>
    <row r="3775" spans="2:27" ht="16" x14ac:dyDescent="0.2">
      <c r="B3775" t="s">
        <v>35</v>
      </c>
      <c r="C3775">
        <v>40357095</v>
      </c>
      <c r="D3775" t="s">
        <v>409</v>
      </c>
      <c r="E3775">
        <v>1012160</v>
      </c>
      <c r="F3775" t="s">
        <v>72</v>
      </c>
      <c r="G3775" s="9">
        <v>44945</v>
      </c>
      <c r="H3775" s="7"/>
      <c r="I3775" s="7"/>
      <c r="J3775" s="7"/>
      <c r="K3775" s="7"/>
      <c r="L3775" s="10">
        <v>7.5</v>
      </c>
      <c r="M3775" s="9">
        <v>44952</v>
      </c>
      <c r="N3775" s="10">
        <v>9.5</v>
      </c>
      <c r="O3775" s="9">
        <v>44961</v>
      </c>
      <c r="P3775">
        <v>19</v>
      </c>
      <c r="Q3775" s="11" t="s">
        <v>49</v>
      </c>
      <c r="R3775" s="7"/>
      <c r="S3775" s="7"/>
      <c r="T3775" s="7"/>
      <c r="U3775" s="7"/>
      <c r="V3775" s="10">
        <v>9.5</v>
      </c>
      <c r="W3775" s="9">
        <v>44954</v>
      </c>
      <c r="X3775" s="10">
        <v>11.5</v>
      </c>
      <c r="Y3775" s="9">
        <v>44961</v>
      </c>
      <c r="Z3775">
        <v>19</v>
      </c>
      <c r="AA3775" s="11" t="s">
        <v>49</v>
      </c>
    </row>
    <row r="3776" spans="2:27" ht="16" x14ac:dyDescent="0.2">
      <c r="B3776" t="s">
        <v>35</v>
      </c>
      <c r="C3776">
        <v>40357094</v>
      </c>
      <c r="D3776" t="s">
        <v>409</v>
      </c>
      <c r="E3776">
        <v>1012160</v>
      </c>
      <c r="F3776" t="s">
        <v>72</v>
      </c>
      <c r="G3776" s="9">
        <v>44937</v>
      </c>
      <c r="H3776" s="7"/>
      <c r="I3776" s="7"/>
      <c r="J3776" s="7"/>
      <c r="K3776" s="7"/>
      <c r="L3776" s="10">
        <v>7.5</v>
      </c>
      <c r="M3776" s="9">
        <v>44944</v>
      </c>
      <c r="N3776" s="10">
        <v>9.5</v>
      </c>
      <c r="O3776" s="9">
        <v>44953</v>
      </c>
      <c r="P3776">
        <v>3</v>
      </c>
      <c r="Q3776" s="11" t="s">
        <v>49</v>
      </c>
      <c r="R3776" s="7"/>
      <c r="S3776" s="7"/>
      <c r="T3776" s="7"/>
      <c r="U3776" s="7"/>
      <c r="V3776" s="10">
        <v>9.5</v>
      </c>
      <c r="W3776" s="9">
        <v>44946</v>
      </c>
      <c r="X3776" s="10">
        <v>11.5</v>
      </c>
      <c r="Y3776" s="9">
        <v>44953</v>
      </c>
      <c r="Z3776">
        <v>3</v>
      </c>
      <c r="AA3776" s="11" t="s">
        <v>49</v>
      </c>
    </row>
    <row r="3777" spans="2:27" ht="16" x14ac:dyDescent="0.2">
      <c r="B3777" t="s">
        <v>35</v>
      </c>
      <c r="C3777">
        <v>40357093</v>
      </c>
      <c r="D3777" t="s">
        <v>409</v>
      </c>
      <c r="E3777">
        <v>1012111</v>
      </c>
      <c r="F3777" t="s">
        <v>137</v>
      </c>
      <c r="G3777" s="9">
        <v>44958</v>
      </c>
      <c r="H3777" s="7"/>
      <c r="I3777" s="7"/>
      <c r="J3777" s="7"/>
      <c r="K3777" s="7"/>
      <c r="L3777" s="10">
        <v>7.5</v>
      </c>
      <c r="M3777" s="9">
        <v>44965</v>
      </c>
      <c r="N3777" s="10">
        <v>9.5</v>
      </c>
      <c r="O3777" s="9">
        <v>44974</v>
      </c>
      <c r="P3777">
        <v>8</v>
      </c>
      <c r="Q3777" s="11" t="s">
        <v>49</v>
      </c>
      <c r="R3777" s="7"/>
      <c r="S3777" s="7"/>
      <c r="T3777" s="7"/>
      <c r="U3777" s="7"/>
      <c r="V3777" s="10">
        <v>9.5</v>
      </c>
      <c r="W3777" s="9">
        <v>44967</v>
      </c>
      <c r="X3777" s="10">
        <v>11.5</v>
      </c>
      <c r="Y3777" s="9">
        <v>44974</v>
      </c>
      <c r="Z3777">
        <v>8</v>
      </c>
      <c r="AA3777" s="11" t="s">
        <v>49</v>
      </c>
    </row>
    <row r="3778" spans="2:27" ht="16" x14ac:dyDescent="0.2">
      <c r="B3778" t="s">
        <v>35</v>
      </c>
      <c r="C3778">
        <v>40357092</v>
      </c>
      <c r="D3778" t="s">
        <v>409</v>
      </c>
      <c r="E3778">
        <v>1012111</v>
      </c>
      <c r="F3778" t="s">
        <v>137</v>
      </c>
      <c r="G3778" s="9">
        <v>44937</v>
      </c>
      <c r="H3778" s="7"/>
      <c r="I3778" s="7"/>
      <c r="J3778" s="7"/>
      <c r="K3778" s="7"/>
      <c r="L3778" s="10">
        <v>7.5</v>
      </c>
      <c r="M3778" s="9">
        <v>44944</v>
      </c>
      <c r="N3778" s="10">
        <v>9.5</v>
      </c>
      <c r="O3778" s="9">
        <v>44953</v>
      </c>
      <c r="P3778">
        <v>3</v>
      </c>
      <c r="Q3778" s="11" t="s">
        <v>49</v>
      </c>
      <c r="R3778" s="7"/>
      <c r="S3778" s="7"/>
      <c r="T3778" s="7"/>
      <c r="U3778" s="7"/>
      <c r="V3778" s="10">
        <v>9.5</v>
      </c>
      <c r="W3778" s="9">
        <v>44946</v>
      </c>
      <c r="X3778" s="10">
        <v>11.5</v>
      </c>
      <c r="Y3778" s="9">
        <v>44953</v>
      </c>
      <c r="Z3778">
        <v>3</v>
      </c>
      <c r="AA3778" s="11" t="s">
        <v>49</v>
      </c>
    </row>
    <row r="3779" spans="2:27" ht="16" x14ac:dyDescent="0.2">
      <c r="B3779" t="s">
        <v>35</v>
      </c>
      <c r="C3779">
        <v>40357085</v>
      </c>
      <c r="D3779" t="s">
        <v>409</v>
      </c>
      <c r="E3779">
        <v>1012522</v>
      </c>
      <c r="F3779" t="s">
        <v>115</v>
      </c>
      <c r="G3779" s="9">
        <v>44937</v>
      </c>
      <c r="H3779" s="7"/>
      <c r="I3779" s="7"/>
      <c r="J3779" s="7"/>
      <c r="K3779" s="7"/>
      <c r="L3779" s="10">
        <v>7.5</v>
      </c>
      <c r="M3779" s="9">
        <v>44944</v>
      </c>
      <c r="N3779" s="10">
        <v>9.5</v>
      </c>
      <c r="O3779" s="9">
        <v>44953</v>
      </c>
      <c r="P3779">
        <v>3</v>
      </c>
      <c r="Q3779" s="11" t="s">
        <v>49</v>
      </c>
      <c r="R3779" s="7"/>
      <c r="S3779" s="7"/>
      <c r="T3779" s="7"/>
      <c r="U3779" s="7"/>
      <c r="V3779" s="10">
        <v>9.5</v>
      </c>
      <c r="W3779" s="9">
        <v>44946</v>
      </c>
      <c r="X3779" s="10">
        <v>11.5</v>
      </c>
      <c r="Y3779" s="9">
        <v>44953</v>
      </c>
      <c r="Z3779">
        <v>3</v>
      </c>
      <c r="AA3779" s="11" t="s">
        <v>49</v>
      </c>
    </row>
    <row r="3780" spans="2:27" ht="16" x14ac:dyDescent="0.2">
      <c r="B3780" t="s">
        <v>35</v>
      </c>
      <c r="C3780">
        <v>40357085</v>
      </c>
      <c r="D3780" t="s">
        <v>409</v>
      </c>
      <c r="E3780">
        <v>1012110</v>
      </c>
      <c r="F3780" t="s">
        <v>109</v>
      </c>
      <c r="G3780" s="9">
        <v>44937</v>
      </c>
      <c r="H3780" s="7"/>
      <c r="I3780" s="7"/>
      <c r="J3780" s="7"/>
      <c r="K3780" s="7"/>
      <c r="L3780" s="10">
        <v>7.5</v>
      </c>
      <c r="M3780" s="9">
        <v>44944</v>
      </c>
      <c r="N3780" s="10">
        <v>9.5</v>
      </c>
      <c r="O3780" s="9">
        <v>44953</v>
      </c>
      <c r="P3780">
        <v>3</v>
      </c>
      <c r="Q3780" s="11" t="s">
        <v>49</v>
      </c>
      <c r="R3780" s="7"/>
      <c r="S3780" s="7"/>
      <c r="T3780" s="7"/>
      <c r="U3780" s="7"/>
      <c r="V3780" s="10">
        <v>9.5</v>
      </c>
      <c r="W3780" s="9">
        <v>44946</v>
      </c>
      <c r="X3780" s="10">
        <v>11.5</v>
      </c>
      <c r="Y3780" s="9">
        <v>44953</v>
      </c>
      <c r="Z3780">
        <v>3</v>
      </c>
      <c r="AA3780" s="11" t="s">
        <v>49</v>
      </c>
    </row>
    <row r="3781" spans="2:27" ht="16" x14ac:dyDescent="0.2">
      <c r="B3781" t="s">
        <v>35</v>
      </c>
      <c r="C3781">
        <v>40357082</v>
      </c>
      <c r="D3781" t="s">
        <v>409</v>
      </c>
      <c r="E3781">
        <v>1012109</v>
      </c>
      <c r="F3781" t="s">
        <v>68</v>
      </c>
      <c r="G3781" s="9">
        <v>44937</v>
      </c>
      <c r="H3781" s="7"/>
      <c r="I3781" s="7"/>
      <c r="J3781" s="7"/>
      <c r="K3781" s="7"/>
      <c r="L3781" s="10">
        <v>7.5</v>
      </c>
      <c r="M3781" s="9">
        <v>44944</v>
      </c>
      <c r="N3781" s="10">
        <v>9.5</v>
      </c>
      <c r="O3781" s="9">
        <v>44953</v>
      </c>
      <c r="P3781">
        <v>3</v>
      </c>
      <c r="Q3781" s="11" t="s">
        <v>49</v>
      </c>
      <c r="R3781" s="7"/>
      <c r="S3781" s="7"/>
      <c r="T3781" s="7"/>
      <c r="U3781" s="7"/>
      <c r="V3781" s="10">
        <v>9.5</v>
      </c>
      <c r="W3781" s="9">
        <v>44946</v>
      </c>
      <c r="X3781" s="10">
        <v>11.5</v>
      </c>
      <c r="Y3781" s="9">
        <v>44953</v>
      </c>
      <c r="Z3781">
        <v>3</v>
      </c>
      <c r="AA3781" s="11" t="s">
        <v>49</v>
      </c>
    </row>
    <row r="3782" spans="2:27" ht="16" x14ac:dyDescent="0.2">
      <c r="B3782" t="s">
        <v>35</v>
      </c>
      <c r="C3782">
        <v>40357081</v>
      </c>
      <c r="D3782" t="s">
        <v>409</v>
      </c>
      <c r="E3782">
        <v>1012109</v>
      </c>
      <c r="F3782" t="s">
        <v>68</v>
      </c>
      <c r="G3782" s="9">
        <v>44937</v>
      </c>
      <c r="H3782" s="7"/>
      <c r="I3782" s="7"/>
      <c r="J3782" s="7"/>
      <c r="K3782" s="7"/>
      <c r="L3782" s="10">
        <v>7.5</v>
      </c>
      <c r="M3782" s="9">
        <v>44944</v>
      </c>
      <c r="N3782" s="10">
        <v>9.5</v>
      </c>
      <c r="O3782" s="9">
        <v>44953</v>
      </c>
      <c r="P3782">
        <v>3</v>
      </c>
      <c r="Q3782" s="11" t="s">
        <v>49</v>
      </c>
      <c r="R3782" s="7"/>
      <c r="S3782" s="7"/>
      <c r="T3782" s="7"/>
      <c r="U3782" s="7"/>
      <c r="V3782" s="10">
        <v>9.5</v>
      </c>
      <c r="W3782" s="9">
        <v>44946</v>
      </c>
      <c r="X3782" s="10">
        <v>11.5</v>
      </c>
      <c r="Y3782" s="9">
        <v>44953</v>
      </c>
      <c r="Z3782">
        <v>3</v>
      </c>
      <c r="AA3782" s="11" t="s">
        <v>49</v>
      </c>
    </row>
    <row r="3783" spans="2:27" ht="16" x14ac:dyDescent="0.2">
      <c r="B3783" t="s">
        <v>35</v>
      </c>
      <c r="C3783">
        <v>40357080</v>
      </c>
      <c r="D3783" t="s">
        <v>409</v>
      </c>
      <c r="E3783">
        <v>1012109</v>
      </c>
      <c r="F3783" t="s">
        <v>68</v>
      </c>
      <c r="G3783" s="9">
        <v>44937</v>
      </c>
      <c r="H3783" s="7"/>
      <c r="I3783" s="7"/>
      <c r="J3783" s="7"/>
      <c r="K3783" s="7"/>
      <c r="L3783" s="10">
        <v>7.5</v>
      </c>
      <c r="M3783" s="9">
        <v>44944</v>
      </c>
      <c r="N3783" s="10">
        <v>9.5</v>
      </c>
      <c r="O3783" s="9">
        <v>44953</v>
      </c>
      <c r="P3783">
        <v>3</v>
      </c>
      <c r="Q3783" s="11" t="s">
        <v>49</v>
      </c>
      <c r="R3783" s="7"/>
      <c r="S3783" s="7"/>
      <c r="T3783" s="7"/>
      <c r="U3783" s="7"/>
      <c r="V3783" s="10">
        <v>9.5</v>
      </c>
      <c r="W3783" s="9">
        <v>44946</v>
      </c>
      <c r="X3783" s="10">
        <v>11.5</v>
      </c>
      <c r="Y3783" s="9">
        <v>44953</v>
      </c>
      <c r="Z3783">
        <v>3</v>
      </c>
      <c r="AA3783" s="11" t="s">
        <v>49</v>
      </c>
    </row>
    <row r="3784" spans="2:27" ht="16" x14ac:dyDescent="0.2">
      <c r="B3784" t="s">
        <v>35</v>
      </c>
      <c r="C3784">
        <v>40357079</v>
      </c>
      <c r="D3784" t="s">
        <v>409</v>
      </c>
      <c r="E3784">
        <v>1012109</v>
      </c>
      <c r="F3784" t="s">
        <v>68</v>
      </c>
      <c r="G3784" s="9">
        <v>44935</v>
      </c>
      <c r="H3784" s="7"/>
      <c r="I3784" s="7"/>
      <c r="J3784" s="7"/>
      <c r="K3784" s="7"/>
      <c r="L3784" s="10">
        <v>7.5</v>
      </c>
      <c r="M3784" s="9">
        <v>44942</v>
      </c>
      <c r="N3784" s="10">
        <v>9.5</v>
      </c>
      <c r="O3784" s="9">
        <v>44951</v>
      </c>
      <c r="P3784">
        <v>5</v>
      </c>
      <c r="Q3784" s="11" t="s">
        <v>49</v>
      </c>
      <c r="R3784" s="7"/>
      <c r="S3784" s="7"/>
      <c r="T3784" s="7"/>
      <c r="U3784" s="7"/>
      <c r="V3784" s="10">
        <v>9.5</v>
      </c>
      <c r="W3784" s="9">
        <v>44944</v>
      </c>
      <c r="X3784" s="10">
        <v>11.5</v>
      </c>
      <c r="Y3784" s="9">
        <v>44951</v>
      </c>
      <c r="Z3784">
        <v>5</v>
      </c>
      <c r="AA3784" s="11" t="s">
        <v>49</v>
      </c>
    </row>
    <row r="3785" spans="2:27" ht="16" x14ac:dyDescent="0.2">
      <c r="B3785" t="s">
        <v>35</v>
      </c>
      <c r="C3785">
        <v>40357076</v>
      </c>
      <c r="D3785" t="s">
        <v>409</v>
      </c>
      <c r="E3785">
        <v>1012165</v>
      </c>
      <c r="F3785" t="s">
        <v>61</v>
      </c>
      <c r="G3785" s="9">
        <v>44957</v>
      </c>
      <c r="H3785" s="7"/>
      <c r="I3785" s="7"/>
      <c r="J3785" s="7"/>
      <c r="K3785" s="7"/>
      <c r="L3785" s="10">
        <v>7.5</v>
      </c>
      <c r="M3785" s="9">
        <v>44964</v>
      </c>
      <c r="N3785" s="10">
        <v>9.5</v>
      </c>
      <c r="O3785" s="9">
        <v>44973</v>
      </c>
      <c r="P3785">
        <v>9</v>
      </c>
      <c r="Q3785" s="11" t="s">
        <v>49</v>
      </c>
      <c r="R3785" s="7"/>
      <c r="S3785" s="7"/>
      <c r="T3785" s="7"/>
      <c r="U3785" s="7"/>
      <c r="V3785" s="10">
        <v>9.5</v>
      </c>
      <c r="W3785" s="9">
        <v>44966</v>
      </c>
      <c r="X3785" s="10">
        <v>11.5</v>
      </c>
      <c r="Y3785" s="9">
        <v>44973</v>
      </c>
      <c r="Z3785">
        <v>9</v>
      </c>
      <c r="AA3785" s="11" t="s">
        <v>49</v>
      </c>
    </row>
    <row r="3786" spans="2:27" ht="16" x14ac:dyDescent="0.2">
      <c r="B3786" t="s">
        <v>35</v>
      </c>
      <c r="C3786">
        <v>40357075</v>
      </c>
      <c r="D3786" t="s">
        <v>409</v>
      </c>
      <c r="E3786">
        <v>1012165</v>
      </c>
      <c r="F3786" t="s">
        <v>61</v>
      </c>
      <c r="G3786" s="9">
        <v>44945</v>
      </c>
      <c r="H3786" s="7"/>
      <c r="I3786" s="7"/>
      <c r="J3786" s="7"/>
      <c r="K3786" s="7"/>
      <c r="L3786" s="10">
        <v>7.5</v>
      </c>
      <c r="M3786" s="9">
        <v>44952</v>
      </c>
      <c r="N3786" s="10">
        <v>9.5</v>
      </c>
      <c r="O3786" s="9">
        <v>44961</v>
      </c>
      <c r="P3786">
        <v>19</v>
      </c>
      <c r="Q3786" s="11" t="s">
        <v>49</v>
      </c>
      <c r="R3786" s="7"/>
      <c r="S3786" s="7"/>
      <c r="T3786" s="7"/>
      <c r="U3786" s="7"/>
      <c r="V3786" s="10">
        <v>9.5</v>
      </c>
      <c r="W3786" s="9">
        <v>44954</v>
      </c>
      <c r="X3786" s="10">
        <v>11.5</v>
      </c>
      <c r="Y3786" s="9">
        <v>44961</v>
      </c>
      <c r="Z3786">
        <v>19</v>
      </c>
      <c r="AA3786" s="11" t="s">
        <v>49</v>
      </c>
    </row>
    <row r="3787" spans="2:27" ht="16" x14ac:dyDescent="0.2">
      <c r="B3787" t="s">
        <v>35</v>
      </c>
      <c r="C3787">
        <v>40357074</v>
      </c>
      <c r="D3787" t="s">
        <v>409</v>
      </c>
      <c r="E3787">
        <v>1012161</v>
      </c>
      <c r="F3787" t="s">
        <v>101</v>
      </c>
      <c r="G3787" s="9">
        <v>44935</v>
      </c>
      <c r="H3787" s="7"/>
      <c r="I3787" s="7"/>
      <c r="J3787" s="7"/>
      <c r="K3787" s="7"/>
      <c r="L3787" s="10">
        <v>7.5</v>
      </c>
      <c r="M3787" s="9">
        <v>44942</v>
      </c>
      <c r="N3787" s="10">
        <v>9.5</v>
      </c>
      <c r="O3787" s="9">
        <v>44951</v>
      </c>
      <c r="P3787">
        <v>5</v>
      </c>
      <c r="Q3787" s="11" t="s">
        <v>49</v>
      </c>
      <c r="R3787" s="7"/>
      <c r="S3787" s="7"/>
      <c r="T3787" s="7"/>
      <c r="U3787" s="7"/>
      <c r="V3787" s="10">
        <v>9.5</v>
      </c>
      <c r="W3787" s="9">
        <v>44944</v>
      </c>
      <c r="X3787" s="10">
        <v>11.5</v>
      </c>
      <c r="Y3787" s="9">
        <v>44951</v>
      </c>
      <c r="Z3787">
        <v>5</v>
      </c>
      <c r="AA3787" s="11" t="s">
        <v>49</v>
      </c>
    </row>
    <row r="3788" spans="2:27" ht="16" x14ac:dyDescent="0.2">
      <c r="B3788" t="s">
        <v>35</v>
      </c>
      <c r="C3788">
        <v>40357072</v>
      </c>
      <c r="D3788" t="s">
        <v>409</v>
      </c>
      <c r="E3788">
        <v>1012159</v>
      </c>
      <c r="F3788" t="s">
        <v>88</v>
      </c>
      <c r="G3788" s="9">
        <v>44945</v>
      </c>
      <c r="H3788" s="7"/>
      <c r="I3788" s="7"/>
      <c r="J3788" s="7"/>
      <c r="K3788" s="7"/>
      <c r="L3788" s="10">
        <v>7.5</v>
      </c>
      <c r="M3788" s="9">
        <v>44952</v>
      </c>
      <c r="N3788" s="10">
        <v>9.5</v>
      </c>
      <c r="O3788" s="9">
        <v>44961</v>
      </c>
      <c r="P3788">
        <v>19</v>
      </c>
      <c r="Q3788" s="11" t="s">
        <v>49</v>
      </c>
      <c r="R3788" s="7"/>
      <c r="S3788" s="7"/>
      <c r="T3788" s="7"/>
      <c r="U3788" s="7"/>
      <c r="V3788" s="10">
        <v>9.5</v>
      </c>
      <c r="W3788" s="9">
        <v>44954</v>
      </c>
      <c r="X3788" s="10">
        <v>11.5</v>
      </c>
      <c r="Y3788" s="9">
        <v>44961</v>
      </c>
      <c r="Z3788">
        <v>19</v>
      </c>
      <c r="AA3788" s="11" t="s">
        <v>49</v>
      </c>
    </row>
    <row r="3789" spans="2:27" ht="16" x14ac:dyDescent="0.2">
      <c r="B3789" t="s">
        <v>35</v>
      </c>
      <c r="C3789">
        <v>40357071</v>
      </c>
      <c r="D3789" t="s">
        <v>409</v>
      </c>
      <c r="E3789">
        <v>1012159</v>
      </c>
      <c r="F3789" t="s">
        <v>88</v>
      </c>
      <c r="G3789" s="9">
        <v>44937</v>
      </c>
      <c r="H3789" s="7"/>
      <c r="I3789" s="7"/>
      <c r="J3789" s="7"/>
      <c r="K3789" s="7"/>
      <c r="L3789" s="10">
        <v>7.5</v>
      </c>
      <c r="M3789" s="9">
        <v>44944</v>
      </c>
      <c r="N3789" s="10">
        <v>9.5</v>
      </c>
      <c r="O3789" s="9">
        <v>44953</v>
      </c>
      <c r="P3789">
        <v>3</v>
      </c>
      <c r="Q3789" s="11" t="s">
        <v>49</v>
      </c>
      <c r="R3789" s="7"/>
      <c r="S3789" s="7"/>
      <c r="T3789" s="7"/>
      <c r="U3789" s="7"/>
      <c r="V3789" s="10">
        <v>9.5</v>
      </c>
      <c r="W3789" s="9">
        <v>44946</v>
      </c>
      <c r="X3789" s="10">
        <v>11.5</v>
      </c>
      <c r="Y3789" s="9">
        <v>44953</v>
      </c>
      <c r="Z3789">
        <v>3</v>
      </c>
      <c r="AA3789" s="11" t="s">
        <v>49</v>
      </c>
    </row>
    <row r="3790" spans="2:27" ht="16" x14ac:dyDescent="0.2">
      <c r="B3790" t="s">
        <v>35</v>
      </c>
      <c r="C3790">
        <v>40357070</v>
      </c>
      <c r="D3790" t="s">
        <v>409</v>
      </c>
      <c r="E3790">
        <v>1012159</v>
      </c>
      <c r="F3790" t="s">
        <v>88</v>
      </c>
      <c r="G3790" s="9">
        <v>44937</v>
      </c>
      <c r="H3790" s="7"/>
      <c r="I3790" s="7"/>
      <c r="J3790" s="7"/>
      <c r="K3790" s="7"/>
      <c r="L3790" s="10">
        <v>7.5</v>
      </c>
      <c r="M3790" s="9">
        <v>44944</v>
      </c>
      <c r="N3790" s="10">
        <v>9.5</v>
      </c>
      <c r="O3790" s="9">
        <v>44953</v>
      </c>
      <c r="P3790">
        <v>3</v>
      </c>
      <c r="Q3790" s="11" t="s">
        <v>49</v>
      </c>
      <c r="R3790" s="7"/>
      <c r="S3790" s="7"/>
      <c r="T3790" s="7"/>
      <c r="U3790" s="7"/>
      <c r="V3790" s="10">
        <v>9.5</v>
      </c>
      <c r="W3790" s="9">
        <v>44946</v>
      </c>
      <c r="X3790" s="10">
        <v>11.5</v>
      </c>
      <c r="Y3790" s="9">
        <v>44953</v>
      </c>
      <c r="Z3790">
        <v>3</v>
      </c>
      <c r="AA3790" s="11" t="s">
        <v>49</v>
      </c>
    </row>
    <row r="3791" spans="2:27" ht="16" x14ac:dyDescent="0.2">
      <c r="B3791" t="s">
        <v>35</v>
      </c>
      <c r="C3791">
        <v>40357069</v>
      </c>
      <c r="D3791" t="s">
        <v>409</v>
      </c>
      <c r="E3791">
        <v>1012158</v>
      </c>
      <c r="F3791" t="s">
        <v>86</v>
      </c>
      <c r="G3791" s="9">
        <v>44943</v>
      </c>
      <c r="H3791" s="7"/>
      <c r="I3791" s="7"/>
      <c r="J3791" s="7"/>
      <c r="K3791" s="7"/>
      <c r="L3791" s="10">
        <v>7.5</v>
      </c>
      <c r="M3791" s="9">
        <v>44950</v>
      </c>
      <c r="N3791" s="10">
        <v>9.5</v>
      </c>
      <c r="O3791" s="9">
        <v>44959</v>
      </c>
      <c r="P3791">
        <v>21</v>
      </c>
      <c r="Q3791" s="11" t="s">
        <v>49</v>
      </c>
      <c r="R3791" s="7"/>
      <c r="S3791" s="7"/>
      <c r="T3791" s="7"/>
      <c r="U3791" s="7"/>
      <c r="V3791" s="10">
        <v>9.5</v>
      </c>
      <c r="W3791" s="9">
        <v>44952</v>
      </c>
      <c r="X3791" s="10">
        <v>11.5</v>
      </c>
      <c r="Y3791" s="9">
        <v>44959</v>
      </c>
      <c r="Z3791">
        <v>21</v>
      </c>
      <c r="AA3791" s="11" t="s">
        <v>49</v>
      </c>
    </row>
    <row r="3792" spans="2:27" ht="16" x14ac:dyDescent="0.2">
      <c r="B3792" t="s">
        <v>35</v>
      </c>
      <c r="C3792">
        <v>40357068</v>
      </c>
      <c r="D3792" t="s">
        <v>409</v>
      </c>
      <c r="E3792">
        <v>1012158</v>
      </c>
      <c r="F3792" t="s">
        <v>86</v>
      </c>
      <c r="G3792" s="9">
        <v>44935</v>
      </c>
      <c r="H3792" s="7"/>
      <c r="I3792" s="7"/>
      <c r="J3792" s="7"/>
      <c r="K3792" s="7"/>
      <c r="L3792" s="10">
        <v>7.5</v>
      </c>
      <c r="M3792" s="9">
        <v>44942</v>
      </c>
      <c r="N3792" s="10">
        <v>9.5</v>
      </c>
      <c r="O3792" s="9">
        <v>44951</v>
      </c>
      <c r="P3792">
        <v>5</v>
      </c>
      <c r="Q3792" s="11" t="s">
        <v>49</v>
      </c>
      <c r="R3792" s="7"/>
      <c r="S3792" s="7"/>
      <c r="T3792" s="7"/>
      <c r="U3792" s="7"/>
      <c r="V3792" s="10">
        <v>9.5</v>
      </c>
      <c r="W3792" s="9">
        <v>44944</v>
      </c>
      <c r="X3792" s="10">
        <v>11.5</v>
      </c>
      <c r="Y3792" s="9">
        <v>44951</v>
      </c>
      <c r="Z3792">
        <v>5</v>
      </c>
      <c r="AA3792" s="11" t="s">
        <v>49</v>
      </c>
    </row>
    <row r="3793" spans="2:27" ht="16" x14ac:dyDescent="0.2">
      <c r="B3793" t="s">
        <v>35</v>
      </c>
      <c r="C3793">
        <v>40357063</v>
      </c>
      <c r="D3793" t="s">
        <v>409</v>
      </c>
      <c r="E3793">
        <v>1012160</v>
      </c>
      <c r="F3793" t="s">
        <v>72</v>
      </c>
      <c r="G3793" s="9">
        <v>44935</v>
      </c>
      <c r="H3793" s="7"/>
      <c r="I3793" s="7"/>
      <c r="J3793" s="7"/>
      <c r="K3793" s="7"/>
      <c r="L3793" s="10">
        <v>7.5</v>
      </c>
      <c r="M3793" s="9">
        <v>44942</v>
      </c>
      <c r="N3793" s="10">
        <v>9.5</v>
      </c>
      <c r="O3793" s="9">
        <v>44951</v>
      </c>
      <c r="P3793">
        <v>5</v>
      </c>
      <c r="Q3793" s="11" t="s">
        <v>49</v>
      </c>
      <c r="R3793" s="7"/>
      <c r="S3793" s="7"/>
      <c r="T3793" s="7"/>
      <c r="U3793" s="7"/>
      <c r="V3793" s="10">
        <v>9.5</v>
      </c>
      <c r="W3793" s="9">
        <v>44944</v>
      </c>
      <c r="X3793" s="10">
        <v>11.5</v>
      </c>
      <c r="Y3793" s="9">
        <v>44951</v>
      </c>
      <c r="Z3793">
        <v>5</v>
      </c>
      <c r="AA3793" s="11" t="s">
        <v>49</v>
      </c>
    </row>
    <row r="3794" spans="2:27" ht="16" x14ac:dyDescent="0.2">
      <c r="B3794" t="s">
        <v>35</v>
      </c>
      <c r="C3794">
        <v>40357063</v>
      </c>
      <c r="D3794" t="s">
        <v>409</v>
      </c>
      <c r="E3794">
        <v>1012107</v>
      </c>
      <c r="F3794" t="s">
        <v>215</v>
      </c>
      <c r="G3794" s="9">
        <v>44935</v>
      </c>
      <c r="H3794" s="7"/>
      <c r="I3794" s="7"/>
      <c r="J3794" s="7"/>
      <c r="K3794" s="7"/>
      <c r="L3794" s="10">
        <v>7.5</v>
      </c>
      <c r="M3794" s="9">
        <v>44942</v>
      </c>
      <c r="N3794" s="10">
        <v>9.5</v>
      </c>
      <c r="O3794" s="9">
        <v>44951</v>
      </c>
      <c r="P3794">
        <v>5</v>
      </c>
      <c r="Q3794" s="11" t="s">
        <v>49</v>
      </c>
      <c r="R3794" s="7"/>
      <c r="S3794" s="7"/>
      <c r="T3794" s="7"/>
      <c r="U3794" s="7"/>
      <c r="V3794" s="10">
        <v>9.5</v>
      </c>
      <c r="W3794" s="9">
        <v>44944</v>
      </c>
      <c r="X3794" s="10">
        <v>11.5</v>
      </c>
      <c r="Y3794" s="9">
        <v>44951</v>
      </c>
      <c r="Z3794">
        <v>5</v>
      </c>
      <c r="AA3794" s="11" t="s">
        <v>49</v>
      </c>
    </row>
    <row r="3795" spans="2:27" x14ac:dyDescent="0.2">
      <c r="B3795" t="s">
        <v>394</v>
      </c>
      <c r="C3795">
        <v>40357062</v>
      </c>
      <c r="D3795" t="s">
        <v>485</v>
      </c>
      <c r="E3795">
        <v>1021106</v>
      </c>
      <c r="F3795" t="s">
        <v>653</v>
      </c>
      <c r="G3795" s="9">
        <v>44946</v>
      </c>
      <c r="H3795" s="7"/>
      <c r="I3795" s="7"/>
      <c r="J3795" s="7"/>
      <c r="K3795" s="7"/>
      <c r="L3795" s="10"/>
      <c r="N3795" s="10"/>
      <c r="Q3795" s="11"/>
      <c r="R3795" s="7"/>
      <c r="S3795" s="7"/>
      <c r="T3795" s="7"/>
      <c r="U3795" s="7"/>
      <c r="V3795" s="10"/>
      <c r="X3795" s="10"/>
      <c r="AA3795" s="11"/>
    </row>
    <row r="3796" spans="2:27" ht="16" x14ac:dyDescent="0.2">
      <c r="B3796" t="s">
        <v>35</v>
      </c>
      <c r="C3796">
        <v>40357046</v>
      </c>
      <c r="D3796" t="s">
        <v>423</v>
      </c>
      <c r="E3796">
        <v>1012432</v>
      </c>
      <c r="F3796" t="s">
        <v>654</v>
      </c>
      <c r="G3796" s="9">
        <v>44941</v>
      </c>
      <c r="H3796" s="7"/>
      <c r="I3796" s="7"/>
      <c r="J3796" s="7"/>
      <c r="K3796" s="7"/>
      <c r="L3796" s="10">
        <v>5.4496124031007751</v>
      </c>
      <c r="M3796" s="9">
        <v>44946</v>
      </c>
      <c r="N3796" s="10">
        <v>10</v>
      </c>
      <c r="O3796" s="9">
        <v>44956</v>
      </c>
      <c r="P3796">
        <v>1</v>
      </c>
      <c r="Q3796" s="11" t="s">
        <v>648</v>
      </c>
      <c r="R3796" s="7"/>
      <c r="S3796" s="7"/>
      <c r="T3796" s="7"/>
      <c r="U3796" s="7"/>
      <c r="V3796" s="10">
        <v>7.4496124031007751</v>
      </c>
      <c r="W3796" s="9">
        <v>44948</v>
      </c>
      <c r="X3796" s="10">
        <v>12</v>
      </c>
      <c r="Y3796" s="9">
        <v>44956</v>
      </c>
      <c r="Z3796">
        <v>1</v>
      </c>
      <c r="AA3796" s="11" t="s">
        <v>648</v>
      </c>
    </row>
    <row r="3797" spans="2:27" ht="16" x14ac:dyDescent="0.2">
      <c r="B3797" t="s">
        <v>35</v>
      </c>
      <c r="C3797">
        <v>40357044</v>
      </c>
      <c r="D3797" t="s">
        <v>423</v>
      </c>
      <c r="E3797">
        <v>1011748</v>
      </c>
      <c r="F3797" t="s">
        <v>482</v>
      </c>
      <c r="G3797" s="9">
        <v>44935</v>
      </c>
      <c r="H3797" s="7"/>
      <c r="I3797" s="7"/>
      <c r="J3797" s="7"/>
      <c r="K3797" s="7"/>
      <c r="L3797" s="10">
        <v>5.4496124031007751</v>
      </c>
      <c r="M3797" s="9">
        <v>44940</v>
      </c>
      <c r="N3797" s="10">
        <v>10</v>
      </c>
      <c r="O3797" s="9">
        <v>44950</v>
      </c>
      <c r="P3797">
        <v>6</v>
      </c>
      <c r="Q3797" s="11" t="s">
        <v>49</v>
      </c>
      <c r="R3797" s="7"/>
      <c r="S3797" s="7"/>
      <c r="T3797" s="7"/>
      <c r="U3797" s="7"/>
      <c r="V3797" s="10">
        <v>7.4496124031007751</v>
      </c>
      <c r="W3797" s="9">
        <v>44942</v>
      </c>
      <c r="X3797" s="10">
        <v>12</v>
      </c>
      <c r="Y3797" s="9">
        <v>44950</v>
      </c>
      <c r="Z3797">
        <v>6</v>
      </c>
      <c r="AA3797" s="11" t="s">
        <v>49</v>
      </c>
    </row>
    <row r="3798" spans="2:27" x14ac:dyDescent="0.2">
      <c r="B3798" t="s">
        <v>394</v>
      </c>
      <c r="C3798">
        <v>40357037</v>
      </c>
      <c r="D3798" t="s">
        <v>485</v>
      </c>
      <c r="E3798">
        <v>1022150</v>
      </c>
      <c r="F3798" t="s">
        <v>500</v>
      </c>
      <c r="G3798" s="9">
        <v>44922</v>
      </c>
      <c r="H3798" s="7"/>
      <c r="I3798" s="7"/>
      <c r="J3798" s="7"/>
      <c r="K3798" s="7"/>
      <c r="L3798" s="10"/>
      <c r="N3798" s="10"/>
      <c r="Q3798" s="11"/>
      <c r="R3798" s="7"/>
      <c r="S3798" s="7"/>
      <c r="T3798" s="7"/>
      <c r="U3798" s="7"/>
      <c r="V3798" s="10"/>
      <c r="X3798" s="10"/>
      <c r="AA3798" s="11"/>
    </row>
    <row r="3799" spans="2:27" x14ac:dyDescent="0.2">
      <c r="B3799" t="s">
        <v>394</v>
      </c>
      <c r="C3799">
        <v>40357027</v>
      </c>
      <c r="D3799" t="s">
        <v>485</v>
      </c>
      <c r="E3799">
        <v>1021385</v>
      </c>
      <c r="F3799" t="s">
        <v>495</v>
      </c>
      <c r="G3799" s="9">
        <v>44933</v>
      </c>
      <c r="H3799" s="7"/>
      <c r="I3799" s="7"/>
      <c r="J3799" s="7"/>
      <c r="K3799" s="7"/>
      <c r="L3799" s="10"/>
      <c r="N3799" s="10"/>
      <c r="Q3799" s="11"/>
      <c r="R3799" s="7"/>
      <c r="S3799" s="7"/>
      <c r="T3799" s="7"/>
      <c r="U3799" s="7"/>
      <c r="V3799" s="10"/>
      <c r="X3799" s="10"/>
      <c r="AA3799" s="11"/>
    </row>
    <row r="3800" spans="2:27" x14ac:dyDescent="0.2">
      <c r="B3800" t="s">
        <v>394</v>
      </c>
      <c r="C3800">
        <v>40357026</v>
      </c>
      <c r="D3800" t="s">
        <v>485</v>
      </c>
      <c r="E3800">
        <v>1012719</v>
      </c>
      <c r="F3800" t="s">
        <v>545</v>
      </c>
      <c r="G3800" s="9">
        <v>44933</v>
      </c>
      <c r="H3800" s="7"/>
      <c r="I3800" s="7"/>
      <c r="J3800" s="7"/>
      <c r="K3800" s="7"/>
      <c r="L3800" s="10"/>
      <c r="N3800" s="10"/>
      <c r="Q3800" s="11"/>
      <c r="R3800" s="7"/>
      <c r="S3800" s="7"/>
      <c r="T3800" s="7"/>
      <c r="U3800" s="7"/>
      <c r="V3800" s="10"/>
      <c r="X3800" s="10"/>
      <c r="AA3800" s="11"/>
    </row>
    <row r="3801" spans="2:27" x14ac:dyDescent="0.2">
      <c r="B3801" t="s">
        <v>394</v>
      </c>
      <c r="C3801">
        <v>40357025</v>
      </c>
      <c r="D3801" t="s">
        <v>485</v>
      </c>
      <c r="E3801">
        <v>1012719</v>
      </c>
      <c r="F3801" t="s">
        <v>545</v>
      </c>
      <c r="G3801" s="9">
        <v>44933</v>
      </c>
      <c r="H3801" s="7"/>
      <c r="I3801" s="7"/>
      <c r="J3801" s="7"/>
      <c r="K3801" s="7"/>
      <c r="L3801" s="10"/>
      <c r="N3801" s="10"/>
      <c r="Q3801" s="11"/>
      <c r="R3801" s="7"/>
      <c r="S3801" s="7"/>
      <c r="T3801" s="7"/>
      <c r="U3801" s="7"/>
      <c r="V3801" s="10"/>
      <c r="X3801" s="10"/>
      <c r="AA3801" s="11"/>
    </row>
    <row r="3802" spans="2:27" x14ac:dyDescent="0.2">
      <c r="B3802" t="s">
        <v>394</v>
      </c>
      <c r="C3802">
        <v>40357024</v>
      </c>
      <c r="D3802" t="s">
        <v>485</v>
      </c>
      <c r="E3802">
        <v>1012719</v>
      </c>
      <c r="F3802" t="s">
        <v>545</v>
      </c>
      <c r="G3802" s="9">
        <v>44933</v>
      </c>
      <c r="H3802" s="7"/>
      <c r="I3802" s="7"/>
      <c r="J3802" s="7"/>
      <c r="K3802" s="7"/>
      <c r="L3802" s="10"/>
      <c r="N3802" s="10"/>
      <c r="Q3802" s="11"/>
      <c r="R3802" s="7"/>
      <c r="S3802" s="7"/>
      <c r="T3802" s="7"/>
      <c r="U3802" s="7"/>
      <c r="V3802" s="10"/>
      <c r="X3802" s="10"/>
      <c r="AA3802" s="11"/>
    </row>
    <row r="3803" spans="2:27" x14ac:dyDescent="0.2">
      <c r="B3803" t="s">
        <v>394</v>
      </c>
      <c r="C3803">
        <v>40357023</v>
      </c>
      <c r="D3803" t="s">
        <v>485</v>
      </c>
      <c r="E3803">
        <v>1012719</v>
      </c>
      <c r="F3803" t="s">
        <v>545</v>
      </c>
      <c r="G3803" s="9">
        <v>44933</v>
      </c>
      <c r="H3803" s="7"/>
      <c r="I3803" s="7"/>
      <c r="J3803" s="7"/>
      <c r="K3803" s="7"/>
      <c r="L3803" s="10"/>
      <c r="N3803" s="10"/>
      <c r="Q3803" s="11"/>
      <c r="R3803" s="7"/>
      <c r="S3803" s="7"/>
      <c r="T3803" s="7"/>
      <c r="U3803" s="7"/>
      <c r="V3803" s="10"/>
      <c r="X3803" s="10"/>
      <c r="AA3803" s="11"/>
    </row>
    <row r="3804" spans="2:27" x14ac:dyDescent="0.2">
      <c r="B3804" t="s">
        <v>394</v>
      </c>
      <c r="C3804">
        <v>40357008</v>
      </c>
      <c r="D3804" t="s">
        <v>485</v>
      </c>
      <c r="E3804">
        <v>1012744</v>
      </c>
      <c r="F3804" t="s">
        <v>567</v>
      </c>
      <c r="G3804" s="9">
        <v>44928</v>
      </c>
      <c r="H3804" s="7"/>
      <c r="I3804" s="7"/>
      <c r="J3804" s="7"/>
      <c r="K3804" s="7"/>
      <c r="L3804" s="10"/>
      <c r="N3804" s="10"/>
      <c r="Q3804" s="11"/>
      <c r="R3804" s="7"/>
      <c r="S3804" s="7"/>
      <c r="T3804" s="7"/>
      <c r="U3804" s="7"/>
      <c r="V3804" s="10"/>
      <c r="X3804" s="10"/>
      <c r="AA3804" s="11"/>
    </row>
    <row r="3805" spans="2:27" x14ac:dyDescent="0.2">
      <c r="B3805" t="s">
        <v>394</v>
      </c>
      <c r="C3805">
        <v>40357007</v>
      </c>
      <c r="D3805" t="s">
        <v>485</v>
      </c>
      <c r="E3805">
        <v>1012744</v>
      </c>
      <c r="F3805" t="s">
        <v>567</v>
      </c>
      <c r="G3805" s="9">
        <v>44927</v>
      </c>
      <c r="H3805" s="7"/>
      <c r="I3805" s="7"/>
      <c r="J3805" s="7"/>
      <c r="K3805" s="7"/>
      <c r="L3805" s="10"/>
      <c r="N3805" s="10"/>
      <c r="Q3805" s="11"/>
      <c r="R3805" s="7"/>
      <c r="S3805" s="7"/>
      <c r="T3805" s="7"/>
      <c r="U3805" s="7"/>
      <c r="V3805" s="10"/>
      <c r="X3805" s="10"/>
      <c r="AA3805" s="11"/>
    </row>
    <row r="3806" spans="2:27" ht="16" x14ac:dyDescent="0.2">
      <c r="B3806" t="s">
        <v>35</v>
      </c>
      <c r="C3806">
        <v>40356967</v>
      </c>
      <c r="D3806" t="s">
        <v>386</v>
      </c>
      <c r="E3806">
        <v>1012724</v>
      </c>
      <c r="F3806" t="s">
        <v>427</v>
      </c>
      <c r="G3806" s="9">
        <v>44934</v>
      </c>
      <c r="H3806" s="7"/>
      <c r="I3806" s="7"/>
      <c r="J3806" s="7"/>
      <c r="K3806" s="7"/>
      <c r="L3806" s="10">
        <v>5.1420118343195256</v>
      </c>
      <c r="M3806" s="9">
        <v>44939</v>
      </c>
      <c r="N3806" s="10">
        <v>7.5</v>
      </c>
      <c r="O3806" s="9">
        <v>44946</v>
      </c>
      <c r="P3806">
        <v>9</v>
      </c>
      <c r="Q3806" s="11" t="s">
        <v>49</v>
      </c>
      <c r="R3806" s="7"/>
      <c r="S3806" s="7"/>
      <c r="T3806" s="7"/>
      <c r="U3806" s="7"/>
      <c r="V3806" s="10">
        <v>7.1420118343195256</v>
      </c>
      <c r="W3806" s="9">
        <v>44941</v>
      </c>
      <c r="X3806" s="10">
        <v>9.5</v>
      </c>
      <c r="Y3806" s="9">
        <v>44946</v>
      </c>
      <c r="Z3806">
        <v>9</v>
      </c>
      <c r="AA3806" s="11" t="s">
        <v>49</v>
      </c>
    </row>
    <row r="3807" spans="2:27" ht="16" x14ac:dyDescent="0.2">
      <c r="B3807" t="s">
        <v>35</v>
      </c>
      <c r="C3807">
        <v>40356956</v>
      </c>
      <c r="D3807" t="s">
        <v>386</v>
      </c>
      <c r="E3807">
        <v>1020853</v>
      </c>
      <c r="F3807" t="s">
        <v>262</v>
      </c>
      <c r="G3807" s="9">
        <v>44955</v>
      </c>
      <c r="H3807" s="7"/>
      <c r="I3807" s="7"/>
      <c r="J3807" s="7"/>
      <c r="K3807" s="7"/>
      <c r="L3807" s="10">
        <v>5.1420118343195256</v>
      </c>
      <c r="M3807" s="9">
        <v>44960</v>
      </c>
      <c r="N3807" s="10">
        <v>7.5</v>
      </c>
      <c r="O3807" s="9">
        <v>44967</v>
      </c>
      <c r="P3807">
        <v>15</v>
      </c>
      <c r="Q3807" s="11" t="s">
        <v>49</v>
      </c>
      <c r="R3807" s="7"/>
      <c r="S3807" s="7"/>
      <c r="T3807" s="7"/>
      <c r="U3807" s="7"/>
      <c r="V3807" s="10">
        <v>7.1420118343195256</v>
      </c>
      <c r="W3807" s="9">
        <v>44962</v>
      </c>
      <c r="X3807" s="10">
        <v>9.5</v>
      </c>
      <c r="Y3807" s="9">
        <v>44967</v>
      </c>
      <c r="Z3807">
        <v>15</v>
      </c>
      <c r="AA3807" s="11" t="s">
        <v>49</v>
      </c>
    </row>
    <row r="3808" spans="2:27" ht="16" x14ac:dyDescent="0.2">
      <c r="B3808" t="s">
        <v>35</v>
      </c>
      <c r="C3808">
        <v>40356955</v>
      </c>
      <c r="D3808" t="s">
        <v>386</v>
      </c>
      <c r="E3808">
        <v>1020853</v>
      </c>
      <c r="F3808" t="s">
        <v>262</v>
      </c>
      <c r="G3808" s="9">
        <v>44948</v>
      </c>
      <c r="H3808" s="7"/>
      <c r="I3808" s="7"/>
      <c r="J3808" s="7"/>
      <c r="K3808" s="7"/>
      <c r="L3808" s="10">
        <v>5.1420118343195256</v>
      </c>
      <c r="M3808" s="9">
        <v>44953</v>
      </c>
      <c r="N3808" s="10">
        <v>7.5</v>
      </c>
      <c r="O3808" s="9">
        <v>44960</v>
      </c>
      <c r="P3808">
        <v>21</v>
      </c>
      <c r="Q3808" s="11" t="s">
        <v>49</v>
      </c>
      <c r="R3808" s="7"/>
      <c r="S3808" s="7"/>
      <c r="T3808" s="7"/>
      <c r="U3808" s="7"/>
      <c r="V3808" s="10">
        <v>7.1420118343195256</v>
      </c>
      <c r="W3808" s="9">
        <v>44955</v>
      </c>
      <c r="X3808" s="10">
        <v>9.5</v>
      </c>
      <c r="Y3808" s="9">
        <v>44960</v>
      </c>
      <c r="Z3808">
        <v>21</v>
      </c>
      <c r="AA3808" s="11" t="s">
        <v>49</v>
      </c>
    </row>
    <row r="3809" spans="2:27" ht="16" x14ac:dyDescent="0.2">
      <c r="B3809" t="s">
        <v>35</v>
      </c>
      <c r="C3809">
        <v>40356954</v>
      </c>
      <c r="D3809" t="s">
        <v>386</v>
      </c>
      <c r="E3809">
        <v>1020853</v>
      </c>
      <c r="F3809" t="s">
        <v>262</v>
      </c>
      <c r="G3809" s="9">
        <v>44948</v>
      </c>
      <c r="H3809" s="7"/>
      <c r="I3809" s="7"/>
      <c r="J3809" s="7"/>
      <c r="K3809" s="7"/>
      <c r="L3809" s="10">
        <v>5.1420118343195256</v>
      </c>
      <c r="M3809" s="9">
        <v>44953</v>
      </c>
      <c r="N3809" s="10">
        <v>7.5</v>
      </c>
      <c r="O3809" s="9">
        <v>44960</v>
      </c>
      <c r="P3809">
        <v>21</v>
      </c>
      <c r="Q3809" s="11" t="s">
        <v>49</v>
      </c>
      <c r="R3809" s="7"/>
      <c r="S3809" s="7"/>
      <c r="T3809" s="7"/>
      <c r="U3809" s="7"/>
      <c r="V3809" s="10">
        <v>7.1420118343195256</v>
      </c>
      <c r="W3809" s="9">
        <v>44955</v>
      </c>
      <c r="X3809" s="10">
        <v>9.5</v>
      </c>
      <c r="Y3809" s="9">
        <v>44960</v>
      </c>
      <c r="Z3809">
        <v>21</v>
      </c>
      <c r="AA3809" s="11" t="s">
        <v>49</v>
      </c>
    </row>
    <row r="3810" spans="2:27" ht="16" x14ac:dyDescent="0.2">
      <c r="B3810" t="s">
        <v>35</v>
      </c>
      <c r="C3810">
        <v>40356954</v>
      </c>
      <c r="D3810" t="s">
        <v>386</v>
      </c>
      <c r="E3810">
        <v>1020853</v>
      </c>
      <c r="F3810" t="s">
        <v>262</v>
      </c>
      <c r="G3810" s="9">
        <v>44948</v>
      </c>
      <c r="H3810" s="7"/>
      <c r="I3810" s="7"/>
      <c r="J3810" s="7"/>
      <c r="K3810" s="7"/>
      <c r="L3810" s="10">
        <v>5.1420118343195256</v>
      </c>
      <c r="M3810" s="9">
        <v>44953</v>
      </c>
      <c r="N3810" s="10">
        <v>7.5</v>
      </c>
      <c r="O3810" s="9">
        <v>44960</v>
      </c>
      <c r="P3810">
        <v>21</v>
      </c>
      <c r="Q3810" s="11" t="s">
        <v>49</v>
      </c>
      <c r="R3810" s="7"/>
      <c r="S3810" s="7"/>
      <c r="T3810" s="7"/>
      <c r="U3810" s="7"/>
      <c r="V3810" s="10">
        <v>7.1420118343195256</v>
      </c>
      <c r="W3810" s="9">
        <v>44955</v>
      </c>
      <c r="X3810" s="10">
        <v>9.5</v>
      </c>
      <c r="Y3810" s="9">
        <v>44960</v>
      </c>
      <c r="Z3810">
        <v>21</v>
      </c>
      <c r="AA3810" s="11" t="s">
        <v>49</v>
      </c>
    </row>
    <row r="3811" spans="2:27" ht="16" x14ac:dyDescent="0.2">
      <c r="B3811" t="s">
        <v>35</v>
      </c>
      <c r="C3811">
        <v>40356953</v>
      </c>
      <c r="D3811" t="s">
        <v>386</v>
      </c>
      <c r="E3811">
        <v>1020853</v>
      </c>
      <c r="F3811" t="s">
        <v>262</v>
      </c>
      <c r="G3811" s="9">
        <v>44941</v>
      </c>
      <c r="H3811" s="7"/>
      <c r="I3811" s="7"/>
      <c r="J3811" s="7"/>
      <c r="K3811" s="7"/>
      <c r="L3811" s="10">
        <v>5.1420118343195256</v>
      </c>
      <c r="M3811" s="9">
        <v>44946</v>
      </c>
      <c r="N3811" s="10">
        <v>7.5</v>
      </c>
      <c r="O3811" s="9">
        <v>44953</v>
      </c>
      <c r="P3811">
        <v>3</v>
      </c>
      <c r="Q3811" s="11" t="s">
        <v>49</v>
      </c>
      <c r="R3811" s="7"/>
      <c r="S3811" s="7"/>
      <c r="T3811" s="7"/>
      <c r="U3811" s="7"/>
      <c r="V3811" s="10">
        <v>7.1420118343195256</v>
      </c>
      <c r="W3811" s="9">
        <v>44948</v>
      </c>
      <c r="X3811" s="10">
        <v>9.5</v>
      </c>
      <c r="Y3811" s="9">
        <v>44953</v>
      </c>
      <c r="Z3811">
        <v>3</v>
      </c>
      <c r="AA3811" s="11" t="s">
        <v>49</v>
      </c>
    </row>
    <row r="3812" spans="2:27" ht="16" x14ac:dyDescent="0.2">
      <c r="B3812" t="s">
        <v>35</v>
      </c>
      <c r="C3812">
        <v>40356918</v>
      </c>
      <c r="D3812" t="s">
        <v>409</v>
      </c>
      <c r="E3812">
        <v>1023190</v>
      </c>
      <c r="F3812" t="s">
        <v>257</v>
      </c>
      <c r="G3812" s="9">
        <v>44961</v>
      </c>
      <c r="H3812" s="7"/>
      <c r="I3812" s="7"/>
      <c r="J3812" s="7"/>
      <c r="K3812" s="7"/>
      <c r="L3812" s="10">
        <v>7.5</v>
      </c>
      <c r="M3812" s="9">
        <v>44968</v>
      </c>
      <c r="N3812" s="10">
        <v>9.5</v>
      </c>
      <c r="O3812" s="9">
        <v>44977</v>
      </c>
      <c r="P3812">
        <v>7</v>
      </c>
      <c r="Q3812" s="11" t="s">
        <v>49</v>
      </c>
      <c r="R3812" s="7"/>
      <c r="S3812" s="7"/>
      <c r="T3812" s="7"/>
      <c r="U3812" s="7"/>
      <c r="V3812" s="10">
        <v>9.5</v>
      </c>
      <c r="W3812" s="9">
        <v>44970</v>
      </c>
      <c r="X3812" s="10">
        <v>11.5</v>
      </c>
      <c r="Y3812" s="9">
        <v>44977</v>
      </c>
      <c r="Z3812">
        <v>7</v>
      </c>
      <c r="AA3812" s="11" t="s">
        <v>49</v>
      </c>
    </row>
    <row r="3813" spans="2:27" ht="16" x14ac:dyDescent="0.2">
      <c r="B3813" t="s">
        <v>35</v>
      </c>
      <c r="C3813">
        <v>40356917</v>
      </c>
      <c r="D3813" t="s">
        <v>409</v>
      </c>
      <c r="E3813">
        <v>1023190</v>
      </c>
      <c r="F3813" t="s">
        <v>257</v>
      </c>
      <c r="G3813" s="9">
        <v>44961</v>
      </c>
      <c r="H3813" s="7"/>
      <c r="I3813" s="7"/>
      <c r="J3813" s="7"/>
      <c r="K3813" s="7"/>
      <c r="L3813" s="10">
        <v>7.5</v>
      </c>
      <c r="M3813" s="9">
        <v>44968</v>
      </c>
      <c r="N3813" s="10">
        <v>9.5</v>
      </c>
      <c r="O3813" s="9">
        <v>44977</v>
      </c>
      <c r="P3813">
        <v>7</v>
      </c>
      <c r="Q3813" s="11" t="s">
        <v>49</v>
      </c>
      <c r="R3813" s="7"/>
      <c r="S3813" s="7"/>
      <c r="T3813" s="7"/>
      <c r="U3813" s="7"/>
      <c r="V3813" s="10">
        <v>9.5</v>
      </c>
      <c r="W3813" s="9">
        <v>44970</v>
      </c>
      <c r="X3813" s="10">
        <v>11.5</v>
      </c>
      <c r="Y3813" s="9">
        <v>44977</v>
      </c>
      <c r="Z3813">
        <v>7</v>
      </c>
      <c r="AA3813" s="11" t="s">
        <v>49</v>
      </c>
    </row>
    <row r="3814" spans="2:27" ht="16" x14ac:dyDescent="0.2">
      <c r="B3814" t="s">
        <v>35</v>
      </c>
      <c r="C3814">
        <v>40356916</v>
      </c>
      <c r="D3814" t="s">
        <v>409</v>
      </c>
      <c r="E3814">
        <v>1023190</v>
      </c>
      <c r="F3814" t="s">
        <v>257</v>
      </c>
      <c r="G3814" s="9">
        <v>44947</v>
      </c>
      <c r="H3814" s="7"/>
      <c r="I3814" s="7"/>
      <c r="J3814" s="7"/>
      <c r="K3814" s="7"/>
      <c r="L3814" s="10">
        <v>7.5</v>
      </c>
      <c r="M3814" s="9">
        <v>44954</v>
      </c>
      <c r="N3814" s="10">
        <v>9.5</v>
      </c>
      <c r="O3814" s="9">
        <v>44963</v>
      </c>
      <c r="P3814">
        <v>18</v>
      </c>
      <c r="Q3814" s="11" t="s">
        <v>49</v>
      </c>
      <c r="R3814" s="7"/>
      <c r="S3814" s="7"/>
      <c r="T3814" s="7"/>
      <c r="U3814" s="7"/>
      <c r="V3814" s="10">
        <v>9.5</v>
      </c>
      <c r="W3814" s="9">
        <v>44956</v>
      </c>
      <c r="X3814" s="10">
        <v>11.5</v>
      </c>
      <c r="Y3814" s="9">
        <v>44963</v>
      </c>
      <c r="Z3814">
        <v>18</v>
      </c>
      <c r="AA3814" s="11" t="s">
        <v>49</v>
      </c>
    </row>
    <row r="3815" spans="2:27" x14ac:dyDescent="0.2">
      <c r="B3815" t="s">
        <v>394</v>
      </c>
      <c r="C3815">
        <v>40356915</v>
      </c>
      <c r="D3815" t="s">
        <v>485</v>
      </c>
      <c r="E3815">
        <v>1020367</v>
      </c>
      <c r="F3815" t="s">
        <v>596</v>
      </c>
      <c r="G3815" s="9">
        <v>44920</v>
      </c>
      <c r="H3815" s="7"/>
      <c r="I3815" s="7"/>
      <c r="J3815" s="7"/>
      <c r="K3815" s="7"/>
      <c r="L3815" s="10"/>
      <c r="N3815" s="10"/>
      <c r="Q3815" s="11"/>
      <c r="R3815" s="7"/>
      <c r="S3815" s="7"/>
      <c r="T3815" s="7"/>
      <c r="U3815" s="7"/>
      <c r="V3815" s="10"/>
      <c r="X3815" s="10"/>
      <c r="AA3815" s="11"/>
    </row>
    <row r="3816" spans="2:27" x14ac:dyDescent="0.2">
      <c r="B3816" t="s">
        <v>394</v>
      </c>
      <c r="C3816">
        <v>40356915</v>
      </c>
      <c r="D3816" t="s">
        <v>485</v>
      </c>
      <c r="E3816">
        <v>1020886</v>
      </c>
      <c r="F3816" t="s">
        <v>609</v>
      </c>
      <c r="G3816" s="9">
        <v>44920</v>
      </c>
      <c r="H3816" s="7"/>
      <c r="I3816" s="7"/>
      <c r="J3816" s="7"/>
      <c r="K3816" s="7"/>
      <c r="L3816" s="10"/>
      <c r="N3816" s="10"/>
      <c r="Q3816" s="11"/>
      <c r="R3816" s="7"/>
      <c r="S3816" s="7"/>
      <c r="T3816" s="7"/>
      <c r="U3816" s="7"/>
      <c r="V3816" s="10"/>
      <c r="X3816" s="10"/>
      <c r="AA3816" s="11"/>
    </row>
    <row r="3817" spans="2:27" x14ac:dyDescent="0.2">
      <c r="B3817" t="s">
        <v>394</v>
      </c>
      <c r="C3817">
        <v>40356425</v>
      </c>
      <c r="D3817" t="s">
        <v>485</v>
      </c>
      <c r="E3817">
        <v>1020944</v>
      </c>
      <c r="F3817" t="s">
        <v>498</v>
      </c>
      <c r="G3817" s="9">
        <v>44928</v>
      </c>
      <c r="H3817" s="7"/>
      <c r="I3817" s="7"/>
      <c r="J3817" s="7"/>
      <c r="K3817" s="7"/>
      <c r="L3817" s="10"/>
      <c r="N3817" s="10"/>
      <c r="Q3817" s="11"/>
      <c r="R3817" s="7"/>
      <c r="S3817" s="7"/>
      <c r="T3817" s="7"/>
      <c r="U3817" s="7"/>
      <c r="V3817" s="10"/>
      <c r="X3817" s="10"/>
      <c r="AA3817" s="11"/>
    </row>
    <row r="3818" spans="2:27" x14ac:dyDescent="0.2">
      <c r="B3818" t="s">
        <v>394</v>
      </c>
      <c r="C3818">
        <v>40356420</v>
      </c>
      <c r="D3818" t="s">
        <v>485</v>
      </c>
      <c r="E3818">
        <v>1021385</v>
      </c>
      <c r="F3818" t="s">
        <v>495</v>
      </c>
      <c r="G3818" s="9">
        <v>44940</v>
      </c>
      <c r="H3818" s="7"/>
      <c r="I3818" s="7"/>
      <c r="J3818" s="7"/>
      <c r="K3818" s="7"/>
      <c r="L3818" s="10"/>
      <c r="N3818" s="10"/>
      <c r="Q3818" s="11"/>
      <c r="R3818" s="7"/>
      <c r="S3818" s="7"/>
      <c r="T3818" s="7"/>
      <c r="U3818" s="7"/>
      <c r="V3818" s="10"/>
      <c r="X3818" s="10"/>
      <c r="AA3818" s="11"/>
    </row>
    <row r="3819" spans="2:27" x14ac:dyDescent="0.2">
      <c r="B3819" t="s">
        <v>394</v>
      </c>
      <c r="C3819">
        <v>40356419</v>
      </c>
      <c r="D3819" t="s">
        <v>485</v>
      </c>
      <c r="E3819">
        <v>1021385</v>
      </c>
      <c r="F3819" t="s">
        <v>495</v>
      </c>
      <c r="G3819" s="9">
        <v>44935</v>
      </c>
      <c r="H3819" s="7"/>
      <c r="I3819" s="7"/>
      <c r="J3819" s="7"/>
      <c r="K3819" s="7"/>
      <c r="L3819" s="10"/>
      <c r="N3819" s="10"/>
      <c r="Q3819" s="11"/>
      <c r="R3819" s="7"/>
      <c r="S3819" s="7"/>
      <c r="T3819" s="7"/>
      <c r="U3819" s="7"/>
      <c r="V3819" s="10"/>
      <c r="X3819" s="10"/>
      <c r="AA3819" s="11"/>
    </row>
    <row r="3820" spans="2:27" x14ac:dyDescent="0.2">
      <c r="B3820" t="s">
        <v>394</v>
      </c>
      <c r="C3820">
        <v>40356418</v>
      </c>
      <c r="D3820" t="s">
        <v>485</v>
      </c>
      <c r="E3820">
        <v>1021385</v>
      </c>
      <c r="F3820" t="s">
        <v>495</v>
      </c>
      <c r="G3820" s="9">
        <v>44934</v>
      </c>
      <c r="H3820" s="7"/>
      <c r="I3820" s="7"/>
      <c r="J3820" s="7"/>
      <c r="K3820" s="7"/>
      <c r="L3820" s="10"/>
      <c r="N3820" s="10"/>
      <c r="Q3820" s="11"/>
      <c r="R3820" s="7"/>
      <c r="S3820" s="7"/>
      <c r="T3820" s="7"/>
      <c r="U3820" s="7"/>
      <c r="V3820" s="10"/>
      <c r="X3820" s="10"/>
      <c r="AA3820" s="11"/>
    </row>
    <row r="3821" spans="2:27" x14ac:dyDescent="0.2">
      <c r="B3821" t="s">
        <v>394</v>
      </c>
      <c r="C3821">
        <v>40356417</v>
      </c>
      <c r="D3821" t="s">
        <v>485</v>
      </c>
      <c r="E3821">
        <v>1021385</v>
      </c>
      <c r="F3821" t="s">
        <v>495</v>
      </c>
      <c r="G3821" s="9">
        <v>44941</v>
      </c>
      <c r="H3821" s="7"/>
      <c r="I3821" s="7"/>
      <c r="J3821" s="7"/>
      <c r="K3821" s="7"/>
      <c r="L3821" s="10"/>
      <c r="N3821" s="10"/>
      <c r="Q3821" s="11"/>
      <c r="R3821" s="7"/>
      <c r="S3821" s="7"/>
      <c r="T3821" s="7"/>
      <c r="U3821" s="7"/>
      <c r="V3821" s="10"/>
      <c r="X3821" s="10"/>
      <c r="AA3821" s="11"/>
    </row>
    <row r="3822" spans="2:27" x14ac:dyDescent="0.2">
      <c r="B3822" t="s">
        <v>394</v>
      </c>
      <c r="C3822">
        <v>40356416</v>
      </c>
      <c r="D3822" t="s">
        <v>485</v>
      </c>
      <c r="E3822">
        <v>1021385</v>
      </c>
      <c r="F3822" t="s">
        <v>495</v>
      </c>
      <c r="G3822" s="9">
        <v>44935</v>
      </c>
      <c r="H3822" s="7"/>
      <c r="I3822" s="7"/>
      <c r="J3822" s="7"/>
      <c r="K3822" s="7"/>
      <c r="L3822" s="10"/>
      <c r="N3822" s="10"/>
      <c r="Q3822" s="11"/>
      <c r="R3822" s="7"/>
      <c r="S3822" s="7"/>
      <c r="T3822" s="7"/>
      <c r="U3822" s="7"/>
      <c r="V3822" s="10"/>
      <c r="X3822" s="10"/>
      <c r="AA3822" s="11"/>
    </row>
    <row r="3823" spans="2:27" x14ac:dyDescent="0.2">
      <c r="B3823" t="s">
        <v>394</v>
      </c>
      <c r="C3823">
        <v>40356348</v>
      </c>
      <c r="D3823" t="s">
        <v>485</v>
      </c>
      <c r="E3823">
        <v>1022290</v>
      </c>
      <c r="F3823" t="s">
        <v>607</v>
      </c>
      <c r="G3823" s="9">
        <v>44920</v>
      </c>
      <c r="H3823" s="7"/>
      <c r="I3823" s="7"/>
      <c r="J3823" s="7"/>
      <c r="K3823" s="7"/>
      <c r="L3823" s="10"/>
      <c r="N3823" s="10"/>
      <c r="Q3823" s="11"/>
      <c r="R3823" s="7"/>
      <c r="S3823" s="7"/>
      <c r="T3823" s="7"/>
      <c r="U3823" s="7"/>
      <c r="V3823" s="10"/>
      <c r="X3823" s="10"/>
      <c r="AA3823" s="11"/>
    </row>
    <row r="3824" spans="2:27" x14ac:dyDescent="0.2">
      <c r="B3824" t="s">
        <v>394</v>
      </c>
      <c r="C3824">
        <v>40356348</v>
      </c>
      <c r="D3824" t="s">
        <v>485</v>
      </c>
      <c r="E3824">
        <v>1021078</v>
      </c>
      <c r="F3824" t="s">
        <v>536</v>
      </c>
      <c r="G3824" s="9">
        <v>44920</v>
      </c>
      <c r="H3824" s="7"/>
      <c r="I3824" s="7"/>
      <c r="J3824" s="7"/>
      <c r="K3824" s="7"/>
      <c r="L3824" s="10"/>
      <c r="N3824" s="10"/>
      <c r="Q3824" s="11"/>
      <c r="R3824" s="7"/>
      <c r="S3824" s="7"/>
      <c r="T3824" s="7"/>
      <c r="U3824" s="7"/>
      <c r="V3824" s="10"/>
      <c r="X3824" s="10"/>
      <c r="AA3824" s="11"/>
    </row>
    <row r="3825" spans="2:27" ht="16" x14ac:dyDescent="0.2">
      <c r="B3825" t="s">
        <v>35</v>
      </c>
      <c r="C3825">
        <v>40356346</v>
      </c>
      <c r="D3825" t="s">
        <v>423</v>
      </c>
      <c r="E3825">
        <v>1023432</v>
      </c>
      <c r="F3825" t="s">
        <v>655</v>
      </c>
      <c r="G3825" s="9">
        <v>44941</v>
      </c>
      <c r="H3825" s="7"/>
      <c r="I3825" s="7"/>
      <c r="J3825" s="7"/>
      <c r="K3825" s="7"/>
      <c r="L3825" s="10">
        <v>5.4496124031007751</v>
      </c>
      <c r="M3825" s="9">
        <v>44946</v>
      </c>
      <c r="N3825" s="10">
        <v>10</v>
      </c>
      <c r="O3825" s="9">
        <v>44956</v>
      </c>
      <c r="P3825">
        <v>1</v>
      </c>
      <c r="Q3825" s="11" t="s">
        <v>648</v>
      </c>
      <c r="R3825" s="7"/>
      <c r="S3825" s="7"/>
      <c r="T3825" s="7"/>
      <c r="U3825" s="7"/>
      <c r="V3825" s="10">
        <v>7.4496124031007751</v>
      </c>
      <c r="W3825" s="9">
        <v>44948</v>
      </c>
      <c r="X3825" s="10">
        <v>12</v>
      </c>
      <c r="Y3825" s="9">
        <v>44956</v>
      </c>
      <c r="Z3825">
        <v>1</v>
      </c>
      <c r="AA3825" s="11" t="s">
        <v>648</v>
      </c>
    </row>
    <row r="3826" spans="2:27" x14ac:dyDescent="0.2">
      <c r="B3826" t="s">
        <v>394</v>
      </c>
      <c r="C3826">
        <v>40356339</v>
      </c>
      <c r="D3826" t="s">
        <v>485</v>
      </c>
      <c r="E3826">
        <v>1020367</v>
      </c>
      <c r="F3826" t="s">
        <v>596</v>
      </c>
      <c r="G3826" s="9">
        <v>44932</v>
      </c>
      <c r="H3826" s="7"/>
      <c r="I3826" s="7"/>
      <c r="J3826" s="7"/>
      <c r="K3826" s="7"/>
      <c r="L3826" s="10"/>
      <c r="N3826" s="10"/>
      <c r="Q3826" s="11"/>
      <c r="R3826" s="7"/>
      <c r="S3826" s="7"/>
      <c r="T3826" s="7"/>
      <c r="U3826" s="7"/>
      <c r="V3826" s="10"/>
      <c r="X3826" s="10"/>
      <c r="AA3826" s="11"/>
    </row>
    <row r="3827" spans="2:27" x14ac:dyDescent="0.2">
      <c r="B3827" t="s">
        <v>394</v>
      </c>
      <c r="C3827">
        <v>40356338</v>
      </c>
      <c r="D3827" t="s">
        <v>485</v>
      </c>
      <c r="E3827">
        <v>1021385</v>
      </c>
      <c r="F3827" t="s">
        <v>495</v>
      </c>
      <c r="G3827" s="9">
        <v>44933</v>
      </c>
      <c r="H3827" s="7"/>
      <c r="I3827" s="7"/>
      <c r="J3827" s="7"/>
      <c r="K3827" s="7"/>
      <c r="L3827" s="10"/>
      <c r="N3827" s="10"/>
      <c r="Q3827" s="11"/>
      <c r="R3827" s="7"/>
      <c r="S3827" s="7"/>
      <c r="T3827" s="7"/>
      <c r="U3827" s="7"/>
      <c r="V3827" s="10"/>
      <c r="X3827" s="10"/>
      <c r="AA3827" s="11"/>
    </row>
    <row r="3828" spans="2:27" x14ac:dyDescent="0.2">
      <c r="B3828" t="s">
        <v>394</v>
      </c>
      <c r="C3828">
        <v>40356338</v>
      </c>
      <c r="D3828" t="s">
        <v>485</v>
      </c>
      <c r="E3828">
        <v>1021101</v>
      </c>
      <c r="F3828" t="s">
        <v>619</v>
      </c>
      <c r="G3828" s="9">
        <v>44933</v>
      </c>
      <c r="H3828" s="7"/>
      <c r="I3828" s="7"/>
      <c r="J3828" s="7"/>
      <c r="K3828" s="7"/>
      <c r="L3828" s="10"/>
      <c r="N3828" s="10"/>
      <c r="Q3828" s="11"/>
      <c r="R3828" s="7"/>
      <c r="S3828" s="7"/>
      <c r="T3828" s="7"/>
      <c r="U3828" s="7"/>
      <c r="V3828" s="10"/>
      <c r="X3828" s="10"/>
      <c r="AA3828" s="11"/>
    </row>
    <row r="3829" spans="2:27" x14ac:dyDescent="0.2">
      <c r="B3829" t="s">
        <v>394</v>
      </c>
      <c r="C3829">
        <v>40356335</v>
      </c>
      <c r="D3829" t="s">
        <v>485</v>
      </c>
      <c r="E3829">
        <v>1020869</v>
      </c>
      <c r="F3829" t="s">
        <v>610</v>
      </c>
      <c r="G3829" s="9">
        <v>44925</v>
      </c>
      <c r="H3829" s="7"/>
      <c r="I3829" s="7"/>
      <c r="J3829" s="7"/>
      <c r="K3829" s="7"/>
      <c r="L3829" s="10"/>
      <c r="N3829" s="10"/>
      <c r="Q3829" s="11"/>
      <c r="R3829" s="7"/>
      <c r="S3829" s="7"/>
      <c r="T3829" s="7"/>
      <c r="U3829" s="7"/>
      <c r="V3829" s="10"/>
      <c r="X3829" s="10"/>
      <c r="AA3829" s="11"/>
    </row>
    <row r="3830" spans="2:27" x14ac:dyDescent="0.2">
      <c r="B3830" t="s">
        <v>394</v>
      </c>
      <c r="C3830">
        <v>40356324</v>
      </c>
      <c r="D3830" t="s">
        <v>396</v>
      </c>
      <c r="E3830">
        <v>1012612</v>
      </c>
      <c r="F3830" t="s">
        <v>429</v>
      </c>
      <c r="G3830" s="9">
        <v>44976</v>
      </c>
      <c r="H3830" s="7"/>
      <c r="I3830" s="7"/>
      <c r="J3830" s="7"/>
      <c r="K3830" s="7"/>
      <c r="L3830" s="10"/>
      <c r="N3830" s="10"/>
      <c r="Q3830" s="11"/>
      <c r="R3830" s="7"/>
      <c r="S3830" s="7"/>
      <c r="T3830" s="7"/>
      <c r="U3830" s="7"/>
      <c r="V3830" s="10"/>
      <c r="X3830" s="10"/>
      <c r="AA3830" s="11"/>
    </row>
    <row r="3831" spans="2:27" x14ac:dyDescent="0.2">
      <c r="B3831" t="s">
        <v>394</v>
      </c>
      <c r="C3831">
        <v>40356323</v>
      </c>
      <c r="D3831" t="s">
        <v>396</v>
      </c>
      <c r="E3831">
        <v>1012612</v>
      </c>
      <c r="F3831" t="s">
        <v>429</v>
      </c>
      <c r="G3831" s="9">
        <v>44976</v>
      </c>
      <c r="H3831" s="7"/>
      <c r="I3831" s="7"/>
      <c r="J3831" s="7"/>
      <c r="K3831" s="7"/>
      <c r="L3831" s="10"/>
      <c r="N3831" s="10"/>
      <c r="Q3831" s="11"/>
      <c r="R3831" s="7"/>
      <c r="S3831" s="7"/>
      <c r="T3831" s="7"/>
      <c r="U3831" s="7"/>
      <c r="V3831" s="10"/>
      <c r="X3831" s="10"/>
      <c r="AA3831" s="11"/>
    </row>
    <row r="3832" spans="2:27" x14ac:dyDescent="0.2">
      <c r="B3832" t="s">
        <v>394</v>
      </c>
      <c r="C3832">
        <v>40356322</v>
      </c>
      <c r="D3832" t="s">
        <v>396</v>
      </c>
      <c r="E3832">
        <v>1012612</v>
      </c>
      <c r="F3832" t="s">
        <v>429</v>
      </c>
      <c r="G3832" s="9">
        <v>44976</v>
      </c>
      <c r="H3832" s="7"/>
      <c r="I3832" s="7"/>
      <c r="J3832" s="7"/>
      <c r="K3832" s="7"/>
      <c r="L3832" s="10"/>
      <c r="N3832" s="10"/>
      <c r="Q3832" s="11"/>
      <c r="R3832" s="7"/>
      <c r="S3832" s="7"/>
      <c r="T3832" s="7"/>
      <c r="U3832" s="7"/>
      <c r="V3832" s="10"/>
      <c r="X3832" s="10"/>
      <c r="AA3832" s="11"/>
    </row>
    <row r="3833" spans="2:27" x14ac:dyDescent="0.2">
      <c r="B3833" t="s">
        <v>394</v>
      </c>
      <c r="C3833">
        <v>40356321</v>
      </c>
      <c r="D3833" t="s">
        <v>396</v>
      </c>
      <c r="E3833">
        <v>1012612</v>
      </c>
      <c r="F3833" t="s">
        <v>429</v>
      </c>
      <c r="G3833" s="9">
        <v>44960</v>
      </c>
      <c r="H3833" s="7"/>
      <c r="I3833" s="7"/>
      <c r="J3833" s="7"/>
      <c r="K3833" s="7"/>
      <c r="L3833" s="10"/>
      <c r="N3833" s="10"/>
      <c r="Q3833" s="11"/>
      <c r="R3833" s="7"/>
      <c r="S3833" s="7"/>
      <c r="T3833" s="7"/>
      <c r="U3833" s="7"/>
      <c r="V3833" s="10"/>
      <c r="X3833" s="10"/>
      <c r="AA3833" s="11"/>
    </row>
    <row r="3834" spans="2:27" x14ac:dyDescent="0.2">
      <c r="B3834" t="s">
        <v>394</v>
      </c>
      <c r="C3834">
        <v>40356320</v>
      </c>
      <c r="D3834" t="s">
        <v>396</v>
      </c>
      <c r="E3834">
        <v>1012612</v>
      </c>
      <c r="F3834" t="s">
        <v>429</v>
      </c>
      <c r="G3834" s="9">
        <v>44960</v>
      </c>
      <c r="H3834" s="7"/>
      <c r="I3834" s="7"/>
      <c r="J3834" s="7"/>
      <c r="K3834" s="7"/>
      <c r="L3834" s="10"/>
      <c r="N3834" s="10"/>
      <c r="Q3834" s="11"/>
      <c r="R3834" s="7"/>
      <c r="S3834" s="7"/>
      <c r="T3834" s="7"/>
      <c r="U3834" s="7"/>
      <c r="V3834" s="10"/>
      <c r="X3834" s="10"/>
      <c r="AA3834" s="11"/>
    </row>
    <row r="3835" spans="2:27" x14ac:dyDescent="0.2">
      <c r="B3835" t="s">
        <v>394</v>
      </c>
      <c r="C3835">
        <v>40356319</v>
      </c>
      <c r="D3835" t="s">
        <v>396</v>
      </c>
      <c r="E3835">
        <v>1012612</v>
      </c>
      <c r="F3835" t="s">
        <v>429</v>
      </c>
      <c r="G3835" s="9">
        <v>44960</v>
      </c>
      <c r="H3835" s="7"/>
      <c r="I3835" s="7"/>
      <c r="J3835" s="7"/>
      <c r="K3835" s="7"/>
      <c r="L3835" s="10"/>
      <c r="N3835" s="10"/>
      <c r="Q3835" s="11"/>
      <c r="R3835" s="7"/>
      <c r="S3835" s="7"/>
      <c r="T3835" s="7"/>
      <c r="U3835" s="7"/>
      <c r="V3835" s="10"/>
      <c r="X3835" s="10"/>
      <c r="AA3835" s="11"/>
    </row>
    <row r="3836" spans="2:27" x14ac:dyDescent="0.2">
      <c r="B3836" t="s">
        <v>394</v>
      </c>
      <c r="C3836">
        <v>40356318</v>
      </c>
      <c r="D3836" t="s">
        <v>396</v>
      </c>
      <c r="E3836">
        <v>1012612</v>
      </c>
      <c r="F3836" t="s">
        <v>429</v>
      </c>
      <c r="G3836" s="9">
        <v>44960</v>
      </c>
      <c r="H3836" s="7"/>
      <c r="I3836" s="7"/>
      <c r="J3836" s="7"/>
      <c r="K3836" s="7"/>
      <c r="L3836" s="10"/>
      <c r="N3836" s="10"/>
      <c r="Q3836" s="11"/>
      <c r="R3836" s="7"/>
      <c r="S3836" s="7"/>
      <c r="T3836" s="7"/>
      <c r="U3836" s="7"/>
      <c r="V3836" s="10"/>
      <c r="X3836" s="10"/>
      <c r="AA3836" s="11"/>
    </row>
    <row r="3837" spans="2:27" x14ac:dyDescent="0.2">
      <c r="B3837" t="s">
        <v>394</v>
      </c>
      <c r="C3837">
        <v>40356317</v>
      </c>
      <c r="D3837" t="s">
        <v>396</v>
      </c>
      <c r="E3837">
        <v>1012612</v>
      </c>
      <c r="F3837" t="s">
        <v>429</v>
      </c>
      <c r="G3837" s="9">
        <v>44960</v>
      </c>
      <c r="H3837" s="7"/>
      <c r="I3837" s="7"/>
      <c r="J3837" s="7"/>
      <c r="K3837" s="7"/>
      <c r="L3837" s="10"/>
      <c r="N3837" s="10"/>
      <c r="Q3837" s="11"/>
      <c r="R3837" s="7"/>
      <c r="S3837" s="7"/>
      <c r="T3837" s="7"/>
      <c r="U3837" s="7"/>
      <c r="V3837" s="10"/>
      <c r="X3837" s="10"/>
      <c r="AA3837" s="11"/>
    </row>
    <row r="3838" spans="2:27" x14ac:dyDescent="0.2">
      <c r="B3838" t="s">
        <v>394</v>
      </c>
      <c r="C3838">
        <v>40356298</v>
      </c>
      <c r="D3838" t="s">
        <v>396</v>
      </c>
      <c r="E3838">
        <v>1012612</v>
      </c>
      <c r="F3838" t="s">
        <v>429</v>
      </c>
      <c r="G3838" s="9">
        <v>44976</v>
      </c>
      <c r="H3838" s="7"/>
      <c r="I3838" s="7"/>
      <c r="J3838" s="7"/>
      <c r="K3838" s="7"/>
      <c r="L3838" s="10"/>
      <c r="N3838" s="10"/>
      <c r="Q3838" s="11"/>
      <c r="R3838" s="7"/>
      <c r="S3838" s="7"/>
      <c r="T3838" s="7"/>
      <c r="U3838" s="7"/>
      <c r="V3838" s="10"/>
      <c r="X3838" s="10"/>
      <c r="AA3838" s="11"/>
    </row>
    <row r="3839" spans="2:27" x14ac:dyDescent="0.2">
      <c r="B3839" t="s">
        <v>394</v>
      </c>
      <c r="C3839">
        <v>40356297</v>
      </c>
      <c r="D3839" t="s">
        <v>396</v>
      </c>
      <c r="E3839">
        <v>1012612</v>
      </c>
      <c r="F3839" t="s">
        <v>429</v>
      </c>
      <c r="G3839" s="9">
        <v>44982</v>
      </c>
      <c r="H3839" s="7"/>
      <c r="I3839" s="7"/>
      <c r="J3839" s="7"/>
      <c r="K3839" s="7"/>
      <c r="L3839" s="10"/>
      <c r="N3839" s="10"/>
      <c r="Q3839" s="11"/>
      <c r="R3839" s="7"/>
      <c r="S3839" s="7"/>
      <c r="T3839" s="7"/>
      <c r="U3839" s="7"/>
      <c r="V3839" s="10"/>
      <c r="X3839" s="10"/>
      <c r="AA3839" s="11"/>
    </row>
    <row r="3840" spans="2:27" x14ac:dyDescent="0.2">
      <c r="B3840" t="s">
        <v>394</v>
      </c>
      <c r="C3840">
        <v>40356296</v>
      </c>
      <c r="D3840" t="s">
        <v>396</v>
      </c>
      <c r="E3840">
        <v>1012612</v>
      </c>
      <c r="F3840" t="s">
        <v>429</v>
      </c>
      <c r="G3840" s="9">
        <v>44976</v>
      </c>
      <c r="H3840" s="7"/>
      <c r="I3840" s="7"/>
      <c r="J3840" s="7"/>
      <c r="K3840" s="7"/>
      <c r="L3840" s="10"/>
      <c r="N3840" s="10"/>
      <c r="Q3840" s="11"/>
      <c r="R3840" s="7"/>
      <c r="S3840" s="7"/>
      <c r="T3840" s="7"/>
      <c r="U3840" s="7"/>
      <c r="V3840" s="10"/>
      <c r="X3840" s="10"/>
      <c r="AA3840" s="11"/>
    </row>
    <row r="3841" spans="2:27" x14ac:dyDescent="0.2">
      <c r="B3841" t="s">
        <v>394</v>
      </c>
      <c r="C3841">
        <v>40356295</v>
      </c>
      <c r="D3841" t="s">
        <v>396</v>
      </c>
      <c r="E3841">
        <v>1012612</v>
      </c>
      <c r="F3841" t="s">
        <v>429</v>
      </c>
      <c r="G3841" s="9">
        <v>44982</v>
      </c>
      <c r="H3841" s="7"/>
      <c r="I3841" s="7"/>
      <c r="J3841" s="7"/>
      <c r="K3841" s="7"/>
      <c r="L3841" s="10"/>
      <c r="N3841" s="10"/>
      <c r="Q3841" s="11"/>
      <c r="R3841" s="7"/>
      <c r="S3841" s="7"/>
      <c r="T3841" s="7"/>
      <c r="U3841" s="7"/>
      <c r="V3841" s="10"/>
      <c r="X3841" s="10"/>
      <c r="AA3841" s="11"/>
    </row>
    <row r="3842" spans="2:27" x14ac:dyDescent="0.2">
      <c r="B3842" t="s">
        <v>394</v>
      </c>
      <c r="C3842">
        <v>40356294</v>
      </c>
      <c r="D3842" t="s">
        <v>396</v>
      </c>
      <c r="E3842">
        <v>1012612</v>
      </c>
      <c r="F3842" t="s">
        <v>429</v>
      </c>
      <c r="G3842" s="9">
        <v>44982</v>
      </c>
      <c r="H3842" s="7"/>
      <c r="I3842" s="7"/>
      <c r="J3842" s="7"/>
      <c r="K3842" s="7"/>
      <c r="L3842" s="10"/>
      <c r="N3842" s="10"/>
      <c r="Q3842" s="11"/>
      <c r="R3842" s="7"/>
      <c r="S3842" s="7"/>
      <c r="T3842" s="7"/>
      <c r="U3842" s="7"/>
      <c r="V3842" s="10"/>
      <c r="X3842" s="10"/>
      <c r="AA3842" s="11"/>
    </row>
    <row r="3843" spans="2:27" x14ac:dyDescent="0.2">
      <c r="B3843" t="s">
        <v>394</v>
      </c>
      <c r="C3843">
        <v>40356293</v>
      </c>
      <c r="D3843" t="s">
        <v>396</v>
      </c>
      <c r="E3843">
        <v>1012612</v>
      </c>
      <c r="F3843" t="s">
        <v>429</v>
      </c>
      <c r="G3843" s="9">
        <v>44982</v>
      </c>
      <c r="H3843" s="7"/>
      <c r="I3843" s="7"/>
      <c r="J3843" s="7"/>
      <c r="K3843" s="7"/>
      <c r="L3843" s="10"/>
      <c r="N3843" s="10"/>
      <c r="Q3843" s="11"/>
      <c r="R3843" s="7"/>
      <c r="S3843" s="7"/>
      <c r="T3843" s="7"/>
      <c r="U3843" s="7"/>
      <c r="V3843" s="10"/>
      <c r="X3843" s="10"/>
      <c r="AA3843" s="11"/>
    </row>
    <row r="3844" spans="2:27" x14ac:dyDescent="0.2">
      <c r="B3844" t="s">
        <v>394</v>
      </c>
      <c r="C3844">
        <v>40356292</v>
      </c>
      <c r="D3844" t="s">
        <v>396</v>
      </c>
      <c r="E3844">
        <v>1012612</v>
      </c>
      <c r="F3844" t="s">
        <v>429</v>
      </c>
      <c r="G3844" s="9">
        <v>44982</v>
      </c>
      <c r="H3844" s="7"/>
      <c r="I3844" s="7"/>
      <c r="J3844" s="7"/>
      <c r="K3844" s="7"/>
      <c r="L3844" s="10"/>
      <c r="N3844" s="10"/>
      <c r="Q3844" s="11"/>
      <c r="R3844" s="7"/>
      <c r="S3844" s="7"/>
      <c r="T3844" s="7"/>
      <c r="U3844" s="7"/>
      <c r="V3844" s="10"/>
      <c r="X3844" s="10"/>
      <c r="AA3844" s="11"/>
    </row>
    <row r="3845" spans="2:27" x14ac:dyDescent="0.2">
      <c r="B3845" t="s">
        <v>394</v>
      </c>
      <c r="C3845">
        <v>40356291</v>
      </c>
      <c r="D3845" t="s">
        <v>396</v>
      </c>
      <c r="E3845">
        <v>1012612</v>
      </c>
      <c r="F3845" t="s">
        <v>429</v>
      </c>
      <c r="G3845" s="9">
        <v>44982</v>
      </c>
      <c r="H3845" s="7"/>
      <c r="I3845" s="7"/>
      <c r="J3845" s="7"/>
      <c r="K3845" s="7"/>
      <c r="L3845" s="10"/>
      <c r="N3845" s="10"/>
      <c r="Q3845" s="11"/>
      <c r="R3845" s="7"/>
      <c r="S3845" s="7"/>
      <c r="T3845" s="7"/>
      <c r="U3845" s="7"/>
      <c r="V3845" s="10"/>
      <c r="X3845" s="10"/>
      <c r="AA3845" s="11"/>
    </row>
    <row r="3846" spans="2:27" x14ac:dyDescent="0.2">
      <c r="B3846" t="s">
        <v>394</v>
      </c>
      <c r="C3846">
        <v>40356290</v>
      </c>
      <c r="D3846" t="s">
        <v>396</v>
      </c>
      <c r="E3846">
        <v>1012612</v>
      </c>
      <c r="F3846" t="s">
        <v>429</v>
      </c>
      <c r="G3846" s="9">
        <v>44976</v>
      </c>
      <c r="H3846" s="7"/>
      <c r="I3846" s="7"/>
      <c r="J3846" s="7"/>
      <c r="K3846" s="7"/>
      <c r="L3846" s="10"/>
      <c r="N3846" s="10"/>
      <c r="Q3846" s="11"/>
      <c r="R3846" s="7"/>
      <c r="S3846" s="7"/>
      <c r="T3846" s="7"/>
      <c r="U3846" s="7"/>
      <c r="V3846" s="10"/>
      <c r="X3846" s="10"/>
      <c r="AA3846" s="11"/>
    </row>
    <row r="3847" spans="2:27" x14ac:dyDescent="0.2">
      <c r="B3847" t="s">
        <v>394</v>
      </c>
      <c r="C3847">
        <v>40356289</v>
      </c>
      <c r="D3847" t="s">
        <v>396</v>
      </c>
      <c r="E3847">
        <v>1012612</v>
      </c>
      <c r="F3847" t="s">
        <v>429</v>
      </c>
      <c r="G3847" s="9">
        <v>44976</v>
      </c>
      <c r="H3847" s="7"/>
      <c r="I3847" s="7"/>
      <c r="J3847" s="7"/>
      <c r="K3847" s="7"/>
      <c r="L3847" s="10"/>
      <c r="N3847" s="10"/>
      <c r="Q3847" s="11"/>
      <c r="R3847" s="7"/>
      <c r="S3847" s="7"/>
      <c r="T3847" s="7"/>
      <c r="U3847" s="7"/>
      <c r="V3847" s="10"/>
      <c r="X3847" s="10"/>
      <c r="AA3847" s="11"/>
    </row>
    <row r="3848" spans="2:27" x14ac:dyDescent="0.2">
      <c r="B3848" t="s">
        <v>394</v>
      </c>
      <c r="C3848">
        <v>40356288</v>
      </c>
      <c r="D3848" t="s">
        <v>396</v>
      </c>
      <c r="E3848">
        <v>1012612</v>
      </c>
      <c r="F3848" t="s">
        <v>429</v>
      </c>
      <c r="G3848" s="9">
        <v>44976</v>
      </c>
      <c r="H3848" s="7"/>
      <c r="I3848" s="7"/>
      <c r="J3848" s="7"/>
      <c r="K3848" s="7"/>
      <c r="L3848" s="10"/>
      <c r="N3848" s="10"/>
      <c r="Q3848" s="11"/>
      <c r="R3848" s="7"/>
      <c r="S3848" s="7"/>
      <c r="T3848" s="7"/>
      <c r="U3848" s="7"/>
      <c r="V3848" s="10"/>
      <c r="X3848" s="10"/>
      <c r="AA3848" s="11"/>
    </row>
    <row r="3849" spans="2:27" x14ac:dyDescent="0.2">
      <c r="B3849" t="s">
        <v>394</v>
      </c>
      <c r="C3849">
        <v>40356287</v>
      </c>
      <c r="D3849" t="s">
        <v>396</v>
      </c>
      <c r="E3849">
        <v>1012612</v>
      </c>
      <c r="F3849" t="s">
        <v>429</v>
      </c>
      <c r="G3849" s="9">
        <v>44976</v>
      </c>
      <c r="H3849" s="7"/>
      <c r="I3849" s="7"/>
      <c r="J3849" s="7"/>
      <c r="K3849" s="7"/>
      <c r="L3849" s="10"/>
      <c r="N3849" s="10"/>
      <c r="Q3849" s="11"/>
      <c r="R3849" s="7"/>
      <c r="S3849" s="7"/>
      <c r="T3849" s="7"/>
      <c r="U3849" s="7"/>
      <c r="V3849" s="10"/>
      <c r="X3849" s="10"/>
      <c r="AA3849" s="11"/>
    </row>
    <row r="3850" spans="2:27" x14ac:dyDescent="0.2">
      <c r="B3850" t="s">
        <v>394</v>
      </c>
      <c r="C3850">
        <v>40356286</v>
      </c>
      <c r="D3850" t="s">
        <v>396</v>
      </c>
      <c r="E3850">
        <v>1012612</v>
      </c>
      <c r="F3850" t="s">
        <v>429</v>
      </c>
      <c r="G3850" s="9">
        <v>44976</v>
      </c>
      <c r="H3850" s="7"/>
      <c r="I3850" s="7"/>
      <c r="J3850" s="7"/>
      <c r="K3850" s="7"/>
      <c r="L3850" s="10"/>
      <c r="N3850" s="10"/>
      <c r="Q3850" s="11"/>
      <c r="R3850" s="7"/>
      <c r="S3850" s="7"/>
      <c r="T3850" s="7"/>
      <c r="U3850" s="7"/>
      <c r="V3850" s="10"/>
      <c r="X3850" s="10"/>
      <c r="AA3850" s="11"/>
    </row>
    <row r="3851" spans="2:27" x14ac:dyDescent="0.2">
      <c r="B3851" t="s">
        <v>394</v>
      </c>
      <c r="C3851">
        <v>40356281</v>
      </c>
      <c r="D3851" t="s">
        <v>396</v>
      </c>
      <c r="E3851">
        <v>1022887</v>
      </c>
      <c r="F3851" t="s">
        <v>404</v>
      </c>
      <c r="G3851" s="9">
        <v>44965</v>
      </c>
      <c r="H3851" s="7"/>
      <c r="I3851" s="7"/>
      <c r="J3851" s="7"/>
      <c r="K3851" s="7"/>
      <c r="L3851" s="10"/>
      <c r="N3851" s="10"/>
      <c r="Q3851" s="11"/>
      <c r="R3851" s="7"/>
      <c r="S3851" s="7"/>
      <c r="T3851" s="7"/>
      <c r="U3851" s="7"/>
      <c r="V3851" s="10"/>
      <c r="X3851" s="10"/>
      <c r="AA3851" s="11"/>
    </row>
    <row r="3852" spans="2:27" x14ac:dyDescent="0.2">
      <c r="B3852" t="s">
        <v>394</v>
      </c>
      <c r="C3852">
        <v>40356279</v>
      </c>
      <c r="D3852" t="s">
        <v>396</v>
      </c>
      <c r="E3852">
        <v>1022182</v>
      </c>
      <c r="F3852" t="s">
        <v>519</v>
      </c>
      <c r="G3852" s="9">
        <v>44958</v>
      </c>
      <c r="H3852" s="7"/>
      <c r="I3852" s="7"/>
      <c r="J3852" s="7"/>
      <c r="K3852" s="7"/>
      <c r="L3852" s="10"/>
      <c r="N3852" s="10"/>
      <c r="Q3852" s="11"/>
      <c r="R3852" s="7"/>
      <c r="S3852" s="7"/>
      <c r="T3852" s="7"/>
      <c r="U3852" s="7"/>
      <c r="V3852" s="10"/>
      <c r="X3852" s="10"/>
      <c r="AA3852" s="11"/>
    </row>
    <row r="3853" spans="2:27" x14ac:dyDescent="0.2">
      <c r="B3853" t="s">
        <v>394</v>
      </c>
      <c r="C3853">
        <v>40356273</v>
      </c>
      <c r="D3853" t="s">
        <v>396</v>
      </c>
      <c r="E3853">
        <v>1020860</v>
      </c>
      <c r="F3853" t="s">
        <v>403</v>
      </c>
      <c r="G3853" s="9">
        <v>44965</v>
      </c>
      <c r="H3853" s="7"/>
      <c r="I3853" s="7"/>
      <c r="J3853" s="7"/>
      <c r="K3853" s="7"/>
      <c r="L3853" s="10"/>
      <c r="N3853" s="10"/>
      <c r="Q3853" s="11"/>
      <c r="R3853" s="7"/>
      <c r="S3853" s="7"/>
      <c r="T3853" s="7"/>
      <c r="U3853" s="7"/>
      <c r="V3853" s="10"/>
      <c r="X3853" s="10"/>
      <c r="AA3853" s="11"/>
    </row>
    <row r="3854" spans="2:27" x14ac:dyDescent="0.2">
      <c r="B3854" t="s">
        <v>394</v>
      </c>
      <c r="C3854">
        <v>40356272</v>
      </c>
      <c r="D3854" t="s">
        <v>396</v>
      </c>
      <c r="E3854">
        <v>1020860</v>
      </c>
      <c r="F3854" t="s">
        <v>403</v>
      </c>
      <c r="G3854" s="9">
        <v>44958</v>
      </c>
      <c r="H3854" s="7"/>
      <c r="I3854" s="7"/>
      <c r="J3854" s="7"/>
      <c r="K3854" s="7"/>
      <c r="L3854" s="10"/>
      <c r="N3854" s="10"/>
      <c r="Q3854" s="11"/>
      <c r="R3854" s="7"/>
      <c r="S3854" s="7"/>
      <c r="T3854" s="7"/>
      <c r="U3854" s="7"/>
      <c r="V3854" s="10"/>
      <c r="X3854" s="10"/>
      <c r="AA3854" s="11"/>
    </row>
    <row r="3855" spans="2:27" x14ac:dyDescent="0.2">
      <c r="B3855" t="s">
        <v>394</v>
      </c>
      <c r="C3855">
        <v>40356269</v>
      </c>
      <c r="D3855" t="s">
        <v>396</v>
      </c>
      <c r="E3855">
        <v>1021665</v>
      </c>
      <c r="F3855" t="s">
        <v>453</v>
      </c>
      <c r="G3855" s="9">
        <v>44959</v>
      </c>
      <c r="H3855" s="7"/>
      <c r="I3855" s="7"/>
      <c r="J3855" s="7"/>
      <c r="K3855" s="7"/>
      <c r="L3855" s="10"/>
      <c r="N3855" s="10"/>
      <c r="Q3855" s="11"/>
      <c r="R3855" s="7"/>
      <c r="S3855" s="7"/>
      <c r="T3855" s="7"/>
      <c r="U3855" s="7"/>
      <c r="V3855" s="10"/>
      <c r="X3855" s="10"/>
      <c r="AA3855" s="11"/>
    </row>
    <row r="3856" spans="2:27" x14ac:dyDescent="0.2">
      <c r="B3856" t="s">
        <v>394</v>
      </c>
      <c r="C3856">
        <v>40356268</v>
      </c>
      <c r="D3856" t="s">
        <v>396</v>
      </c>
      <c r="E3856">
        <v>1022887</v>
      </c>
      <c r="F3856" t="s">
        <v>404</v>
      </c>
      <c r="G3856" s="9">
        <v>44959</v>
      </c>
      <c r="H3856" s="7"/>
      <c r="I3856" s="7"/>
      <c r="J3856" s="7"/>
      <c r="K3856" s="7"/>
      <c r="L3856" s="10"/>
      <c r="N3856" s="10"/>
      <c r="Q3856" s="11"/>
      <c r="R3856" s="7"/>
      <c r="S3856" s="7"/>
      <c r="T3856" s="7"/>
      <c r="U3856" s="7"/>
      <c r="V3856" s="10"/>
      <c r="X3856" s="10"/>
      <c r="AA3856" s="11"/>
    </row>
    <row r="3857" spans="2:27" x14ac:dyDescent="0.2">
      <c r="B3857" t="s">
        <v>394</v>
      </c>
      <c r="C3857">
        <v>40356267</v>
      </c>
      <c r="D3857" t="s">
        <v>396</v>
      </c>
      <c r="E3857">
        <v>1022887</v>
      </c>
      <c r="F3857" t="s">
        <v>404</v>
      </c>
      <c r="G3857" s="9">
        <v>44959</v>
      </c>
      <c r="H3857" s="7"/>
      <c r="I3857" s="7"/>
      <c r="J3857" s="7"/>
      <c r="K3857" s="7"/>
      <c r="L3857" s="10"/>
      <c r="N3857" s="10"/>
      <c r="Q3857" s="11"/>
      <c r="R3857" s="7"/>
      <c r="S3857" s="7"/>
      <c r="T3857" s="7"/>
      <c r="U3857" s="7"/>
      <c r="V3857" s="10"/>
      <c r="X3857" s="10"/>
      <c r="AA3857" s="11"/>
    </row>
    <row r="3858" spans="2:27" x14ac:dyDescent="0.2">
      <c r="B3858" t="s">
        <v>394</v>
      </c>
      <c r="C3858">
        <v>40356266</v>
      </c>
      <c r="D3858" t="s">
        <v>396</v>
      </c>
      <c r="E3858">
        <v>1022887</v>
      </c>
      <c r="F3858" t="s">
        <v>404</v>
      </c>
      <c r="G3858" s="9">
        <v>44959</v>
      </c>
      <c r="H3858" s="7"/>
      <c r="I3858" s="7"/>
      <c r="J3858" s="7"/>
      <c r="K3858" s="7"/>
      <c r="L3858" s="10"/>
      <c r="N3858" s="10"/>
      <c r="Q3858" s="11"/>
      <c r="R3858" s="7"/>
      <c r="S3858" s="7"/>
      <c r="T3858" s="7"/>
      <c r="U3858" s="7"/>
      <c r="V3858" s="10"/>
      <c r="X3858" s="10"/>
      <c r="AA3858" s="11"/>
    </row>
    <row r="3859" spans="2:27" x14ac:dyDescent="0.2">
      <c r="B3859" t="s">
        <v>394</v>
      </c>
      <c r="C3859">
        <v>40356265</v>
      </c>
      <c r="D3859" t="s">
        <v>396</v>
      </c>
      <c r="E3859">
        <v>1022887</v>
      </c>
      <c r="F3859" t="s">
        <v>404</v>
      </c>
      <c r="G3859" s="9">
        <v>44959</v>
      </c>
      <c r="H3859" s="7"/>
      <c r="I3859" s="7"/>
      <c r="J3859" s="7"/>
      <c r="K3859" s="7"/>
      <c r="L3859" s="10"/>
      <c r="N3859" s="10"/>
      <c r="Q3859" s="11"/>
      <c r="R3859" s="7"/>
      <c r="S3859" s="7"/>
      <c r="T3859" s="7"/>
      <c r="U3859" s="7"/>
      <c r="V3859" s="10"/>
      <c r="X3859" s="10"/>
      <c r="AA3859" s="11"/>
    </row>
    <row r="3860" spans="2:27" x14ac:dyDescent="0.2">
      <c r="B3860" t="s">
        <v>394</v>
      </c>
      <c r="C3860">
        <v>40356264</v>
      </c>
      <c r="D3860" t="s">
        <v>396</v>
      </c>
      <c r="E3860">
        <v>1022887</v>
      </c>
      <c r="F3860" t="s">
        <v>404</v>
      </c>
      <c r="G3860" s="9">
        <v>44959</v>
      </c>
      <c r="H3860" s="7"/>
      <c r="I3860" s="7"/>
      <c r="J3860" s="7"/>
      <c r="K3860" s="7"/>
      <c r="L3860" s="10"/>
      <c r="N3860" s="10"/>
      <c r="Q3860" s="11"/>
      <c r="R3860" s="7"/>
      <c r="S3860" s="7"/>
      <c r="T3860" s="7"/>
      <c r="U3860" s="7"/>
      <c r="V3860" s="10"/>
      <c r="X3860" s="10"/>
      <c r="AA3860" s="11"/>
    </row>
    <row r="3861" spans="2:27" x14ac:dyDescent="0.2">
      <c r="B3861" t="s">
        <v>394</v>
      </c>
      <c r="C3861">
        <v>40356263</v>
      </c>
      <c r="D3861" t="s">
        <v>396</v>
      </c>
      <c r="E3861">
        <v>1022887</v>
      </c>
      <c r="F3861" t="s">
        <v>404</v>
      </c>
      <c r="G3861" s="9">
        <v>44958</v>
      </c>
      <c r="H3861" s="7"/>
      <c r="I3861" s="7"/>
      <c r="J3861" s="7"/>
      <c r="K3861" s="7"/>
      <c r="L3861" s="10"/>
      <c r="N3861" s="10"/>
      <c r="Q3861" s="11"/>
      <c r="R3861" s="7"/>
      <c r="S3861" s="7"/>
      <c r="T3861" s="7"/>
      <c r="U3861" s="7"/>
      <c r="V3861" s="10"/>
      <c r="X3861" s="10"/>
      <c r="AA3861" s="11"/>
    </row>
    <row r="3862" spans="2:27" x14ac:dyDescent="0.2">
      <c r="B3862" t="s">
        <v>394</v>
      </c>
      <c r="C3862">
        <v>40356260</v>
      </c>
      <c r="D3862" t="s">
        <v>396</v>
      </c>
      <c r="E3862">
        <v>1021664</v>
      </c>
      <c r="F3862" t="s">
        <v>452</v>
      </c>
      <c r="G3862" s="9">
        <v>44965</v>
      </c>
      <c r="H3862" s="7"/>
      <c r="I3862" s="7"/>
      <c r="J3862" s="7"/>
      <c r="K3862" s="7"/>
      <c r="L3862" s="10"/>
      <c r="N3862" s="10"/>
      <c r="Q3862" s="11"/>
      <c r="R3862" s="7"/>
      <c r="S3862" s="7"/>
      <c r="T3862" s="7"/>
      <c r="U3862" s="7"/>
      <c r="V3862" s="10"/>
      <c r="X3862" s="10"/>
      <c r="AA3862" s="11"/>
    </row>
    <row r="3863" spans="2:27" x14ac:dyDescent="0.2">
      <c r="B3863" t="s">
        <v>394</v>
      </c>
      <c r="C3863">
        <v>40356259</v>
      </c>
      <c r="D3863" t="s">
        <v>396</v>
      </c>
      <c r="E3863">
        <v>1021664</v>
      </c>
      <c r="F3863" t="s">
        <v>452</v>
      </c>
      <c r="G3863" s="9">
        <v>44965</v>
      </c>
      <c r="H3863" s="7"/>
      <c r="I3863" s="7"/>
      <c r="J3863" s="7"/>
      <c r="K3863" s="7"/>
      <c r="L3863" s="10"/>
      <c r="N3863" s="10"/>
      <c r="Q3863" s="11"/>
      <c r="R3863" s="7"/>
      <c r="S3863" s="7"/>
      <c r="T3863" s="7"/>
      <c r="U3863" s="7"/>
      <c r="V3863" s="10"/>
      <c r="X3863" s="10"/>
      <c r="AA3863" s="11"/>
    </row>
    <row r="3864" spans="2:27" x14ac:dyDescent="0.2">
      <c r="B3864" t="s">
        <v>394</v>
      </c>
      <c r="C3864">
        <v>40356257</v>
      </c>
      <c r="D3864" t="s">
        <v>396</v>
      </c>
      <c r="E3864">
        <v>1021149</v>
      </c>
      <c r="F3864" t="s">
        <v>399</v>
      </c>
      <c r="G3864" s="9">
        <v>44959</v>
      </c>
      <c r="H3864" s="7"/>
      <c r="I3864" s="7"/>
      <c r="J3864" s="7"/>
      <c r="K3864" s="7"/>
      <c r="L3864" s="10"/>
      <c r="N3864" s="10"/>
      <c r="Q3864" s="11"/>
      <c r="R3864" s="7"/>
      <c r="S3864" s="7"/>
      <c r="T3864" s="7"/>
      <c r="U3864" s="7"/>
      <c r="V3864" s="10"/>
      <c r="X3864" s="10"/>
      <c r="AA3864" s="11"/>
    </row>
    <row r="3865" spans="2:27" x14ac:dyDescent="0.2">
      <c r="B3865" t="s">
        <v>394</v>
      </c>
      <c r="C3865">
        <v>40356257</v>
      </c>
      <c r="D3865" t="s">
        <v>396</v>
      </c>
      <c r="E3865">
        <v>1021149</v>
      </c>
      <c r="F3865" t="s">
        <v>399</v>
      </c>
      <c r="G3865" s="9">
        <v>44959</v>
      </c>
      <c r="H3865" s="7"/>
      <c r="I3865" s="7"/>
      <c r="J3865" s="7"/>
      <c r="K3865" s="7"/>
      <c r="L3865" s="10"/>
      <c r="N3865" s="10"/>
      <c r="Q3865" s="11"/>
      <c r="R3865" s="7"/>
      <c r="S3865" s="7"/>
      <c r="T3865" s="7"/>
      <c r="U3865" s="7"/>
      <c r="V3865" s="10"/>
      <c r="X3865" s="10"/>
      <c r="AA3865" s="11"/>
    </row>
    <row r="3866" spans="2:27" x14ac:dyDescent="0.2">
      <c r="B3866" t="s">
        <v>394</v>
      </c>
      <c r="C3866">
        <v>40356256</v>
      </c>
      <c r="D3866" t="s">
        <v>396</v>
      </c>
      <c r="E3866">
        <v>1021151</v>
      </c>
      <c r="F3866" t="s">
        <v>656</v>
      </c>
      <c r="G3866" s="9">
        <v>44958</v>
      </c>
      <c r="H3866" s="7"/>
      <c r="I3866" s="7"/>
      <c r="J3866" s="7"/>
      <c r="K3866" s="7"/>
      <c r="L3866" s="10"/>
      <c r="N3866" s="10"/>
      <c r="Q3866" s="11"/>
      <c r="R3866" s="7"/>
      <c r="S3866" s="7"/>
      <c r="T3866" s="7"/>
      <c r="U3866" s="7"/>
      <c r="V3866" s="10"/>
      <c r="X3866" s="10"/>
      <c r="AA3866" s="11"/>
    </row>
    <row r="3867" spans="2:27" x14ac:dyDescent="0.2">
      <c r="B3867" t="s">
        <v>394</v>
      </c>
      <c r="C3867">
        <v>40356256</v>
      </c>
      <c r="D3867" t="s">
        <v>396</v>
      </c>
      <c r="E3867">
        <v>1021151</v>
      </c>
      <c r="F3867" t="s">
        <v>656</v>
      </c>
      <c r="G3867" s="9">
        <v>44958</v>
      </c>
      <c r="H3867" s="7"/>
      <c r="I3867" s="7"/>
      <c r="J3867" s="7"/>
      <c r="K3867" s="7"/>
      <c r="L3867" s="10"/>
      <c r="N3867" s="10"/>
      <c r="Q3867" s="11"/>
      <c r="R3867" s="7"/>
      <c r="S3867" s="7"/>
      <c r="T3867" s="7"/>
      <c r="U3867" s="7"/>
      <c r="V3867" s="10"/>
      <c r="X3867" s="10"/>
      <c r="AA3867" s="11"/>
    </row>
    <row r="3868" spans="2:27" x14ac:dyDescent="0.2">
      <c r="B3868" t="s">
        <v>394</v>
      </c>
      <c r="C3868">
        <v>40356254</v>
      </c>
      <c r="D3868" t="s">
        <v>396</v>
      </c>
      <c r="E3868">
        <v>1020861</v>
      </c>
      <c r="F3868" t="s">
        <v>400</v>
      </c>
      <c r="G3868" s="9">
        <v>44965</v>
      </c>
      <c r="H3868" s="7"/>
      <c r="I3868" s="7"/>
      <c r="J3868" s="7"/>
      <c r="K3868" s="7"/>
      <c r="L3868" s="10"/>
      <c r="N3868" s="10"/>
      <c r="Q3868" s="11"/>
      <c r="R3868" s="7"/>
      <c r="S3868" s="7"/>
      <c r="T3868" s="7"/>
      <c r="U3868" s="7"/>
      <c r="V3868" s="10"/>
      <c r="X3868" s="10"/>
      <c r="AA3868" s="11"/>
    </row>
    <row r="3869" spans="2:27" x14ac:dyDescent="0.2">
      <c r="B3869" t="s">
        <v>394</v>
      </c>
      <c r="C3869">
        <v>40356253</v>
      </c>
      <c r="D3869" t="s">
        <v>396</v>
      </c>
      <c r="E3869">
        <v>1020861</v>
      </c>
      <c r="F3869" t="s">
        <v>400</v>
      </c>
      <c r="G3869" s="9">
        <v>44958</v>
      </c>
      <c r="H3869" s="7"/>
      <c r="I3869" s="7"/>
      <c r="J3869" s="7"/>
      <c r="K3869" s="7"/>
      <c r="L3869" s="10"/>
      <c r="N3869" s="10"/>
      <c r="Q3869" s="11"/>
      <c r="R3869" s="7"/>
      <c r="S3869" s="7"/>
      <c r="T3869" s="7"/>
      <c r="U3869" s="7"/>
      <c r="V3869" s="10"/>
      <c r="X3869" s="10"/>
      <c r="AA3869" s="11"/>
    </row>
    <row r="3870" spans="2:27" x14ac:dyDescent="0.2">
      <c r="B3870" t="s">
        <v>394</v>
      </c>
      <c r="C3870">
        <v>40356246</v>
      </c>
      <c r="D3870" t="s">
        <v>396</v>
      </c>
      <c r="E3870">
        <v>1022885</v>
      </c>
      <c r="F3870" t="s">
        <v>401</v>
      </c>
      <c r="G3870" s="9">
        <v>44965</v>
      </c>
      <c r="H3870" s="7"/>
      <c r="I3870" s="7"/>
      <c r="J3870" s="7"/>
      <c r="K3870" s="7"/>
      <c r="L3870" s="10"/>
      <c r="N3870" s="10"/>
      <c r="Q3870" s="11"/>
      <c r="R3870" s="7"/>
      <c r="S3870" s="7"/>
      <c r="T3870" s="7"/>
      <c r="U3870" s="7"/>
      <c r="V3870" s="10"/>
      <c r="X3870" s="10"/>
      <c r="AA3870" s="11"/>
    </row>
    <row r="3871" spans="2:27" x14ac:dyDescent="0.2">
      <c r="B3871" t="s">
        <v>394</v>
      </c>
      <c r="C3871">
        <v>40356245</v>
      </c>
      <c r="D3871" t="s">
        <v>396</v>
      </c>
      <c r="E3871">
        <v>1022885</v>
      </c>
      <c r="F3871" t="s">
        <v>401</v>
      </c>
      <c r="G3871" s="9">
        <v>44965</v>
      </c>
      <c r="H3871" s="7"/>
      <c r="I3871" s="7"/>
      <c r="J3871" s="7"/>
      <c r="K3871" s="7"/>
      <c r="L3871" s="10"/>
      <c r="N3871" s="10"/>
      <c r="Q3871" s="11"/>
      <c r="R3871" s="7"/>
      <c r="S3871" s="7"/>
      <c r="T3871" s="7"/>
      <c r="U3871" s="7"/>
      <c r="V3871" s="10"/>
      <c r="X3871" s="10"/>
      <c r="AA3871" s="11"/>
    </row>
    <row r="3872" spans="2:27" x14ac:dyDescent="0.2">
      <c r="B3872" t="s">
        <v>394</v>
      </c>
      <c r="C3872">
        <v>40356244</v>
      </c>
      <c r="D3872" t="s">
        <v>396</v>
      </c>
      <c r="E3872">
        <v>1022885</v>
      </c>
      <c r="F3872" t="s">
        <v>401</v>
      </c>
      <c r="G3872" s="9">
        <v>44965</v>
      </c>
      <c r="H3872" s="7"/>
      <c r="I3872" s="7"/>
      <c r="J3872" s="7"/>
      <c r="K3872" s="7"/>
      <c r="L3872" s="10"/>
      <c r="N3872" s="10"/>
      <c r="Q3872" s="11"/>
      <c r="R3872" s="7"/>
      <c r="S3872" s="7"/>
      <c r="T3872" s="7"/>
      <c r="U3872" s="7"/>
      <c r="V3872" s="10"/>
      <c r="X3872" s="10"/>
      <c r="AA3872" s="11"/>
    </row>
    <row r="3873" spans="2:27" x14ac:dyDescent="0.2">
      <c r="B3873" t="s">
        <v>394</v>
      </c>
      <c r="C3873">
        <v>40356243</v>
      </c>
      <c r="D3873" t="s">
        <v>396</v>
      </c>
      <c r="E3873">
        <v>1022885</v>
      </c>
      <c r="F3873" t="s">
        <v>401</v>
      </c>
      <c r="G3873" s="9">
        <v>44965</v>
      </c>
      <c r="H3873" s="7"/>
      <c r="I3873" s="7"/>
      <c r="J3873" s="7"/>
      <c r="K3873" s="7"/>
      <c r="L3873" s="10"/>
      <c r="N3873" s="10"/>
      <c r="Q3873" s="11"/>
      <c r="R3873" s="7"/>
      <c r="S3873" s="7"/>
      <c r="T3873" s="7"/>
      <c r="U3873" s="7"/>
      <c r="V3873" s="10"/>
      <c r="X3873" s="10"/>
      <c r="AA3873" s="11"/>
    </row>
    <row r="3874" spans="2:27" x14ac:dyDescent="0.2">
      <c r="B3874" t="s">
        <v>394</v>
      </c>
      <c r="C3874">
        <v>40356242</v>
      </c>
      <c r="D3874" t="s">
        <v>396</v>
      </c>
      <c r="E3874">
        <v>1022885</v>
      </c>
      <c r="F3874" t="s">
        <v>401</v>
      </c>
      <c r="G3874" s="9">
        <v>44965</v>
      </c>
      <c r="H3874" s="7"/>
      <c r="I3874" s="7"/>
      <c r="J3874" s="7"/>
      <c r="K3874" s="7"/>
      <c r="L3874" s="10"/>
      <c r="N3874" s="10"/>
      <c r="Q3874" s="11"/>
      <c r="R3874" s="7"/>
      <c r="S3874" s="7"/>
      <c r="T3874" s="7"/>
      <c r="U3874" s="7"/>
      <c r="V3874" s="10"/>
      <c r="X3874" s="10"/>
      <c r="AA3874" s="11"/>
    </row>
    <row r="3875" spans="2:27" x14ac:dyDescent="0.2">
      <c r="B3875" t="s">
        <v>394</v>
      </c>
      <c r="C3875">
        <v>40356240</v>
      </c>
      <c r="D3875" t="s">
        <v>396</v>
      </c>
      <c r="E3875">
        <v>1022885</v>
      </c>
      <c r="F3875" t="s">
        <v>401</v>
      </c>
      <c r="G3875" s="9">
        <v>44958</v>
      </c>
      <c r="H3875" s="7"/>
      <c r="I3875" s="7"/>
      <c r="J3875" s="7"/>
      <c r="K3875" s="7"/>
      <c r="L3875" s="10"/>
      <c r="N3875" s="10"/>
      <c r="Q3875" s="11"/>
      <c r="R3875" s="7"/>
      <c r="S3875" s="7"/>
      <c r="T3875" s="7"/>
      <c r="U3875" s="7"/>
      <c r="V3875" s="10"/>
      <c r="X3875" s="10"/>
      <c r="AA3875" s="11"/>
    </row>
    <row r="3876" spans="2:27" x14ac:dyDescent="0.2">
      <c r="B3876" t="s">
        <v>394</v>
      </c>
      <c r="C3876">
        <v>40356239</v>
      </c>
      <c r="D3876" t="s">
        <v>396</v>
      </c>
      <c r="E3876">
        <v>1022885</v>
      </c>
      <c r="F3876" t="s">
        <v>401</v>
      </c>
      <c r="G3876" s="9">
        <v>44959</v>
      </c>
      <c r="H3876" s="7"/>
      <c r="I3876" s="7"/>
      <c r="J3876" s="7"/>
      <c r="K3876" s="7"/>
      <c r="L3876" s="10"/>
      <c r="N3876" s="10"/>
      <c r="Q3876" s="11"/>
      <c r="R3876" s="7"/>
      <c r="S3876" s="7"/>
      <c r="T3876" s="7"/>
      <c r="U3876" s="7"/>
      <c r="V3876" s="10"/>
      <c r="X3876" s="10"/>
      <c r="AA3876" s="11"/>
    </row>
    <row r="3877" spans="2:27" x14ac:dyDescent="0.2">
      <c r="B3877" t="s">
        <v>394</v>
      </c>
      <c r="C3877">
        <v>40356238</v>
      </c>
      <c r="D3877" t="s">
        <v>396</v>
      </c>
      <c r="E3877">
        <v>1022885</v>
      </c>
      <c r="F3877" t="s">
        <v>401</v>
      </c>
      <c r="G3877" s="9">
        <v>44958</v>
      </c>
      <c r="H3877" s="7"/>
      <c r="I3877" s="7"/>
      <c r="J3877" s="7"/>
      <c r="K3877" s="7"/>
      <c r="L3877" s="10"/>
      <c r="N3877" s="10"/>
      <c r="Q3877" s="11"/>
      <c r="R3877" s="7"/>
      <c r="S3877" s="7"/>
      <c r="T3877" s="7"/>
      <c r="U3877" s="7"/>
      <c r="V3877" s="10"/>
      <c r="X3877" s="10"/>
      <c r="AA3877" s="11"/>
    </row>
    <row r="3878" spans="2:27" x14ac:dyDescent="0.2">
      <c r="B3878" t="s">
        <v>394</v>
      </c>
      <c r="C3878">
        <v>40356237</v>
      </c>
      <c r="D3878" t="s">
        <v>396</v>
      </c>
      <c r="E3878">
        <v>1022885</v>
      </c>
      <c r="F3878" t="s">
        <v>401</v>
      </c>
      <c r="G3878" s="9">
        <v>44958</v>
      </c>
      <c r="H3878" s="7"/>
      <c r="I3878" s="7"/>
      <c r="J3878" s="7"/>
      <c r="K3878" s="7"/>
      <c r="L3878" s="10"/>
      <c r="N3878" s="10"/>
      <c r="Q3878" s="11"/>
      <c r="R3878" s="7"/>
      <c r="S3878" s="7"/>
      <c r="T3878" s="7"/>
      <c r="U3878" s="7"/>
      <c r="V3878" s="10"/>
      <c r="X3878" s="10"/>
      <c r="AA3878" s="11"/>
    </row>
    <row r="3879" spans="2:27" x14ac:dyDescent="0.2">
      <c r="B3879" t="s">
        <v>394</v>
      </c>
      <c r="C3879">
        <v>40356236</v>
      </c>
      <c r="D3879" t="s">
        <v>396</v>
      </c>
      <c r="E3879">
        <v>1022885</v>
      </c>
      <c r="F3879" t="s">
        <v>401</v>
      </c>
      <c r="G3879" s="9">
        <v>44958</v>
      </c>
      <c r="H3879" s="7"/>
      <c r="I3879" s="7"/>
      <c r="J3879" s="7"/>
      <c r="K3879" s="7"/>
      <c r="L3879" s="10"/>
      <c r="N3879" s="10"/>
      <c r="Q3879" s="11"/>
      <c r="R3879" s="7"/>
      <c r="S3879" s="7"/>
      <c r="T3879" s="7"/>
      <c r="U3879" s="7"/>
      <c r="V3879" s="10"/>
      <c r="X3879" s="10"/>
      <c r="AA3879" s="11"/>
    </row>
    <row r="3880" spans="2:27" x14ac:dyDescent="0.2">
      <c r="B3880" t="s">
        <v>394</v>
      </c>
      <c r="C3880">
        <v>40356235</v>
      </c>
      <c r="D3880" t="s">
        <v>396</v>
      </c>
      <c r="E3880">
        <v>1022885</v>
      </c>
      <c r="F3880" t="s">
        <v>401</v>
      </c>
      <c r="G3880" s="9">
        <v>44958</v>
      </c>
      <c r="H3880" s="7"/>
      <c r="I3880" s="7"/>
      <c r="J3880" s="7"/>
      <c r="K3880" s="7"/>
      <c r="L3880" s="10"/>
      <c r="N3880" s="10"/>
      <c r="Q3880" s="11"/>
      <c r="R3880" s="7"/>
      <c r="S3880" s="7"/>
      <c r="T3880" s="7"/>
      <c r="U3880" s="7"/>
      <c r="V3880" s="10"/>
      <c r="X3880" s="10"/>
      <c r="AA3880" s="11"/>
    </row>
    <row r="3881" spans="2:27" x14ac:dyDescent="0.2">
      <c r="B3881" t="s">
        <v>394</v>
      </c>
      <c r="C3881">
        <v>40356234</v>
      </c>
      <c r="D3881" t="s">
        <v>396</v>
      </c>
      <c r="E3881">
        <v>1022885</v>
      </c>
      <c r="F3881" t="s">
        <v>401</v>
      </c>
      <c r="G3881" s="9">
        <v>44959</v>
      </c>
      <c r="H3881" s="7"/>
      <c r="I3881" s="7"/>
      <c r="J3881" s="7"/>
      <c r="K3881" s="7"/>
      <c r="L3881" s="10"/>
      <c r="N3881" s="10"/>
      <c r="Q3881" s="11"/>
      <c r="R3881" s="7"/>
      <c r="S3881" s="7"/>
      <c r="T3881" s="7"/>
      <c r="U3881" s="7"/>
      <c r="V3881" s="10"/>
      <c r="X3881" s="10"/>
      <c r="AA3881" s="11"/>
    </row>
    <row r="3882" spans="2:27" x14ac:dyDescent="0.2">
      <c r="B3882" t="s">
        <v>394</v>
      </c>
      <c r="C3882">
        <v>40356233</v>
      </c>
      <c r="D3882" t="s">
        <v>396</v>
      </c>
      <c r="E3882">
        <v>1022885</v>
      </c>
      <c r="F3882" t="s">
        <v>401</v>
      </c>
      <c r="G3882" s="9">
        <v>44959</v>
      </c>
      <c r="H3882" s="7"/>
      <c r="I3882" s="7"/>
      <c r="J3882" s="7"/>
      <c r="K3882" s="7"/>
      <c r="L3882" s="10"/>
      <c r="N3882" s="10"/>
      <c r="Q3882" s="11"/>
      <c r="R3882" s="7"/>
      <c r="S3882" s="7"/>
      <c r="T3882" s="7"/>
      <c r="U3882" s="7"/>
      <c r="V3882" s="10"/>
      <c r="X3882" s="10"/>
      <c r="AA3882" s="11"/>
    </row>
    <row r="3883" spans="2:27" x14ac:dyDescent="0.2">
      <c r="B3883" t="s">
        <v>394</v>
      </c>
      <c r="C3883">
        <v>40356232</v>
      </c>
      <c r="D3883" t="s">
        <v>396</v>
      </c>
      <c r="E3883">
        <v>1022885</v>
      </c>
      <c r="F3883" t="s">
        <v>401</v>
      </c>
      <c r="G3883" s="9">
        <v>44959</v>
      </c>
      <c r="H3883" s="7"/>
      <c r="I3883" s="7"/>
      <c r="J3883" s="7"/>
      <c r="K3883" s="7"/>
      <c r="L3883" s="10"/>
      <c r="N3883" s="10"/>
      <c r="Q3883" s="11"/>
      <c r="R3883" s="7"/>
      <c r="S3883" s="7"/>
      <c r="T3883" s="7"/>
      <c r="U3883" s="7"/>
      <c r="V3883" s="10"/>
      <c r="X3883" s="10"/>
      <c r="AA3883" s="11"/>
    </row>
    <row r="3884" spans="2:27" x14ac:dyDescent="0.2">
      <c r="B3884" t="s">
        <v>394</v>
      </c>
      <c r="C3884">
        <v>40356231</v>
      </c>
      <c r="D3884" t="s">
        <v>396</v>
      </c>
      <c r="E3884">
        <v>1022885</v>
      </c>
      <c r="F3884" t="s">
        <v>401</v>
      </c>
      <c r="G3884" s="9">
        <v>44959</v>
      </c>
      <c r="H3884" s="7"/>
      <c r="I3884" s="7"/>
      <c r="J3884" s="7"/>
      <c r="K3884" s="7"/>
      <c r="L3884" s="10"/>
      <c r="N3884" s="10"/>
      <c r="Q3884" s="11"/>
      <c r="R3884" s="7"/>
      <c r="S3884" s="7"/>
      <c r="T3884" s="7"/>
      <c r="U3884" s="7"/>
      <c r="V3884" s="10"/>
      <c r="X3884" s="10"/>
      <c r="AA3884" s="11"/>
    </row>
    <row r="3885" spans="2:27" x14ac:dyDescent="0.2">
      <c r="B3885" t="s">
        <v>394</v>
      </c>
      <c r="C3885">
        <v>40356230</v>
      </c>
      <c r="D3885" t="s">
        <v>396</v>
      </c>
      <c r="E3885">
        <v>1022885</v>
      </c>
      <c r="F3885" t="s">
        <v>401</v>
      </c>
      <c r="G3885" s="9">
        <v>44958</v>
      </c>
      <c r="H3885" s="7"/>
      <c r="I3885" s="7"/>
      <c r="J3885" s="7"/>
      <c r="K3885" s="7"/>
      <c r="L3885" s="10"/>
      <c r="N3885" s="10"/>
      <c r="Q3885" s="11"/>
      <c r="R3885" s="7"/>
      <c r="S3885" s="7"/>
      <c r="T3885" s="7"/>
      <c r="U3885" s="7"/>
      <c r="V3885" s="10"/>
      <c r="X3885" s="10"/>
      <c r="AA3885" s="11"/>
    </row>
    <row r="3886" spans="2:27" x14ac:dyDescent="0.2">
      <c r="B3886" t="s">
        <v>394</v>
      </c>
      <c r="C3886">
        <v>40356215</v>
      </c>
      <c r="D3886" t="s">
        <v>396</v>
      </c>
      <c r="E3886">
        <v>1021150</v>
      </c>
      <c r="F3886" t="s">
        <v>402</v>
      </c>
      <c r="G3886" s="9">
        <v>44958</v>
      </c>
      <c r="H3886" s="7"/>
      <c r="I3886" s="7"/>
      <c r="J3886" s="7"/>
      <c r="K3886" s="7"/>
      <c r="L3886" s="10"/>
      <c r="N3886" s="10"/>
      <c r="Q3886" s="11"/>
      <c r="R3886" s="7"/>
      <c r="S3886" s="7"/>
      <c r="T3886" s="7"/>
      <c r="U3886" s="7"/>
      <c r="V3886" s="10"/>
      <c r="X3886" s="10"/>
      <c r="AA3886" s="11"/>
    </row>
    <row r="3887" spans="2:27" x14ac:dyDescent="0.2">
      <c r="B3887" t="s">
        <v>394</v>
      </c>
      <c r="C3887">
        <v>40356215</v>
      </c>
      <c r="D3887" t="s">
        <v>396</v>
      </c>
      <c r="E3887">
        <v>1021150</v>
      </c>
      <c r="F3887" t="s">
        <v>402</v>
      </c>
      <c r="G3887" s="9">
        <v>44958</v>
      </c>
      <c r="H3887" s="7"/>
      <c r="I3887" s="7"/>
      <c r="J3887" s="7"/>
      <c r="K3887" s="7"/>
      <c r="L3887" s="10"/>
      <c r="N3887" s="10"/>
      <c r="Q3887" s="11"/>
      <c r="R3887" s="7"/>
      <c r="S3887" s="7"/>
      <c r="T3887" s="7"/>
      <c r="U3887" s="7"/>
      <c r="V3887" s="10"/>
      <c r="X3887" s="10"/>
      <c r="AA3887" s="11"/>
    </row>
    <row r="3888" spans="2:27" x14ac:dyDescent="0.2">
      <c r="B3888" t="s">
        <v>394</v>
      </c>
      <c r="C3888">
        <v>40356213</v>
      </c>
      <c r="D3888" t="s">
        <v>396</v>
      </c>
      <c r="E3888">
        <v>1023038</v>
      </c>
      <c r="F3888" t="s">
        <v>397</v>
      </c>
      <c r="G3888" s="9">
        <v>44965</v>
      </c>
      <c r="H3888" s="7"/>
      <c r="I3888" s="7"/>
      <c r="J3888" s="7"/>
      <c r="K3888" s="7"/>
      <c r="L3888" s="10"/>
      <c r="N3888" s="10"/>
      <c r="Q3888" s="11"/>
      <c r="R3888" s="7"/>
      <c r="S3888" s="7"/>
      <c r="T3888" s="7"/>
      <c r="U3888" s="7"/>
      <c r="V3888" s="10"/>
      <c r="X3888" s="10"/>
      <c r="AA3888" s="11"/>
    </row>
    <row r="3889" spans="2:27" x14ac:dyDescent="0.2">
      <c r="B3889" t="s">
        <v>394</v>
      </c>
      <c r="C3889">
        <v>40356213</v>
      </c>
      <c r="D3889" t="s">
        <v>396</v>
      </c>
      <c r="E3889">
        <v>1023037</v>
      </c>
      <c r="F3889" t="s">
        <v>555</v>
      </c>
      <c r="G3889" s="9">
        <v>44965</v>
      </c>
      <c r="H3889" s="7"/>
      <c r="I3889" s="7"/>
      <c r="J3889" s="7"/>
      <c r="K3889" s="7"/>
      <c r="L3889" s="10"/>
      <c r="N3889" s="10"/>
      <c r="Q3889" s="11"/>
      <c r="R3889" s="7"/>
      <c r="S3889" s="7"/>
      <c r="T3889" s="7"/>
      <c r="U3889" s="7"/>
      <c r="V3889" s="10"/>
      <c r="X3889" s="10"/>
      <c r="AA3889" s="11"/>
    </row>
    <row r="3890" spans="2:27" x14ac:dyDescent="0.2">
      <c r="B3890" t="s">
        <v>394</v>
      </c>
      <c r="C3890">
        <v>40356211</v>
      </c>
      <c r="D3890" t="s">
        <v>396</v>
      </c>
      <c r="E3890">
        <v>1023038</v>
      </c>
      <c r="F3890" t="s">
        <v>397</v>
      </c>
      <c r="G3890" s="9">
        <v>44959</v>
      </c>
      <c r="H3890" s="7"/>
      <c r="I3890" s="7"/>
      <c r="J3890" s="7"/>
      <c r="K3890" s="7"/>
      <c r="L3890" s="10"/>
      <c r="N3890" s="10"/>
      <c r="Q3890" s="11"/>
      <c r="R3890" s="7"/>
      <c r="S3890" s="7"/>
      <c r="T3890" s="7"/>
      <c r="U3890" s="7"/>
      <c r="V3890" s="10"/>
      <c r="X3890" s="10"/>
      <c r="AA3890" s="11"/>
    </row>
    <row r="3891" spans="2:27" x14ac:dyDescent="0.2">
      <c r="B3891" t="s">
        <v>394</v>
      </c>
      <c r="C3891">
        <v>40356210</v>
      </c>
      <c r="D3891" t="s">
        <v>396</v>
      </c>
      <c r="E3891">
        <v>1023037</v>
      </c>
      <c r="F3891" t="s">
        <v>555</v>
      </c>
      <c r="G3891" s="9">
        <v>44963</v>
      </c>
      <c r="H3891" s="7"/>
      <c r="I3891" s="7"/>
      <c r="J3891" s="7"/>
      <c r="K3891" s="7"/>
      <c r="L3891" s="10"/>
      <c r="N3891" s="10"/>
      <c r="Q3891" s="11"/>
      <c r="R3891" s="7"/>
      <c r="S3891" s="7"/>
      <c r="T3891" s="7"/>
      <c r="U3891" s="7"/>
      <c r="V3891" s="10"/>
      <c r="X3891" s="10"/>
      <c r="AA3891" s="11"/>
    </row>
    <row r="3892" spans="2:27" x14ac:dyDescent="0.2">
      <c r="B3892" t="s">
        <v>394</v>
      </c>
      <c r="C3892">
        <v>40356209</v>
      </c>
      <c r="D3892" t="s">
        <v>396</v>
      </c>
      <c r="E3892">
        <v>1023037</v>
      </c>
      <c r="F3892" t="s">
        <v>555</v>
      </c>
      <c r="G3892" s="9">
        <v>44965</v>
      </c>
      <c r="H3892" s="7"/>
      <c r="I3892" s="7"/>
      <c r="J3892" s="7"/>
      <c r="K3892" s="7"/>
      <c r="L3892" s="10"/>
      <c r="N3892" s="10"/>
      <c r="Q3892" s="11"/>
      <c r="R3892" s="7"/>
      <c r="S3892" s="7"/>
      <c r="T3892" s="7"/>
      <c r="U3892" s="7"/>
      <c r="V3892" s="10"/>
      <c r="X3892" s="10"/>
      <c r="AA3892" s="11"/>
    </row>
    <row r="3893" spans="2:27" x14ac:dyDescent="0.2">
      <c r="B3893" t="s">
        <v>394</v>
      </c>
      <c r="C3893">
        <v>40356208</v>
      </c>
      <c r="D3893" t="s">
        <v>396</v>
      </c>
      <c r="E3893">
        <v>1023038</v>
      </c>
      <c r="F3893" t="s">
        <v>397</v>
      </c>
      <c r="G3893" s="9">
        <v>44965</v>
      </c>
      <c r="H3893" s="7"/>
      <c r="I3893" s="7"/>
      <c r="J3893" s="7"/>
      <c r="K3893" s="7"/>
      <c r="L3893" s="10"/>
      <c r="N3893" s="10"/>
      <c r="Q3893" s="11"/>
      <c r="R3893" s="7"/>
      <c r="S3893" s="7"/>
      <c r="T3893" s="7"/>
      <c r="U3893" s="7"/>
      <c r="V3893" s="10"/>
      <c r="X3893" s="10"/>
      <c r="AA3893" s="11"/>
    </row>
    <row r="3894" spans="2:27" x14ac:dyDescent="0.2">
      <c r="B3894" t="s">
        <v>394</v>
      </c>
      <c r="C3894">
        <v>40356208</v>
      </c>
      <c r="D3894" t="s">
        <v>396</v>
      </c>
      <c r="E3894">
        <v>1023037</v>
      </c>
      <c r="F3894" t="s">
        <v>555</v>
      </c>
      <c r="G3894" s="9">
        <v>44965</v>
      </c>
      <c r="H3894" s="7"/>
      <c r="I3894" s="7"/>
      <c r="J3894" s="7"/>
      <c r="K3894" s="7"/>
      <c r="L3894" s="10"/>
      <c r="N3894" s="10"/>
      <c r="Q3894" s="11"/>
      <c r="R3894" s="7"/>
      <c r="S3894" s="7"/>
      <c r="T3894" s="7"/>
      <c r="U3894" s="7"/>
      <c r="V3894" s="10"/>
      <c r="X3894" s="10"/>
      <c r="AA3894" s="11"/>
    </row>
    <row r="3895" spans="2:27" ht="16" x14ac:dyDescent="0.2">
      <c r="B3895" t="s">
        <v>35</v>
      </c>
      <c r="C3895">
        <v>40356202</v>
      </c>
      <c r="D3895" t="s">
        <v>423</v>
      </c>
      <c r="E3895">
        <v>1011150</v>
      </c>
      <c r="F3895" t="s">
        <v>149</v>
      </c>
      <c r="G3895" s="9">
        <v>44935</v>
      </c>
      <c r="H3895" s="7"/>
      <c r="I3895" s="7"/>
      <c r="J3895" s="7"/>
      <c r="K3895" s="7"/>
      <c r="L3895" s="10">
        <v>5.4496124031007751</v>
      </c>
      <c r="M3895" s="9">
        <v>44940</v>
      </c>
      <c r="N3895" s="10">
        <v>10</v>
      </c>
      <c r="O3895" s="9">
        <v>44950</v>
      </c>
      <c r="P3895">
        <v>6</v>
      </c>
      <c r="Q3895" s="11" t="s">
        <v>49</v>
      </c>
      <c r="R3895" s="7"/>
      <c r="S3895" s="7"/>
      <c r="T3895" s="7"/>
      <c r="U3895" s="7"/>
      <c r="V3895" s="10">
        <v>7.4496124031007751</v>
      </c>
      <c r="W3895" s="9">
        <v>44942</v>
      </c>
      <c r="X3895" s="10">
        <v>12</v>
      </c>
      <c r="Y3895" s="9">
        <v>44950</v>
      </c>
      <c r="Z3895">
        <v>6</v>
      </c>
      <c r="AA3895" s="11" t="s">
        <v>49</v>
      </c>
    </row>
    <row r="3896" spans="2:27" ht="16" x14ac:dyDescent="0.2">
      <c r="B3896" t="s">
        <v>35</v>
      </c>
      <c r="C3896">
        <v>40356201</v>
      </c>
      <c r="D3896" t="s">
        <v>423</v>
      </c>
      <c r="E3896">
        <v>1011150</v>
      </c>
      <c r="F3896" t="s">
        <v>149</v>
      </c>
      <c r="G3896" s="9">
        <v>44935</v>
      </c>
      <c r="H3896" s="7"/>
      <c r="I3896" s="7"/>
      <c r="J3896" s="7"/>
      <c r="K3896" s="7"/>
      <c r="L3896" s="10">
        <v>5.4496124031007751</v>
      </c>
      <c r="M3896" s="9">
        <v>44940</v>
      </c>
      <c r="N3896" s="10">
        <v>10</v>
      </c>
      <c r="O3896" s="9">
        <v>44950</v>
      </c>
      <c r="P3896">
        <v>6</v>
      </c>
      <c r="Q3896" s="11" t="s">
        <v>49</v>
      </c>
      <c r="R3896" s="7"/>
      <c r="S3896" s="7"/>
      <c r="T3896" s="7"/>
      <c r="U3896" s="7"/>
      <c r="V3896" s="10">
        <v>7.4496124031007751</v>
      </c>
      <c r="W3896" s="9">
        <v>44942</v>
      </c>
      <c r="X3896" s="10">
        <v>12</v>
      </c>
      <c r="Y3896" s="9">
        <v>44950</v>
      </c>
      <c r="Z3896">
        <v>6</v>
      </c>
      <c r="AA3896" s="11" t="s">
        <v>49</v>
      </c>
    </row>
    <row r="3897" spans="2:27" ht="16" x14ac:dyDescent="0.2">
      <c r="B3897" t="s">
        <v>35</v>
      </c>
      <c r="C3897">
        <v>40356200</v>
      </c>
      <c r="D3897" t="s">
        <v>423</v>
      </c>
      <c r="E3897">
        <v>1011127</v>
      </c>
      <c r="F3897" t="s">
        <v>228</v>
      </c>
      <c r="G3897" s="9">
        <v>44919</v>
      </c>
      <c r="H3897" s="7"/>
      <c r="I3897" s="7"/>
      <c r="J3897" s="7"/>
      <c r="K3897" s="7"/>
      <c r="L3897" s="10">
        <v>5.4496124031007751</v>
      </c>
      <c r="M3897" s="9">
        <v>44924</v>
      </c>
      <c r="N3897" s="10">
        <v>10</v>
      </c>
      <c r="O3897" s="9">
        <v>44934</v>
      </c>
      <c r="P3897">
        <v>20</v>
      </c>
      <c r="Q3897" s="11" t="s">
        <v>49</v>
      </c>
      <c r="R3897" s="7"/>
      <c r="S3897" s="7"/>
      <c r="T3897" s="7"/>
      <c r="U3897" s="7"/>
      <c r="V3897" s="10">
        <v>7.4496124031007751</v>
      </c>
      <c r="W3897" s="9">
        <v>44926</v>
      </c>
      <c r="X3897" s="10">
        <v>12</v>
      </c>
      <c r="Y3897" s="9">
        <v>44934</v>
      </c>
      <c r="Z3897">
        <v>20</v>
      </c>
      <c r="AA3897" s="11" t="s">
        <v>49</v>
      </c>
    </row>
    <row r="3898" spans="2:27" ht="16" x14ac:dyDescent="0.2">
      <c r="B3898" t="s">
        <v>35</v>
      </c>
      <c r="C3898">
        <v>40356199</v>
      </c>
      <c r="D3898" t="s">
        <v>423</v>
      </c>
      <c r="E3898">
        <v>1011127</v>
      </c>
      <c r="F3898" t="s">
        <v>228</v>
      </c>
      <c r="G3898" s="9">
        <v>44919</v>
      </c>
      <c r="H3898" s="7"/>
      <c r="I3898" s="7"/>
      <c r="J3898" s="7"/>
      <c r="K3898" s="7"/>
      <c r="L3898" s="10">
        <v>5.4496124031007751</v>
      </c>
      <c r="M3898" s="9">
        <v>44924</v>
      </c>
      <c r="N3898" s="10">
        <v>10</v>
      </c>
      <c r="O3898" s="9">
        <v>44934</v>
      </c>
      <c r="P3898">
        <v>20</v>
      </c>
      <c r="Q3898" s="11" t="s">
        <v>49</v>
      </c>
      <c r="R3898" s="7"/>
      <c r="S3898" s="7"/>
      <c r="T3898" s="7"/>
      <c r="U3898" s="7"/>
      <c r="V3898" s="10">
        <v>7.4496124031007751</v>
      </c>
      <c r="W3898" s="9">
        <v>44926</v>
      </c>
      <c r="X3898" s="10">
        <v>12</v>
      </c>
      <c r="Y3898" s="9">
        <v>44934</v>
      </c>
      <c r="Z3898">
        <v>20</v>
      </c>
      <c r="AA3898" s="11" t="s">
        <v>49</v>
      </c>
    </row>
    <row r="3899" spans="2:27" ht="16" x14ac:dyDescent="0.2">
      <c r="B3899" t="s">
        <v>35</v>
      </c>
      <c r="C3899">
        <v>40356199</v>
      </c>
      <c r="D3899" t="s">
        <v>423</v>
      </c>
      <c r="E3899">
        <v>1011127</v>
      </c>
      <c r="F3899" t="s">
        <v>228</v>
      </c>
      <c r="G3899" s="9">
        <v>44919</v>
      </c>
      <c r="H3899" s="7"/>
      <c r="I3899" s="7"/>
      <c r="J3899" s="7"/>
      <c r="K3899" s="7"/>
      <c r="L3899" s="10">
        <v>5.4496124031007751</v>
      </c>
      <c r="M3899" s="9">
        <v>44924</v>
      </c>
      <c r="N3899" s="10">
        <v>10</v>
      </c>
      <c r="O3899" s="9">
        <v>44934</v>
      </c>
      <c r="P3899">
        <v>20</v>
      </c>
      <c r="Q3899" s="11" t="s">
        <v>49</v>
      </c>
      <c r="R3899" s="7"/>
      <c r="S3899" s="7"/>
      <c r="T3899" s="7"/>
      <c r="U3899" s="7"/>
      <c r="V3899" s="10">
        <v>7.4496124031007751</v>
      </c>
      <c r="W3899" s="9">
        <v>44926</v>
      </c>
      <c r="X3899" s="10">
        <v>12</v>
      </c>
      <c r="Y3899" s="9">
        <v>44934</v>
      </c>
      <c r="Z3899">
        <v>20</v>
      </c>
      <c r="AA3899" s="11" t="s">
        <v>49</v>
      </c>
    </row>
    <row r="3900" spans="2:27" ht="16" x14ac:dyDescent="0.2">
      <c r="B3900" t="s">
        <v>35</v>
      </c>
      <c r="C3900">
        <v>40356198</v>
      </c>
      <c r="D3900" t="s">
        <v>423</v>
      </c>
      <c r="E3900">
        <v>1011127</v>
      </c>
      <c r="F3900" t="s">
        <v>228</v>
      </c>
      <c r="G3900" s="9">
        <v>44919</v>
      </c>
      <c r="H3900" s="7"/>
      <c r="I3900" s="7"/>
      <c r="J3900" s="7"/>
      <c r="K3900" s="7"/>
      <c r="L3900" s="10">
        <v>5.4496124031007751</v>
      </c>
      <c r="M3900" s="9">
        <v>44924</v>
      </c>
      <c r="N3900" s="10">
        <v>10</v>
      </c>
      <c r="O3900" s="9">
        <v>44934</v>
      </c>
      <c r="P3900">
        <v>20</v>
      </c>
      <c r="Q3900" s="11" t="s">
        <v>49</v>
      </c>
      <c r="R3900" s="7"/>
      <c r="S3900" s="7"/>
      <c r="T3900" s="7"/>
      <c r="U3900" s="7"/>
      <c r="V3900" s="10">
        <v>7.4496124031007751</v>
      </c>
      <c r="W3900" s="9">
        <v>44926</v>
      </c>
      <c r="X3900" s="10">
        <v>12</v>
      </c>
      <c r="Y3900" s="9">
        <v>44934</v>
      </c>
      <c r="Z3900">
        <v>20</v>
      </c>
      <c r="AA3900" s="11" t="s">
        <v>49</v>
      </c>
    </row>
    <row r="3901" spans="2:27" ht="16" x14ac:dyDescent="0.2">
      <c r="B3901" t="s">
        <v>35</v>
      </c>
      <c r="C3901">
        <v>40356193</v>
      </c>
      <c r="D3901" t="s">
        <v>423</v>
      </c>
      <c r="E3901">
        <v>1012278</v>
      </c>
      <c r="F3901" t="s">
        <v>230</v>
      </c>
      <c r="G3901" s="9">
        <v>44935</v>
      </c>
      <c r="H3901" s="7"/>
      <c r="I3901" s="7"/>
      <c r="J3901" s="7"/>
      <c r="K3901" s="7"/>
      <c r="L3901" s="10">
        <v>5.4496124031007751</v>
      </c>
      <c r="M3901" s="9">
        <v>44940</v>
      </c>
      <c r="N3901" s="10">
        <v>10</v>
      </c>
      <c r="O3901" s="9">
        <v>44950</v>
      </c>
      <c r="P3901">
        <v>6</v>
      </c>
      <c r="Q3901" s="11" t="s">
        <v>49</v>
      </c>
      <c r="R3901" s="7"/>
      <c r="S3901" s="7"/>
      <c r="T3901" s="7"/>
      <c r="U3901" s="7"/>
      <c r="V3901" s="10">
        <v>7.4496124031007751</v>
      </c>
      <c r="W3901" s="9">
        <v>44942</v>
      </c>
      <c r="X3901" s="10">
        <v>12</v>
      </c>
      <c r="Y3901" s="9">
        <v>44950</v>
      </c>
      <c r="Z3901">
        <v>6</v>
      </c>
      <c r="AA3901" s="11" t="s">
        <v>49</v>
      </c>
    </row>
    <row r="3902" spans="2:27" x14ac:dyDescent="0.2">
      <c r="B3902" t="s">
        <v>394</v>
      </c>
      <c r="C3902">
        <v>40356180</v>
      </c>
      <c r="D3902" t="s">
        <v>485</v>
      </c>
      <c r="E3902">
        <v>1011290</v>
      </c>
      <c r="F3902" t="s">
        <v>624</v>
      </c>
      <c r="G3902" s="9">
        <v>44933</v>
      </c>
      <c r="H3902" s="7"/>
      <c r="I3902" s="7"/>
      <c r="J3902" s="7"/>
      <c r="K3902" s="7"/>
      <c r="L3902" s="10"/>
      <c r="N3902" s="10"/>
      <c r="Q3902" s="11"/>
      <c r="R3902" s="7"/>
      <c r="S3902" s="7"/>
      <c r="T3902" s="7"/>
      <c r="U3902" s="7"/>
      <c r="V3902" s="10"/>
      <c r="X3902" s="10"/>
      <c r="AA3902" s="11"/>
    </row>
    <row r="3903" spans="2:27" x14ac:dyDescent="0.2">
      <c r="B3903" t="s">
        <v>394</v>
      </c>
      <c r="C3903">
        <v>40356150</v>
      </c>
      <c r="D3903" t="s">
        <v>485</v>
      </c>
      <c r="E3903">
        <v>1020944</v>
      </c>
      <c r="F3903" t="s">
        <v>498</v>
      </c>
      <c r="G3903" s="9">
        <v>44927</v>
      </c>
      <c r="H3903" s="7"/>
      <c r="I3903" s="7"/>
      <c r="J3903" s="7"/>
      <c r="K3903" s="7"/>
      <c r="L3903" s="10"/>
      <c r="N3903" s="10"/>
      <c r="Q3903" s="11"/>
      <c r="R3903" s="7"/>
      <c r="S3903" s="7"/>
      <c r="T3903" s="7"/>
      <c r="U3903" s="7"/>
      <c r="V3903" s="10"/>
      <c r="X3903" s="10"/>
      <c r="AA3903" s="11"/>
    </row>
    <row r="3904" spans="2:27" x14ac:dyDescent="0.2">
      <c r="B3904" t="s">
        <v>394</v>
      </c>
      <c r="C3904">
        <v>40356148</v>
      </c>
      <c r="D3904" t="s">
        <v>485</v>
      </c>
      <c r="E3904">
        <v>1011421</v>
      </c>
      <c r="F3904" t="s">
        <v>484</v>
      </c>
      <c r="G3904" s="9">
        <v>44940</v>
      </c>
      <c r="H3904" s="7"/>
      <c r="I3904" s="7"/>
      <c r="J3904" s="7"/>
      <c r="K3904" s="7"/>
      <c r="L3904" s="10"/>
      <c r="N3904" s="10"/>
      <c r="Q3904" s="11"/>
      <c r="R3904" s="7"/>
      <c r="S3904" s="7"/>
      <c r="T3904" s="7"/>
      <c r="U3904" s="7"/>
      <c r="V3904" s="10"/>
      <c r="X3904" s="10"/>
      <c r="AA3904" s="11"/>
    </row>
    <row r="3905" spans="2:27" x14ac:dyDescent="0.2">
      <c r="B3905" t="s">
        <v>394</v>
      </c>
      <c r="C3905">
        <v>40356137</v>
      </c>
      <c r="D3905" t="s">
        <v>485</v>
      </c>
      <c r="E3905">
        <v>1011421</v>
      </c>
      <c r="F3905" t="s">
        <v>484</v>
      </c>
      <c r="G3905" s="9">
        <v>44936</v>
      </c>
      <c r="H3905" s="7"/>
      <c r="I3905" s="7"/>
      <c r="J3905" s="7"/>
      <c r="K3905" s="7"/>
      <c r="L3905" s="10"/>
      <c r="N3905" s="10"/>
      <c r="Q3905" s="11"/>
      <c r="R3905" s="7"/>
      <c r="S3905" s="7"/>
      <c r="T3905" s="7"/>
      <c r="U3905" s="7"/>
      <c r="V3905" s="10"/>
      <c r="X3905" s="10"/>
      <c r="AA3905" s="11"/>
    </row>
    <row r="3906" spans="2:27" ht="16" x14ac:dyDescent="0.2">
      <c r="B3906" t="s">
        <v>35</v>
      </c>
      <c r="C3906">
        <v>40356028</v>
      </c>
      <c r="D3906" t="s">
        <v>423</v>
      </c>
      <c r="E3906">
        <v>1021555</v>
      </c>
      <c r="F3906" t="s">
        <v>422</v>
      </c>
      <c r="G3906" s="9">
        <v>44951</v>
      </c>
      <c r="H3906" s="7"/>
      <c r="I3906" s="7"/>
      <c r="J3906" s="7"/>
      <c r="K3906" s="7"/>
      <c r="L3906" s="10">
        <v>5.4496124031007751</v>
      </c>
      <c r="M3906" s="9">
        <v>44956</v>
      </c>
      <c r="N3906" s="10">
        <v>10</v>
      </c>
      <c r="O3906" s="9">
        <v>44966</v>
      </c>
      <c r="P3906">
        <v>16</v>
      </c>
      <c r="Q3906" s="11" t="s">
        <v>49</v>
      </c>
      <c r="R3906" s="7"/>
      <c r="S3906" s="7"/>
      <c r="T3906" s="7"/>
      <c r="U3906" s="7"/>
      <c r="V3906" s="10">
        <v>7.4496124031007751</v>
      </c>
      <c r="W3906" s="9">
        <v>44958</v>
      </c>
      <c r="X3906" s="10">
        <v>12</v>
      </c>
      <c r="Y3906" s="9">
        <v>44966</v>
      </c>
      <c r="Z3906">
        <v>16</v>
      </c>
      <c r="AA3906" s="11" t="s">
        <v>49</v>
      </c>
    </row>
    <row r="3907" spans="2:27" ht="16" x14ac:dyDescent="0.2">
      <c r="B3907" t="s">
        <v>35</v>
      </c>
      <c r="C3907">
        <v>40356027</v>
      </c>
      <c r="D3907" t="s">
        <v>423</v>
      </c>
      <c r="E3907">
        <v>1021555</v>
      </c>
      <c r="F3907" t="s">
        <v>422</v>
      </c>
      <c r="G3907" s="9">
        <v>44951</v>
      </c>
      <c r="H3907" s="7"/>
      <c r="I3907" s="7"/>
      <c r="J3907" s="7"/>
      <c r="K3907" s="7"/>
      <c r="L3907" s="10">
        <v>5.4496124031007751</v>
      </c>
      <c r="M3907" s="9">
        <v>44956</v>
      </c>
      <c r="N3907" s="10">
        <v>10</v>
      </c>
      <c r="O3907" s="9">
        <v>44966</v>
      </c>
      <c r="P3907">
        <v>16</v>
      </c>
      <c r="Q3907" s="11" t="s">
        <v>49</v>
      </c>
      <c r="R3907" s="7"/>
      <c r="S3907" s="7"/>
      <c r="T3907" s="7"/>
      <c r="U3907" s="7"/>
      <c r="V3907" s="10">
        <v>7.4496124031007751</v>
      </c>
      <c r="W3907" s="9">
        <v>44958</v>
      </c>
      <c r="X3907" s="10">
        <v>12</v>
      </c>
      <c r="Y3907" s="9">
        <v>44966</v>
      </c>
      <c r="Z3907">
        <v>16</v>
      </c>
      <c r="AA3907" s="11" t="s">
        <v>49</v>
      </c>
    </row>
    <row r="3908" spans="2:27" ht="16" x14ac:dyDescent="0.2">
      <c r="B3908" t="s">
        <v>35</v>
      </c>
      <c r="C3908">
        <v>40356026</v>
      </c>
      <c r="D3908" t="s">
        <v>423</v>
      </c>
      <c r="E3908">
        <v>1023324</v>
      </c>
      <c r="F3908" t="s">
        <v>269</v>
      </c>
      <c r="G3908" s="9">
        <v>44935</v>
      </c>
      <c r="H3908" s="7"/>
      <c r="I3908" s="7"/>
      <c r="J3908" s="7"/>
      <c r="K3908" s="7"/>
      <c r="L3908" s="10">
        <v>5.4496124031007751</v>
      </c>
      <c r="M3908" s="9">
        <v>44940</v>
      </c>
      <c r="N3908" s="10">
        <v>10</v>
      </c>
      <c r="O3908" s="9">
        <v>44950</v>
      </c>
      <c r="P3908">
        <v>6</v>
      </c>
      <c r="Q3908" s="11" t="s">
        <v>49</v>
      </c>
      <c r="R3908" s="7"/>
      <c r="S3908" s="7"/>
      <c r="T3908" s="7"/>
      <c r="U3908" s="7"/>
      <c r="V3908" s="10">
        <v>7.4496124031007751</v>
      </c>
      <c r="W3908" s="9">
        <v>44942</v>
      </c>
      <c r="X3908" s="10">
        <v>12</v>
      </c>
      <c r="Y3908" s="9">
        <v>44950</v>
      </c>
      <c r="Z3908">
        <v>6</v>
      </c>
      <c r="AA3908" s="11" t="s">
        <v>49</v>
      </c>
    </row>
    <row r="3909" spans="2:27" x14ac:dyDescent="0.2">
      <c r="B3909" t="s">
        <v>394</v>
      </c>
      <c r="C3909">
        <v>40356012</v>
      </c>
      <c r="D3909" t="s">
        <v>485</v>
      </c>
      <c r="E3909">
        <v>1021106</v>
      </c>
      <c r="F3909" t="s">
        <v>653</v>
      </c>
      <c r="G3909" s="9">
        <v>44933</v>
      </c>
      <c r="H3909" s="7"/>
      <c r="I3909" s="7"/>
      <c r="J3909" s="7"/>
      <c r="K3909" s="7"/>
      <c r="L3909" s="10"/>
      <c r="N3909" s="10"/>
      <c r="Q3909" s="11"/>
      <c r="R3909" s="7"/>
      <c r="S3909" s="7"/>
      <c r="T3909" s="7"/>
      <c r="U3909" s="7"/>
      <c r="V3909" s="10"/>
      <c r="X3909" s="10"/>
      <c r="AA3909" s="11"/>
    </row>
    <row r="3910" spans="2:27" ht="16" x14ac:dyDescent="0.2">
      <c r="B3910" t="s">
        <v>35</v>
      </c>
      <c r="C3910">
        <v>40355793</v>
      </c>
      <c r="D3910" t="s">
        <v>389</v>
      </c>
      <c r="E3910">
        <v>1022945</v>
      </c>
      <c r="F3910" t="s">
        <v>442</v>
      </c>
      <c r="G3910" s="9">
        <v>44955</v>
      </c>
      <c r="H3910" s="7"/>
      <c r="I3910" s="7"/>
      <c r="J3910" s="7"/>
      <c r="K3910" s="7"/>
      <c r="L3910" s="10">
        <v>5.5741092456127026</v>
      </c>
      <c r="M3910" s="9">
        <v>44960</v>
      </c>
      <c r="N3910" s="10">
        <v>5.5</v>
      </c>
      <c r="O3910" s="9">
        <v>44965</v>
      </c>
      <c r="P3910">
        <v>17</v>
      </c>
      <c r="Q3910" s="11" t="s">
        <v>49</v>
      </c>
      <c r="R3910" s="7"/>
      <c r="S3910" s="7"/>
      <c r="T3910" s="7"/>
      <c r="U3910" s="7"/>
      <c r="V3910" s="10">
        <v>7.5741092456127026</v>
      </c>
      <c r="W3910" s="9">
        <v>44962</v>
      </c>
      <c r="X3910" s="10">
        <v>7.5</v>
      </c>
      <c r="Y3910" s="9">
        <v>44965</v>
      </c>
      <c r="Z3910">
        <v>17</v>
      </c>
      <c r="AA3910" s="11" t="s">
        <v>49</v>
      </c>
    </row>
    <row r="3911" spans="2:27" ht="16" x14ac:dyDescent="0.2">
      <c r="B3911" t="s">
        <v>35</v>
      </c>
      <c r="C3911">
        <v>40355792</v>
      </c>
      <c r="D3911" t="s">
        <v>389</v>
      </c>
      <c r="E3911">
        <v>1022945</v>
      </c>
      <c r="F3911" t="s">
        <v>442</v>
      </c>
      <c r="G3911" s="9">
        <v>44955</v>
      </c>
      <c r="H3911" s="7"/>
      <c r="I3911" s="7"/>
      <c r="J3911" s="7"/>
      <c r="K3911" s="7"/>
      <c r="L3911" s="10">
        <v>5.5741092456127026</v>
      </c>
      <c r="M3911" s="9">
        <v>44960</v>
      </c>
      <c r="N3911" s="10">
        <v>5.5</v>
      </c>
      <c r="O3911" s="9">
        <v>44965</v>
      </c>
      <c r="P3911">
        <v>17</v>
      </c>
      <c r="Q3911" s="11" t="s">
        <v>49</v>
      </c>
      <c r="R3911" s="7"/>
      <c r="S3911" s="7"/>
      <c r="T3911" s="7"/>
      <c r="U3911" s="7"/>
      <c r="V3911" s="10">
        <v>7.5741092456127026</v>
      </c>
      <c r="W3911" s="9">
        <v>44962</v>
      </c>
      <c r="X3911" s="10">
        <v>7.5</v>
      </c>
      <c r="Y3911" s="9">
        <v>44965</v>
      </c>
      <c r="Z3911">
        <v>17</v>
      </c>
      <c r="AA3911" s="11" t="s">
        <v>49</v>
      </c>
    </row>
    <row r="3912" spans="2:27" ht="16" x14ac:dyDescent="0.2">
      <c r="B3912" t="s">
        <v>35</v>
      </c>
      <c r="C3912">
        <v>40355791</v>
      </c>
      <c r="D3912" t="s">
        <v>389</v>
      </c>
      <c r="E3912">
        <v>1022945</v>
      </c>
      <c r="F3912" t="s">
        <v>442</v>
      </c>
      <c r="G3912" s="9">
        <v>44954</v>
      </c>
      <c r="H3912" s="7"/>
      <c r="I3912" s="7"/>
      <c r="J3912" s="7"/>
      <c r="K3912" s="7"/>
      <c r="L3912" s="10">
        <v>5.5741092456127026</v>
      </c>
      <c r="M3912" s="9">
        <v>44959</v>
      </c>
      <c r="N3912" s="10">
        <v>5.5</v>
      </c>
      <c r="O3912" s="9">
        <v>44964</v>
      </c>
      <c r="P3912">
        <v>18</v>
      </c>
      <c r="Q3912" s="11" t="s">
        <v>49</v>
      </c>
      <c r="R3912" s="7"/>
      <c r="S3912" s="7"/>
      <c r="T3912" s="7"/>
      <c r="U3912" s="7"/>
      <c r="V3912" s="10">
        <v>7.5741092456127026</v>
      </c>
      <c r="W3912" s="9">
        <v>44961</v>
      </c>
      <c r="X3912" s="10">
        <v>7.5</v>
      </c>
      <c r="Y3912" s="9">
        <v>44964</v>
      </c>
      <c r="Z3912">
        <v>18</v>
      </c>
      <c r="AA3912" s="11" t="s">
        <v>49</v>
      </c>
    </row>
    <row r="3913" spans="2:27" ht="16" x14ac:dyDescent="0.2">
      <c r="B3913" t="s">
        <v>35</v>
      </c>
      <c r="C3913">
        <v>40355790</v>
      </c>
      <c r="D3913" t="s">
        <v>389</v>
      </c>
      <c r="E3913">
        <v>1022073</v>
      </c>
      <c r="F3913" t="s">
        <v>45</v>
      </c>
      <c r="G3913" s="9">
        <v>44945</v>
      </c>
      <c r="H3913" s="7"/>
      <c r="I3913" s="7"/>
      <c r="J3913" s="7"/>
      <c r="K3913" s="7"/>
      <c r="L3913" s="10">
        <v>5.5741092456127026</v>
      </c>
      <c r="M3913" s="9">
        <v>44950</v>
      </c>
      <c r="N3913" s="10">
        <v>5.5</v>
      </c>
      <c r="O3913" s="9">
        <v>44955</v>
      </c>
      <c r="P3913">
        <v>2</v>
      </c>
      <c r="Q3913" s="11" t="s">
        <v>648</v>
      </c>
      <c r="R3913" s="7"/>
      <c r="S3913" s="7"/>
      <c r="T3913" s="7"/>
      <c r="U3913" s="7"/>
      <c r="V3913" s="10">
        <v>7.5741092456127026</v>
      </c>
      <c r="W3913" s="9">
        <v>44952</v>
      </c>
      <c r="X3913" s="10">
        <v>7.5</v>
      </c>
      <c r="Y3913" s="9">
        <v>44955</v>
      </c>
      <c r="Z3913">
        <v>2</v>
      </c>
      <c r="AA3913" s="11" t="s">
        <v>648</v>
      </c>
    </row>
    <row r="3914" spans="2:27" ht="16" x14ac:dyDescent="0.2">
      <c r="B3914" t="s">
        <v>35</v>
      </c>
      <c r="C3914">
        <v>40355789</v>
      </c>
      <c r="D3914" t="s">
        <v>389</v>
      </c>
      <c r="E3914">
        <v>1022073</v>
      </c>
      <c r="F3914" t="s">
        <v>45</v>
      </c>
      <c r="G3914" s="9">
        <v>44940</v>
      </c>
      <c r="H3914" s="7"/>
      <c r="I3914" s="7"/>
      <c r="J3914" s="7"/>
      <c r="K3914" s="7"/>
      <c r="L3914" s="10">
        <v>5.5741092456127026</v>
      </c>
      <c r="M3914" s="9">
        <v>44945</v>
      </c>
      <c r="N3914" s="10">
        <v>5.5</v>
      </c>
      <c r="O3914" s="9">
        <v>44950</v>
      </c>
      <c r="P3914">
        <v>6</v>
      </c>
      <c r="Q3914" s="11" t="s">
        <v>49</v>
      </c>
      <c r="R3914" s="7"/>
      <c r="S3914" s="7"/>
      <c r="T3914" s="7"/>
      <c r="U3914" s="7"/>
      <c r="V3914" s="10">
        <v>7.5741092456127026</v>
      </c>
      <c r="W3914" s="9">
        <v>44947</v>
      </c>
      <c r="X3914" s="10">
        <v>7.5</v>
      </c>
      <c r="Y3914" s="9">
        <v>44950</v>
      </c>
      <c r="Z3914">
        <v>6</v>
      </c>
      <c r="AA3914" s="11" t="s">
        <v>49</v>
      </c>
    </row>
    <row r="3915" spans="2:27" ht="16" x14ac:dyDescent="0.2">
      <c r="B3915" t="s">
        <v>35</v>
      </c>
      <c r="C3915">
        <v>40355786</v>
      </c>
      <c r="D3915" t="s">
        <v>389</v>
      </c>
      <c r="E3915">
        <v>1023373</v>
      </c>
      <c r="F3915" t="s">
        <v>459</v>
      </c>
      <c r="G3915" s="9">
        <v>44940</v>
      </c>
      <c r="H3915" s="7"/>
      <c r="I3915" s="7"/>
      <c r="J3915" s="7"/>
      <c r="K3915" s="7"/>
      <c r="L3915" s="10">
        <v>5.5741092456127026</v>
      </c>
      <c r="M3915" s="9">
        <v>44945</v>
      </c>
      <c r="N3915" s="10">
        <v>5.5</v>
      </c>
      <c r="O3915" s="9">
        <v>44950</v>
      </c>
      <c r="P3915">
        <v>6</v>
      </c>
      <c r="Q3915" s="11" t="s">
        <v>49</v>
      </c>
      <c r="R3915" s="7"/>
      <c r="S3915" s="7"/>
      <c r="T3915" s="7"/>
      <c r="U3915" s="7"/>
      <c r="V3915" s="10">
        <v>7.5741092456127026</v>
      </c>
      <c r="W3915" s="9">
        <v>44947</v>
      </c>
      <c r="X3915" s="10">
        <v>7.5</v>
      </c>
      <c r="Y3915" s="9">
        <v>44950</v>
      </c>
      <c r="Z3915">
        <v>6</v>
      </c>
      <c r="AA3915" s="11" t="s">
        <v>49</v>
      </c>
    </row>
    <row r="3916" spans="2:27" x14ac:dyDescent="0.2">
      <c r="B3916" t="s">
        <v>394</v>
      </c>
      <c r="C3916">
        <v>40355752</v>
      </c>
      <c r="D3916" t="s">
        <v>485</v>
      </c>
      <c r="E3916">
        <v>1030792</v>
      </c>
      <c r="F3916" t="s">
        <v>513</v>
      </c>
      <c r="G3916" s="9">
        <v>44940</v>
      </c>
      <c r="H3916" s="7"/>
      <c r="I3916" s="7"/>
      <c r="J3916" s="7"/>
      <c r="K3916" s="7"/>
      <c r="L3916" s="10"/>
      <c r="N3916" s="10"/>
      <c r="Q3916" s="11"/>
      <c r="R3916" s="7"/>
      <c r="S3916" s="7"/>
      <c r="T3916" s="7"/>
      <c r="U3916" s="7"/>
      <c r="V3916" s="10"/>
      <c r="X3916" s="10"/>
      <c r="AA3916" s="11"/>
    </row>
    <row r="3917" spans="2:27" ht="16" x14ac:dyDescent="0.2">
      <c r="B3917" t="s">
        <v>35</v>
      </c>
      <c r="C3917">
        <v>40355741</v>
      </c>
      <c r="D3917" t="s">
        <v>386</v>
      </c>
      <c r="E3917">
        <v>1011748</v>
      </c>
      <c r="F3917" t="s">
        <v>225</v>
      </c>
      <c r="G3917" s="9">
        <v>44941</v>
      </c>
      <c r="H3917" s="7"/>
      <c r="I3917" s="7"/>
      <c r="J3917" s="7"/>
      <c r="K3917" s="7"/>
      <c r="L3917" s="10">
        <v>5.1420118343195256</v>
      </c>
      <c r="M3917" s="9">
        <v>44946</v>
      </c>
      <c r="N3917" s="10">
        <v>7.5</v>
      </c>
      <c r="O3917" s="9">
        <v>44953</v>
      </c>
      <c r="P3917">
        <v>3</v>
      </c>
      <c r="Q3917" s="11" t="s">
        <v>49</v>
      </c>
      <c r="R3917" s="7"/>
      <c r="S3917" s="7"/>
      <c r="T3917" s="7"/>
      <c r="U3917" s="7"/>
      <c r="V3917" s="10">
        <v>7.1420118343195256</v>
      </c>
      <c r="W3917" s="9">
        <v>44948</v>
      </c>
      <c r="X3917" s="10">
        <v>9.5</v>
      </c>
      <c r="Y3917" s="9">
        <v>44953</v>
      </c>
      <c r="Z3917">
        <v>3</v>
      </c>
      <c r="AA3917" s="11" t="s">
        <v>49</v>
      </c>
    </row>
    <row r="3918" spans="2:27" ht="16" x14ac:dyDescent="0.2">
      <c r="B3918" t="s">
        <v>35</v>
      </c>
      <c r="C3918">
        <v>40355663</v>
      </c>
      <c r="D3918" t="s">
        <v>409</v>
      </c>
      <c r="E3918">
        <v>1030379</v>
      </c>
      <c r="F3918" t="s">
        <v>97</v>
      </c>
      <c r="G3918" s="9">
        <v>44962</v>
      </c>
      <c r="H3918" s="7"/>
      <c r="I3918" s="7"/>
      <c r="J3918" s="7"/>
      <c r="K3918" s="7"/>
      <c r="L3918" s="10">
        <v>7.5</v>
      </c>
      <c r="M3918" s="9">
        <v>44969</v>
      </c>
      <c r="N3918" s="10">
        <v>9.5</v>
      </c>
      <c r="O3918" s="9">
        <v>44978</v>
      </c>
      <c r="P3918">
        <v>6</v>
      </c>
      <c r="Q3918" s="11" t="s">
        <v>49</v>
      </c>
      <c r="R3918" s="7"/>
      <c r="S3918" s="7"/>
      <c r="T3918" s="7"/>
      <c r="U3918" s="7"/>
      <c r="V3918" s="10">
        <v>9.5</v>
      </c>
      <c r="W3918" s="9">
        <v>44971</v>
      </c>
      <c r="X3918" s="10">
        <v>11.5</v>
      </c>
      <c r="Y3918" s="9">
        <v>44978</v>
      </c>
      <c r="Z3918">
        <v>6</v>
      </c>
      <c r="AA3918" s="11" t="s">
        <v>49</v>
      </c>
    </row>
    <row r="3919" spans="2:27" ht="16" x14ac:dyDescent="0.2">
      <c r="B3919" t="s">
        <v>35</v>
      </c>
      <c r="C3919">
        <v>40355661</v>
      </c>
      <c r="D3919" t="s">
        <v>409</v>
      </c>
      <c r="E3919">
        <v>1030379</v>
      </c>
      <c r="F3919" t="s">
        <v>97</v>
      </c>
      <c r="G3919" s="9">
        <v>44961</v>
      </c>
      <c r="H3919" s="7"/>
      <c r="I3919" s="7"/>
      <c r="J3919" s="7"/>
      <c r="K3919" s="7"/>
      <c r="L3919" s="10">
        <v>7.5</v>
      </c>
      <c r="M3919" s="9">
        <v>44968</v>
      </c>
      <c r="N3919" s="10">
        <v>9.5</v>
      </c>
      <c r="O3919" s="9">
        <v>44977</v>
      </c>
      <c r="P3919">
        <v>7</v>
      </c>
      <c r="Q3919" s="11" t="s">
        <v>49</v>
      </c>
      <c r="R3919" s="7"/>
      <c r="S3919" s="7"/>
      <c r="T3919" s="7"/>
      <c r="U3919" s="7"/>
      <c r="V3919" s="10">
        <v>9.5</v>
      </c>
      <c r="W3919" s="9">
        <v>44970</v>
      </c>
      <c r="X3919" s="10">
        <v>11.5</v>
      </c>
      <c r="Y3919" s="9">
        <v>44977</v>
      </c>
      <c r="Z3919">
        <v>7</v>
      </c>
      <c r="AA3919" s="11" t="s">
        <v>49</v>
      </c>
    </row>
    <row r="3920" spans="2:27" ht="16" x14ac:dyDescent="0.2">
      <c r="B3920" t="s">
        <v>35</v>
      </c>
      <c r="C3920">
        <v>40355624</v>
      </c>
      <c r="D3920" t="s">
        <v>389</v>
      </c>
      <c r="E3920">
        <v>1022388</v>
      </c>
      <c r="F3920" t="s">
        <v>170</v>
      </c>
      <c r="G3920" s="9">
        <v>44958</v>
      </c>
      <c r="H3920" s="7"/>
      <c r="I3920" s="7"/>
      <c r="J3920" s="7"/>
      <c r="K3920" s="7"/>
      <c r="L3920" s="10">
        <v>5.5741092456127026</v>
      </c>
      <c r="M3920" s="9">
        <v>44963</v>
      </c>
      <c r="N3920" s="10">
        <v>5.5</v>
      </c>
      <c r="O3920" s="9">
        <v>44968</v>
      </c>
      <c r="P3920">
        <v>14</v>
      </c>
      <c r="Q3920" s="11" t="s">
        <v>49</v>
      </c>
      <c r="R3920" s="7"/>
      <c r="S3920" s="7"/>
      <c r="T3920" s="7"/>
      <c r="U3920" s="7"/>
      <c r="V3920" s="10">
        <v>7.5741092456127026</v>
      </c>
      <c r="W3920" s="9">
        <v>44965</v>
      </c>
      <c r="X3920" s="10">
        <v>7.5</v>
      </c>
      <c r="Y3920" s="9">
        <v>44968</v>
      </c>
      <c r="Z3920">
        <v>14</v>
      </c>
      <c r="AA3920" s="11" t="s">
        <v>49</v>
      </c>
    </row>
    <row r="3921" spans="2:27" ht="16" x14ac:dyDescent="0.2">
      <c r="B3921" t="s">
        <v>35</v>
      </c>
      <c r="C3921">
        <v>40355623</v>
      </c>
      <c r="D3921" t="s">
        <v>389</v>
      </c>
      <c r="E3921">
        <v>1022388</v>
      </c>
      <c r="F3921" t="s">
        <v>170</v>
      </c>
      <c r="G3921" s="9">
        <v>44956</v>
      </c>
      <c r="H3921" s="7"/>
      <c r="I3921" s="7"/>
      <c r="J3921" s="7"/>
      <c r="K3921" s="7"/>
      <c r="L3921" s="10">
        <v>5.5741092456127026</v>
      </c>
      <c r="M3921" s="9">
        <v>44961</v>
      </c>
      <c r="N3921" s="10">
        <v>5.5</v>
      </c>
      <c r="O3921" s="9">
        <v>44966</v>
      </c>
      <c r="P3921">
        <v>16</v>
      </c>
      <c r="Q3921" s="11" t="s">
        <v>49</v>
      </c>
      <c r="R3921" s="7"/>
      <c r="S3921" s="7"/>
      <c r="T3921" s="7"/>
      <c r="U3921" s="7"/>
      <c r="V3921" s="10">
        <v>7.5741092456127026</v>
      </c>
      <c r="W3921" s="9">
        <v>44963</v>
      </c>
      <c r="X3921" s="10">
        <v>7.5</v>
      </c>
      <c r="Y3921" s="9">
        <v>44966</v>
      </c>
      <c r="Z3921">
        <v>16</v>
      </c>
      <c r="AA3921" s="11" t="s">
        <v>49</v>
      </c>
    </row>
    <row r="3922" spans="2:27" ht="16" x14ac:dyDescent="0.2">
      <c r="B3922" t="s">
        <v>35</v>
      </c>
      <c r="C3922">
        <v>40355621</v>
      </c>
      <c r="D3922" t="s">
        <v>389</v>
      </c>
      <c r="E3922">
        <v>1023411</v>
      </c>
      <c r="F3922" t="s">
        <v>331</v>
      </c>
      <c r="G3922" s="9">
        <v>44954</v>
      </c>
      <c r="H3922" s="7"/>
      <c r="I3922" s="7"/>
      <c r="J3922" s="7"/>
      <c r="K3922" s="7"/>
      <c r="L3922" s="10">
        <v>5.5741092456127026</v>
      </c>
      <c r="M3922" s="9">
        <v>44959</v>
      </c>
      <c r="N3922" s="10">
        <v>5.5</v>
      </c>
      <c r="O3922" s="9">
        <v>44964</v>
      </c>
      <c r="P3922">
        <v>18</v>
      </c>
      <c r="Q3922" s="11" t="s">
        <v>49</v>
      </c>
      <c r="R3922" s="7"/>
      <c r="S3922" s="7"/>
      <c r="T3922" s="7"/>
      <c r="U3922" s="7"/>
      <c r="V3922" s="10">
        <v>7.5741092456127026</v>
      </c>
      <c r="W3922" s="9">
        <v>44961</v>
      </c>
      <c r="X3922" s="10">
        <v>7.5</v>
      </c>
      <c r="Y3922" s="9">
        <v>44964</v>
      </c>
      <c r="Z3922">
        <v>18</v>
      </c>
      <c r="AA3922" s="11" t="s">
        <v>49</v>
      </c>
    </row>
    <row r="3923" spans="2:27" ht="16" x14ac:dyDescent="0.2">
      <c r="B3923" t="s">
        <v>35</v>
      </c>
      <c r="C3923">
        <v>40355620</v>
      </c>
      <c r="D3923" t="s">
        <v>389</v>
      </c>
      <c r="E3923">
        <v>1023411</v>
      </c>
      <c r="F3923" t="s">
        <v>331</v>
      </c>
      <c r="G3923" s="9">
        <v>44956</v>
      </c>
      <c r="H3923" s="7"/>
      <c r="I3923" s="7"/>
      <c r="J3923" s="7"/>
      <c r="K3923" s="7"/>
      <c r="L3923" s="10">
        <v>5.5741092456127026</v>
      </c>
      <c r="M3923" s="9">
        <v>44961</v>
      </c>
      <c r="N3923" s="10">
        <v>5.5</v>
      </c>
      <c r="O3923" s="9">
        <v>44966</v>
      </c>
      <c r="P3923">
        <v>16</v>
      </c>
      <c r="Q3923" s="11" t="s">
        <v>49</v>
      </c>
      <c r="R3923" s="7"/>
      <c r="S3923" s="7"/>
      <c r="T3923" s="7"/>
      <c r="U3923" s="7"/>
      <c r="V3923" s="10">
        <v>7.5741092456127026</v>
      </c>
      <c r="W3923" s="9">
        <v>44963</v>
      </c>
      <c r="X3923" s="10">
        <v>7.5</v>
      </c>
      <c r="Y3923" s="9">
        <v>44966</v>
      </c>
      <c r="Z3923">
        <v>16</v>
      </c>
      <c r="AA3923" s="11" t="s">
        <v>49</v>
      </c>
    </row>
    <row r="3924" spans="2:27" ht="16" x14ac:dyDescent="0.2">
      <c r="B3924" t="s">
        <v>35</v>
      </c>
      <c r="C3924">
        <v>40355619</v>
      </c>
      <c r="D3924" t="s">
        <v>389</v>
      </c>
      <c r="E3924">
        <v>1021731</v>
      </c>
      <c r="F3924" t="s">
        <v>273</v>
      </c>
      <c r="G3924" s="9">
        <v>44965</v>
      </c>
      <c r="H3924" s="7"/>
      <c r="I3924" s="7"/>
      <c r="J3924" s="7"/>
      <c r="K3924" s="7"/>
      <c r="L3924" s="10">
        <v>5.5741092456127026</v>
      </c>
      <c r="M3924" s="9">
        <v>44970</v>
      </c>
      <c r="N3924" s="10">
        <v>5.5</v>
      </c>
      <c r="O3924" s="9">
        <v>44975</v>
      </c>
      <c r="P3924">
        <v>8</v>
      </c>
      <c r="Q3924" s="11" t="s">
        <v>49</v>
      </c>
      <c r="R3924" s="7"/>
      <c r="S3924" s="7"/>
      <c r="T3924" s="7"/>
      <c r="U3924" s="7"/>
      <c r="V3924" s="10">
        <v>7.5741092456127026</v>
      </c>
      <c r="W3924" s="9">
        <v>44972</v>
      </c>
      <c r="X3924" s="10">
        <v>7.5</v>
      </c>
      <c r="Y3924" s="9">
        <v>44975</v>
      </c>
      <c r="Z3924">
        <v>8</v>
      </c>
      <c r="AA3924" s="11" t="s">
        <v>49</v>
      </c>
    </row>
    <row r="3925" spans="2:27" ht="16" x14ac:dyDescent="0.2">
      <c r="B3925" t="s">
        <v>35</v>
      </c>
      <c r="C3925">
        <v>40355618</v>
      </c>
      <c r="D3925" t="s">
        <v>389</v>
      </c>
      <c r="E3925">
        <v>1021731</v>
      </c>
      <c r="F3925" t="s">
        <v>273</v>
      </c>
      <c r="G3925" s="9">
        <v>44965</v>
      </c>
      <c r="H3925" s="7"/>
      <c r="I3925" s="7"/>
      <c r="J3925" s="7"/>
      <c r="K3925" s="7"/>
      <c r="L3925" s="10">
        <v>5.5741092456127026</v>
      </c>
      <c r="M3925" s="9">
        <v>44970</v>
      </c>
      <c r="N3925" s="10">
        <v>5.5</v>
      </c>
      <c r="O3925" s="9">
        <v>44975</v>
      </c>
      <c r="P3925">
        <v>8</v>
      </c>
      <c r="Q3925" s="11" t="s">
        <v>49</v>
      </c>
      <c r="R3925" s="7"/>
      <c r="S3925" s="7"/>
      <c r="T3925" s="7"/>
      <c r="U3925" s="7"/>
      <c r="V3925" s="10">
        <v>7.5741092456127026</v>
      </c>
      <c r="W3925" s="9">
        <v>44972</v>
      </c>
      <c r="X3925" s="10">
        <v>7.5</v>
      </c>
      <c r="Y3925" s="9">
        <v>44975</v>
      </c>
      <c r="Z3925">
        <v>8</v>
      </c>
      <c r="AA3925" s="11" t="s">
        <v>49</v>
      </c>
    </row>
    <row r="3926" spans="2:27" ht="16" x14ac:dyDescent="0.2">
      <c r="B3926" t="s">
        <v>35</v>
      </c>
      <c r="C3926">
        <v>40355617</v>
      </c>
      <c r="D3926" t="s">
        <v>389</v>
      </c>
      <c r="E3926">
        <v>1021731</v>
      </c>
      <c r="F3926" t="s">
        <v>273</v>
      </c>
      <c r="G3926" s="9">
        <v>44953</v>
      </c>
      <c r="H3926" s="7"/>
      <c r="I3926" s="7"/>
      <c r="J3926" s="7"/>
      <c r="K3926" s="7"/>
      <c r="L3926" s="10">
        <v>5.5741092456127026</v>
      </c>
      <c r="M3926" s="9">
        <v>44958</v>
      </c>
      <c r="N3926" s="10">
        <v>5.5</v>
      </c>
      <c r="O3926" s="9">
        <v>44963</v>
      </c>
      <c r="P3926">
        <v>19</v>
      </c>
      <c r="Q3926" s="11" t="s">
        <v>49</v>
      </c>
      <c r="R3926" s="7"/>
      <c r="S3926" s="7"/>
      <c r="T3926" s="7"/>
      <c r="U3926" s="7"/>
      <c r="V3926" s="10">
        <v>7.5741092456127026</v>
      </c>
      <c r="W3926" s="9">
        <v>44960</v>
      </c>
      <c r="X3926" s="10">
        <v>7.5</v>
      </c>
      <c r="Y3926" s="9">
        <v>44963</v>
      </c>
      <c r="Z3926">
        <v>19</v>
      </c>
      <c r="AA3926" s="11" t="s">
        <v>49</v>
      </c>
    </row>
    <row r="3927" spans="2:27" x14ac:dyDescent="0.2">
      <c r="B3927" t="s">
        <v>394</v>
      </c>
      <c r="C3927">
        <v>40355348</v>
      </c>
      <c r="D3927" t="s">
        <v>485</v>
      </c>
      <c r="E3927">
        <v>1011421</v>
      </c>
      <c r="F3927" t="s">
        <v>484</v>
      </c>
      <c r="G3927" s="9">
        <v>44940</v>
      </c>
      <c r="H3927" s="7"/>
      <c r="I3927" s="7"/>
      <c r="J3927" s="7"/>
      <c r="K3927" s="7"/>
      <c r="L3927" s="10"/>
      <c r="N3927" s="10"/>
      <c r="Q3927" s="11"/>
      <c r="R3927" s="7"/>
      <c r="S3927" s="7"/>
      <c r="T3927" s="7"/>
      <c r="U3927" s="7"/>
      <c r="V3927" s="10"/>
      <c r="X3927" s="10"/>
      <c r="AA3927" s="11"/>
    </row>
    <row r="3928" spans="2:27" ht="16" x14ac:dyDescent="0.2">
      <c r="B3928" t="s">
        <v>35</v>
      </c>
      <c r="C3928">
        <v>40355302</v>
      </c>
      <c r="D3928" t="s">
        <v>423</v>
      </c>
      <c r="E3928">
        <v>1023324</v>
      </c>
      <c r="F3928" t="s">
        <v>269</v>
      </c>
      <c r="G3928" s="9">
        <v>44935</v>
      </c>
      <c r="H3928" s="7"/>
      <c r="I3928" s="7"/>
      <c r="J3928" s="7"/>
      <c r="K3928" s="7"/>
      <c r="L3928" s="10">
        <v>5.4496124031007751</v>
      </c>
      <c r="M3928" s="9">
        <v>44940</v>
      </c>
      <c r="N3928" s="10">
        <v>10</v>
      </c>
      <c r="O3928" s="9">
        <v>44950</v>
      </c>
      <c r="P3928">
        <v>6</v>
      </c>
      <c r="Q3928" s="11" t="s">
        <v>49</v>
      </c>
      <c r="R3928" s="7"/>
      <c r="S3928" s="7"/>
      <c r="T3928" s="7"/>
      <c r="U3928" s="7"/>
      <c r="V3928" s="10">
        <v>7.4496124031007751</v>
      </c>
      <c r="W3928" s="9">
        <v>44942</v>
      </c>
      <c r="X3928" s="10">
        <v>12</v>
      </c>
      <c r="Y3928" s="9">
        <v>44950</v>
      </c>
      <c r="Z3928">
        <v>6</v>
      </c>
      <c r="AA3928" s="11" t="s">
        <v>49</v>
      </c>
    </row>
    <row r="3929" spans="2:27" ht="16" x14ac:dyDescent="0.2">
      <c r="B3929" t="s">
        <v>35</v>
      </c>
      <c r="C3929">
        <v>40355301</v>
      </c>
      <c r="D3929" t="s">
        <v>423</v>
      </c>
      <c r="E3929">
        <v>1023324</v>
      </c>
      <c r="F3929" t="s">
        <v>269</v>
      </c>
      <c r="G3929" s="9">
        <v>44935</v>
      </c>
      <c r="H3929" s="7"/>
      <c r="I3929" s="7"/>
      <c r="J3929" s="7"/>
      <c r="K3929" s="7"/>
      <c r="L3929" s="10">
        <v>5.4496124031007751</v>
      </c>
      <c r="M3929" s="9">
        <v>44940</v>
      </c>
      <c r="N3929" s="10">
        <v>10</v>
      </c>
      <c r="O3929" s="9">
        <v>44950</v>
      </c>
      <c r="P3929">
        <v>6</v>
      </c>
      <c r="Q3929" s="11" t="s">
        <v>49</v>
      </c>
      <c r="R3929" s="7"/>
      <c r="S3929" s="7"/>
      <c r="T3929" s="7"/>
      <c r="U3929" s="7"/>
      <c r="V3929" s="10">
        <v>7.4496124031007751</v>
      </c>
      <c r="W3929" s="9">
        <v>44942</v>
      </c>
      <c r="X3929" s="10">
        <v>12</v>
      </c>
      <c r="Y3929" s="9">
        <v>44950</v>
      </c>
      <c r="Z3929">
        <v>6</v>
      </c>
      <c r="AA3929" s="11" t="s">
        <v>49</v>
      </c>
    </row>
    <row r="3930" spans="2:27" ht="16" x14ac:dyDescent="0.2">
      <c r="B3930" t="s">
        <v>35</v>
      </c>
      <c r="C3930">
        <v>40355300</v>
      </c>
      <c r="D3930" t="s">
        <v>423</v>
      </c>
      <c r="E3930">
        <v>1023324</v>
      </c>
      <c r="F3930" t="s">
        <v>269</v>
      </c>
      <c r="G3930" s="9">
        <v>44935</v>
      </c>
      <c r="H3930" s="7"/>
      <c r="I3930" s="7"/>
      <c r="J3930" s="7"/>
      <c r="K3930" s="7"/>
      <c r="L3930" s="10">
        <v>5.4496124031007751</v>
      </c>
      <c r="M3930" s="9">
        <v>44940</v>
      </c>
      <c r="N3930" s="10">
        <v>10</v>
      </c>
      <c r="O3930" s="9">
        <v>44950</v>
      </c>
      <c r="P3930">
        <v>6</v>
      </c>
      <c r="Q3930" s="11" t="s">
        <v>49</v>
      </c>
      <c r="R3930" s="7"/>
      <c r="S3930" s="7"/>
      <c r="T3930" s="7"/>
      <c r="U3930" s="7"/>
      <c r="V3930" s="10">
        <v>7.4496124031007751</v>
      </c>
      <c r="W3930" s="9">
        <v>44942</v>
      </c>
      <c r="X3930" s="10">
        <v>12</v>
      </c>
      <c r="Y3930" s="9">
        <v>44950</v>
      </c>
      <c r="Z3930">
        <v>6</v>
      </c>
      <c r="AA3930" s="11" t="s">
        <v>49</v>
      </c>
    </row>
    <row r="3931" spans="2:27" ht="16" x14ac:dyDescent="0.2">
      <c r="B3931" t="s">
        <v>35</v>
      </c>
      <c r="C3931">
        <v>40355299</v>
      </c>
      <c r="D3931" t="s">
        <v>423</v>
      </c>
      <c r="E3931">
        <v>1023324</v>
      </c>
      <c r="F3931" t="s">
        <v>269</v>
      </c>
      <c r="G3931" s="9">
        <v>44935</v>
      </c>
      <c r="H3931" s="7"/>
      <c r="I3931" s="7"/>
      <c r="J3931" s="7"/>
      <c r="K3931" s="7"/>
      <c r="L3931" s="10">
        <v>5.4496124031007751</v>
      </c>
      <c r="M3931" s="9">
        <v>44940</v>
      </c>
      <c r="N3931" s="10">
        <v>10</v>
      </c>
      <c r="O3931" s="9">
        <v>44950</v>
      </c>
      <c r="P3931">
        <v>6</v>
      </c>
      <c r="Q3931" s="11" t="s">
        <v>49</v>
      </c>
      <c r="R3931" s="7"/>
      <c r="S3931" s="7"/>
      <c r="T3931" s="7"/>
      <c r="U3931" s="7"/>
      <c r="V3931" s="10">
        <v>7.4496124031007751</v>
      </c>
      <c r="W3931" s="9">
        <v>44942</v>
      </c>
      <c r="X3931" s="10">
        <v>12</v>
      </c>
      <c r="Y3931" s="9">
        <v>44950</v>
      </c>
      <c r="Z3931">
        <v>6</v>
      </c>
      <c r="AA3931" s="11" t="s">
        <v>49</v>
      </c>
    </row>
    <row r="3932" spans="2:27" ht="16" x14ac:dyDescent="0.2">
      <c r="B3932" t="s">
        <v>35</v>
      </c>
      <c r="C3932">
        <v>40355298</v>
      </c>
      <c r="D3932" t="s">
        <v>423</v>
      </c>
      <c r="E3932">
        <v>1023324</v>
      </c>
      <c r="F3932" t="s">
        <v>269</v>
      </c>
      <c r="G3932" s="9">
        <v>44919</v>
      </c>
      <c r="H3932" s="7"/>
      <c r="I3932" s="7"/>
      <c r="J3932" s="7"/>
      <c r="K3932" s="7"/>
      <c r="L3932" s="10">
        <v>5.4496124031007751</v>
      </c>
      <c r="M3932" s="9">
        <v>44924</v>
      </c>
      <c r="N3932" s="10">
        <v>10</v>
      </c>
      <c r="O3932" s="9">
        <v>44934</v>
      </c>
      <c r="P3932">
        <v>20</v>
      </c>
      <c r="Q3932" s="11" t="s">
        <v>49</v>
      </c>
      <c r="R3932" s="7"/>
      <c r="S3932" s="7"/>
      <c r="T3932" s="7"/>
      <c r="U3932" s="7"/>
      <c r="V3932" s="10">
        <v>7.4496124031007751</v>
      </c>
      <c r="W3932" s="9">
        <v>44926</v>
      </c>
      <c r="X3932" s="10">
        <v>12</v>
      </c>
      <c r="Y3932" s="9">
        <v>44934</v>
      </c>
      <c r="Z3932">
        <v>20</v>
      </c>
      <c r="AA3932" s="11" t="s">
        <v>49</v>
      </c>
    </row>
    <row r="3933" spans="2:27" x14ac:dyDescent="0.2">
      <c r="B3933" t="s">
        <v>394</v>
      </c>
      <c r="C3933">
        <v>40355281</v>
      </c>
      <c r="D3933" t="s">
        <v>485</v>
      </c>
      <c r="E3933">
        <v>1012719</v>
      </c>
      <c r="F3933" t="s">
        <v>545</v>
      </c>
      <c r="G3933" s="9">
        <v>44927</v>
      </c>
      <c r="H3933" s="7"/>
      <c r="I3933" s="7"/>
      <c r="J3933" s="7"/>
      <c r="K3933" s="7"/>
      <c r="L3933" s="10"/>
      <c r="N3933" s="10"/>
      <c r="Q3933" s="11"/>
      <c r="R3933" s="7"/>
      <c r="S3933" s="7"/>
      <c r="T3933" s="7"/>
      <c r="U3933" s="7"/>
      <c r="V3933" s="10"/>
      <c r="X3933" s="10"/>
      <c r="AA3933" s="11"/>
    </row>
    <row r="3934" spans="2:27" x14ac:dyDescent="0.2">
      <c r="B3934" t="s">
        <v>394</v>
      </c>
      <c r="C3934">
        <v>40355280</v>
      </c>
      <c r="D3934" t="s">
        <v>485</v>
      </c>
      <c r="E3934">
        <v>1012719</v>
      </c>
      <c r="F3934" t="s">
        <v>545</v>
      </c>
      <c r="G3934" s="9">
        <v>44927</v>
      </c>
      <c r="H3934" s="7"/>
      <c r="I3934" s="7"/>
      <c r="J3934" s="7"/>
      <c r="K3934" s="7"/>
      <c r="L3934" s="10"/>
      <c r="N3934" s="10"/>
      <c r="Q3934" s="11"/>
      <c r="R3934" s="7"/>
      <c r="S3934" s="7"/>
      <c r="T3934" s="7"/>
      <c r="U3934" s="7"/>
      <c r="V3934" s="10"/>
      <c r="X3934" s="10"/>
      <c r="AA3934" s="11"/>
    </row>
    <row r="3935" spans="2:27" x14ac:dyDescent="0.2">
      <c r="B3935" t="s">
        <v>394</v>
      </c>
      <c r="C3935">
        <v>40355279</v>
      </c>
      <c r="D3935" t="s">
        <v>485</v>
      </c>
      <c r="E3935">
        <v>1012719</v>
      </c>
      <c r="F3935" t="s">
        <v>545</v>
      </c>
      <c r="G3935" s="9">
        <v>44932</v>
      </c>
      <c r="H3935" s="7"/>
      <c r="I3935" s="7"/>
      <c r="J3935" s="7"/>
      <c r="K3935" s="7"/>
      <c r="L3935" s="10"/>
      <c r="N3935" s="10"/>
      <c r="Q3935" s="11"/>
      <c r="R3935" s="7"/>
      <c r="S3935" s="7"/>
      <c r="T3935" s="7"/>
      <c r="U3935" s="7"/>
      <c r="V3935" s="10"/>
      <c r="X3935" s="10"/>
      <c r="AA3935" s="11"/>
    </row>
    <row r="3936" spans="2:27" x14ac:dyDescent="0.2">
      <c r="B3936" t="s">
        <v>394</v>
      </c>
      <c r="C3936">
        <v>40355278</v>
      </c>
      <c r="D3936" t="s">
        <v>485</v>
      </c>
      <c r="E3936">
        <v>1012719</v>
      </c>
      <c r="F3936" t="s">
        <v>545</v>
      </c>
      <c r="G3936" s="9">
        <v>44933</v>
      </c>
      <c r="H3936" s="7"/>
      <c r="I3936" s="7"/>
      <c r="J3936" s="7"/>
      <c r="K3936" s="7"/>
      <c r="L3936" s="10"/>
      <c r="N3936" s="10"/>
      <c r="Q3936" s="11"/>
      <c r="R3936" s="7"/>
      <c r="S3936" s="7"/>
      <c r="T3936" s="7"/>
      <c r="U3936" s="7"/>
      <c r="V3936" s="10"/>
      <c r="X3936" s="10"/>
      <c r="AA3936" s="11"/>
    </row>
    <row r="3937" spans="2:27" x14ac:dyDescent="0.2">
      <c r="B3937" t="s">
        <v>394</v>
      </c>
      <c r="C3937">
        <v>40355277</v>
      </c>
      <c r="D3937" t="s">
        <v>485</v>
      </c>
      <c r="E3937">
        <v>1012719</v>
      </c>
      <c r="F3937" t="s">
        <v>545</v>
      </c>
      <c r="G3937" s="9">
        <v>44927</v>
      </c>
      <c r="H3937" s="7"/>
      <c r="I3937" s="7"/>
      <c r="J3937" s="7"/>
      <c r="K3937" s="7"/>
      <c r="L3937" s="10"/>
      <c r="N3937" s="10"/>
      <c r="Q3937" s="11"/>
      <c r="R3937" s="7"/>
      <c r="S3937" s="7"/>
      <c r="T3937" s="7"/>
      <c r="U3937" s="7"/>
      <c r="V3937" s="10"/>
      <c r="X3937" s="10"/>
      <c r="AA3937" s="11"/>
    </row>
    <row r="3938" spans="2:27" x14ac:dyDescent="0.2">
      <c r="B3938" t="s">
        <v>394</v>
      </c>
      <c r="C3938">
        <v>40355276</v>
      </c>
      <c r="D3938" t="s">
        <v>485</v>
      </c>
      <c r="E3938">
        <v>1012719</v>
      </c>
      <c r="F3938" t="s">
        <v>545</v>
      </c>
      <c r="G3938" s="9">
        <v>44927</v>
      </c>
      <c r="H3938" s="7"/>
      <c r="I3938" s="7"/>
      <c r="J3938" s="7"/>
      <c r="K3938" s="7"/>
      <c r="L3938" s="10"/>
      <c r="N3938" s="10"/>
      <c r="Q3938" s="11"/>
      <c r="R3938" s="7"/>
      <c r="S3938" s="7"/>
      <c r="T3938" s="7"/>
      <c r="U3938" s="7"/>
      <c r="V3938" s="10"/>
      <c r="X3938" s="10"/>
      <c r="AA3938" s="11"/>
    </row>
    <row r="3939" spans="2:27" x14ac:dyDescent="0.2">
      <c r="B3939" t="s">
        <v>394</v>
      </c>
      <c r="C3939">
        <v>40355275</v>
      </c>
      <c r="D3939" t="s">
        <v>485</v>
      </c>
      <c r="E3939">
        <v>1012719</v>
      </c>
      <c r="F3939" t="s">
        <v>545</v>
      </c>
      <c r="G3939" s="9">
        <v>44927</v>
      </c>
      <c r="H3939" s="7"/>
      <c r="I3939" s="7"/>
      <c r="J3939" s="7"/>
      <c r="K3939" s="7"/>
      <c r="L3939" s="10"/>
      <c r="N3939" s="10"/>
      <c r="Q3939" s="11"/>
      <c r="R3939" s="7"/>
      <c r="S3939" s="7"/>
      <c r="T3939" s="7"/>
      <c r="U3939" s="7"/>
      <c r="V3939" s="10"/>
      <c r="X3939" s="10"/>
      <c r="AA3939" s="11"/>
    </row>
    <row r="3940" spans="2:27" x14ac:dyDescent="0.2">
      <c r="B3940" t="s">
        <v>394</v>
      </c>
      <c r="C3940">
        <v>40355274</v>
      </c>
      <c r="D3940" t="s">
        <v>485</v>
      </c>
      <c r="E3940">
        <v>1012719</v>
      </c>
      <c r="F3940" t="s">
        <v>545</v>
      </c>
      <c r="G3940" s="9">
        <v>44927</v>
      </c>
      <c r="H3940" s="7"/>
      <c r="I3940" s="7"/>
      <c r="J3940" s="7"/>
      <c r="K3940" s="7"/>
      <c r="L3940" s="10"/>
      <c r="N3940" s="10"/>
      <c r="Q3940" s="11"/>
      <c r="R3940" s="7"/>
      <c r="S3940" s="7"/>
      <c r="T3940" s="7"/>
      <c r="U3940" s="7"/>
      <c r="V3940" s="10"/>
      <c r="X3940" s="10"/>
      <c r="AA3940" s="11"/>
    </row>
    <row r="3941" spans="2:27" x14ac:dyDescent="0.2">
      <c r="B3941" t="s">
        <v>394</v>
      </c>
      <c r="C3941">
        <v>40355273</v>
      </c>
      <c r="D3941" t="s">
        <v>485</v>
      </c>
      <c r="E3941">
        <v>1012719</v>
      </c>
      <c r="F3941" t="s">
        <v>545</v>
      </c>
      <c r="G3941" s="9">
        <v>44927</v>
      </c>
      <c r="H3941" s="7"/>
      <c r="I3941" s="7"/>
      <c r="J3941" s="7"/>
      <c r="K3941" s="7"/>
      <c r="L3941" s="10"/>
      <c r="N3941" s="10"/>
      <c r="Q3941" s="11"/>
      <c r="R3941" s="7"/>
      <c r="S3941" s="7"/>
      <c r="T3941" s="7"/>
      <c r="U3941" s="7"/>
      <c r="V3941" s="10"/>
      <c r="X3941" s="10"/>
      <c r="AA3941" s="11"/>
    </row>
    <row r="3942" spans="2:27" x14ac:dyDescent="0.2">
      <c r="B3942" t="s">
        <v>394</v>
      </c>
      <c r="C3942">
        <v>40355272</v>
      </c>
      <c r="D3942" t="s">
        <v>485</v>
      </c>
      <c r="E3942">
        <v>1012719</v>
      </c>
      <c r="F3942" t="s">
        <v>545</v>
      </c>
      <c r="G3942" s="9">
        <v>44927</v>
      </c>
      <c r="H3942" s="7"/>
      <c r="I3942" s="7"/>
      <c r="J3942" s="7"/>
      <c r="K3942" s="7"/>
      <c r="L3942" s="10"/>
      <c r="N3942" s="10"/>
      <c r="Q3942" s="11"/>
      <c r="R3942" s="7"/>
      <c r="S3942" s="7"/>
      <c r="T3942" s="7"/>
      <c r="U3942" s="7"/>
      <c r="V3942" s="10"/>
      <c r="X3942" s="10"/>
      <c r="AA3942" s="11"/>
    </row>
    <row r="3943" spans="2:27" x14ac:dyDescent="0.2">
      <c r="B3943" t="s">
        <v>394</v>
      </c>
      <c r="C3943">
        <v>40355271</v>
      </c>
      <c r="D3943" t="s">
        <v>485</v>
      </c>
      <c r="E3943">
        <v>1012719</v>
      </c>
      <c r="F3943" t="s">
        <v>545</v>
      </c>
      <c r="G3943" s="9">
        <v>44927</v>
      </c>
      <c r="H3943" s="7"/>
      <c r="I3943" s="7"/>
      <c r="J3943" s="7"/>
      <c r="K3943" s="7"/>
      <c r="L3943" s="10"/>
      <c r="N3943" s="10"/>
      <c r="Q3943" s="11"/>
      <c r="R3943" s="7"/>
      <c r="S3943" s="7"/>
      <c r="T3943" s="7"/>
      <c r="U3943" s="7"/>
      <c r="V3943" s="10"/>
      <c r="X3943" s="10"/>
      <c r="AA3943" s="11"/>
    </row>
    <row r="3944" spans="2:27" x14ac:dyDescent="0.2">
      <c r="B3944" t="s">
        <v>394</v>
      </c>
      <c r="C3944">
        <v>40355260</v>
      </c>
      <c r="D3944" t="s">
        <v>485</v>
      </c>
      <c r="E3944">
        <v>1022842</v>
      </c>
      <c r="F3944" t="s">
        <v>657</v>
      </c>
      <c r="G3944" s="9">
        <v>44927</v>
      </c>
      <c r="H3944" s="7"/>
      <c r="I3944" s="7"/>
      <c r="J3944" s="7"/>
      <c r="K3944" s="7"/>
      <c r="L3944" s="10"/>
      <c r="N3944" s="10"/>
      <c r="Q3944" s="11"/>
      <c r="R3944" s="7"/>
      <c r="S3944" s="7"/>
      <c r="T3944" s="7"/>
      <c r="U3944" s="7"/>
      <c r="V3944" s="10"/>
      <c r="X3944" s="10"/>
      <c r="AA3944" s="11"/>
    </row>
    <row r="3945" spans="2:27" x14ac:dyDescent="0.2">
      <c r="B3945" t="s">
        <v>394</v>
      </c>
      <c r="C3945">
        <v>40355260</v>
      </c>
      <c r="D3945" t="s">
        <v>485</v>
      </c>
      <c r="E3945">
        <v>1022102</v>
      </c>
      <c r="F3945" t="s">
        <v>658</v>
      </c>
      <c r="G3945" s="9">
        <v>44927</v>
      </c>
      <c r="H3945" s="7"/>
      <c r="I3945" s="7"/>
      <c r="J3945" s="7"/>
      <c r="K3945" s="7"/>
      <c r="L3945" s="10"/>
      <c r="N3945" s="10"/>
      <c r="Q3945" s="11"/>
      <c r="R3945" s="7"/>
      <c r="S3945" s="7"/>
      <c r="T3945" s="7"/>
      <c r="U3945" s="7"/>
      <c r="V3945" s="10"/>
      <c r="X3945" s="10"/>
      <c r="AA3945" s="11"/>
    </row>
    <row r="3946" spans="2:27" x14ac:dyDescent="0.2">
      <c r="B3946" t="s">
        <v>394</v>
      </c>
      <c r="C3946">
        <v>40355260</v>
      </c>
      <c r="D3946" t="s">
        <v>485</v>
      </c>
      <c r="E3946">
        <v>1020886</v>
      </c>
      <c r="F3946" t="s">
        <v>609</v>
      </c>
      <c r="G3946" s="9">
        <v>44927</v>
      </c>
      <c r="H3946" s="7"/>
      <c r="I3946" s="7"/>
      <c r="J3946" s="7"/>
      <c r="K3946" s="7"/>
      <c r="L3946" s="10"/>
      <c r="N3946" s="10"/>
      <c r="Q3946" s="11"/>
      <c r="R3946" s="7"/>
      <c r="S3946" s="7"/>
      <c r="T3946" s="7"/>
      <c r="U3946" s="7"/>
      <c r="V3946" s="10"/>
      <c r="X3946" s="10"/>
      <c r="AA3946" s="11"/>
    </row>
    <row r="3947" spans="2:27" x14ac:dyDescent="0.2">
      <c r="B3947" t="s">
        <v>394</v>
      </c>
      <c r="C3947">
        <v>40355259</v>
      </c>
      <c r="D3947" t="s">
        <v>485</v>
      </c>
      <c r="E3947">
        <v>1020944</v>
      </c>
      <c r="F3947" t="s">
        <v>498</v>
      </c>
      <c r="G3947" s="9">
        <v>44931</v>
      </c>
      <c r="H3947" s="7"/>
      <c r="I3947" s="7"/>
      <c r="J3947" s="7"/>
      <c r="K3947" s="7"/>
      <c r="L3947" s="10"/>
      <c r="N3947" s="10"/>
      <c r="Q3947" s="11"/>
      <c r="R3947" s="7"/>
      <c r="S3947" s="7"/>
      <c r="T3947" s="7"/>
      <c r="U3947" s="7"/>
      <c r="V3947" s="10"/>
      <c r="X3947" s="10"/>
      <c r="AA3947" s="11"/>
    </row>
    <row r="3948" spans="2:27" x14ac:dyDescent="0.2">
      <c r="B3948" t="s">
        <v>394</v>
      </c>
      <c r="C3948">
        <v>40355247</v>
      </c>
      <c r="D3948" t="s">
        <v>485</v>
      </c>
      <c r="E3948">
        <v>1023417</v>
      </c>
      <c r="F3948" t="s">
        <v>659</v>
      </c>
      <c r="G3948" s="9">
        <v>44926</v>
      </c>
      <c r="H3948" s="7"/>
      <c r="I3948" s="7"/>
      <c r="J3948" s="7"/>
      <c r="K3948" s="7"/>
      <c r="L3948" s="10"/>
      <c r="N3948" s="10"/>
      <c r="Q3948" s="11"/>
      <c r="R3948" s="7"/>
      <c r="S3948" s="7"/>
      <c r="T3948" s="7"/>
      <c r="U3948" s="7"/>
      <c r="V3948" s="10"/>
      <c r="X3948" s="10"/>
      <c r="AA3948" s="11"/>
    </row>
    <row r="3949" spans="2:27" x14ac:dyDescent="0.2">
      <c r="B3949" t="s">
        <v>394</v>
      </c>
      <c r="C3949">
        <v>40355247</v>
      </c>
      <c r="D3949" t="s">
        <v>485</v>
      </c>
      <c r="E3949">
        <v>1023400</v>
      </c>
      <c r="F3949" t="s">
        <v>660</v>
      </c>
      <c r="G3949" s="9">
        <v>44926</v>
      </c>
      <c r="H3949" s="7"/>
      <c r="I3949" s="7"/>
      <c r="J3949" s="7"/>
      <c r="K3949" s="7"/>
      <c r="L3949" s="10"/>
      <c r="N3949" s="10"/>
      <c r="Q3949" s="11"/>
      <c r="R3949" s="7"/>
      <c r="S3949" s="7"/>
      <c r="T3949" s="7"/>
      <c r="U3949" s="7"/>
      <c r="V3949" s="10"/>
      <c r="X3949" s="10"/>
      <c r="AA3949" s="11"/>
    </row>
    <row r="3950" spans="2:27" x14ac:dyDescent="0.2">
      <c r="B3950" t="s">
        <v>394</v>
      </c>
      <c r="C3950">
        <v>40355247</v>
      </c>
      <c r="D3950" t="s">
        <v>485</v>
      </c>
      <c r="E3950">
        <v>1023090</v>
      </c>
      <c r="F3950" t="s">
        <v>661</v>
      </c>
      <c r="G3950" s="9">
        <v>44926</v>
      </c>
      <c r="H3950" s="7"/>
      <c r="I3950" s="7"/>
      <c r="J3950" s="7"/>
      <c r="K3950" s="7"/>
      <c r="L3950" s="10"/>
      <c r="N3950" s="10"/>
      <c r="Q3950" s="11"/>
      <c r="R3950" s="7"/>
      <c r="S3950" s="7"/>
      <c r="T3950" s="7"/>
      <c r="U3950" s="7"/>
      <c r="V3950" s="10"/>
      <c r="X3950" s="10"/>
      <c r="AA3950" s="11"/>
    </row>
    <row r="3951" spans="2:27" ht="16" x14ac:dyDescent="0.2">
      <c r="B3951" t="s">
        <v>35</v>
      </c>
      <c r="C3951">
        <v>40355236</v>
      </c>
      <c r="D3951" t="s">
        <v>391</v>
      </c>
      <c r="E3951">
        <v>1022918</v>
      </c>
      <c r="F3951" t="s">
        <v>410</v>
      </c>
      <c r="G3951" s="9">
        <v>44977</v>
      </c>
      <c r="H3951" s="7">
        <v>24000</v>
      </c>
      <c r="I3951" s="7"/>
      <c r="J3951" s="7"/>
      <c r="K3951" s="7"/>
      <c r="L3951" s="10">
        <v>4.830303030303031</v>
      </c>
      <c r="M3951" s="9">
        <v>44981</v>
      </c>
      <c r="N3951" s="10">
        <v>15</v>
      </c>
      <c r="O3951" s="9">
        <v>44996</v>
      </c>
      <c r="P3951">
        <v>17</v>
      </c>
      <c r="Q3951" s="11" t="s">
        <v>49</v>
      </c>
      <c r="R3951" s="7">
        <v>24000</v>
      </c>
      <c r="S3951" s="7"/>
      <c r="T3951" s="7"/>
      <c r="U3951" s="7"/>
      <c r="V3951" s="10">
        <v>6.830303030303031</v>
      </c>
      <c r="W3951" s="9">
        <v>44983</v>
      </c>
      <c r="X3951" s="10">
        <v>17</v>
      </c>
      <c r="Y3951" s="9">
        <v>44996</v>
      </c>
      <c r="Z3951">
        <v>17</v>
      </c>
      <c r="AA3951" s="11" t="s">
        <v>49</v>
      </c>
    </row>
    <row r="3952" spans="2:27" x14ac:dyDescent="0.2">
      <c r="B3952" t="s">
        <v>394</v>
      </c>
      <c r="C3952">
        <v>40355235</v>
      </c>
      <c r="D3952" t="s">
        <v>396</v>
      </c>
      <c r="E3952">
        <v>1021204</v>
      </c>
      <c r="F3952" t="s">
        <v>662</v>
      </c>
      <c r="G3952" s="9">
        <v>44974</v>
      </c>
      <c r="H3952" s="7"/>
      <c r="I3952" s="7"/>
      <c r="J3952" s="7"/>
      <c r="K3952" s="7"/>
      <c r="L3952" s="10"/>
      <c r="N3952" s="10"/>
      <c r="Q3952" s="11"/>
      <c r="R3952" s="7"/>
      <c r="S3952" s="7"/>
      <c r="T3952" s="7"/>
      <c r="U3952" s="7"/>
      <c r="V3952" s="10"/>
      <c r="X3952" s="10"/>
      <c r="AA3952" s="11"/>
    </row>
    <row r="3953" spans="2:27" x14ac:dyDescent="0.2">
      <c r="B3953" t="s">
        <v>394</v>
      </c>
      <c r="C3953">
        <v>40354701</v>
      </c>
      <c r="D3953" t="s">
        <v>485</v>
      </c>
      <c r="E3953">
        <v>1030792</v>
      </c>
      <c r="F3953" t="s">
        <v>513</v>
      </c>
      <c r="G3953" s="9">
        <v>44935</v>
      </c>
      <c r="H3953" s="7"/>
      <c r="I3953" s="7"/>
      <c r="J3953" s="7"/>
      <c r="K3953" s="7"/>
      <c r="L3953" s="10"/>
      <c r="N3953" s="10"/>
      <c r="Q3953" s="11"/>
      <c r="R3953" s="7"/>
      <c r="S3953" s="7"/>
      <c r="T3953" s="7"/>
      <c r="U3953" s="7"/>
      <c r="V3953" s="10"/>
      <c r="X3953" s="10"/>
      <c r="AA3953" s="11"/>
    </row>
    <row r="3954" spans="2:27" x14ac:dyDescent="0.2">
      <c r="B3954" t="s">
        <v>394</v>
      </c>
      <c r="C3954">
        <v>40354701</v>
      </c>
      <c r="D3954" t="s">
        <v>485</v>
      </c>
      <c r="E3954">
        <v>1030506</v>
      </c>
      <c r="F3954" t="s">
        <v>663</v>
      </c>
      <c r="G3954" s="9">
        <v>44935</v>
      </c>
      <c r="H3954" s="7"/>
      <c r="I3954" s="7"/>
      <c r="J3954" s="7"/>
      <c r="K3954" s="7"/>
      <c r="L3954" s="10"/>
      <c r="N3954" s="10"/>
      <c r="Q3954" s="11"/>
      <c r="R3954" s="7"/>
      <c r="S3954" s="7"/>
      <c r="T3954" s="7"/>
      <c r="U3954" s="7"/>
      <c r="V3954" s="10"/>
      <c r="X3954" s="10"/>
      <c r="AA3954" s="11"/>
    </row>
    <row r="3955" spans="2:27" x14ac:dyDescent="0.2">
      <c r="B3955" t="s">
        <v>394</v>
      </c>
      <c r="C3955">
        <v>40354673</v>
      </c>
      <c r="D3955" t="s">
        <v>485</v>
      </c>
      <c r="E3955">
        <v>1030792</v>
      </c>
      <c r="F3955" t="s">
        <v>513</v>
      </c>
      <c r="G3955" s="9">
        <v>44940</v>
      </c>
      <c r="H3955" s="7"/>
      <c r="I3955" s="7"/>
      <c r="J3955" s="7"/>
      <c r="K3955" s="7"/>
      <c r="L3955" s="10"/>
      <c r="N3955" s="10"/>
      <c r="Q3955" s="11"/>
      <c r="R3955" s="7"/>
      <c r="S3955" s="7"/>
      <c r="T3955" s="7"/>
      <c r="U3955" s="7"/>
      <c r="V3955" s="10"/>
      <c r="X3955" s="10"/>
      <c r="AA3955" s="11"/>
    </row>
    <row r="3956" spans="2:27" x14ac:dyDescent="0.2">
      <c r="B3956" t="s">
        <v>394</v>
      </c>
      <c r="C3956">
        <v>40354673</v>
      </c>
      <c r="D3956" t="s">
        <v>485</v>
      </c>
      <c r="E3956">
        <v>1030773</v>
      </c>
      <c r="F3956" t="s">
        <v>664</v>
      </c>
      <c r="G3956" s="9">
        <v>44940</v>
      </c>
      <c r="H3956" s="7"/>
      <c r="I3956" s="7"/>
      <c r="J3956" s="7"/>
      <c r="K3956" s="7"/>
      <c r="L3956" s="10"/>
      <c r="N3956" s="10"/>
      <c r="Q3956" s="11"/>
      <c r="R3956" s="7"/>
      <c r="S3956" s="7"/>
      <c r="T3956" s="7"/>
      <c r="U3956" s="7"/>
      <c r="V3956" s="10"/>
      <c r="X3956" s="10"/>
      <c r="AA3956" s="11"/>
    </row>
    <row r="3957" spans="2:27" ht="16" x14ac:dyDescent="0.2">
      <c r="B3957" t="s">
        <v>35</v>
      </c>
      <c r="C3957">
        <v>40354663</v>
      </c>
      <c r="D3957" t="s">
        <v>389</v>
      </c>
      <c r="E3957">
        <v>1011969</v>
      </c>
      <c r="F3957" t="s">
        <v>417</v>
      </c>
      <c r="G3957" s="9">
        <v>44958</v>
      </c>
      <c r="H3957" s="7"/>
      <c r="I3957" s="7"/>
      <c r="J3957" s="7"/>
      <c r="K3957" s="7"/>
      <c r="L3957" s="10">
        <v>5.5741092456127026</v>
      </c>
      <c r="M3957" s="9">
        <v>44963</v>
      </c>
      <c r="N3957" s="10">
        <v>5.5</v>
      </c>
      <c r="O3957" s="9">
        <v>44968</v>
      </c>
      <c r="P3957">
        <v>14</v>
      </c>
      <c r="Q3957" s="11" t="s">
        <v>49</v>
      </c>
      <c r="R3957" s="7"/>
      <c r="S3957" s="7"/>
      <c r="T3957" s="7"/>
      <c r="U3957" s="7"/>
      <c r="V3957" s="10">
        <v>7.5741092456127026</v>
      </c>
      <c r="W3957" s="9">
        <v>44965</v>
      </c>
      <c r="X3957" s="10">
        <v>7.5</v>
      </c>
      <c r="Y3957" s="9">
        <v>44968</v>
      </c>
      <c r="Z3957">
        <v>14</v>
      </c>
      <c r="AA3957" s="11" t="s">
        <v>49</v>
      </c>
    </row>
    <row r="3958" spans="2:27" ht="16" x14ac:dyDescent="0.2">
      <c r="B3958" t="s">
        <v>35</v>
      </c>
      <c r="C3958">
        <v>40354662</v>
      </c>
      <c r="D3958" t="s">
        <v>389</v>
      </c>
      <c r="E3958">
        <v>1011969</v>
      </c>
      <c r="F3958" t="s">
        <v>417</v>
      </c>
      <c r="G3958" s="9">
        <v>44936</v>
      </c>
      <c r="H3958" s="7"/>
      <c r="I3958" s="7"/>
      <c r="J3958" s="7"/>
      <c r="K3958" s="7"/>
      <c r="L3958" s="10">
        <v>5.5741092456127026</v>
      </c>
      <c r="M3958" s="9">
        <v>44941</v>
      </c>
      <c r="N3958" s="10">
        <v>5.5</v>
      </c>
      <c r="O3958" s="9">
        <v>44946</v>
      </c>
      <c r="P3958">
        <v>7</v>
      </c>
      <c r="Q3958" s="11" t="s">
        <v>49</v>
      </c>
      <c r="R3958" s="7"/>
      <c r="S3958" s="7"/>
      <c r="T3958" s="7"/>
      <c r="U3958" s="7"/>
      <c r="V3958" s="10">
        <v>7.5741092456127026</v>
      </c>
      <c r="W3958" s="9">
        <v>44943</v>
      </c>
      <c r="X3958" s="10">
        <v>7.5</v>
      </c>
      <c r="Y3958" s="9">
        <v>44946</v>
      </c>
      <c r="Z3958">
        <v>7</v>
      </c>
      <c r="AA3958" s="11" t="s">
        <v>49</v>
      </c>
    </row>
    <row r="3959" spans="2:27" ht="16" x14ac:dyDescent="0.2">
      <c r="B3959" t="s">
        <v>35</v>
      </c>
      <c r="C3959">
        <v>40354652</v>
      </c>
      <c r="D3959" t="s">
        <v>391</v>
      </c>
      <c r="E3959">
        <v>1023265</v>
      </c>
      <c r="F3959" t="s">
        <v>347</v>
      </c>
      <c r="G3959" s="9">
        <v>44962</v>
      </c>
      <c r="H3959" s="7"/>
      <c r="I3959" s="7"/>
      <c r="J3959" s="7"/>
      <c r="K3959" s="7"/>
      <c r="L3959" s="10">
        <v>4.830303030303031</v>
      </c>
      <c r="M3959" s="9">
        <v>44966</v>
      </c>
      <c r="N3959" s="10">
        <v>15</v>
      </c>
      <c r="O3959" s="9">
        <v>44981</v>
      </c>
      <c r="P3959">
        <v>3</v>
      </c>
      <c r="Q3959" s="11" t="s">
        <v>49</v>
      </c>
      <c r="R3959" s="7"/>
      <c r="S3959" s="7"/>
      <c r="T3959" s="7"/>
      <c r="U3959" s="7"/>
      <c r="V3959" s="10">
        <v>6.830303030303031</v>
      </c>
      <c r="W3959" s="9">
        <v>44968</v>
      </c>
      <c r="X3959" s="10">
        <v>17</v>
      </c>
      <c r="Y3959" s="9">
        <v>44981</v>
      </c>
      <c r="Z3959">
        <v>3</v>
      </c>
      <c r="AA3959" s="11" t="s">
        <v>49</v>
      </c>
    </row>
    <row r="3960" spans="2:27" ht="16" x14ac:dyDescent="0.2">
      <c r="B3960" t="s">
        <v>35</v>
      </c>
      <c r="C3960">
        <v>40354651</v>
      </c>
      <c r="D3960" t="s">
        <v>391</v>
      </c>
      <c r="E3960">
        <v>1021987</v>
      </c>
      <c r="F3960" t="s">
        <v>435</v>
      </c>
      <c r="G3960" s="9">
        <v>44962</v>
      </c>
      <c r="H3960" s="7"/>
      <c r="I3960" s="7"/>
      <c r="J3960" s="7"/>
      <c r="K3960" s="7"/>
      <c r="L3960" s="10">
        <v>4.830303030303031</v>
      </c>
      <c r="M3960" s="9">
        <v>44966</v>
      </c>
      <c r="N3960" s="10">
        <v>15</v>
      </c>
      <c r="O3960" s="9">
        <v>44981</v>
      </c>
      <c r="P3960">
        <v>3</v>
      </c>
      <c r="Q3960" s="11" t="s">
        <v>49</v>
      </c>
      <c r="R3960" s="7"/>
      <c r="S3960" s="7"/>
      <c r="T3960" s="7"/>
      <c r="U3960" s="7"/>
      <c r="V3960" s="10">
        <v>6.830303030303031</v>
      </c>
      <c r="W3960" s="9">
        <v>44968</v>
      </c>
      <c r="X3960" s="10">
        <v>17</v>
      </c>
      <c r="Y3960" s="9">
        <v>44981</v>
      </c>
      <c r="Z3960">
        <v>3</v>
      </c>
      <c r="AA3960" s="11" t="s">
        <v>49</v>
      </c>
    </row>
    <row r="3961" spans="2:27" ht="16" x14ac:dyDescent="0.2">
      <c r="B3961" t="s">
        <v>35</v>
      </c>
      <c r="C3961">
        <v>40354650</v>
      </c>
      <c r="D3961" t="s">
        <v>391</v>
      </c>
      <c r="E3961">
        <v>1021922</v>
      </c>
      <c r="F3961" t="s">
        <v>186</v>
      </c>
      <c r="G3961" s="9">
        <v>44962</v>
      </c>
      <c r="H3961" s="7"/>
      <c r="I3961" s="7"/>
      <c r="J3961" s="7"/>
      <c r="K3961" s="7"/>
      <c r="L3961" s="10">
        <v>4.830303030303031</v>
      </c>
      <c r="M3961" s="9">
        <v>44966</v>
      </c>
      <c r="N3961" s="10">
        <v>15</v>
      </c>
      <c r="O3961" s="9">
        <v>44981</v>
      </c>
      <c r="P3961">
        <v>3</v>
      </c>
      <c r="Q3961" s="11" t="s">
        <v>49</v>
      </c>
      <c r="R3961" s="7"/>
      <c r="S3961" s="7"/>
      <c r="T3961" s="7"/>
      <c r="U3961" s="7"/>
      <c r="V3961" s="10">
        <v>6.830303030303031</v>
      </c>
      <c r="W3961" s="9">
        <v>44968</v>
      </c>
      <c r="X3961" s="10">
        <v>17</v>
      </c>
      <c r="Y3961" s="9">
        <v>44981</v>
      </c>
      <c r="Z3961">
        <v>3</v>
      </c>
      <c r="AA3961" s="11" t="s">
        <v>49</v>
      </c>
    </row>
    <row r="3962" spans="2:27" ht="16" x14ac:dyDescent="0.2">
      <c r="B3962" t="s">
        <v>35</v>
      </c>
      <c r="C3962">
        <v>40354650</v>
      </c>
      <c r="D3962" t="s">
        <v>391</v>
      </c>
      <c r="E3962">
        <v>1022141</v>
      </c>
      <c r="F3962" t="s">
        <v>126</v>
      </c>
      <c r="G3962" s="9">
        <v>44962</v>
      </c>
      <c r="H3962" s="7"/>
      <c r="I3962" s="7"/>
      <c r="J3962" s="7"/>
      <c r="K3962" s="7"/>
      <c r="L3962" s="10">
        <v>4.830303030303031</v>
      </c>
      <c r="M3962" s="9">
        <v>44966</v>
      </c>
      <c r="N3962" s="10">
        <v>15</v>
      </c>
      <c r="O3962" s="9">
        <v>44981</v>
      </c>
      <c r="P3962">
        <v>3</v>
      </c>
      <c r="Q3962" s="11" t="s">
        <v>49</v>
      </c>
      <c r="R3962" s="7"/>
      <c r="S3962" s="7"/>
      <c r="T3962" s="7"/>
      <c r="U3962" s="7"/>
      <c r="V3962" s="10">
        <v>6.830303030303031</v>
      </c>
      <c r="W3962" s="9">
        <v>44968</v>
      </c>
      <c r="X3962" s="10">
        <v>17</v>
      </c>
      <c r="Y3962" s="9">
        <v>44981</v>
      </c>
      <c r="Z3962">
        <v>3</v>
      </c>
      <c r="AA3962" s="11" t="s">
        <v>49</v>
      </c>
    </row>
    <row r="3963" spans="2:27" ht="16" x14ac:dyDescent="0.2">
      <c r="B3963" t="s">
        <v>35</v>
      </c>
      <c r="C3963">
        <v>40354650</v>
      </c>
      <c r="D3963" t="s">
        <v>391</v>
      </c>
      <c r="E3963">
        <v>1022515</v>
      </c>
      <c r="F3963" t="s">
        <v>197</v>
      </c>
      <c r="G3963" s="9">
        <v>44962</v>
      </c>
      <c r="H3963" s="7"/>
      <c r="I3963" s="7"/>
      <c r="J3963" s="7"/>
      <c r="K3963" s="7"/>
      <c r="L3963" s="10">
        <v>4.830303030303031</v>
      </c>
      <c r="M3963" s="9">
        <v>44966</v>
      </c>
      <c r="N3963" s="10">
        <v>15</v>
      </c>
      <c r="O3963" s="9">
        <v>44981</v>
      </c>
      <c r="P3963">
        <v>3</v>
      </c>
      <c r="Q3963" s="11" t="s">
        <v>49</v>
      </c>
      <c r="R3963" s="7"/>
      <c r="S3963" s="7"/>
      <c r="T3963" s="7"/>
      <c r="U3963" s="7"/>
      <c r="V3963" s="10">
        <v>6.830303030303031</v>
      </c>
      <c r="W3963" s="9">
        <v>44968</v>
      </c>
      <c r="X3963" s="10">
        <v>17</v>
      </c>
      <c r="Y3963" s="9">
        <v>44981</v>
      </c>
      <c r="Z3963">
        <v>3</v>
      </c>
      <c r="AA3963" s="11" t="s">
        <v>49</v>
      </c>
    </row>
    <row r="3964" spans="2:27" ht="16" x14ac:dyDescent="0.2">
      <c r="B3964" t="s">
        <v>35</v>
      </c>
      <c r="C3964">
        <v>40354650</v>
      </c>
      <c r="D3964" t="s">
        <v>391</v>
      </c>
      <c r="E3964">
        <v>1022863</v>
      </c>
      <c r="F3964" t="s">
        <v>201</v>
      </c>
      <c r="G3964" s="9">
        <v>44962</v>
      </c>
      <c r="H3964" s="7"/>
      <c r="I3964" s="7"/>
      <c r="J3964" s="7"/>
      <c r="K3964" s="7"/>
      <c r="L3964" s="10">
        <v>4.830303030303031</v>
      </c>
      <c r="M3964" s="9">
        <v>44966</v>
      </c>
      <c r="N3964" s="10">
        <v>15</v>
      </c>
      <c r="O3964" s="9">
        <v>44981</v>
      </c>
      <c r="P3964">
        <v>3</v>
      </c>
      <c r="Q3964" s="11" t="s">
        <v>49</v>
      </c>
      <c r="R3964" s="7"/>
      <c r="S3964" s="7"/>
      <c r="T3964" s="7"/>
      <c r="U3964" s="7"/>
      <c r="V3964" s="10">
        <v>6.830303030303031</v>
      </c>
      <c r="W3964" s="9">
        <v>44968</v>
      </c>
      <c r="X3964" s="10">
        <v>17</v>
      </c>
      <c r="Y3964" s="9">
        <v>44981</v>
      </c>
      <c r="Z3964">
        <v>3</v>
      </c>
      <c r="AA3964" s="11" t="s">
        <v>49</v>
      </c>
    </row>
    <row r="3965" spans="2:27" ht="16" x14ac:dyDescent="0.2">
      <c r="B3965" t="s">
        <v>35</v>
      </c>
      <c r="C3965">
        <v>40354650</v>
      </c>
      <c r="D3965" t="s">
        <v>391</v>
      </c>
      <c r="E3965">
        <v>1023123</v>
      </c>
      <c r="F3965" t="s">
        <v>345</v>
      </c>
      <c r="G3965" s="9">
        <v>44962</v>
      </c>
      <c r="H3965" s="7"/>
      <c r="I3965" s="7"/>
      <c r="J3965" s="7"/>
      <c r="K3965" s="7"/>
      <c r="L3965" s="10">
        <v>4.830303030303031</v>
      </c>
      <c r="M3965" s="9">
        <v>44966</v>
      </c>
      <c r="N3965" s="10">
        <v>15</v>
      </c>
      <c r="O3965" s="9">
        <v>44981</v>
      </c>
      <c r="P3965">
        <v>3</v>
      </c>
      <c r="Q3965" s="11" t="s">
        <v>49</v>
      </c>
      <c r="R3965" s="7"/>
      <c r="S3965" s="7"/>
      <c r="T3965" s="7"/>
      <c r="U3965" s="7"/>
      <c r="V3965" s="10">
        <v>6.830303030303031</v>
      </c>
      <c r="W3965" s="9">
        <v>44968</v>
      </c>
      <c r="X3965" s="10">
        <v>17</v>
      </c>
      <c r="Y3965" s="9">
        <v>44981</v>
      </c>
      <c r="Z3965">
        <v>3</v>
      </c>
      <c r="AA3965" s="11" t="s">
        <v>49</v>
      </c>
    </row>
    <row r="3966" spans="2:27" ht="16" x14ac:dyDescent="0.2">
      <c r="B3966" t="s">
        <v>35</v>
      </c>
      <c r="C3966">
        <v>40354646</v>
      </c>
      <c r="D3966" t="s">
        <v>391</v>
      </c>
      <c r="E3966">
        <v>1023265</v>
      </c>
      <c r="F3966" t="s">
        <v>347</v>
      </c>
      <c r="G3966" s="9">
        <v>44955</v>
      </c>
      <c r="H3966" s="7"/>
      <c r="I3966" s="7"/>
      <c r="J3966" s="7"/>
      <c r="K3966" s="7"/>
      <c r="L3966" s="10">
        <v>4.830303030303031</v>
      </c>
      <c r="M3966" s="9">
        <v>44959</v>
      </c>
      <c r="N3966" s="10">
        <v>15</v>
      </c>
      <c r="O3966" s="9">
        <v>44974</v>
      </c>
      <c r="P3966">
        <v>9</v>
      </c>
      <c r="Q3966" s="11" t="s">
        <v>49</v>
      </c>
      <c r="R3966" s="7"/>
      <c r="S3966" s="7"/>
      <c r="T3966" s="7"/>
      <c r="U3966" s="7"/>
      <c r="V3966" s="10">
        <v>6.830303030303031</v>
      </c>
      <c r="W3966" s="9">
        <v>44961</v>
      </c>
      <c r="X3966" s="10">
        <v>17</v>
      </c>
      <c r="Y3966" s="9">
        <v>44974</v>
      </c>
      <c r="Z3966">
        <v>9</v>
      </c>
      <c r="AA3966" s="11" t="s">
        <v>49</v>
      </c>
    </row>
    <row r="3967" spans="2:27" ht="16" x14ac:dyDescent="0.2">
      <c r="B3967" t="s">
        <v>35</v>
      </c>
      <c r="C3967">
        <v>40354645</v>
      </c>
      <c r="D3967" t="s">
        <v>391</v>
      </c>
      <c r="E3967">
        <v>1021987</v>
      </c>
      <c r="F3967" t="s">
        <v>435</v>
      </c>
      <c r="G3967" s="9">
        <v>44955</v>
      </c>
      <c r="H3967" s="7"/>
      <c r="I3967" s="7"/>
      <c r="J3967" s="7"/>
      <c r="K3967" s="7"/>
      <c r="L3967" s="10">
        <v>4.830303030303031</v>
      </c>
      <c r="M3967" s="9">
        <v>44959</v>
      </c>
      <c r="N3967" s="10">
        <v>15</v>
      </c>
      <c r="O3967" s="9">
        <v>44974</v>
      </c>
      <c r="P3967">
        <v>9</v>
      </c>
      <c r="Q3967" s="11" t="s">
        <v>49</v>
      </c>
      <c r="R3967" s="7"/>
      <c r="S3967" s="7"/>
      <c r="T3967" s="7"/>
      <c r="U3967" s="7"/>
      <c r="V3967" s="10">
        <v>6.830303030303031</v>
      </c>
      <c r="W3967" s="9">
        <v>44961</v>
      </c>
      <c r="X3967" s="10">
        <v>17</v>
      </c>
      <c r="Y3967" s="9">
        <v>44974</v>
      </c>
      <c r="Z3967">
        <v>9</v>
      </c>
      <c r="AA3967" s="11" t="s">
        <v>49</v>
      </c>
    </row>
    <row r="3968" spans="2:27" ht="16" x14ac:dyDescent="0.2">
      <c r="B3968" t="s">
        <v>35</v>
      </c>
      <c r="C3968">
        <v>40354644</v>
      </c>
      <c r="D3968" t="s">
        <v>391</v>
      </c>
      <c r="E3968">
        <v>1022142</v>
      </c>
      <c r="F3968" t="s">
        <v>390</v>
      </c>
      <c r="G3968" s="9">
        <v>44955</v>
      </c>
      <c r="H3968" s="7"/>
      <c r="I3968" s="7"/>
      <c r="J3968" s="7"/>
      <c r="K3968" s="7"/>
      <c r="L3968" s="10">
        <v>4.830303030303031</v>
      </c>
      <c r="M3968" s="9">
        <v>44959</v>
      </c>
      <c r="N3968" s="10">
        <v>15</v>
      </c>
      <c r="O3968" s="9">
        <v>44974</v>
      </c>
      <c r="P3968">
        <v>9</v>
      </c>
      <c r="Q3968" s="11" t="s">
        <v>49</v>
      </c>
      <c r="R3968" s="7"/>
      <c r="S3968" s="7"/>
      <c r="T3968" s="7"/>
      <c r="U3968" s="7"/>
      <c r="V3968" s="10">
        <v>6.830303030303031</v>
      </c>
      <c r="W3968" s="9">
        <v>44961</v>
      </c>
      <c r="X3968" s="10">
        <v>17</v>
      </c>
      <c r="Y3968" s="9">
        <v>44974</v>
      </c>
      <c r="Z3968">
        <v>9</v>
      </c>
      <c r="AA3968" s="11" t="s">
        <v>49</v>
      </c>
    </row>
    <row r="3969" spans="2:27" ht="16" x14ac:dyDescent="0.2">
      <c r="B3969" t="s">
        <v>35</v>
      </c>
      <c r="C3969">
        <v>40354644</v>
      </c>
      <c r="D3969" t="s">
        <v>391</v>
      </c>
      <c r="E3969">
        <v>1022293</v>
      </c>
      <c r="F3969" t="s">
        <v>339</v>
      </c>
      <c r="G3969" s="9">
        <v>44955</v>
      </c>
      <c r="H3969" s="7"/>
      <c r="I3969" s="7"/>
      <c r="J3969" s="7"/>
      <c r="K3969" s="7"/>
      <c r="L3969" s="10">
        <v>4.830303030303031</v>
      </c>
      <c r="M3969" s="9">
        <v>44959</v>
      </c>
      <c r="N3969" s="10">
        <v>15</v>
      </c>
      <c r="O3969" s="9">
        <v>44974</v>
      </c>
      <c r="P3969">
        <v>9</v>
      </c>
      <c r="Q3969" s="11" t="s">
        <v>49</v>
      </c>
      <c r="R3969" s="7"/>
      <c r="S3969" s="7"/>
      <c r="T3969" s="7"/>
      <c r="U3969" s="7"/>
      <c r="V3969" s="10">
        <v>6.830303030303031</v>
      </c>
      <c r="W3969" s="9">
        <v>44961</v>
      </c>
      <c r="X3969" s="10">
        <v>17</v>
      </c>
      <c r="Y3969" s="9">
        <v>44974</v>
      </c>
      <c r="Z3969">
        <v>9</v>
      </c>
      <c r="AA3969" s="11" t="s">
        <v>49</v>
      </c>
    </row>
    <row r="3970" spans="2:27" ht="16" x14ac:dyDescent="0.2">
      <c r="B3970" t="s">
        <v>35</v>
      </c>
      <c r="C3970">
        <v>40354644</v>
      </c>
      <c r="D3970" t="s">
        <v>391</v>
      </c>
      <c r="E3970">
        <v>1022863</v>
      </c>
      <c r="F3970" t="s">
        <v>201</v>
      </c>
      <c r="G3970" s="9">
        <v>44955</v>
      </c>
      <c r="H3970" s="7"/>
      <c r="I3970" s="7"/>
      <c r="J3970" s="7"/>
      <c r="K3970" s="7"/>
      <c r="L3970" s="10">
        <v>4.830303030303031</v>
      </c>
      <c r="M3970" s="9">
        <v>44959</v>
      </c>
      <c r="N3970" s="10">
        <v>15</v>
      </c>
      <c r="O3970" s="9">
        <v>44974</v>
      </c>
      <c r="P3970">
        <v>9</v>
      </c>
      <c r="Q3970" s="11" t="s">
        <v>49</v>
      </c>
      <c r="R3970" s="7"/>
      <c r="S3970" s="7"/>
      <c r="T3970" s="7"/>
      <c r="U3970" s="7"/>
      <c r="V3970" s="10">
        <v>6.830303030303031</v>
      </c>
      <c r="W3970" s="9">
        <v>44961</v>
      </c>
      <c r="X3970" s="10">
        <v>17</v>
      </c>
      <c r="Y3970" s="9">
        <v>44974</v>
      </c>
      <c r="Z3970">
        <v>9</v>
      </c>
      <c r="AA3970" s="11" t="s">
        <v>49</v>
      </c>
    </row>
    <row r="3971" spans="2:27" ht="16" x14ac:dyDescent="0.2">
      <c r="B3971" t="s">
        <v>35</v>
      </c>
      <c r="C3971">
        <v>40354644</v>
      </c>
      <c r="D3971" t="s">
        <v>391</v>
      </c>
      <c r="E3971">
        <v>1022864</v>
      </c>
      <c r="F3971" t="s">
        <v>41</v>
      </c>
      <c r="G3971" s="9">
        <v>44955</v>
      </c>
      <c r="H3971" s="7"/>
      <c r="I3971" s="7"/>
      <c r="J3971" s="7"/>
      <c r="K3971" s="7"/>
      <c r="L3971" s="10">
        <v>4.830303030303031</v>
      </c>
      <c r="M3971" s="9">
        <v>44959</v>
      </c>
      <c r="N3971" s="10">
        <v>15</v>
      </c>
      <c r="O3971" s="9">
        <v>44974</v>
      </c>
      <c r="P3971">
        <v>9</v>
      </c>
      <c r="Q3971" s="11" t="s">
        <v>49</v>
      </c>
      <c r="R3971" s="7"/>
      <c r="S3971" s="7"/>
      <c r="T3971" s="7"/>
      <c r="U3971" s="7"/>
      <c r="V3971" s="10">
        <v>6.830303030303031</v>
      </c>
      <c r="W3971" s="9">
        <v>44961</v>
      </c>
      <c r="X3971" s="10">
        <v>17</v>
      </c>
      <c r="Y3971" s="9">
        <v>44974</v>
      </c>
      <c r="Z3971">
        <v>9</v>
      </c>
      <c r="AA3971" s="11" t="s">
        <v>49</v>
      </c>
    </row>
    <row r="3972" spans="2:27" ht="16" x14ac:dyDescent="0.2">
      <c r="B3972" t="s">
        <v>35</v>
      </c>
      <c r="C3972">
        <v>40354644</v>
      </c>
      <c r="D3972" t="s">
        <v>391</v>
      </c>
      <c r="E3972">
        <v>1022865</v>
      </c>
      <c r="F3972" t="s">
        <v>343</v>
      </c>
      <c r="G3972" s="9">
        <v>44955</v>
      </c>
      <c r="H3972" s="7"/>
      <c r="I3972" s="7"/>
      <c r="J3972" s="7"/>
      <c r="K3972" s="7"/>
      <c r="L3972" s="10">
        <v>4.830303030303031</v>
      </c>
      <c r="M3972" s="9">
        <v>44959</v>
      </c>
      <c r="N3972" s="10">
        <v>15</v>
      </c>
      <c r="O3972" s="9">
        <v>44974</v>
      </c>
      <c r="P3972">
        <v>9</v>
      </c>
      <c r="Q3972" s="11" t="s">
        <v>49</v>
      </c>
      <c r="R3972" s="7"/>
      <c r="S3972" s="7"/>
      <c r="T3972" s="7"/>
      <c r="U3972" s="7"/>
      <c r="V3972" s="10">
        <v>6.830303030303031</v>
      </c>
      <c r="W3972" s="9">
        <v>44961</v>
      </c>
      <c r="X3972" s="10">
        <v>17</v>
      </c>
      <c r="Y3972" s="9">
        <v>44974</v>
      </c>
      <c r="Z3972">
        <v>9</v>
      </c>
      <c r="AA3972" s="11" t="s">
        <v>49</v>
      </c>
    </row>
    <row r="3973" spans="2:27" ht="16" x14ac:dyDescent="0.2">
      <c r="B3973" t="s">
        <v>35</v>
      </c>
      <c r="C3973">
        <v>40354641</v>
      </c>
      <c r="D3973" t="s">
        <v>391</v>
      </c>
      <c r="E3973">
        <v>1021931</v>
      </c>
      <c r="F3973" t="s">
        <v>189</v>
      </c>
      <c r="G3973" s="9">
        <v>44955</v>
      </c>
      <c r="H3973" s="7"/>
      <c r="I3973" s="7"/>
      <c r="J3973" s="7"/>
      <c r="K3973" s="7"/>
      <c r="L3973" s="10">
        <v>4.830303030303031</v>
      </c>
      <c r="M3973" s="9">
        <v>44959</v>
      </c>
      <c r="N3973" s="10">
        <v>15</v>
      </c>
      <c r="O3973" s="9">
        <v>44974</v>
      </c>
      <c r="P3973">
        <v>9</v>
      </c>
      <c r="Q3973" s="11" t="s">
        <v>49</v>
      </c>
      <c r="R3973" s="7"/>
      <c r="S3973" s="7"/>
      <c r="T3973" s="7"/>
      <c r="U3973" s="7"/>
      <c r="V3973" s="10">
        <v>6.830303030303031</v>
      </c>
      <c r="W3973" s="9">
        <v>44961</v>
      </c>
      <c r="X3973" s="10">
        <v>17</v>
      </c>
      <c r="Y3973" s="9">
        <v>44974</v>
      </c>
      <c r="Z3973">
        <v>9</v>
      </c>
      <c r="AA3973" s="11" t="s">
        <v>49</v>
      </c>
    </row>
    <row r="3974" spans="2:27" ht="16" x14ac:dyDescent="0.2">
      <c r="B3974" t="s">
        <v>35</v>
      </c>
      <c r="C3974">
        <v>40354640</v>
      </c>
      <c r="D3974" t="s">
        <v>391</v>
      </c>
      <c r="E3974">
        <v>1022866</v>
      </c>
      <c r="F3974" t="s">
        <v>203</v>
      </c>
      <c r="G3974" s="9">
        <v>44955</v>
      </c>
      <c r="H3974" s="7"/>
      <c r="I3974" s="7"/>
      <c r="J3974" s="7"/>
      <c r="K3974" s="7"/>
      <c r="L3974" s="10">
        <v>4.830303030303031</v>
      </c>
      <c r="M3974" s="9">
        <v>44959</v>
      </c>
      <c r="N3974" s="10">
        <v>15</v>
      </c>
      <c r="O3974" s="9">
        <v>44974</v>
      </c>
      <c r="P3974">
        <v>9</v>
      </c>
      <c r="Q3974" s="11" t="s">
        <v>49</v>
      </c>
      <c r="R3974" s="7"/>
      <c r="S3974" s="7"/>
      <c r="T3974" s="7"/>
      <c r="U3974" s="7"/>
      <c r="V3974" s="10">
        <v>6.830303030303031</v>
      </c>
      <c r="W3974" s="9">
        <v>44961</v>
      </c>
      <c r="X3974" s="10">
        <v>17</v>
      </c>
      <c r="Y3974" s="9">
        <v>44974</v>
      </c>
      <c r="Z3974">
        <v>9</v>
      </c>
      <c r="AA3974" s="11" t="s">
        <v>49</v>
      </c>
    </row>
    <row r="3975" spans="2:27" ht="16" x14ac:dyDescent="0.2">
      <c r="B3975" t="s">
        <v>35</v>
      </c>
      <c r="C3975">
        <v>40354640</v>
      </c>
      <c r="D3975" t="s">
        <v>391</v>
      </c>
      <c r="E3975">
        <v>1022864</v>
      </c>
      <c r="F3975" t="s">
        <v>41</v>
      </c>
      <c r="G3975" s="9">
        <v>44955</v>
      </c>
      <c r="H3975" s="7"/>
      <c r="I3975" s="7"/>
      <c r="J3975" s="7"/>
      <c r="K3975" s="7"/>
      <c r="L3975" s="10">
        <v>4.830303030303031</v>
      </c>
      <c r="M3975" s="9">
        <v>44959</v>
      </c>
      <c r="N3975" s="10">
        <v>15</v>
      </c>
      <c r="O3975" s="9">
        <v>44974</v>
      </c>
      <c r="P3975">
        <v>9</v>
      </c>
      <c r="Q3975" s="11" t="s">
        <v>49</v>
      </c>
      <c r="R3975" s="7"/>
      <c r="S3975" s="7"/>
      <c r="T3975" s="7"/>
      <c r="U3975" s="7"/>
      <c r="V3975" s="10">
        <v>6.830303030303031</v>
      </c>
      <c r="W3975" s="9">
        <v>44961</v>
      </c>
      <c r="X3975" s="10">
        <v>17</v>
      </c>
      <c r="Y3975" s="9">
        <v>44974</v>
      </c>
      <c r="Z3975">
        <v>9</v>
      </c>
      <c r="AA3975" s="11" t="s">
        <v>49</v>
      </c>
    </row>
    <row r="3976" spans="2:27" ht="16" x14ac:dyDescent="0.2">
      <c r="B3976" t="s">
        <v>35</v>
      </c>
      <c r="C3976">
        <v>40354640</v>
      </c>
      <c r="D3976" t="s">
        <v>391</v>
      </c>
      <c r="E3976">
        <v>1022515</v>
      </c>
      <c r="F3976" t="s">
        <v>197</v>
      </c>
      <c r="G3976" s="9">
        <v>44955</v>
      </c>
      <c r="H3976" s="7"/>
      <c r="I3976" s="7"/>
      <c r="J3976" s="7"/>
      <c r="K3976" s="7"/>
      <c r="L3976" s="10">
        <v>4.830303030303031</v>
      </c>
      <c r="M3976" s="9">
        <v>44959</v>
      </c>
      <c r="N3976" s="10">
        <v>15</v>
      </c>
      <c r="O3976" s="9">
        <v>44974</v>
      </c>
      <c r="P3976">
        <v>9</v>
      </c>
      <c r="Q3976" s="11" t="s">
        <v>49</v>
      </c>
      <c r="R3976" s="7"/>
      <c r="S3976" s="7"/>
      <c r="T3976" s="7"/>
      <c r="U3976" s="7"/>
      <c r="V3976" s="10">
        <v>6.830303030303031</v>
      </c>
      <c r="W3976" s="9">
        <v>44961</v>
      </c>
      <c r="X3976" s="10">
        <v>17</v>
      </c>
      <c r="Y3976" s="9">
        <v>44974</v>
      </c>
      <c r="Z3976">
        <v>9</v>
      </c>
      <c r="AA3976" s="11" t="s">
        <v>49</v>
      </c>
    </row>
    <row r="3977" spans="2:27" ht="16" x14ac:dyDescent="0.2">
      <c r="B3977" t="s">
        <v>35</v>
      </c>
      <c r="C3977">
        <v>40354640</v>
      </c>
      <c r="D3977" t="s">
        <v>391</v>
      </c>
      <c r="E3977">
        <v>1022398</v>
      </c>
      <c r="F3977" t="s">
        <v>431</v>
      </c>
      <c r="G3977" s="9">
        <v>44955</v>
      </c>
      <c r="H3977" s="7"/>
      <c r="I3977" s="7"/>
      <c r="J3977" s="7"/>
      <c r="K3977" s="7"/>
      <c r="L3977" s="10">
        <v>4.830303030303031</v>
      </c>
      <c r="M3977" s="9">
        <v>44959</v>
      </c>
      <c r="N3977" s="10">
        <v>15</v>
      </c>
      <c r="O3977" s="9">
        <v>44974</v>
      </c>
      <c r="P3977">
        <v>9</v>
      </c>
      <c r="Q3977" s="11" t="s">
        <v>49</v>
      </c>
      <c r="R3977" s="7"/>
      <c r="S3977" s="7"/>
      <c r="T3977" s="7"/>
      <c r="U3977" s="7"/>
      <c r="V3977" s="10">
        <v>6.830303030303031</v>
      </c>
      <c r="W3977" s="9">
        <v>44961</v>
      </c>
      <c r="X3977" s="10">
        <v>17</v>
      </c>
      <c r="Y3977" s="9">
        <v>44974</v>
      </c>
      <c r="Z3977">
        <v>9</v>
      </c>
      <c r="AA3977" s="11" t="s">
        <v>49</v>
      </c>
    </row>
    <row r="3978" spans="2:27" ht="16" x14ac:dyDescent="0.2">
      <c r="B3978" t="s">
        <v>35</v>
      </c>
      <c r="C3978">
        <v>40354640</v>
      </c>
      <c r="D3978" t="s">
        <v>391</v>
      </c>
      <c r="E3978">
        <v>1021925</v>
      </c>
      <c r="F3978" t="s">
        <v>432</v>
      </c>
      <c r="G3978" s="9">
        <v>44955</v>
      </c>
      <c r="H3978" s="7"/>
      <c r="I3978" s="7"/>
      <c r="J3978" s="7"/>
      <c r="K3978" s="7"/>
      <c r="L3978" s="10">
        <v>4.830303030303031</v>
      </c>
      <c r="M3978" s="9">
        <v>44959</v>
      </c>
      <c r="N3978" s="10">
        <v>15</v>
      </c>
      <c r="O3978" s="9">
        <v>44974</v>
      </c>
      <c r="P3978">
        <v>9</v>
      </c>
      <c r="Q3978" s="11" t="s">
        <v>49</v>
      </c>
      <c r="R3978" s="7"/>
      <c r="S3978" s="7"/>
      <c r="T3978" s="7"/>
      <c r="U3978" s="7"/>
      <c r="V3978" s="10">
        <v>6.830303030303031</v>
      </c>
      <c r="W3978" s="9">
        <v>44961</v>
      </c>
      <c r="X3978" s="10">
        <v>17</v>
      </c>
      <c r="Y3978" s="9">
        <v>44974</v>
      </c>
      <c r="Z3978">
        <v>9</v>
      </c>
      <c r="AA3978" s="11" t="s">
        <v>49</v>
      </c>
    </row>
    <row r="3979" spans="2:27" ht="16" x14ac:dyDescent="0.2">
      <c r="B3979" t="s">
        <v>35</v>
      </c>
      <c r="C3979">
        <v>40354639</v>
      </c>
      <c r="D3979" t="s">
        <v>391</v>
      </c>
      <c r="E3979">
        <v>1022141</v>
      </c>
      <c r="F3979" t="s">
        <v>126</v>
      </c>
      <c r="G3979" s="9">
        <v>44962</v>
      </c>
      <c r="H3979" s="7"/>
      <c r="I3979" s="7"/>
      <c r="J3979" s="7"/>
      <c r="K3979" s="7"/>
      <c r="L3979" s="10">
        <v>4.830303030303031</v>
      </c>
      <c r="M3979" s="9">
        <v>44966</v>
      </c>
      <c r="N3979" s="10">
        <v>15</v>
      </c>
      <c r="O3979" s="9">
        <v>44981</v>
      </c>
      <c r="P3979">
        <v>3</v>
      </c>
      <c r="Q3979" s="11" t="s">
        <v>49</v>
      </c>
      <c r="R3979" s="7"/>
      <c r="S3979" s="7"/>
      <c r="T3979" s="7"/>
      <c r="U3979" s="7"/>
      <c r="V3979" s="10">
        <v>6.830303030303031</v>
      </c>
      <c r="W3979" s="9">
        <v>44968</v>
      </c>
      <c r="X3979" s="10">
        <v>17</v>
      </c>
      <c r="Y3979" s="9">
        <v>44981</v>
      </c>
      <c r="Z3979">
        <v>3</v>
      </c>
      <c r="AA3979" s="11" t="s">
        <v>49</v>
      </c>
    </row>
    <row r="3980" spans="2:27" ht="16" x14ac:dyDescent="0.2">
      <c r="B3980" t="s">
        <v>35</v>
      </c>
      <c r="C3980">
        <v>40354639</v>
      </c>
      <c r="D3980" t="s">
        <v>391</v>
      </c>
      <c r="E3980">
        <v>1022398</v>
      </c>
      <c r="F3980" t="s">
        <v>431</v>
      </c>
      <c r="G3980" s="9">
        <v>44962</v>
      </c>
      <c r="H3980" s="7"/>
      <c r="I3980" s="7"/>
      <c r="J3980" s="7"/>
      <c r="K3980" s="7"/>
      <c r="L3980" s="10">
        <v>4.830303030303031</v>
      </c>
      <c r="M3980" s="9">
        <v>44966</v>
      </c>
      <c r="N3980" s="10">
        <v>15</v>
      </c>
      <c r="O3980" s="9">
        <v>44981</v>
      </c>
      <c r="P3980">
        <v>3</v>
      </c>
      <c r="Q3980" s="11" t="s">
        <v>49</v>
      </c>
      <c r="R3980" s="7"/>
      <c r="S3980" s="7"/>
      <c r="T3980" s="7"/>
      <c r="U3980" s="7"/>
      <c r="V3980" s="10">
        <v>6.830303030303031</v>
      </c>
      <c r="W3980" s="9">
        <v>44968</v>
      </c>
      <c r="X3980" s="10">
        <v>17</v>
      </c>
      <c r="Y3980" s="9">
        <v>44981</v>
      </c>
      <c r="Z3980">
        <v>3</v>
      </c>
      <c r="AA3980" s="11" t="s">
        <v>49</v>
      </c>
    </row>
    <row r="3981" spans="2:27" ht="16" x14ac:dyDescent="0.2">
      <c r="B3981" t="s">
        <v>35</v>
      </c>
      <c r="C3981">
        <v>40354639</v>
      </c>
      <c r="D3981" t="s">
        <v>391</v>
      </c>
      <c r="E3981">
        <v>1022989</v>
      </c>
      <c r="F3981" t="s">
        <v>561</v>
      </c>
      <c r="G3981" s="9">
        <v>44962</v>
      </c>
      <c r="H3981" s="7"/>
      <c r="I3981" s="7"/>
      <c r="J3981" s="7"/>
      <c r="K3981" s="7"/>
      <c r="L3981" s="10">
        <v>4.830303030303031</v>
      </c>
      <c r="M3981" s="9">
        <v>44966</v>
      </c>
      <c r="N3981" s="10">
        <v>15</v>
      </c>
      <c r="O3981" s="9">
        <v>44981</v>
      </c>
      <c r="P3981">
        <v>3</v>
      </c>
      <c r="Q3981" s="11" t="s">
        <v>49</v>
      </c>
      <c r="R3981" s="7"/>
      <c r="S3981" s="7"/>
      <c r="T3981" s="7"/>
      <c r="U3981" s="7"/>
      <c r="V3981" s="10">
        <v>6.830303030303031</v>
      </c>
      <c r="W3981" s="9">
        <v>44968</v>
      </c>
      <c r="X3981" s="10">
        <v>17</v>
      </c>
      <c r="Y3981" s="9">
        <v>44981</v>
      </c>
      <c r="Z3981">
        <v>3</v>
      </c>
      <c r="AA3981" s="11" t="s">
        <v>49</v>
      </c>
    </row>
    <row r="3982" spans="2:27" ht="16" x14ac:dyDescent="0.2">
      <c r="B3982" t="s">
        <v>35</v>
      </c>
      <c r="C3982">
        <v>40354626</v>
      </c>
      <c r="D3982" t="s">
        <v>391</v>
      </c>
      <c r="E3982">
        <v>1022989</v>
      </c>
      <c r="F3982" t="s">
        <v>561</v>
      </c>
      <c r="G3982" s="9">
        <v>44973</v>
      </c>
      <c r="H3982" s="7">
        <v>18310.55</v>
      </c>
      <c r="I3982" s="7"/>
      <c r="J3982" s="7"/>
      <c r="K3982" s="7"/>
      <c r="L3982" s="10">
        <v>4.830303030303031</v>
      </c>
      <c r="M3982" s="9">
        <v>44977</v>
      </c>
      <c r="N3982" s="10">
        <v>15</v>
      </c>
      <c r="O3982" s="9">
        <v>44992</v>
      </c>
      <c r="P3982">
        <v>21</v>
      </c>
      <c r="Q3982" s="11" t="s">
        <v>49</v>
      </c>
      <c r="R3982" s="7">
        <v>18310.55</v>
      </c>
      <c r="S3982" s="7"/>
      <c r="T3982" s="7"/>
      <c r="U3982" s="7"/>
      <c r="V3982" s="10">
        <v>6.830303030303031</v>
      </c>
      <c r="W3982" s="9">
        <v>44979</v>
      </c>
      <c r="X3982" s="10">
        <v>17</v>
      </c>
      <c r="Y3982" s="9">
        <v>44992</v>
      </c>
      <c r="Z3982">
        <v>21</v>
      </c>
      <c r="AA3982" s="11" t="s">
        <v>49</v>
      </c>
    </row>
    <row r="3983" spans="2:27" ht="16" x14ac:dyDescent="0.2">
      <c r="B3983" t="s">
        <v>35</v>
      </c>
      <c r="C3983">
        <v>40354626</v>
      </c>
      <c r="D3983" t="s">
        <v>391</v>
      </c>
      <c r="E3983">
        <v>1022398</v>
      </c>
      <c r="F3983" t="s">
        <v>431</v>
      </c>
      <c r="G3983" s="9">
        <v>44973</v>
      </c>
      <c r="H3983" s="7">
        <v>3708.82</v>
      </c>
      <c r="I3983" s="7"/>
      <c r="J3983" s="7"/>
      <c r="K3983" s="7"/>
      <c r="L3983" s="10">
        <v>4.830303030303031</v>
      </c>
      <c r="M3983" s="9">
        <v>44977</v>
      </c>
      <c r="N3983" s="10">
        <v>15</v>
      </c>
      <c r="O3983" s="9">
        <v>44992</v>
      </c>
      <c r="P3983">
        <v>21</v>
      </c>
      <c r="Q3983" s="11" t="s">
        <v>49</v>
      </c>
      <c r="R3983" s="7">
        <v>3708.82</v>
      </c>
      <c r="S3983" s="7"/>
      <c r="T3983" s="7"/>
      <c r="U3983" s="7"/>
      <c r="V3983" s="10">
        <v>6.830303030303031</v>
      </c>
      <c r="W3983" s="9">
        <v>44979</v>
      </c>
      <c r="X3983" s="10">
        <v>17</v>
      </c>
      <c r="Y3983" s="9">
        <v>44992</v>
      </c>
      <c r="Z3983">
        <v>21</v>
      </c>
      <c r="AA3983" s="11" t="s">
        <v>49</v>
      </c>
    </row>
    <row r="3984" spans="2:27" ht="16" x14ac:dyDescent="0.2">
      <c r="B3984" t="s">
        <v>35</v>
      </c>
      <c r="C3984">
        <v>40354626</v>
      </c>
      <c r="D3984" t="s">
        <v>391</v>
      </c>
      <c r="E3984">
        <v>1022141</v>
      </c>
      <c r="F3984" t="s">
        <v>126</v>
      </c>
      <c r="G3984" s="9">
        <v>44973</v>
      </c>
      <c r="H3984" s="7">
        <v>2000.63</v>
      </c>
      <c r="I3984" s="7"/>
      <c r="J3984" s="7"/>
      <c r="K3984" s="7"/>
      <c r="L3984" s="10">
        <v>4.830303030303031</v>
      </c>
      <c r="M3984" s="9">
        <v>44977</v>
      </c>
      <c r="N3984" s="10">
        <v>15</v>
      </c>
      <c r="O3984" s="9">
        <v>44992</v>
      </c>
      <c r="P3984">
        <v>21</v>
      </c>
      <c r="Q3984" s="11" t="s">
        <v>49</v>
      </c>
      <c r="R3984" s="7">
        <v>2000.63</v>
      </c>
      <c r="S3984" s="7"/>
      <c r="T3984" s="7"/>
      <c r="U3984" s="7"/>
      <c r="V3984" s="10">
        <v>6.830303030303031</v>
      </c>
      <c r="W3984" s="9">
        <v>44979</v>
      </c>
      <c r="X3984" s="10">
        <v>17</v>
      </c>
      <c r="Y3984" s="9">
        <v>44992</v>
      </c>
      <c r="Z3984">
        <v>21</v>
      </c>
      <c r="AA3984" s="11" t="s">
        <v>49</v>
      </c>
    </row>
    <row r="3985" spans="2:27" ht="16" x14ac:dyDescent="0.2">
      <c r="B3985" t="s">
        <v>35</v>
      </c>
      <c r="C3985">
        <v>40354611</v>
      </c>
      <c r="D3985" t="s">
        <v>423</v>
      </c>
      <c r="E3985">
        <v>1023343</v>
      </c>
      <c r="F3985" t="s">
        <v>483</v>
      </c>
      <c r="G3985" s="9">
        <v>44941</v>
      </c>
      <c r="H3985" s="7"/>
      <c r="I3985" s="7"/>
      <c r="J3985" s="7"/>
      <c r="K3985" s="7"/>
      <c r="L3985" s="10">
        <v>5.4496124031007751</v>
      </c>
      <c r="M3985" s="9">
        <v>44946</v>
      </c>
      <c r="N3985" s="10">
        <v>10</v>
      </c>
      <c r="O3985" s="9">
        <v>44956</v>
      </c>
      <c r="P3985">
        <v>1</v>
      </c>
      <c r="Q3985" s="11" t="s">
        <v>648</v>
      </c>
      <c r="R3985" s="7"/>
      <c r="S3985" s="7"/>
      <c r="T3985" s="7"/>
      <c r="U3985" s="7"/>
      <c r="V3985" s="10">
        <v>7.4496124031007751</v>
      </c>
      <c r="W3985" s="9">
        <v>44948</v>
      </c>
      <c r="X3985" s="10">
        <v>12</v>
      </c>
      <c r="Y3985" s="9">
        <v>44956</v>
      </c>
      <c r="Z3985">
        <v>1</v>
      </c>
      <c r="AA3985" s="11" t="s">
        <v>648</v>
      </c>
    </row>
    <row r="3986" spans="2:27" ht="16" x14ac:dyDescent="0.2">
      <c r="B3986" t="s">
        <v>35</v>
      </c>
      <c r="C3986">
        <v>40354610</v>
      </c>
      <c r="D3986" t="s">
        <v>423</v>
      </c>
      <c r="E3986">
        <v>1030658</v>
      </c>
      <c r="F3986" t="s">
        <v>371</v>
      </c>
      <c r="G3986" s="9">
        <v>44941</v>
      </c>
      <c r="H3986" s="7"/>
      <c r="I3986" s="7"/>
      <c r="J3986" s="7"/>
      <c r="K3986" s="7"/>
      <c r="L3986" s="10">
        <v>5.4496124031007751</v>
      </c>
      <c r="M3986" s="9">
        <v>44946</v>
      </c>
      <c r="N3986" s="10">
        <v>10</v>
      </c>
      <c r="O3986" s="9">
        <v>44956</v>
      </c>
      <c r="P3986">
        <v>1</v>
      </c>
      <c r="Q3986" s="11" t="s">
        <v>648</v>
      </c>
      <c r="R3986" s="7"/>
      <c r="S3986" s="7"/>
      <c r="T3986" s="7"/>
      <c r="U3986" s="7"/>
      <c r="V3986" s="10">
        <v>7.4496124031007751</v>
      </c>
      <c r="W3986" s="9">
        <v>44948</v>
      </c>
      <c r="X3986" s="10">
        <v>12</v>
      </c>
      <c r="Y3986" s="9">
        <v>44956</v>
      </c>
      <c r="Z3986">
        <v>1</v>
      </c>
      <c r="AA3986" s="11" t="s">
        <v>648</v>
      </c>
    </row>
    <row r="3987" spans="2:27" ht="16" x14ac:dyDescent="0.2">
      <c r="B3987" t="s">
        <v>35</v>
      </c>
      <c r="C3987">
        <v>40354609</v>
      </c>
      <c r="D3987" t="s">
        <v>423</v>
      </c>
      <c r="E3987">
        <v>1030658</v>
      </c>
      <c r="F3987" t="s">
        <v>371</v>
      </c>
      <c r="G3987" s="9">
        <v>44935</v>
      </c>
      <c r="H3987" s="7"/>
      <c r="I3987" s="7"/>
      <c r="J3987" s="7"/>
      <c r="K3987" s="7"/>
      <c r="L3987" s="10">
        <v>5.4496124031007751</v>
      </c>
      <c r="M3987" s="9">
        <v>44940</v>
      </c>
      <c r="N3987" s="10">
        <v>10</v>
      </c>
      <c r="O3987" s="9">
        <v>44950</v>
      </c>
      <c r="P3987">
        <v>6</v>
      </c>
      <c r="Q3987" s="11" t="s">
        <v>49</v>
      </c>
      <c r="R3987" s="7"/>
      <c r="S3987" s="7"/>
      <c r="T3987" s="7"/>
      <c r="U3987" s="7"/>
      <c r="V3987" s="10">
        <v>7.4496124031007751</v>
      </c>
      <c r="W3987" s="9">
        <v>44942</v>
      </c>
      <c r="X3987" s="10">
        <v>12</v>
      </c>
      <c r="Y3987" s="9">
        <v>44950</v>
      </c>
      <c r="Z3987">
        <v>6</v>
      </c>
      <c r="AA3987" s="11" t="s">
        <v>49</v>
      </c>
    </row>
    <row r="3988" spans="2:27" x14ac:dyDescent="0.2">
      <c r="B3988" t="s">
        <v>394</v>
      </c>
      <c r="C3988">
        <v>40354602</v>
      </c>
      <c r="D3988" t="s">
        <v>485</v>
      </c>
      <c r="E3988">
        <v>1011558</v>
      </c>
      <c r="F3988" t="s">
        <v>603</v>
      </c>
      <c r="G3988" s="9">
        <v>44931</v>
      </c>
      <c r="H3988" s="7"/>
      <c r="I3988" s="7"/>
      <c r="J3988" s="7"/>
      <c r="K3988" s="7"/>
      <c r="L3988" s="10"/>
      <c r="N3988" s="10"/>
      <c r="Q3988" s="11"/>
      <c r="R3988" s="7"/>
      <c r="S3988" s="7"/>
      <c r="T3988" s="7"/>
      <c r="U3988" s="7"/>
      <c r="V3988" s="10"/>
      <c r="X3988" s="10"/>
      <c r="AA3988" s="11"/>
    </row>
    <row r="3989" spans="2:27" x14ac:dyDescent="0.2">
      <c r="B3989" t="s">
        <v>394</v>
      </c>
      <c r="C3989">
        <v>40354601</v>
      </c>
      <c r="D3989" t="s">
        <v>485</v>
      </c>
      <c r="E3989">
        <v>1011558</v>
      </c>
      <c r="F3989" t="s">
        <v>603</v>
      </c>
      <c r="G3989" s="9">
        <v>44931</v>
      </c>
      <c r="H3989" s="7"/>
      <c r="I3989" s="7"/>
      <c r="J3989" s="7"/>
      <c r="K3989" s="7"/>
      <c r="L3989" s="10"/>
      <c r="N3989" s="10"/>
      <c r="Q3989" s="11"/>
      <c r="R3989" s="7"/>
      <c r="S3989" s="7"/>
      <c r="T3989" s="7"/>
      <c r="U3989" s="7"/>
      <c r="V3989" s="10"/>
      <c r="X3989" s="10"/>
      <c r="AA3989" s="11"/>
    </row>
    <row r="3990" spans="2:27" x14ac:dyDescent="0.2">
      <c r="B3990" t="s">
        <v>394</v>
      </c>
      <c r="C3990">
        <v>40354597</v>
      </c>
      <c r="D3990" t="s">
        <v>485</v>
      </c>
      <c r="E3990">
        <v>1020017</v>
      </c>
      <c r="F3990" t="s">
        <v>524</v>
      </c>
      <c r="G3990" s="9">
        <v>44945</v>
      </c>
      <c r="H3990" s="7"/>
      <c r="I3990" s="7"/>
      <c r="J3990" s="7"/>
      <c r="K3990" s="7"/>
      <c r="L3990" s="10"/>
      <c r="N3990" s="10"/>
      <c r="Q3990" s="11"/>
      <c r="R3990" s="7"/>
      <c r="S3990" s="7"/>
      <c r="T3990" s="7"/>
      <c r="U3990" s="7"/>
      <c r="V3990" s="10"/>
      <c r="X3990" s="10"/>
      <c r="AA3990" s="11"/>
    </row>
    <row r="3991" spans="2:27" x14ac:dyDescent="0.2">
      <c r="B3991" t="s">
        <v>394</v>
      </c>
      <c r="C3991">
        <v>40354597</v>
      </c>
      <c r="D3991" t="s">
        <v>485</v>
      </c>
      <c r="E3991">
        <v>1020017</v>
      </c>
      <c r="F3991" t="s">
        <v>524</v>
      </c>
      <c r="G3991" s="9">
        <v>44945</v>
      </c>
      <c r="H3991" s="7"/>
      <c r="I3991" s="7"/>
      <c r="J3991" s="7"/>
      <c r="K3991" s="7"/>
      <c r="L3991" s="10"/>
      <c r="N3991" s="10"/>
      <c r="Q3991" s="11"/>
      <c r="R3991" s="7"/>
      <c r="S3991" s="7"/>
      <c r="T3991" s="7"/>
      <c r="U3991" s="7"/>
      <c r="V3991" s="10"/>
      <c r="X3991" s="10"/>
      <c r="AA3991" s="11"/>
    </row>
    <row r="3992" spans="2:27" x14ac:dyDescent="0.2">
      <c r="B3992" t="s">
        <v>394</v>
      </c>
      <c r="C3992">
        <v>40354574</v>
      </c>
      <c r="D3992" t="s">
        <v>485</v>
      </c>
      <c r="E3992">
        <v>1030817</v>
      </c>
      <c r="F3992" t="s">
        <v>504</v>
      </c>
      <c r="G3992" s="9">
        <v>44933</v>
      </c>
      <c r="H3992" s="7"/>
      <c r="I3992" s="7"/>
      <c r="J3992" s="7"/>
      <c r="K3992" s="7"/>
      <c r="L3992" s="10"/>
      <c r="N3992" s="10"/>
      <c r="Q3992" s="11"/>
      <c r="R3992" s="7"/>
      <c r="S3992" s="7"/>
      <c r="T3992" s="7"/>
      <c r="U3992" s="7"/>
      <c r="V3992" s="10"/>
      <c r="X3992" s="10"/>
      <c r="AA3992" s="11"/>
    </row>
    <row r="3993" spans="2:27" x14ac:dyDescent="0.2">
      <c r="B3993" t="s">
        <v>394</v>
      </c>
      <c r="C3993">
        <v>40354573</v>
      </c>
      <c r="D3993" t="s">
        <v>485</v>
      </c>
      <c r="E3993">
        <v>1030817</v>
      </c>
      <c r="F3993" t="s">
        <v>504</v>
      </c>
      <c r="G3993" s="9">
        <v>44927</v>
      </c>
      <c r="H3993" s="7"/>
      <c r="I3993" s="7"/>
      <c r="J3993" s="7"/>
      <c r="K3993" s="7"/>
      <c r="L3993" s="10"/>
      <c r="N3993" s="10"/>
      <c r="Q3993" s="11"/>
      <c r="R3993" s="7"/>
      <c r="S3993" s="7"/>
      <c r="T3993" s="7"/>
      <c r="U3993" s="7"/>
      <c r="V3993" s="10"/>
      <c r="X3993" s="10"/>
      <c r="AA3993" s="11"/>
    </row>
    <row r="3994" spans="2:27" x14ac:dyDescent="0.2">
      <c r="B3994" t="s">
        <v>394</v>
      </c>
      <c r="C3994">
        <v>40354566</v>
      </c>
      <c r="D3994" t="s">
        <v>396</v>
      </c>
      <c r="E3994">
        <v>1012612</v>
      </c>
      <c r="F3994" t="s">
        <v>429</v>
      </c>
      <c r="G3994" s="9">
        <v>44976</v>
      </c>
      <c r="H3994" s="7"/>
      <c r="I3994" s="7"/>
      <c r="J3994" s="7"/>
      <c r="K3994" s="7"/>
      <c r="L3994" s="10"/>
      <c r="N3994" s="10"/>
      <c r="Q3994" s="11"/>
      <c r="R3994" s="7"/>
      <c r="S3994" s="7"/>
      <c r="T3994" s="7"/>
      <c r="U3994" s="7"/>
      <c r="V3994" s="10"/>
      <c r="X3994" s="10"/>
      <c r="AA3994" s="11"/>
    </row>
    <row r="3995" spans="2:27" x14ac:dyDescent="0.2">
      <c r="B3995" t="s">
        <v>394</v>
      </c>
      <c r="C3995">
        <v>40354565</v>
      </c>
      <c r="D3995" t="s">
        <v>396</v>
      </c>
      <c r="E3995">
        <v>1012612</v>
      </c>
      <c r="F3995" t="s">
        <v>429</v>
      </c>
      <c r="G3995" s="9">
        <v>44976</v>
      </c>
      <c r="H3995" s="7"/>
      <c r="I3995" s="7"/>
      <c r="J3995" s="7"/>
      <c r="K3995" s="7"/>
      <c r="L3995" s="10"/>
      <c r="N3995" s="10"/>
      <c r="Q3995" s="11"/>
      <c r="R3995" s="7"/>
      <c r="S3995" s="7"/>
      <c r="T3995" s="7"/>
      <c r="U3995" s="7"/>
      <c r="V3995" s="10"/>
      <c r="X3995" s="10"/>
      <c r="AA3995" s="11"/>
    </row>
    <row r="3996" spans="2:27" x14ac:dyDescent="0.2">
      <c r="B3996" t="s">
        <v>394</v>
      </c>
      <c r="C3996">
        <v>40354559</v>
      </c>
      <c r="D3996" t="s">
        <v>485</v>
      </c>
      <c r="E3996">
        <v>1030816</v>
      </c>
      <c r="F3996" t="s">
        <v>535</v>
      </c>
      <c r="G3996" s="9">
        <v>44920</v>
      </c>
      <c r="H3996" s="7"/>
      <c r="I3996" s="7"/>
      <c r="J3996" s="7"/>
      <c r="K3996" s="7"/>
      <c r="L3996" s="10"/>
      <c r="N3996" s="10"/>
      <c r="Q3996" s="11"/>
      <c r="R3996" s="7"/>
      <c r="S3996" s="7"/>
      <c r="T3996" s="7"/>
      <c r="U3996" s="7"/>
      <c r="V3996" s="10"/>
      <c r="X3996" s="10"/>
      <c r="AA3996" s="11"/>
    </row>
    <row r="3997" spans="2:27" x14ac:dyDescent="0.2">
      <c r="B3997" t="s">
        <v>394</v>
      </c>
      <c r="C3997">
        <v>40354558</v>
      </c>
      <c r="D3997" t="s">
        <v>485</v>
      </c>
      <c r="E3997">
        <v>1012719</v>
      </c>
      <c r="F3997" t="s">
        <v>545</v>
      </c>
      <c r="G3997" s="9">
        <v>44911</v>
      </c>
      <c r="H3997" s="7"/>
      <c r="I3997" s="7"/>
      <c r="J3997" s="7"/>
      <c r="K3997" s="7"/>
      <c r="L3997" s="10"/>
      <c r="N3997" s="10"/>
      <c r="Q3997" s="11"/>
      <c r="R3997" s="7"/>
      <c r="S3997" s="7"/>
      <c r="T3997" s="7"/>
      <c r="U3997" s="7"/>
      <c r="V3997" s="10"/>
      <c r="X3997" s="10"/>
      <c r="AA3997" s="11"/>
    </row>
    <row r="3998" spans="2:27" x14ac:dyDescent="0.2">
      <c r="B3998" t="s">
        <v>394</v>
      </c>
      <c r="C3998">
        <v>40354558</v>
      </c>
      <c r="D3998" t="s">
        <v>485</v>
      </c>
      <c r="E3998">
        <v>1011042</v>
      </c>
      <c r="F3998" t="s">
        <v>510</v>
      </c>
      <c r="G3998" s="9">
        <v>44911</v>
      </c>
      <c r="H3998" s="7"/>
      <c r="I3998" s="7"/>
      <c r="J3998" s="7"/>
      <c r="K3998" s="7"/>
      <c r="L3998" s="10"/>
      <c r="N3998" s="10"/>
      <c r="Q3998" s="11"/>
      <c r="R3998" s="7"/>
      <c r="S3998" s="7"/>
      <c r="T3998" s="7"/>
      <c r="U3998" s="7"/>
      <c r="V3998" s="10"/>
      <c r="X3998" s="10"/>
      <c r="AA3998" s="11"/>
    </row>
    <row r="3999" spans="2:27" ht="16" x14ac:dyDescent="0.2">
      <c r="B3999" t="s">
        <v>35</v>
      </c>
      <c r="C3999">
        <v>40354555</v>
      </c>
      <c r="D3999" t="s">
        <v>423</v>
      </c>
      <c r="E3999">
        <v>1023302</v>
      </c>
      <c r="F3999" t="s">
        <v>268</v>
      </c>
      <c r="G3999" s="9">
        <v>44941</v>
      </c>
      <c r="H3999" s="7"/>
      <c r="I3999" s="7"/>
      <c r="J3999" s="7"/>
      <c r="K3999" s="7"/>
      <c r="L3999" s="10">
        <v>5.4496124031007751</v>
      </c>
      <c r="M3999" s="9">
        <v>44946</v>
      </c>
      <c r="N3999" s="10">
        <v>10</v>
      </c>
      <c r="O3999" s="9">
        <v>44956</v>
      </c>
      <c r="P3999">
        <v>1</v>
      </c>
      <c r="Q3999" s="11" t="s">
        <v>648</v>
      </c>
      <c r="R3999" s="7"/>
      <c r="S3999" s="7"/>
      <c r="T3999" s="7"/>
      <c r="U3999" s="7"/>
      <c r="V3999" s="10">
        <v>7.4496124031007751</v>
      </c>
      <c r="W3999" s="9">
        <v>44948</v>
      </c>
      <c r="X3999" s="10">
        <v>12</v>
      </c>
      <c r="Y3999" s="9">
        <v>44956</v>
      </c>
      <c r="Z3999">
        <v>1</v>
      </c>
      <c r="AA3999" s="11" t="s">
        <v>648</v>
      </c>
    </row>
    <row r="4000" spans="2:27" ht="16" x14ac:dyDescent="0.2">
      <c r="B4000" t="s">
        <v>35</v>
      </c>
      <c r="C4000">
        <v>40354532</v>
      </c>
      <c r="D4000" t="s">
        <v>423</v>
      </c>
      <c r="E4000">
        <v>1030337</v>
      </c>
      <c r="F4000" t="s">
        <v>369</v>
      </c>
      <c r="G4000" s="9">
        <v>44935</v>
      </c>
      <c r="H4000" s="7"/>
      <c r="I4000" s="7"/>
      <c r="J4000" s="7"/>
      <c r="K4000" s="7"/>
      <c r="L4000" s="10">
        <v>5.4496124031007751</v>
      </c>
      <c r="M4000" s="9">
        <v>44940</v>
      </c>
      <c r="N4000" s="10">
        <v>10</v>
      </c>
      <c r="O4000" s="9">
        <v>44950</v>
      </c>
      <c r="P4000">
        <v>6</v>
      </c>
      <c r="Q4000" s="11" t="s">
        <v>49</v>
      </c>
      <c r="R4000" s="7"/>
      <c r="S4000" s="7"/>
      <c r="T4000" s="7"/>
      <c r="U4000" s="7"/>
      <c r="V4000" s="10">
        <v>7.4496124031007751</v>
      </c>
      <c r="W4000" s="9">
        <v>44942</v>
      </c>
      <c r="X4000" s="10">
        <v>12</v>
      </c>
      <c r="Y4000" s="9">
        <v>44950</v>
      </c>
      <c r="Z4000">
        <v>6</v>
      </c>
      <c r="AA4000" s="11" t="s">
        <v>49</v>
      </c>
    </row>
    <row r="4001" spans="2:27" ht="16" x14ac:dyDescent="0.2">
      <c r="B4001" t="s">
        <v>35</v>
      </c>
      <c r="C4001">
        <v>40354531</v>
      </c>
      <c r="D4001" t="s">
        <v>423</v>
      </c>
      <c r="E4001">
        <v>1030337</v>
      </c>
      <c r="F4001" t="s">
        <v>369</v>
      </c>
      <c r="G4001" s="9">
        <v>44935</v>
      </c>
      <c r="H4001" s="7"/>
      <c r="I4001" s="7"/>
      <c r="J4001" s="7"/>
      <c r="K4001" s="7"/>
      <c r="L4001" s="10">
        <v>5.4496124031007751</v>
      </c>
      <c r="M4001" s="9">
        <v>44940</v>
      </c>
      <c r="N4001" s="10">
        <v>10</v>
      </c>
      <c r="O4001" s="9">
        <v>44950</v>
      </c>
      <c r="P4001">
        <v>6</v>
      </c>
      <c r="Q4001" s="11" t="s">
        <v>49</v>
      </c>
      <c r="R4001" s="7"/>
      <c r="S4001" s="7"/>
      <c r="T4001" s="7"/>
      <c r="U4001" s="7"/>
      <c r="V4001" s="10">
        <v>7.4496124031007751</v>
      </c>
      <c r="W4001" s="9">
        <v>44942</v>
      </c>
      <c r="X4001" s="10">
        <v>12</v>
      </c>
      <c r="Y4001" s="9">
        <v>44950</v>
      </c>
      <c r="Z4001">
        <v>6</v>
      </c>
      <c r="AA4001" s="11" t="s">
        <v>49</v>
      </c>
    </row>
    <row r="4002" spans="2:27" ht="16" x14ac:dyDescent="0.2">
      <c r="B4002" t="s">
        <v>35</v>
      </c>
      <c r="C4002">
        <v>40354530</v>
      </c>
      <c r="D4002" t="s">
        <v>423</v>
      </c>
      <c r="E4002">
        <v>1030337</v>
      </c>
      <c r="F4002" t="s">
        <v>369</v>
      </c>
      <c r="G4002" s="9">
        <v>44941</v>
      </c>
      <c r="H4002" s="7"/>
      <c r="I4002" s="7"/>
      <c r="J4002" s="7"/>
      <c r="K4002" s="7"/>
      <c r="L4002" s="10">
        <v>5.4496124031007751</v>
      </c>
      <c r="M4002" s="9">
        <v>44946</v>
      </c>
      <c r="N4002" s="10">
        <v>10</v>
      </c>
      <c r="O4002" s="9">
        <v>44956</v>
      </c>
      <c r="P4002">
        <v>1</v>
      </c>
      <c r="Q4002" s="11" t="s">
        <v>648</v>
      </c>
      <c r="R4002" s="7"/>
      <c r="S4002" s="7"/>
      <c r="T4002" s="7"/>
      <c r="U4002" s="7"/>
      <c r="V4002" s="10">
        <v>7.4496124031007751</v>
      </c>
      <c r="W4002" s="9">
        <v>44948</v>
      </c>
      <c r="X4002" s="10">
        <v>12</v>
      </c>
      <c r="Y4002" s="9">
        <v>44956</v>
      </c>
      <c r="Z4002">
        <v>1</v>
      </c>
      <c r="AA4002" s="11" t="s">
        <v>648</v>
      </c>
    </row>
    <row r="4003" spans="2:27" ht="16" x14ac:dyDescent="0.2">
      <c r="B4003" t="s">
        <v>35</v>
      </c>
      <c r="C4003">
        <v>40354529</v>
      </c>
      <c r="D4003" t="s">
        <v>423</v>
      </c>
      <c r="E4003">
        <v>1030337</v>
      </c>
      <c r="F4003" t="s">
        <v>369</v>
      </c>
      <c r="G4003" s="9">
        <v>44935</v>
      </c>
      <c r="H4003" s="7"/>
      <c r="I4003" s="7"/>
      <c r="J4003" s="7"/>
      <c r="K4003" s="7"/>
      <c r="L4003" s="10">
        <v>5.4496124031007751</v>
      </c>
      <c r="M4003" s="9">
        <v>44940</v>
      </c>
      <c r="N4003" s="10">
        <v>10</v>
      </c>
      <c r="O4003" s="9">
        <v>44950</v>
      </c>
      <c r="P4003">
        <v>6</v>
      </c>
      <c r="Q4003" s="11" t="s">
        <v>49</v>
      </c>
      <c r="R4003" s="7"/>
      <c r="S4003" s="7"/>
      <c r="T4003" s="7"/>
      <c r="U4003" s="7"/>
      <c r="V4003" s="10">
        <v>7.4496124031007751</v>
      </c>
      <c r="W4003" s="9">
        <v>44942</v>
      </c>
      <c r="X4003" s="10">
        <v>12</v>
      </c>
      <c r="Y4003" s="9">
        <v>44950</v>
      </c>
      <c r="Z4003">
        <v>6</v>
      </c>
      <c r="AA4003" s="11" t="s">
        <v>49</v>
      </c>
    </row>
    <row r="4004" spans="2:27" ht="16" x14ac:dyDescent="0.2">
      <c r="B4004" t="s">
        <v>35</v>
      </c>
      <c r="C4004">
        <v>40354528</v>
      </c>
      <c r="D4004" t="s">
        <v>423</v>
      </c>
      <c r="E4004">
        <v>1030337</v>
      </c>
      <c r="F4004" t="s">
        <v>369</v>
      </c>
      <c r="G4004" s="9">
        <v>44935</v>
      </c>
      <c r="H4004" s="7"/>
      <c r="I4004" s="7"/>
      <c r="J4004" s="7"/>
      <c r="K4004" s="7"/>
      <c r="L4004" s="10">
        <v>5.4496124031007751</v>
      </c>
      <c r="M4004" s="9">
        <v>44940</v>
      </c>
      <c r="N4004" s="10">
        <v>10</v>
      </c>
      <c r="O4004" s="9">
        <v>44950</v>
      </c>
      <c r="P4004">
        <v>6</v>
      </c>
      <c r="Q4004" s="11" t="s">
        <v>49</v>
      </c>
      <c r="R4004" s="7"/>
      <c r="S4004" s="7"/>
      <c r="T4004" s="7"/>
      <c r="U4004" s="7"/>
      <c r="V4004" s="10">
        <v>7.4496124031007751</v>
      </c>
      <c r="W4004" s="9">
        <v>44942</v>
      </c>
      <c r="X4004" s="10">
        <v>12</v>
      </c>
      <c r="Y4004" s="9">
        <v>44950</v>
      </c>
      <c r="Z4004">
        <v>6</v>
      </c>
      <c r="AA4004" s="11" t="s">
        <v>49</v>
      </c>
    </row>
    <row r="4005" spans="2:27" ht="16" x14ac:dyDescent="0.2">
      <c r="B4005" t="s">
        <v>35</v>
      </c>
      <c r="C4005">
        <v>40354527</v>
      </c>
      <c r="D4005" t="s">
        <v>423</v>
      </c>
      <c r="E4005">
        <v>1030337</v>
      </c>
      <c r="F4005" t="s">
        <v>369</v>
      </c>
      <c r="G4005" s="9">
        <v>44919</v>
      </c>
      <c r="H4005" s="7"/>
      <c r="I4005" s="7"/>
      <c r="J4005" s="7"/>
      <c r="K4005" s="7"/>
      <c r="L4005" s="10">
        <v>5.4496124031007751</v>
      </c>
      <c r="M4005" s="9">
        <v>44924</v>
      </c>
      <c r="N4005" s="10">
        <v>10</v>
      </c>
      <c r="O4005" s="9">
        <v>44934</v>
      </c>
      <c r="P4005">
        <v>20</v>
      </c>
      <c r="Q4005" s="11" t="s">
        <v>49</v>
      </c>
      <c r="R4005" s="7"/>
      <c r="S4005" s="7"/>
      <c r="T4005" s="7"/>
      <c r="U4005" s="7"/>
      <c r="V4005" s="10">
        <v>7.4496124031007751</v>
      </c>
      <c r="W4005" s="9">
        <v>44926</v>
      </c>
      <c r="X4005" s="10">
        <v>12</v>
      </c>
      <c r="Y4005" s="9">
        <v>44934</v>
      </c>
      <c r="Z4005">
        <v>20</v>
      </c>
      <c r="AA4005" s="11" t="s">
        <v>49</v>
      </c>
    </row>
    <row r="4006" spans="2:27" ht="16" x14ac:dyDescent="0.2">
      <c r="B4006" t="s">
        <v>35</v>
      </c>
      <c r="C4006">
        <v>40354525</v>
      </c>
      <c r="D4006" t="s">
        <v>423</v>
      </c>
      <c r="E4006">
        <v>1030337</v>
      </c>
      <c r="F4006" t="s">
        <v>369</v>
      </c>
      <c r="G4006" s="9">
        <v>44935</v>
      </c>
      <c r="H4006" s="7"/>
      <c r="I4006" s="7"/>
      <c r="J4006" s="7"/>
      <c r="K4006" s="7"/>
      <c r="L4006" s="10">
        <v>5.4496124031007751</v>
      </c>
      <c r="M4006" s="9">
        <v>44940</v>
      </c>
      <c r="N4006" s="10">
        <v>10</v>
      </c>
      <c r="O4006" s="9">
        <v>44950</v>
      </c>
      <c r="P4006">
        <v>6</v>
      </c>
      <c r="Q4006" s="11" t="s">
        <v>49</v>
      </c>
      <c r="R4006" s="7"/>
      <c r="S4006" s="7"/>
      <c r="T4006" s="7"/>
      <c r="U4006" s="7"/>
      <c r="V4006" s="10">
        <v>7.4496124031007751</v>
      </c>
      <c r="W4006" s="9">
        <v>44942</v>
      </c>
      <c r="X4006" s="10">
        <v>12</v>
      </c>
      <c r="Y4006" s="9">
        <v>44950</v>
      </c>
      <c r="Z4006">
        <v>6</v>
      </c>
      <c r="AA4006" s="11" t="s">
        <v>49</v>
      </c>
    </row>
    <row r="4007" spans="2:27" ht="16" x14ac:dyDescent="0.2">
      <c r="B4007" t="s">
        <v>35</v>
      </c>
      <c r="C4007">
        <v>40354524</v>
      </c>
      <c r="D4007" t="s">
        <v>423</v>
      </c>
      <c r="E4007">
        <v>1030337</v>
      </c>
      <c r="F4007" t="s">
        <v>369</v>
      </c>
      <c r="G4007" s="9">
        <v>44919</v>
      </c>
      <c r="H4007" s="7"/>
      <c r="I4007" s="7"/>
      <c r="J4007" s="7"/>
      <c r="K4007" s="7"/>
      <c r="L4007" s="10">
        <v>5.4496124031007751</v>
      </c>
      <c r="M4007" s="9">
        <v>44924</v>
      </c>
      <c r="N4007" s="10">
        <v>10</v>
      </c>
      <c r="O4007" s="9">
        <v>44934</v>
      </c>
      <c r="P4007">
        <v>20</v>
      </c>
      <c r="Q4007" s="11" t="s">
        <v>49</v>
      </c>
      <c r="R4007" s="7"/>
      <c r="S4007" s="7"/>
      <c r="T4007" s="7"/>
      <c r="U4007" s="7"/>
      <c r="V4007" s="10">
        <v>7.4496124031007751</v>
      </c>
      <c r="W4007" s="9">
        <v>44926</v>
      </c>
      <c r="X4007" s="10">
        <v>12</v>
      </c>
      <c r="Y4007" s="9">
        <v>44934</v>
      </c>
      <c r="Z4007">
        <v>20</v>
      </c>
      <c r="AA4007" s="11" t="s">
        <v>49</v>
      </c>
    </row>
    <row r="4008" spans="2:27" ht="16" x14ac:dyDescent="0.2">
      <c r="B4008" t="s">
        <v>35</v>
      </c>
      <c r="C4008">
        <v>40354523</v>
      </c>
      <c r="D4008" t="s">
        <v>423</v>
      </c>
      <c r="E4008">
        <v>1030337</v>
      </c>
      <c r="F4008" t="s">
        <v>369</v>
      </c>
      <c r="G4008" s="9">
        <v>44919</v>
      </c>
      <c r="H4008" s="7"/>
      <c r="I4008" s="7"/>
      <c r="J4008" s="7"/>
      <c r="K4008" s="7"/>
      <c r="L4008" s="10">
        <v>5.4496124031007751</v>
      </c>
      <c r="M4008" s="9">
        <v>44924</v>
      </c>
      <c r="N4008" s="10">
        <v>10</v>
      </c>
      <c r="O4008" s="9">
        <v>44934</v>
      </c>
      <c r="P4008">
        <v>20</v>
      </c>
      <c r="Q4008" s="11" t="s">
        <v>49</v>
      </c>
      <c r="R4008" s="7"/>
      <c r="S4008" s="7"/>
      <c r="T4008" s="7"/>
      <c r="U4008" s="7"/>
      <c r="V4008" s="10">
        <v>7.4496124031007751</v>
      </c>
      <c r="W4008" s="9">
        <v>44926</v>
      </c>
      <c r="X4008" s="10">
        <v>12</v>
      </c>
      <c r="Y4008" s="9">
        <v>44934</v>
      </c>
      <c r="Z4008">
        <v>20</v>
      </c>
      <c r="AA4008" s="11" t="s">
        <v>49</v>
      </c>
    </row>
    <row r="4009" spans="2:27" x14ac:dyDescent="0.2">
      <c r="B4009" t="s">
        <v>394</v>
      </c>
      <c r="C4009">
        <v>40354505</v>
      </c>
      <c r="D4009" t="s">
        <v>485</v>
      </c>
      <c r="E4009">
        <v>1011558</v>
      </c>
      <c r="F4009" t="s">
        <v>603</v>
      </c>
      <c r="G4009" s="9">
        <v>44945</v>
      </c>
      <c r="H4009" s="7"/>
      <c r="I4009" s="7"/>
      <c r="J4009" s="7"/>
      <c r="K4009" s="7"/>
      <c r="L4009" s="10"/>
      <c r="N4009" s="10"/>
      <c r="Q4009" s="11"/>
      <c r="R4009" s="7"/>
      <c r="S4009" s="7"/>
      <c r="T4009" s="7"/>
      <c r="U4009" s="7"/>
      <c r="V4009" s="10"/>
      <c r="X4009" s="10"/>
      <c r="AA4009" s="11"/>
    </row>
    <row r="4010" spans="2:27" x14ac:dyDescent="0.2">
      <c r="B4010" t="s">
        <v>394</v>
      </c>
      <c r="C4010">
        <v>40354504</v>
      </c>
      <c r="D4010" t="s">
        <v>485</v>
      </c>
      <c r="E4010">
        <v>1011558</v>
      </c>
      <c r="F4010" t="s">
        <v>603</v>
      </c>
      <c r="G4010" s="9">
        <v>44945</v>
      </c>
      <c r="H4010" s="7"/>
      <c r="I4010" s="7"/>
      <c r="J4010" s="7"/>
      <c r="K4010" s="7"/>
      <c r="L4010" s="10"/>
      <c r="N4010" s="10"/>
      <c r="Q4010" s="11"/>
      <c r="R4010" s="7"/>
      <c r="S4010" s="7"/>
      <c r="T4010" s="7"/>
      <c r="U4010" s="7"/>
      <c r="V4010" s="10"/>
      <c r="X4010" s="10"/>
      <c r="AA4010" s="11"/>
    </row>
    <row r="4011" spans="2:27" x14ac:dyDescent="0.2">
      <c r="B4011" t="s">
        <v>394</v>
      </c>
      <c r="C4011">
        <v>40354503</v>
      </c>
      <c r="D4011" t="s">
        <v>485</v>
      </c>
      <c r="E4011">
        <v>1011558</v>
      </c>
      <c r="F4011" t="s">
        <v>603</v>
      </c>
      <c r="G4011" s="9">
        <v>44947</v>
      </c>
      <c r="H4011" s="7"/>
      <c r="I4011" s="7"/>
      <c r="J4011" s="7"/>
      <c r="K4011" s="7"/>
      <c r="L4011" s="10"/>
      <c r="N4011" s="10"/>
      <c r="Q4011" s="11"/>
      <c r="R4011" s="7"/>
      <c r="S4011" s="7"/>
      <c r="T4011" s="7"/>
      <c r="U4011" s="7"/>
      <c r="V4011" s="10"/>
      <c r="X4011" s="10"/>
      <c r="AA4011" s="11"/>
    </row>
    <row r="4012" spans="2:27" x14ac:dyDescent="0.2">
      <c r="B4012" t="s">
        <v>394</v>
      </c>
      <c r="C4012">
        <v>40354502</v>
      </c>
      <c r="D4012" t="s">
        <v>485</v>
      </c>
      <c r="E4012">
        <v>1011558</v>
      </c>
      <c r="F4012" t="s">
        <v>603</v>
      </c>
      <c r="G4012" s="9">
        <v>44947</v>
      </c>
      <c r="H4012" s="7"/>
      <c r="I4012" s="7"/>
      <c r="J4012" s="7"/>
      <c r="K4012" s="7"/>
      <c r="L4012" s="10"/>
      <c r="N4012" s="10"/>
      <c r="Q4012" s="11"/>
      <c r="R4012" s="7"/>
      <c r="S4012" s="7"/>
      <c r="T4012" s="7"/>
      <c r="U4012" s="7"/>
      <c r="V4012" s="10"/>
      <c r="X4012" s="10"/>
      <c r="AA4012" s="11"/>
    </row>
    <row r="4013" spans="2:27" x14ac:dyDescent="0.2">
      <c r="B4013" t="s">
        <v>394</v>
      </c>
      <c r="C4013">
        <v>40354501</v>
      </c>
      <c r="D4013" t="s">
        <v>485</v>
      </c>
      <c r="E4013">
        <v>1011558</v>
      </c>
      <c r="F4013" t="s">
        <v>603</v>
      </c>
      <c r="G4013" s="9">
        <v>44947</v>
      </c>
      <c r="H4013" s="7"/>
      <c r="I4013" s="7"/>
      <c r="J4013" s="7"/>
      <c r="K4013" s="7"/>
      <c r="L4013" s="10"/>
      <c r="N4013" s="10"/>
      <c r="Q4013" s="11"/>
      <c r="R4013" s="7"/>
      <c r="S4013" s="7"/>
      <c r="T4013" s="7"/>
      <c r="U4013" s="7"/>
      <c r="V4013" s="10"/>
      <c r="X4013" s="10"/>
      <c r="AA4013" s="11"/>
    </row>
    <row r="4014" spans="2:27" x14ac:dyDescent="0.2">
      <c r="B4014" t="s">
        <v>394</v>
      </c>
      <c r="C4014">
        <v>40354500</v>
      </c>
      <c r="D4014" t="s">
        <v>485</v>
      </c>
      <c r="E4014">
        <v>1011558</v>
      </c>
      <c r="F4014" t="s">
        <v>603</v>
      </c>
      <c r="G4014" s="9">
        <v>44947</v>
      </c>
      <c r="H4014" s="7"/>
      <c r="I4014" s="7"/>
      <c r="J4014" s="7"/>
      <c r="K4014" s="7"/>
      <c r="L4014" s="10"/>
      <c r="N4014" s="10"/>
      <c r="Q4014" s="11"/>
      <c r="R4014" s="7"/>
      <c r="S4014" s="7"/>
      <c r="T4014" s="7"/>
      <c r="U4014" s="7"/>
      <c r="V4014" s="10"/>
      <c r="X4014" s="10"/>
      <c r="AA4014" s="11"/>
    </row>
    <row r="4015" spans="2:27" x14ac:dyDescent="0.2">
      <c r="B4015" t="s">
        <v>394</v>
      </c>
      <c r="C4015">
        <v>40354499</v>
      </c>
      <c r="D4015" t="s">
        <v>485</v>
      </c>
      <c r="E4015">
        <v>1011558</v>
      </c>
      <c r="F4015" t="s">
        <v>603</v>
      </c>
      <c r="G4015" s="9">
        <v>44947</v>
      </c>
      <c r="H4015" s="7"/>
      <c r="I4015" s="7"/>
      <c r="J4015" s="7"/>
      <c r="K4015" s="7"/>
      <c r="L4015" s="10"/>
      <c r="N4015" s="10"/>
      <c r="Q4015" s="11"/>
      <c r="R4015" s="7"/>
      <c r="S4015" s="7"/>
      <c r="T4015" s="7"/>
      <c r="U4015" s="7"/>
      <c r="V4015" s="10"/>
      <c r="X4015" s="10"/>
      <c r="AA4015" s="11"/>
    </row>
    <row r="4016" spans="2:27" x14ac:dyDescent="0.2">
      <c r="B4016" t="s">
        <v>394</v>
      </c>
      <c r="C4016">
        <v>40354498</v>
      </c>
      <c r="D4016" t="s">
        <v>485</v>
      </c>
      <c r="E4016">
        <v>1011558</v>
      </c>
      <c r="F4016" t="s">
        <v>603</v>
      </c>
      <c r="G4016" s="9">
        <v>44941</v>
      </c>
      <c r="H4016" s="7"/>
      <c r="I4016" s="7"/>
      <c r="J4016" s="7"/>
      <c r="K4016" s="7"/>
      <c r="L4016" s="10"/>
      <c r="N4016" s="10"/>
      <c r="Q4016" s="11"/>
      <c r="R4016" s="7"/>
      <c r="S4016" s="7"/>
      <c r="T4016" s="7"/>
      <c r="U4016" s="7"/>
      <c r="V4016" s="10"/>
      <c r="X4016" s="10"/>
      <c r="AA4016" s="11"/>
    </row>
    <row r="4017" spans="2:27" x14ac:dyDescent="0.2">
      <c r="B4017" t="s">
        <v>394</v>
      </c>
      <c r="C4017">
        <v>40354497</v>
      </c>
      <c r="D4017" t="s">
        <v>485</v>
      </c>
      <c r="E4017">
        <v>1011558</v>
      </c>
      <c r="F4017" t="s">
        <v>603</v>
      </c>
      <c r="G4017" s="9">
        <v>44941</v>
      </c>
      <c r="H4017" s="7"/>
      <c r="I4017" s="7"/>
      <c r="J4017" s="7"/>
      <c r="K4017" s="7"/>
      <c r="L4017" s="10"/>
      <c r="N4017" s="10"/>
      <c r="Q4017" s="11"/>
      <c r="R4017" s="7"/>
      <c r="S4017" s="7"/>
      <c r="T4017" s="7"/>
      <c r="U4017" s="7"/>
      <c r="V4017" s="10"/>
      <c r="X4017" s="10"/>
      <c r="AA4017" s="11"/>
    </row>
    <row r="4018" spans="2:27" x14ac:dyDescent="0.2">
      <c r="B4018" t="s">
        <v>394</v>
      </c>
      <c r="C4018">
        <v>40354496</v>
      </c>
      <c r="D4018" t="s">
        <v>485</v>
      </c>
      <c r="E4018">
        <v>1011558</v>
      </c>
      <c r="F4018" t="s">
        <v>603</v>
      </c>
      <c r="G4018" s="9">
        <v>44933</v>
      </c>
      <c r="H4018" s="7"/>
      <c r="I4018" s="7"/>
      <c r="J4018" s="7"/>
      <c r="K4018" s="7"/>
      <c r="L4018" s="10"/>
      <c r="N4018" s="10"/>
      <c r="Q4018" s="11"/>
      <c r="R4018" s="7"/>
      <c r="S4018" s="7"/>
      <c r="T4018" s="7"/>
      <c r="U4018" s="7"/>
      <c r="V4018" s="10"/>
      <c r="X4018" s="10"/>
      <c r="AA4018" s="11"/>
    </row>
    <row r="4019" spans="2:27" x14ac:dyDescent="0.2">
      <c r="B4019" t="s">
        <v>394</v>
      </c>
      <c r="C4019">
        <v>40354495</v>
      </c>
      <c r="D4019" t="s">
        <v>485</v>
      </c>
      <c r="E4019">
        <v>1011558</v>
      </c>
      <c r="F4019" t="s">
        <v>603</v>
      </c>
      <c r="G4019" s="9">
        <v>44925</v>
      </c>
      <c r="H4019" s="7"/>
      <c r="I4019" s="7"/>
      <c r="J4019" s="7"/>
      <c r="K4019" s="7"/>
      <c r="L4019" s="10"/>
      <c r="N4019" s="10"/>
      <c r="Q4019" s="11"/>
      <c r="R4019" s="7"/>
      <c r="S4019" s="7"/>
      <c r="T4019" s="7"/>
      <c r="U4019" s="7"/>
      <c r="V4019" s="10"/>
      <c r="X4019" s="10"/>
      <c r="AA4019" s="11"/>
    </row>
    <row r="4020" spans="2:27" x14ac:dyDescent="0.2">
      <c r="B4020" t="s">
        <v>394</v>
      </c>
      <c r="C4020">
        <v>40354494</v>
      </c>
      <c r="D4020" t="s">
        <v>485</v>
      </c>
      <c r="E4020">
        <v>1011558</v>
      </c>
      <c r="F4020" t="s">
        <v>603</v>
      </c>
      <c r="G4020" s="9">
        <v>44925</v>
      </c>
      <c r="H4020" s="7"/>
      <c r="I4020" s="7"/>
      <c r="J4020" s="7"/>
      <c r="K4020" s="7"/>
      <c r="L4020" s="10"/>
      <c r="N4020" s="10"/>
      <c r="Q4020" s="11"/>
      <c r="R4020" s="7"/>
      <c r="S4020" s="7"/>
      <c r="T4020" s="7"/>
      <c r="U4020" s="7"/>
      <c r="V4020" s="10"/>
      <c r="X4020" s="10"/>
      <c r="AA4020" s="11"/>
    </row>
    <row r="4021" spans="2:27" x14ac:dyDescent="0.2">
      <c r="B4021" t="s">
        <v>394</v>
      </c>
      <c r="C4021">
        <v>40354493</v>
      </c>
      <c r="D4021" t="s">
        <v>485</v>
      </c>
      <c r="E4021">
        <v>1011558</v>
      </c>
      <c r="F4021" t="s">
        <v>603</v>
      </c>
      <c r="G4021" s="9">
        <v>44933</v>
      </c>
      <c r="H4021" s="7"/>
      <c r="I4021" s="7"/>
      <c r="J4021" s="7"/>
      <c r="K4021" s="7"/>
      <c r="L4021" s="10"/>
      <c r="N4021" s="10"/>
      <c r="Q4021" s="11"/>
      <c r="R4021" s="7"/>
      <c r="S4021" s="7"/>
      <c r="T4021" s="7"/>
      <c r="U4021" s="7"/>
      <c r="V4021" s="10"/>
      <c r="X4021" s="10"/>
      <c r="AA4021" s="11"/>
    </row>
    <row r="4022" spans="2:27" x14ac:dyDescent="0.2">
      <c r="B4022" t="s">
        <v>394</v>
      </c>
      <c r="C4022">
        <v>40354492</v>
      </c>
      <c r="D4022" t="s">
        <v>485</v>
      </c>
      <c r="E4022">
        <v>1011558</v>
      </c>
      <c r="F4022" t="s">
        <v>603</v>
      </c>
      <c r="G4022" s="9">
        <v>44933</v>
      </c>
      <c r="H4022" s="7"/>
      <c r="I4022" s="7"/>
      <c r="J4022" s="7"/>
      <c r="K4022" s="7"/>
      <c r="L4022" s="10"/>
      <c r="N4022" s="10"/>
      <c r="Q4022" s="11"/>
      <c r="R4022" s="7"/>
      <c r="S4022" s="7"/>
      <c r="T4022" s="7"/>
      <c r="U4022" s="7"/>
      <c r="V4022" s="10"/>
      <c r="X4022" s="10"/>
      <c r="AA4022" s="11"/>
    </row>
    <row r="4023" spans="2:27" x14ac:dyDescent="0.2">
      <c r="B4023" t="s">
        <v>394</v>
      </c>
      <c r="C4023">
        <v>40354491</v>
      </c>
      <c r="D4023" t="s">
        <v>485</v>
      </c>
      <c r="E4023">
        <v>1011558</v>
      </c>
      <c r="F4023" t="s">
        <v>603</v>
      </c>
      <c r="G4023" s="9">
        <v>44941</v>
      </c>
      <c r="H4023" s="7"/>
      <c r="I4023" s="7"/>
      <c r="J4023" s="7"/>
      <c r="K4023" s="7"/>
      <c r="L4023" s="10"/>
      <c r="N4023" s="10"/>
      <c r="Q4023" s="11"/>
      <c r="R4023" s="7"/>
      <c r="S4023" s="7"/>
      <c r="T4023" s="7"/>
      <c r="U4023" s="7"/>
      <c r="V4023" s="10"/>
      <c r="X4023" s="10"/>
      <c r="AA4023" s="11"/>
    </row>
    <row r="4024" spans="2:27" x14ac:dyDescent="0.2">
      <c r="B4024" t="s">
        <v>394</v>
      </c>
      <c r="C4024">
        <v>40354490</v>
      </c>
      <c r="D4024" t="s">
        <v>485</v>
      </c>
      <c r="E4024">
        <v>1011558</v>
      </c>
      <c r="F4024" t="s">
        <v>603</v>
      </c>
      <c r="G4024" s="9">
        <v>44941</v>
      </c>
      <c r="H4024" s="7"/>
      <c r="I4024" s="7"/>
      <c r="J4024" s="7"/>
      <c r="K4024" s="7"/>
      <c r="L4024" s="10"/>
      <c r="N4024" s="10"/>
      <c r="Q4024" s="11"/>
      <c r="R4024" s="7"/>
      <c r="S4024" s="7"/>
      <c r="T4024" s="7"/>
      <c r="U4024" s="7"/>
      <c r="V4024" s="10"/>
      <c r="X4024" s="10"/>
      <c r="AA4024" s="11"/>
    </row>
    <row r="4025" spans="2:27" x14ac:dyDescent="0.2">
      <c r="B4025" t="s">
        <v>394</v>
      </c>
      <c r="C4025">
        <v>40354489</v>
      </c>
      <c r="D4025" t="s">
        <v>485</v>
      </c>
      <c r="E4025">
        <v>1011558</v>
      </c>
      <c r="F4025" t="s">
        <v>603</v>
      </c>
      <c r="G4025" s="9">
        <v>44931</v>
      </c>
      <c r="H4025" s="7"/>
      <c r="I4025" s="7"/>
      <c r="J4025" s="7"/>
      <c r="K4025" s="7"/>
      <c r="L4025" s="10"/>
      <c r="N4025" s="10"/>
      <c r="Q4025" s="11"/>
      <c r="R4025" s="7"/>
      <c r="S4025" s="7"/>
      <c r="T4025" s="7"/>
      <c r="U4025" s="7"/>
      <c r="V4025" s="10"/>
      <c r="X4025" s="10"/>
      <c r="AA4025" s="11"/>
    </row>
    <row r="4026" spans="2:27" x14ac:dyDescent="0.2">
      <c r="B4026" t="s">
        <v>394</v>
      </c>
      <c r="C4026">
        <v>40354473</v>
      </c>
      <c r="D4026" t="s">
        <v>485</v>
      </c>
      <c r="E4026">
        <v>1020339</v>
      </c>
      <c r="F4026" t="s">
        <v>599</v>
      </c>
      <c r="G4026" s="9">
        <v>44929</v>
      </c>
      <c r="H4026" s="7"/>
      <c r="I4026" s="7"/>
      <c r="J4026" s="7"/>
      <c r="K4026" s="7"/>
      <c r="L4026" s="10"/>
      <c r="N4026" s="10"/>
      <c r="Q4026" s="11"/>
      <c r="R4026" s="7"/>
      <c r="S4026" s="7"/>
      <c r="T4026" s="7"/>
      <c r="U4026" s="7"/>
      <c r="V4026" s="10"/>
      <c r="X4026" s="10"/>
      <c r="AA4026" s="11"/>
    </row>
    <row r="4027" spans="2:27" x14ac:dyDescent="0.2">
      <c r="B4027" t="s">
        <v>394</v>
      </c>
      <c r="C4027">
        <v>40354473</v>
      </c>
      <c r="D4027" t="s">
        <v>485</v>
      </c>
      <c r="E4027">
        <v>1022273</v>
      </c>
      <c r="F4027" t="s">
        <v>606</v>
      </c>
      <c r="G4027" s="9">
        <v>44929</v>
      </c>
      <c r="H4027" s="7"/>
      <c r="I4027" s="7"/>
      <c r="J4027" s="7"/>
      <c r="K4027" s="7"/>
      <c r="L4027" s="10"/>
      <c r="N4027" s="10"/>
      <c r="Q4027" s="11"/>
      <c r="R4027" s="7"/>
      <c r="S4027" s="7"/>
      <c r="T4027" s="7"/>
      <c r="U4027" s="7"/>
      <c r="V4027" s="10"/>
      <c r="X4027" s="10"/>
      <c r="AA4027" s="11"/>
    </row>
    <row r="4028" spans="2:27" ht="16" x14ac:dyDescent="0.2">
      <c r="B4028" t="s">
        <v>35</v>
      </c>
      <c r="C4028">
        <v>40354463</v>
      </c>
      <c r="D4028" t="s">
        <v>386</v>
      </c>
      <c r="E4028">
        <v>1011749</v>
      </c>
      <c r="F4028" t="s">
        <v>543</v>
      </c>
      <c r="G4028" s="9">
        <v>44937</v>
      </c>
      <c r="H4028" s="7"/>
      <c r="I4028" s="7"/>
      <c r="J4028" s="7"/>
      <c r="K4028" s="7"/>
      <c r="L4028" s="10">
        <v>5.1420118343195256</v>
      </c>
      <c r="M4028" s="9">
        <v>44942</v>
      </c>
      <c r="N4028" s="10">
        <v>7.5</v>
      </c>
      <c r="O4028" s="9">
        <v>44949</v>
      </c>
      <c r="P4028">
        <v>7</v>
      </c>
      <c r="Q4028" s="11" t="s">
        <v>49</v>
      </c>
      <c r="R4028" s="7"/>
      <c r="S4028" s="7"/>
      <c r="T4028" s="7"/>
      <c r="U4028" s="7"/>
      <c r="V4028" s="10">
        <v>7.1420118343195256</v>
      </c>
      <c r="W4028" s="9">
        <v>44944</v>
      </c>
      <c r="X4028" s="10">
        <v>9.5</v>
      </c>
      <c r="Y4028" s="9">
        <v>44949</v>
      </c>
      <c r="Z4028">
        <v>7</v>
      </c>
      <c r="AA4028" s="11" t="s">
        <v>49</v>
      </c>
    </row>
    <row r="4029" spans="2:27" ht="16" x14ac:dyDescent="0.2">
      <c r="B4029" t="s">
        <v>35</v>
      </c>
      <c r="C4029">
        <v>40354462</v>
      </c>
      <c r="D4029" t="s">
        <v>386</v>
      </c>
      <c r="E4029">
        <v>1011749</v>
      </c>
      <c r="F4029" t="s">
        <v>543</v>
      </c>
      <c r="G4029" s="9">
        <v>44951</v>
      </c>
      <c r="H4029" s="7"/>
      <c r="I4029" s="7"/>
      <c r="J4029" s="7"/>
      <c r="K4029" s="7"/>
      <c r="L4029" s="10">
        <v>5.1420118343195256</v>
      </c>
      <c r="M4029" s="9">
        <v>44956</v>
      </c>
      <c r="N4029" s="10">
        <v>7.5</v>
      </c>
      <c r="O4029" s="9">
        <v>44963</v>
      </c>
      <c r="P4029">
        <v>19</v>
      </c>
      <c r="Q4029" s="11" t="s">
        <v>49</v>
      </c>
      <c r="R4029" s="7"/>
      <c r="S4029" s="7"/>
      <c r="T4029" s="7"/>
      <c r="U4029" s="7"/>
      <c r="V4029" s="10">
        <v>7.1420118343195256</v>
      </c>
      <c r="W4029" s="9">
        <v>44958</v>
      </c>
      <c r="X4029" s="10">
        <v>9.5</v>
      </c>
      <c r="Y4029" s="9">
        <v>44963</v>
      </c>
      <c r="Z4029">
        <v>19</v>
      </c>
      <c r="AA4029" s="11" t="s">
        <v>49</v>
      </c>
    </row>
    <row r="4030" spans="2:27" ht="16" x14ac:dyDescent="0.2">
      <c r="B4030" t="s">
        <v>35</v>
      </c>
      <c r="C4030">
        <v>40354461</v>
      </c>
      <c r="D4030" t="s">
        <v>386</v>
      </c>
      <c r="E4030">
        <v>1011749</v>
      </c>
      <c r="F4030" t="s">
        <v>543</v>
      </c>
      <c r="G4030" s="9">
        <v>44931</v>
      </c>
      <c r="H4030" s="7"/>
      <c r="I4030" s="7"/>
      <c r="J4030" s="7"/>
      <c r="K4030" s="7"/>
      <c r="L4030" s="10">
        <v>5.1420118343195256</v>
      </c>
      <c r="M4030" s="9">
        <v>44936</v>
      </c>
      <c r="N4030" s="10">
        <v>7.5</v>
      </c>
      <c r="O4030" s="9">
        <v>44943</v>
      </c>
      <c r="P4030">
        <v>12</v>
      </c>
      <c r="Q4030" s="11" t="s">
        <v>49</v>
      </c>
      <c r="R4030" s="7"/>
      <c r="S4030" s="7"/>
      <c r="T4030" s="7"/>
      <c r="U4030" s="7"/>
      <c r="V4030" s="10">
        <v>7.1420118343195256</v>
      </c>
      <c r="W4030" s="9">
        <v>44938</v>
      </c>
      <c r="X4030" s="10">
        <v>9.5</v>
      </c>
      <c r="Y4030" s="9">
        <v>44943</v>
      </c>
      <c r="Z4030">
        <v>12</v>
      </c>
      <c r="AA4030" s="11" t="s">
        <v>49</v>
      </c>
    </row>
    <row r="4031" spans="2:27" ht="16" x14ac:dyDescent="0.2">
      <c r="B4031" t="s">
        <v>35</v>
      </c>
      <c r="C4031">
        <v>40354460</v>
      </c>
      <c r="D4031" t="s">
        <v>386</v>
      </c>
      <c r="E4031">
        <v>1011749</v>
      </c>
      <c r="F4031" t="s">
        <v>543</v>
      </c>
      <c r="G4031" s="9">
        <v>44931</v>
      </c>
      <c r="H4031" s="7"/>
      <c r="I4031" s="7"/>
      <c r="J4031" s="7"/>
      <c r="K4031" s="7"/>
      <c r="L4031" s="10">
        <v>5.1420118343195256</v>
      </c>
      <c r="M4031" s="9">
        <v>44936</v>
      </c>
      <c r="N4031" s="10">
        <v>7.5</v>
      </c>
      <c r="O4031" s="9">
        <v>44943</v>
      </c>
      <c r="P4031">
        <v>12</v>
      </c>
      <c r="Q4031" s="11" t="s">
        <v>49</v>
      </c>
      <c r="R4031" s="7"/>
      <c r="S4031" s="7"/>
      <c r="T4031" s="7"/>
      <c r="U4031" s="7"/>
      <c r="V4031" s="10">
        <v>7.1420118343195256</v>
      </c>
      <c r="W4031" s="9">
        <v>44938</v>
      </c>
      <c r="X4031" s="10">
        <v>9.5</v>
      </c>
      <c r="Y4031" s="9">
        <v>44943</v>
      </c>
      <c r="Z4031">
        <v>12</v>
      </c>
      <c r="AA4031" s="11" t="s">
        <v>49</v>
      </c>
    </row>
    <row r="4032" spans="2:27" ht="16" x14ac:dyDescent="0.2">
      <c r="B4032" t="s">
        <v>35</v>
      </c>
      <c r="C4032">
        <v>40354459</v>
      </c>
      <c r="D4032" t="s">
        <v>386</v>
      </c>
      <c r="E4032">
        <v>1011749</v>
      </c>
      <c r="F4032" t="s">
        <v>543</v>
      </c>
      <c r="G4032" s="9">
        <v>44931</v>
      </c>
      <c r="H4032" s="7"/>
      <c r="I4032" s="7"/>
      <c r="J4032" s="7"/>
      <c r="K4032" s="7"/>
      <c r="L4032" s="10">
        <v>5.1420118343195256</v>
      </c>
      <c r="M4032" s="9">
        <v>44936</v>
      </c>
      <c r="N4032" s="10">
        <v>7.5</v>
      </c>
      <c r="O4032" s="9">
        <v>44943</v>
      </c>
      <c r="P4032">
        <v>12</v>
      </c>
      <c r="Q4032" s="11" t="s">
        <v>49</v>
      </c>
      <c r="R4032" s="7"/>
      <c r="S4032" s="7"/>
      <c r="T4032" s="7"/>
      <c r="U4032" s="7"/>
      <c r="V4032" s="10">
        <v>7.1420118343195256</v>
      </c>
      <c r="W4032" s="9">
        <v>44938</v>
      </c>
      <c r="X4032" s="10">
        <v>9.5</v>
      </c>
      <c r="Y4032" s="9">
        <v>44943</v>
      </c>
      <c r="Z4032">
        <v>12</v>
      </c>
      <c r="AA4032" s="11" t="s">
        <v>49</v>
      </c>
    </row>
    <row r="4033" spans="2:27" ht="16" x14ac:dyDescent="0.2">
      <c r="B4033" t="s">
        <v>35</v>
      </c>
      <c r="C4033">
        <v>40354455</v>
      </c>
      <c r="D4033" t="s">
        <v>386</v>
      </c>
      <c r="E4033">
        <v>1012432</v>
      </c>
      <c r="F4033" t="s">
        <v>454</v>
      </c>
      <c r="G4033" s="9">
        <v>44939</v>
      </c>
      <c r="H4033" s="7"/>
      <c r="I4033" s="7"/>
      <c r="J4033" s="7"/>
      <c r="K4033" s="7"/>
      <c r="L4033" s="10">
        <v>5.1420118343195256</v>
      </c>
      <c r="M4033" s="9">
        <v>44944</v>
      </c>
      <c r="N4033" s="10">
        <v>7.5</v>
      </c>
      <c r="O4033" s="9">
        <v>44951</v>
      </c>
      <c r="P4033">
        <v>5</v>
      </c>
      <c r="Q4033" s="11" t="s">
        <v>49</v>
      </c>
      <c r="R4033" s="7"/>
      <c r="S4033" s="7"/>
      <c r="T4033" s="7"/>
      <c r="U4033" s="7"/>
      <c r="V4033" s="10">
        <v>7.1420118343195256</v>
      </c>
      <c r="W4033" s="9">
        <v>44946</v>
      </c>
      <c r="X4033" s="10">
        <v>9.5</v>
      </c>
      <c r="Y4033" s="9">
        <v>44951</v>
      </c>
      <c r="Z4033">
        <v>5</v>
      </c>
      <c r="AA4033" s="11" t="s">
        <v>49</v>
      </c>
    </row>
    <row r="4034" spans="2:27" ht="16" x14ac:dyDescent="0.2">
      <c r="B4034" t="s">
        <v>35</v>
      </c>
      <c r="C4034">
        <v>40354454</v>
      </c>
      <c r="D4034" t="s">
        <v>386</v>
      </c>
      <c r="E4034">
        <v>1012432</v>
      </c>
      <c r="F4034" t="s">
        <v>454</v>
      </c>
      <c r="G4034" s="9">
        <v>44937</v>
      </c>
      <c r="H4034" s="7"/>
      <c r="I4034" s="7"/>
      <c r="J4034" s="7"/>
      <c r="K4034" s="7"/>
      <c r="L4034" s="10">
        <v>5.1420118343195256</v>
      </c>
      <c r="M4034" s="9">
        <v>44942</v>
      </c>
      <c r="N4034" s="10">
        <v>7.5</v>
      </c>
      <c r="O4034" s="9">
        <v>44949</v>
      </c>
      <c r="P4034">
        <v>7</v>
      </c>
      <c r="Q4034" s="11" t="s">
        <v>49</v>
      </c>
      <c r="R4034" s="7"/>
      <c r="S4034" s="7"/>
      <c r="T4034" s="7"/>
      <c r="U4034" s="7"/>
      <c r="V4034" s="10">
        <v>7.1420118343195256</v>
      </c>
      <c r="W4034" s="9">
        <v>44944</v>
      </c>
      <c r="X4034" s="10">
        <v>9.5</v>
      </c>
      <c r="Y4034" s="9">
        <v>44949</v>
      </c>
      <c r="Z4034">
        <v>7</v>
      </c>
      <c r="AA4034" s="11" t="s">
        <v>49</v>
      </c>
    </row>
    <row r="4035" spans="2:27" ht="16" x14ac:dyDescent="0.2">
      <c r="B4035" t="s">
        <v>35</v>
      </c>
      <c r="C4035">
        <v>40354449</v>
      </c>
      <c r="D4035" t="s">
        <v>386</v>
      </c>
      <c r="E4035">
        <v>1011748</v>
      </c>
      <c r="F4035" t="s">
        <v>225</v>
      </c>
      <c r="G4035" s="9">
        <v>44955</v>
      </c>
      <c r="H4035" s="7"/>
      <c r="I4035" s="7"/>
      <c r="J4035" s="7"/>
      <c r="K4035" s="7"/>
      <c r="L4035" s="10">
        <v>5.1420118343195256</v>
      </c>
      <c r="M4035" s="9">
        <v>44960</v>
      </c>
      <c r="N4035" s="10">
        <v>7.5</v>
      </c>
      <c r="O4035" s="9">
        <v>44967</v>
      </c>
      <c r="P4035">
        <v>15</v>
      </c>
      <c r="Q4035" s="11" t="s">
        <v>49</v>
      </c>
      <c r="R4035" s="7"/>
      <c r="S4035" s="7"/>
      <c r="T4035" s="7"/>
      <c r="U4035" s="7"/>
      <c r="V4035" s="10">
        <v>7.1420118343195256</v>
      </c>
      <c r="W4035" s="9">
        <v>44962</v>
      </c>
      <c r="X4035" s="10">
        <v>9.5</v>
      </c>
      <c r="Y4035" s="9">
        <v>44967</v>
      </c>
      <c r="Z4035">
        <v>15</v>
      </c>
      <c r="AA4035" s="11" t="s">
        <v>49</v>
      </c>
    </row>
    <row r="4036" spans="2:27" x14ac:dyDescent="0.2">
      <c r="B4036" t="s">
        <v>394</v>
      </c>
      <c r="C4036">
        <v>40354447</v>
      </c>
      <c r="D4036" t="s">
        <v>396</v>
      </c>
      <c r="E4036">
        <v>1012612</v>
      </c>
      <c r="F4036" t="s">
        <v>429</v>
      </c>
      <c r="G4036" s="9">
        <v>44976</v>
      </c>
      <c r="H4036" s="7"/>
      <c r="I4036" s="7"/>
      <c r="J4036" s="7"/>
      <c r="K4036" s="7"/>
      <c r="L4036" s="10"/>
      <c r="N4036" s="10"/>
      <c r="Q4036" s="11"/>
      <c r="R4036" s="7"/>
      <c r="S4036" s="7"/>
      <c r="T4036" s="7"/>
      <c r="U4036" s="7"/>
      <c r="V4036" s="10"/>
      <c r="X4036" s="10"/>
      <c r="AA4036" s="11"/>
    </row>
    <row r="4037" spans="2:27" x14ac:dyDescent="0.2">
      <c r="B4037" t="s">
        <v>394</v>
      </c>
      <c r="C4037">
        <v>40354438</v>
      </c>
      <c r="D4037" t="s">
        <v>396</v>
      </c>
      <c r="E4037">
        <v>1012612</v>
      </c>
      <c r="F4037" t="s">
        <v>429</v>
      </c>
      <c r="G4037" s="9">
        <v>44953</v>
      </c>
      <c r="H4037" s="7"/>
      <c r="I4037" s="7"/>
      <c r="J4037" s="7"/>
      <c r="K4037" s="7"/>
      <c r="L4037" s="10"/>
      <c r="N4037" s="10"/>
      <c r="Q4037" s="11"/>
      <c r="R4037" s="7"/>
      <c r="S4037" s="7"/>
      <c r="T4037" s="7"/>
      <c r="U4037" s="7"/>
      <c r="V4037" s="10"/>
      <c r="X4037" s="10"/>
      <c r="AA4037" s="11"/>
    </row>
    <row r="4038" spans="2:27" x14ac:dyDescent="0.2">
      <c r="B4038" t="s">
        <v>394</v>
      </c>
      <c r="C4038">
        <v>40354436</v>
      </c>
      <c r="D4038" t="s">
        <v>396</v>
      </c>
      <c r="E4038">
        <v>1012612</v>
      </c>
      <c r="F4038" t="s">
        <v>429</v>
      </c>
      <c r="G4038" s="9">
        <v>44960</v>
      </c>
      <c r="H4038" s="7"/>
      <c r="I4038" s="7"/>
      <c r="J4038" s="7"/>
      <c r="K4038" s="7"/>
      <c r="L4038" s="10"/>
      <c r="N4038" s="10"/>
      <c r="Q4038" s="11"/>
      <c r="R4038" s="7"/>
      <c r="S4038" s="7"/>
      <c r="T4038" s="7"/>
      <c r="U4038" s="7"/>
      <c r="V4038" s="10"/>
      <c r="X4038" s="10"/>
      <c r="AA4038" s="11"/>
    </row>
    <row r="4039" spans="2:27" x14ac:dyDescent="0.2">
      <c r="B4039" t="s">
        <v>394</v>
      </c>
      <c r="C4039">
        <v>40354356</v>
      </c>
      <c r="D4039" t="s">
        <v>485</v>
      </c>
      <c r="E4039">
        <v>1020925</v>
      </c>
      <c r="F4039" t="s">
        <v>494</v>
      </c>
      <c r="G4039" s="9">
        <v>44933</v>
      </c>
      <c r="H4039" s="7"/>
      <c r="I4039" s="7"/>
      <c r="J4039" s="7"/>
      <c r="K4039" s="7"/>
      <c r="L4039" s="10"/>
      <c r="N4039" s="10"/>
      <c r="Q4039" s="11"/>
      <c r="R4039" s="7"/>
      <c r="S4039" s="7"/>
      <c r="T4039" s="7"/>
      <c r="U4039" s="7"/>
      <c r="V4039" s="10"/>
      <c r="X4039" s="10"/>
      <c r="AA4039" s="11"/>
    </row>
    <row r="4040" spans="2:27" x14ac:dyDescent="0.2">
      <c r="B4040" t="s">
        <v>394</v>
      </c>
      <c r="C4040">
        <v>40354356</v>
      </c>
      <c r="D4040" t="s">
        <v>485</v>
      </c>
      <c r="E4040">
        <v>1020367</v>
      </c>
      <c r="F4040" t="s">
        <v>596</v>
      </c>
      <c r="G4040" s="9">
        <v>44933</v>
      </c>
      <c r="H4040" s="7"/>
      <c r="I4040" s="7"/>
      <c r="J4040" s="7"/>
      <c r="K4040" s="7"/>
      <c r="L4040" s="10"/>
      <c r="N4040" s="10"/>
      <c r="Q4040" s="11"/>
      <c r="R4040" s="7"/>
      <c r="S4040" s="7"/>
      <c r="T4040" s="7"/>
      <c r="U4040" s="7"/>
      <c r="V4040" s="10"/>
      <c r="X4040" s="10"/>
      <c r="AA4040" s="11"/>
    </row>
    <row r="4041" spans="2:27" x14ac:dyDescent="0.2">
      <c r="B4041" t="s">
        <v>394</v>
      </c>
      <c r="C4041">
        <v>40354302</v>
      </c>
      <c r="D4041" t="s">
        <v>485</v>
      </c>
      <c r="E4041">
        <v>1030817</v>
      </c>
      <c r="F4041" t="s">
        <v>504</v>
      </c>
      <c r="G4041" s="9">
        <v>44933</v>
      </c>
      <c r="H4041" s="7"/>
      <c r="I4041" s="7"/>
      <c r="J4041" s="7"/>
      <c r="K4041" s="7"/>
      <c r="L4041" s="10"/>
      <c r="N4041" s="10"/>
      <c r="Q4041" s="11"/>
      <c r="R4041" s="7"/>
      <c r="S4041" s="7"/>
      <c r="T4041" s="7"/>
      <c r="U4041" s="7"/>
      <c r="V4041" s="10"/>
      <c r="X4041" s="10"/>
      <c r="AA4041" s="11"/>
    </row>
    <row r="4042" spans="2:27" x14ac:dyDescent="0.2">
      <c r="B4042" t="s">
        <v>394</v>
      </c>
      <c r="C4042">
        <v>40354243</v>
      </c>
      <c r="D4042" t="s">
        <v>396</v>
      </c>
      <c r="E4042">
        <v>1021470</v>
      </c>
      <c r="F4042" t="s">
        <v>398</v>
      </c>
      <c r="G4042" s="9">
        <v>44958</v>
      </c>
      <c r="H4042" s="7"/>
      <c r="I4042" s="7"/>
      <c r="J4042" s="7"/>
      <c r="K4042" s="7"/>
      <c r="L4042" s="10"/>
      <c r="N4042" s="10"/>
      <c r="Q4042" s="11"/>
      <c r="R4042" s="7"/>
      <c r="S4042" s="7"/>
      <c r="T4042" s="7"/>
      <c r="U4042" s="7"/>
      <c r="V4042" s="10"/>
      <c r="X4042" s="10"/>
      <c r="AA4042" s="11"/>
    </row>
    <row r="4043" spans="2:27" x14ac:dyDescent="0.2">
      <c r="B4043" t="s">
        <v>394</v>
      </c>
      <c r="C4043">
        <v>40354241</v>
      </c>
      <c r="D4043" t="s">
        <v>396</v>
      </c>
      <c r="E4043">
        <v>1021045</v>
      </c>
      <c r="F4043" t="s">
        <v>615</v>
      </c>
      <c r="G4043" s="9">
        <v>44958</v>
      </c>
      <c r="H4043" s="7"/>
      <c r="I4043" s="7"/>
      <c r="J4043" s="7"/>
      <c r="K4043" s="7"/>
      <c r="L4043" s="10"/>
      <c r="N4043" s="10"/>
      <c r="Q4043" s="11"/>
      <c r="R4043" s="7"/>
      <c r="S4043" s="7"/>
      <c r="T4043" s="7"/>
      <c r="U4043" s="7"/>
      <c r="V4043" s="10"/>
      <c r="X4043" s="10"/>
      <c r="AA4043" s="11"/>
    </row>
    <row r="4044" spans="2:27" ht="16" x14ac:dyDescent="0.2">
      <c r="B4044" t="s">
        <v>35</v>
      </c>
      <c r="C4044">
        <v>40354079</v>
      </c>
      <c r="D4044" t="s">
        <v>409</v>
      </c>
      <c r="E4044">
        <v>1023190</v>
      </c>
      <c r="F4044" t="s">
        <v>257</v>
      </c>
      <c r="G4044" s="9">
        <v>44940</v>
      </c>
      <c r="H4044" s="7"/>
      <c r="I4044" s="7"/>
      <c r="J4044" s="7"/>
      <c r="K4044" s="7"/>
      <c r="L4044" s="10">
        <v>7.5</v>
      </c>
      <c r="M4044" s="9">
        <v>44947</v>
      </c>
      <c r="N4044" s="10">
        <v>9.5</v>
      </c>
      <c r="O4044" s="9">
        <v>44956</v>
      </c>
      <c r="P4044">
        <v>1</v>
      </c>
      <c r="Q4044" s="11" t="s">
        <v>648</v>
      </c>
      <c r="R4044" s="7"/>
      <c r="S4044" s="7"/>
      <c r="T4044" s="7"/>
      <c r="U4044" s="7"/>
      <c r="V4044" s="10">
        <v>9.5</v>
      </c>
      <c r="W4044" s="9">
        <v>44949</v>
      </c>
      <c r="X4044" s="10">
        <v>11.5</v>
      </c>
      <c r="Y4044" s="9">
        <v>44956</v>
      </c>
      <c r="Z4044">
        <v>1</v>
      </c>
      <c r="AA4044" s="11" t="s">
        <v>648</v>
      </c>
    </row>
    <row r="4045" spans="2:27" ht="16" x14ac:dyDescent="0.2">
      <c r="B4045" t="s">
        <v>35</v>
      </c>
      <c r="C4045">
        <v>40354078</v>
      </c>
      <c r="D4045" t="s">
        <v>409</v>
      </c>
      <c r="E4045">
        <v>1023190</v>
      </c>
      <c r="F4045" t="s">
        <v>257</v>
      </c>
      <c r="G4045" s="9">
        <v>44940</v>
      </c>
      <c r="H4045" s="7"/>
      <c r="I4045" s="7"/>
      <c r="J4045" s="7"/>
      <c r="K4045" s="7"/>
      <c r="L4045" s="10">
        <v>7.5</v>
      </c>
      <c r="M4045" s="9">
        <v>44947</v>
      </c>
      <c r="N4045" s="10">
        <v>9.5</v>
      </c>
      <c r="O4045" s="9">
        <v>44956</v>
      </c>
      <c r="P4045">
        <v>1</v>
      </c>
      <c r="Q4045" s="11" t="s">
        <v>648</v>
      </c>
      <c r="R4045" s="7"/>
      <c r="S4045" s="7"/>
      <c r="T4045" s="7"/>
      <c r="U4045" s="7"/>
      <c r="V4045" s="10">
        <v>9.5</v>
      </c>
      <c r="W4045" s="9">
        <v>44949</v>
      </c>
      <c r="X4045" s="10">
        <v>11.5</v>
      </c>
      <c r="Y4045" s="9">
        <v>44956</v>
      </c>
      <c r="Z4045">
        <v>1</v>
      </c>
      <c r="AA4045" s="11" t="s">
        <v>648</v>
      </c>
    </row>
    <row r="4046" spans="2:27" ht="16" x14ac:dyDescent="0.2">
      <c r="B4046" t="s">
        <v>35</v>
      </c>
      <c r="C4046">
        <v>40354077</v>
      </c>
      <c r="D4046" t="s">
        <v>409</v>
      </c>
      <c r="E4046">
        <v>1023190</v>
      </c>
      <c r="F4046" t="s">
        <v>257</v>
      </c>
      <c r="G4046" s="9">
        <v>44940</v>
      </c>
      <c r="H4046" s="7"/>
      <c r="I4046" s="7"/>
      <c r="J4046" s="7"/>
      <c r="K4046" s="7"/>
      <c r="L4046" s="10">
        <v>7.5</v>
      </c>
      <c r="M4046" s="9">
        <v>44947</v>
      </c>
      <c r="N4046" s="10">
        <v>9.5</v>
      </c>
      <c r="O4046" s="9">
        <v>44956</v>
      </c>
      <c r="P4046">
        <v>1</v>
      </c>
      <c r="Q4046" s="11" t="s">
        <v>648</v>
      </c>
      <c r="R4046" s="7"/>
      <c r="S4046" s="7"/>
      <c r="T4046" s="7"/>
      <c r="U4046" s="7"/>
      <c r="V4046" s="10">
        <v>9.5</v>
      </c>
      <c r="W4046" s="9">
        <v>44949</v>
      </c>
      <c r="X4046" s="10">
        <v>11.5</v>
      </c>
      <c r="Y4046" s="9">
        <v>44956</v>
      </c>
      <c r="Z4046">
        <v>1</v>
      </c>
      <c r="AA4046" s="11" t="s">
        <v>648</v>
      </c>
    </row>
    <row r="4047" spans="2:27" ht="16" x14ac:dyDescent="0.2">
      <c r="B4047" t="s">
        <v>35</v>
      </c>
      <c r="C4047">
        <v>40354076</v>
      </c>
      <c r="D4047" t="s">
        <v>409</v>
      </c>
      <c r="E4047">
        <v>1023190</v>
      </c>
      <c r="F4047" t="s">
        <v>257</v>
      </c>
      <c r="G4047" s="9">
        <v>44946</v>
      </c>
      <c r="H4047" s="7"/>
      <c r="I4047" s="7"/>
      <c r="J4047" s="7"/>
      <c r="K4047" s="7"/>
      <c r="L4047" s="10">
        <v>7.5</v>
      </c>
      <c r="M4047" s="9">
        <v>44953</v>
      </c>
      <c r="N4047" s="10">
        <v>9.5</v>
      </c>
      <c r="O4047" s="9">
        <v>44962</v>
      </c>
      <c r="P4047">
        <v>19</v>
      </c>
      <c r="Q4047" s="11" t="s">
        <v>49</v>
      </c>
      <c r="R4047" s="7"/>
      <c r="S4047" s="7"/>
      <c r="T4047" s="7"/>
      <c r="U4047" s="7"/>
      <c r="V4047" s="10">
        <v>9.5</v>
      </c>
      <c r="W4047" s="9">
        <v>44955</v>
      </c>
      <c r="X4047" s="10">
        <v>11.5</v>
      </c>
      <c r="Y4047" s="9">
        <v>44962</v>
      </c>
      <c r="Z4047">
        <v>19</v>
      </c>
      <c r="AA4047" s="11" t="s">
        <v>49</v>
      </c>
    </row>
    <row r="4048" spans="2:27" x14ac:dyDescent="0.2">
      <c r="B4048" t="s">
        <v>394</v>
      </c>
      <c r="C4048">
        <v>40354068</v>
      </c>
      <c r="D4048" t="s">
        <v>485</v>
      </c>
      <c r="E4048">
        <v>1012719</v>
      </c>
      <c r="F4048" t="s">
        <v>545</v>
      </c>
      <c r="G4048" s="9">
        <v>44933</v>
      </c>
      <c r="H4048" s="7"/>
      <c r="I4048" s="7"/>
      <c r="J4048" s="7"/>
      <c r="K4048" s="7"/>
      <c r="L4048" s="10"/>
      <c r="N4048" s="10"/>
      <c r="Q4048" s="11"/>
      <c r="R4048" s="7"/>
      <c r="S4048" s="7"/>
      <c r="T4048" s="7"/>
      <c r="U4048" s="7"/>
      <c r="V4048" s="10"/>
      <c r="X4048" s="10"/>
      <c r="AA4048" s="11"/>
    </row>
    <row r="4049" spans="2:27" x14ac:dyDescent="0.2">
      <c r="B4049" t="s">
        <v>394</v>
      </c>
      <c r="C4049">
        <v>40354067</v>
      </c>
      <c r="D4049" t="s">
        <v>485</v>
      </c>
      <c r="E4049">
        <v>1012719</v>
      </c>
      <c r="F4049" t="s">
        <v>545</v>
      </c>
      <c r="G4049" s="9">
        <v>44933</v>
      </c>
      <c r="H4049" s="7"/>
      <c r="I4049" s="7"/>
      <c r="J4049" s="7"/>
      <c r="K4049" s="7"/>
      <c r="L4049" s="10"/>
      <c r="N4049" s="10"/>
      <c r="Q4049" s="11"/>
      <c r="R4049" s="7"/>
      <c r="S4049" s="7"/>
      <c r="T4049" s="7"/>
      <c r="U4049" s="7"/>
      <c r="V4049" s="10"/>
      <c r="X4049" s="10"/>
      <c r="AA4049" s="11"/>
    </row>
    <row r="4050" spans="2:27" x14ac:dyDescent="0.2">
      <c r="B4050" t="s">
        <v>394</v>
      </c>
      <c r="C4050">
        <v>40354066</v>
      </c>
      <c r="D4050" t="s">
        <v>485</v>
      </c>
      <c r="E4050">
        <v>1012719</v>
      </c>
      <c r="F4050" t="s">
        <v>545</v>
      </c>
      <c r="G4050" s="9">
        <v>44927</v>
      </c>
      <c r="H4050" s="7"/>
      <c r="I4050" s="7"/>
      <c r="J4050" s="7"/>
      <c r="K4050" s="7"/>
      <c r="L4050" s="10"/>
      <c r="N4050" s="10"/>
      <c r="Q4050" s="11"/>
      <c r="R4050" s="7"/>
      <c r="S4050" s="7"/>
      <c r="T4050" s="7"/>
      <c r="U4050" s="7"/>
      <c r="V4050" s="10"/>
      <c r="X4050" s="10"/>
      <c r="AA4050" s="11"/>
    </row>
    <row r="4051" spans="2:27" x14ac:dyDescent="0.2">
      <c r="B4051" t="s">
        <v>394</v>
      </c>
      <c r="C4051">
        <v>40354062</v>
      </c>
      <c r="D4051" t="s">
        <v>485</v>
      </c>
      <c r="E4051">
        <v>1030821</v>
      </c>
      <c r="F4051" t="s">
        <v>601</v>
      </c>
      <c r="G4051" s="9">
        <v>44933</v>
      </c>
      <c r="H4051" s="7"/>
      <c r="I4051" s="7"/>
      <c r="J4051" s="7"/>
      <c r="K4051" s="7"/>
      <c r="L4051" s="10"/>
      <c r="N4051" s="10"/>
      <c r="Q4051" s="11"/>
      <c r="R4051" s="7"/>
      <c r="S4051" s="7"/>
      <c r="T4051" s="7"/>
      <c r="U4051" s="7"/>
      <c r="V4051" s="10"/>
      <c r="X4051" s="10"/>
      <c r="AA4051" s="11"/>
    </row>
    <row r="4052" spans="2:27" x14ac:dyDescent="0.2">
      <c r="B4052" t="s">
        <v>394</v>
      </c>
      <c r="C4052">
        <v>40354061</v>
      </c>
      <c r="D4052" t="s">
        <v>485</v>
      </c>
      <c r="E4052">
        <v>1021092</v>
      </c>
      <c r="F4052" t="s">
        <v>525</v>
      </c>
      <c r="G4052" s="9">
        <v>44927</v>
      </c>
      <c r="H4052" s="7"/>
      <c r="I4052" s="7"/>
      <c r="J4052" s="7"/>
      <c r="K4052" s="7"/>
      <c r="L4052" s="10"/>
      <c r="N4052" s="10"/>
      <c r="Q4052" s="11"/>
      <c r="R4052" s="7"/>
      <c r="S4052" s="7"/>
      <c r="T4052" s="7"/>
      <c r="U4052" s="7"/>
      <c r="V4052" s="10"/>
      <c r="X4052" s="10"/>
      <c r="AA4052" s="11"/>
    </row>
    <row r="4053" spans="2:27" ht="16" x14ac:dyDescent="0.2">
      <c r="B4053" t="s">
        <v>35</v>
      </c>
      <c r="C4053">
        <v>40353921</v>
      </c>
      <c r="D4053" t="s">
        <v>386</v>
      </c>
      <c r="E4053">
        <v>1011748</v>
      </c>
      <c r="F4053" t="s">
        <v>225</v>
      </c>
      <c r="G4053" s="9">
        <v>44948</v>
      </c>
      <c r="H4053" s="7"/>
      <c r="I4053" s="7"/>
      <c r="J4053" s="7"/>
      <c r="K4053" s="7"/>
      <c r="L4053" s="10">
        <v>5.1420118343195256</v>
      </c>
      <c r="M4053" s="9">
        <v>44953</v>
      </c>
      <c r="N4053" s="10">
        <v>7.5</v>
      </c>
      <c r="O4053" s="9">
        <v>44960</v>
      </c>
      <c r="P4053">
        <v>21</v>
      </c>
      <c r="Q4053" s="11" t="s">
        <v>49</v>
      </c>
      <c r="R4053" s="7"/>
      <c r="S4053" s="7"/>
      <c r="T4053" s="7"/>
      <c r="U4053" s="7"/>
      <c r="V4053" s="10">
        <v>7.1420118343195256</v>
      </c>
      <c r="W4053" s="9">
        <v>44955</v>
      </c>
      <c r="X4053" s="10">
        <v>9.5</v>
      </c>
      <c r="Y4053" s="9">
        <v>44960</v>
      </c>
      <c r="Z4053">
        <v>21</v>
      </c>
      <c r="AA4053" s="11" t="s">
        <v>49</v>
      </c>
    </row>
    <row r="4054" spans="2:27" ht="16" x14ac:dyDescent="0.2">
      <c r="B4054" t="s">
        <v>35</v>
      </c>
      <c r="C4054">
        <v>40353920</v>
      </c>
      <c r="D4054" t="s">
        <v>386</v>
      </c>
      <c r="E4054">
        <v>1011748</v>
      </c>
      <c r="F4054" t="s">
        <v>225</v>
      </c>
      <c r="G4054" s="9">
        <v>44946</v>
      </c>
      <c r="H4054" s="7"/>
      <c r="I4054" s="7"/>
      <c r="J4054" s="7"/>
      <c r="K4054" s="7"/>
      <c r="L4054" s="10">
        <v>5.1420118343195256</v>
      </c>
      <c r="M4054" s="9">
        <v>44951</v>
      </c>
      <c r="N4054" s="10">
        <v>7.5</v>
      </c>
      <c r="O4054" s="9">
        <v>44958</v>
      </c>
      <c r="P4054">
        <v>23</v>
      </c>
      <c r="Q4054" s="11" t="s">
        <v>49</v>
      </c>
      <c r="R4054" s="7"/>
      <c r="S4054" s="7"/>
      <c r="T4054" s="7"/>
      <c r="U4054" s="7"/>
      <c r="V4054" s="10">
        <v>7.1420118343195256</v>
      </c>
      <c r="W4054" s="9">
        <v>44953</v>
      </c>
      <c r="X4054" s="10">
        <v>9.5</v>
      </c>
      <c r="Y4054" s="9">
        <v>44958</v>
      </c>
      <c r="Z4054">
        <v>23</v>
      </c>
      <c r="AA4054" s="11" t="s">
        <v>49</v>
      </c>
    </row>
    <row r="4055" spans="2:27" ht="16" x14ac:dyDescent="0.2">
      <c r="B4055" t="s">
        <v>35</v>
      </c>
      <c r="C4055">
        <v>40353919</v>
      </c>
      <c r="D4055" t="s">
        <v>386</v>
      </c>
      <c r="E4055">
        <v>1011748</v>
      </c>
      <c r="F4055" t="s">
        <v>225</v>
      </c>
      <c r="G4055" s="9">
        <v>44946</v>
      </c>
      <c r="H4055" s="7"/>
      <c r="I4055" s="7"/>
      <c r="J4055" s="7"/>
      <c r="K4055" s="7"/>
      <c r="L4055" s="10">
        <v>5.1420118343195256</v>
      </c>
      <c r="M4055" s="9">
        <v>44951</v>
      </c>
      <c r="N4055" s="10">
        <v>7.5</v>
      </c>
      <c r="O4055" s="9">
        <v>44958</v>
      </c>
      <c r="P4055">
        <v>23</v>
      </c>
      <c r="Q4055" s="11" t="s">
        <v>49</v>
      </c>
      <c r="R4055" s="7"/>
      <c r="S4055" s="7"/>
      <c r="T4055" s="7"/>
      <c r="U4055" s="7"/>
      <c r="V4055" s="10">
        <v>7.1420118343195256</v>
      </c>
      <c r="W4055" s="9">
        <v>44953</v>
      </c>
      <c r="X4055" s="10">
        <v>9.5</v>
      </c>
      <c r="Y4055" s="9">
        <v>44958</v>
      </c>
      <c r="Z4055">
        <v>23</v>
      </c>
      <c r="AA4055" s="11" t="s">
        <v>49</v>
      </c>
    </row>
    <row r="4056" spans="2:27" ht="16" x14ac:dyDescent="0.2">
      <c r="B4056" t="s">
        <v>35</v>
      </c>
      <c r="C4056">
        <v>40353918</v>
      </c>
      <c r="D4056" t="s">
        <v>386</v>
      </c>
      <c r="E4056">
        <v>1011748</v>
      </c>
      <c r="F4056" t="s">
        <v>225</v>
      </c>
      <c r="G4056" s="9">
        <v>44946</v>
      </c>
      <c r="H4056" s="7"/>
      <c r="I4056" s="7"/>
      <c r="J4056" s="7"/>
      <c r="K4056" s="7"/>
      <c r="L4056" s="10">
        <v>5.1420118343195256</v>
      </c>
      <c r="M4056" s="9">
        <v>44951</v>
      </c>
      <c r="N4056" s="10">
        <v>7.5</v>
      </c>
      <c r="O4056" s="9">
        <v>44958</v>
      </c>
      <c r="P4056">
        <v>23</v>
      </c>
      <c r="Q4056" s="11" t="s">
        <v>49</v>
      </c>
      <c r="R4056" s="7"/>
      <c r="S4056" s="7"/>
      <c r="T4056" s="7"/>
      <c r="U4056" s="7"/>
      <c r="V4056" s="10">
        <v>7.1420118343195256</v>
      </c>
      <c r="W4056" s="9">
        <v>44953</v>
      </c>
      <c r="X4056" s="10">
        <v>9.5</v>
      </c>
      <c r="Y4056" s="9">
        <v>44958</v>
      </c>
      <c r="Z4056">
        <v>23</v>
      </c>
      <c r="AA4056" s="11" t="s">
        <v>49</v>
      </c>
    </row>
    <row r="4057" spans="2:27" ht="16" x14ac:dyDescent="0.2">
      <c r="B4057" t="s">
        <v>35</v>
      </c>
      <c r="C4057">
        <v>40353917</v>
      </c>
      <c r="D4057" t="s">
        <v>386</v>
      </c>
      <c r="E4057">
        <v>1011748</v>
      </c>
      <c r="F4057" t="s">
        <v>225</v>
      </c>
      <c r="G4057" s="9">
        <v>44941</v>
      </c>
      <c r="H4057" s="7"/>
      <c r="I4057" s="7"/>
      <c r="J4057" s="7"/>
      <c r="K4057" s="7"/>
      <c r="L4057" s="10">
        <v>5.1420118343195256</v>
      </c>
      <c r="M4057" s="9">
        <v>44946</v>
      </c>
      <c r="N4057" s="10">
        <v>7.5</v>
      </c>
      <c r="O4057" s="9">
        <v>44953</v>
      </c>
      <c r="P4057">
        <v>3</v>
      </c>
      <c r="Q4057" s="11" t="s">
        <v>49</v>
      </c>
      <c r="R4057" s="7"/>
      <c r="S4057" s="7"/>
      <c r="T4057" s="7"/>
      <c r="U4057" s="7"/>
      <c r="V4057" s="10">
        <v>7.1420118343195256</v>
      </c>
      <c r="W4057" s="9">
        <v>44948</v>
      </c>
      <c r="X4057" s="10">
        <v>9.5</v>
      </c>
      <c r="Y4057" s="9">
        <v>44953</v>
      </c>
      <c r="Z4057">
        <v>3</v>
      </c>
      <c r="AA4057" s="11" t="s">
        <v>49</v>
      </c>
    </row>
    <row r="4058" spans="2:27" ht="16" x14ac:dyDescent="0.2">
      <c r="B4058" t="s">
        <v>35</v>
      </c>
      <c r="C4058">
        <v>40353690</v>
      </c>
      <c r="D4058" t="s">
        <v>386</v>
      </c>
      <c r="E4058">
        <v>1012207</v>
      </c>
      <c r="F4058" t="s">
        <v>464</v>
      </c>
      <c r="G4058" s="9">
        <v>44976</v>
      </c>
      <c r="H4058" s="7">
        <v>24000</v>
      </c>
      <c r="I4058" s="7"/>
      <c r="J4058" s="7"/>
      <c r="K4058" s="7"/>
      <c r="L4058" s="10">
        <v>5.1420118343195256</v>
      </c>
      <c r="M4058" s="9">
        <v>44981</v>
      </c>
      <c r="N4058" s="10">
        <v>7.5</v>
      </c>
      <c r="O4058" s="9">
        <v>44988</v>
      </c>
      <c r="P4058">
        <v>24</v>
      </c>
      <c r="Q4058" s="11" t="s">
        <v>49</v>
      </c>
      <c r="R4058" s="7">
        <v>24000</v>
      </c>
      <c r="S4058" s="7"/>
      <c r="T4058" s="7"/>
      <c r="U4058" s="7"/>
      <c r="V4058" s="10">
        <v>7.1420118343195256</v>
      </c>
      <c r="W4058" s="9">
        <v>44983</v>
      </c>
      <c r="X4058" s="10">
        <v>9.5</v>
      </c>
      <c r="Y4058" s="9">
        <v>44988</v>
      </c>
      <c r="Z4058">
        <v>24</v>
      </c>
      <c r="AA4058" s="11" t="s">
        <v>49</v>
      </c>
    </row>
    <row r="4059" spans="2:27" ht="16" x14ac:dyDescent="0.2">
      <c r="B4059" t="s">
        <v>35</v>
      </c>
      <c r="C4059">
        <v>40353615</v>
      </c>
      <c r="D4059" t="s">
        <v>391</v>
      </c>
      <c r="E4059">
        <v>1021936</v>
      </c>
      <c r="F4059" t="s">
        <v>411</v>
      </c>
      <c r="G4059" s="9">
        <v>44973</v>
      </c>
      <c r="H4059" s="7">
        <v>24000</v>
      </c>
      <c r="I4059" s="7"/>
      <c r="J4059" s="7"/>
      <c r="K4059" s="7"/>
      <c r="L4059" s="10">
        <v>4.830303030303031</v>
      </c>
      <c r="M4059" s="9">
        <v>44977</v>
      </c>
      <c r="N4059" s="10">
        <v>15</v>
      </c>
      <c r="O4059" s="9">
        <v>44992</v>
      </c>
      <c r="P4059">
        <v>21</v>
      </c>
      <c r="Q4059" s="11" t="s">
        <v>49</v>
      </c>
      <c r="R4059" s="7">
        <v>24000</v>
      </c>
      <c r="S4059" s="7"/>
      <c r="T4059" s="7"/>
      <c r="U4059" s="7"/>
      <c r="V4059" s="10">
        <v>6.830303030303031</v>
      </c>
      <c r="W4059" s="9">
        <v>44979</v>
      </c>
      <c r="X4059" s="10">
        <v>17</v>
      </c>
      <c r="Y4059" s="9">
        <v>44992</v>
      </c>
      <c r="Z4059">
        <v>21</v>
      </c>
      <c r="AA4059" s="11" t="s">
        <v>49</v>
      </c>
    </row>
    <row r="4060" spans="2:27" ht="16" x14ac:dyDescent="0.2">
      <c r="B4060" t="s">
        <v>35</v>
      </c>
      <c r="C4060">
        <v>40353614</v>
      </c>
      <c r="D4060" t="s">
        <v>391</v>
      </c>
      <c r="E4060">
        <v>1021936</v>
      </c>
      <c r="F4060" t="s">
        <v>411</v>
      </c>
      <c r="G4060" s="9">
        <v>44973</v>
      </c>
      <c r="H4060" s="7">
        <v>24000</v>
      </c>
      <c r="I4060" s="7"/>
      <c r="J4060" s="7"/>
      <c r="K4060" s="7"/>
      <c r="L4060" s="10">
        <v>4.830303030303031</v>
      </c>
      <c r="M4060" s="9">
        <v>44977</v>
      </c>
      <c r="N4060" s="10">
        <v>15</v>
      </c>
      <c r="O4060" s="9">
        <v>44992</v>
      </c>
      <c r="P4060">
        <v>21</v>
      </c>
      <c r="Q4060" s="11" t="s">
        <v>49</v>
      </c>
      <c r="R4060" s="7">
        <v>24000</v>
      </c>
      <c r="S4060" s="7"/>
      <c r="T4060" s="7"/>
      <c r="U4060" s="7"/>
      <c r="V4060" s="10">
        <v>6.830303030303031</v>
      </c>
      <c r="W4060" s="9">
        <v>44979</v>
      </c>
      <c r="X4060" s="10">
        <v>17</v>
      </c>
      <c r="Y4060" s="9">
        <v>44992</v>
      </c>
      <c r="Z4060">
        <v>21</v>
      </c>
      <c r="AA4060" s="11" t="s">
        <v>49</v>
      </c>
    </row>
    <row r="4061" spans="2:27" ht="16" x14ac:dyDescent="0.2">
      <c r="B4061" t="s">
        <v>35</v>
      </c>
      <c r="C4061">
        <v>40353608</v>
      </c>
      <c r="D4061" t="s">
        <v>391</v>
      </c>
      <c r="E4061">
        <v>1022767</v>
      </c>
      <c r="F4061" t="s">
        <v>465</v>
      </c>
      <c r="G4061" s="9">
        <v>44962</v>
      </c>
      <c r="H4061" s="7"/>
      <c r="I4061" s="7"/>
      <c r="J4061" s="7"/>
      <c r="K4061" s="7"/>
      <c r="L4061" s="10">
        <v>4.830303030303031</v>
      </c>
      <c r="M4061" s="9">
        <v>44966</v>
      </c>
      <c r="N4061" s="10">
        <v>15</v>
      </c>
      <c r="O4061" s="9">
        <v>44981</v>
      </c>
      <c r="P4061">
        <v>3</v>
      </c>
      <c r="Q4061" s="11" t="s">
        <v>49</v>
      </c>
      <c r="R4061" s="7"/>
      <c r="S4061" s="7"/>
      <c r="T4061" s="7"/>
      <c r="U4061" s="7"/>
      <c r="V4061" s="10">
        <v>6.830303030303031</v>
      </c>
      <c r="W4061" s="9">
        <v>44968</v>
      </c>
      <c r="X4061" s="10">
        <v>17</v>
      </c>
      <c r="Y4061" s="9">
        <v>44981</v>
      </c>
      <c r="Z4061">
        <v>3</v>
      </c>
      <c r="AA4061" s="11" t="s">
        <v>49</v>
      </c>
    </row>
    <row r="4062" spans="2:27" ht="16" x14ac:dyDescent="0.2">
      <c r="B4062" t="s">
        <v>35</v>
      </c>
      <c r="C4062">
        <v>40353605</v>
      </c>
      <c r="D4062" t="s">
        <v>391</v>
      </c>
      <c r="E4062">
        <v>1021936</v>
      </c>
      <c r="F4062" t="s">
        <v>411</v>
      </c>
      <c r="G4062" s="9">
        <v>44973</v>
      </c>
      <c r="H4062" s="7">
        <v>24000</v>
      </c>
      <c r="I4062" s="7"/>
      <c r="J4062" s="7"/>
      <c r="K4062" s="7"/>
      <c r="L4062" s="10">
        <v>4.830303030303031</v>
      </c>
      <c r="M4062" s="9">
        <v>44977</v>
      </c>
      <c r="N4062" s="10">
        <v>15</v>
      </c>
      <c r="O4062" s="9">
        <v>44992</v>
      </c>
      <c r="P4062">
        <v>21</v>
      </c>
      <c r="Q4062" s="11" t="s">
        <v>49</v>
      </c>
      <c r="R4062" s="7">
        <v>24000</v>
      </c>
      <c r="S4062" s="7"/>
      <c r="T4062" s="7"/>
      <c r="U4062" s="7"/>
      <c r="V4062" s="10">
        <v>6.830303030303031</v>
      </c>
      <c r="W4062" s="9">
        <v>44979</v>
      </c>
      <c r="X4062" s="10">
        <v>17</v>
      </c>
      <c r="Y4062" s="9">
        <v>44992</v>
      </c>
      <c r="Z4062">
        <v>21</v>
      </c>
      <c r="AA4062" s="11" t="s">
        <v>49</v>
      </c>
    </row>
    <row r="4063" spans="2:27" ht="16" x14ac:dyDescent="0.2">
      <c r="B4063" t="s">
        <v>35</v>
      </c>
      <c r="C4063">
        <v>40353603</v>
      </c>
      <c r="D4063" t="s">
        <v>391</v>
      </c>
      <c r="E4063">
        <v>1022918</v>
      </c>
      <c r="F4063" t="s">
        <v>410</v>
      </c>
      <c r="G4063" s="9">
        <v>44955</v>
      </c>
      <c r="H4063" s="7"/>
      <c r="I4063" s="7"/>
      <c r="J4063" s="7"/>
      <c r="K4063" s="7"/>
      <c r="L4063" s="10">
        <v>4.830303030303031</v>
      </c>
      <c r="M4063" s="9">
        <v>44959</v>
      </c>
      <c r="N4063" s="10">
        <v>15</v>
      </c>
      <c r="O4063" s="9">
        <v>44974</v>
      </c>
      <c r="P4063">
        <v>9</v>
      </c>
      <c r="Q4063" s="11" t="s">
        <v>49</v>
      </c>
      <c r="R4063" s="7"/>
      <c r="S4063" s="7"/>
      <c r="T4063" s="7"/>
      <c r="U4063" s="7"/>
      <c r="V4063" s="10">
        <v>6.830303030303031</v>
      </c>
      <c r="W4063" s="9">
        <v>44961</v>
      </c>
      <c r="X4063" s="10">
        <v>17</v>
      </c>
      <c r="Y4063" s="9">
        <v>44974</v>
      </c>
      <c r="Z4063">
        <v>9</v>
      </c>
      <c r="AA4063" s="11" t="s">
        <v>49</v>
      </c>
    </row>
    <row r="4064" spans="2:27" x14ac:dyDescent="0.2">
      <c r="B4064" t="s">
        <v>394</v>
      </c>
      <c r="C4064">
        <v>40353154</v>
      </c>
      <c r="D4064" t="s">
        <v>485</v>
      </c>
      <c r="E4064">
        <v>1021078</v>
      </c>
      <c r="F4064" t="s">
        <v>536</v>
      </c>
      <c r="G4064" s="9">
        <v>44935</v>
      </c>
      <c r="H4064" s="7"/>
      <c r="I4064" s="7"/>
      <c r="J4064" s="7"/>
      <c r="K4064" s="7"/>
      <c r="L4064" s="10"/>
      <c r="N4064" s="10"/>
      <c r="Q4064" s="11"/>
      <c r="R4064" s="7"/>
      <c r="S4064" s="7"/>
      <c r="T4064" s="7"/>
      <c r="U4064" s="7"/>
      <c r="V4064" s="10"/>
      <c r="X4064" s="10"/>
      <c r="AA4064" s="11"/>
    </row>
    <row r="4065" spans="2:27" x14ac:dyDescent="0.2">
      <c r="B4065" t="s">
        <v>394</v>
      </c>
      <c r="C4065">
        <v>40353151</v>
      </c>
      <c r="D4065" t="s">
        <v>485</v>
      </c>
      <c r="E4065">
        <v>1021092</v>
      </c>
      <c r="F4065" t="s">
        <v>525</v>
      </c>
      <c r="G4065" s="9">
        <v>44940</v>
      </c>
      <c r="H4065" s="7"/>
      <c r="I4065" s="7"/>
      <c r="J4065" s="7"/>
      <c r="K4065" s="7"/>
      <c r="L4065" s="10"/>
      <c r="N4065" s="10"/>
      <c r="Q4065" s="11"/>
      <c r="R4065" s="7"/>
      <c r="S4065" s="7"/>
      <c r="T4065" s="7"/>
      <c r="U4065" s="7"/>
      <c r="V4065" s="10"/>
      <c r="X4065" s="10"/>
      <c r="AA4065" s="11"/>
    </row>
    <row r="4066" spans="2:27" x14ac:dyDescent="0.2">
      <c r="B4066" t="s">
        <v>394</v>
      </c>
      <c r="C4066">
        <v>40353147</v>
      </c>
      <c r="D4066" t="s">
        <v>485</v>
      </c>
      <c r="E4066">
        <v>1022709</v>
      </c>
      <c r="F4066" t="s">
        <v>493</v>
      </c>
      <c r="G4066" s="9">
        <v>44925</v>
      </c>
      <c r="H4066" s="7"/>
      <c r="I4066" s="7"/>
      <c r="J4066" s="7"/>
      <c r="K4066" s="7"/>
      <c r="L4066" s="10"/>
      <c r="N4066" s="10"/>
      <c r="Q4066" s="11"/>
      <c r="R4066" s="7"/>
      <c r="S4066" s="7"/>
      <c r="T4066" s="7"/>
      <c r="U4066" s="7"/>
      <c r="V4066" s="10"/>
      <c r="X4066" s="10"/>
      <c r="AA4066" s="11"/>
    </row>
    <row r="4067" spans="2:27" x14ac:dyDescent="0.2">
      <c r="B4067" t="s">
        <v>394</v>
      </c>
      <c r="C4067">
        <v>40353146</v>
      </c>
      <c r="D4067" t="s">
        <v>485</v>
      </c>
      <c r="E4067">
        <v>1022709</v>
      </c>
      <c r="F4067" t="s">
        <v>493</v>
      </c>
      <c r="G4067" s="9">
        <v>44931</v>
      </c>
      <c r="H4067" s="7"/>
      <c r="I4067" s="7"/>
      <c r="J4067" s="7"/>
      <c r="K4067" s="7"/>
      <c r="L4067" s="10"/>
      <c r="N4067" s="10"/>
      <c r="Q4067" s="11"/>
      <c r="R4067" s="7"/>
      <c r="S4067" s="7"/>
      <c r="T4067" s="7"/>
      <c r="U4067" s="7"/>
      <c r="V4067" s="10"/>
      <c r="X4067" s="10"/>
      <c r="AA4067" s="11"/>
    </row>
    <row r="4068" spans="2:27" x14ac:dyDescent="0.2">
      <c r="B4068" t="s">
        <v>394</v>
      </c>
      <c r="C4068">
        <v>40353141</v>
      </c>
      <c r="D4068" t="s">
        <v>485</v>
      </c>
      <c r="E4068">
        <v>1020925</v>
      </c>
      <c r="F4068" t="s">
        <v>494</v>
      </c>
      <c r="G4068" s="9">
        <v>44945</v>
      </c>
      <c r="H4068" s="7"/>
      <c r="I4068" s="7"/>
      <c r="J4068" s="7"/>
      <c r="K4068" s="7"/>
      <c r="L4068" s="10"/>
      <c r="N4068" s="10"/>
      <c r="Q4068" s="11"/>
      <c r="R4068" s="7"/>
      <c r="S4068" s="7"/>
      <c r="T4068" s="7"/>
      <c r="U4068" s="7"/>
      <c r="V4068" s="10"/>
      <c r="X4068" s="10"/>
      <c r="AA4068" s="11"/>
    </row>
    <row r="4069" spans="2:27" x14ac:dyDescent="0.2">
      <c r="B4069" t="s">
        <v>394</v>
      </c>
      <c r="C4069">
        <v>40353141</v>
      </c>
      <c r="D4069" t="s">
        <v>485</v>
      </c>
      <c r="E4069">
        <v>1022196</v>
      </c>
      <c r="F4069" t="s">
        <v>604</v>
      </c>
      <c r="G4069" s="9">
        <v>44945</v>
      </c>
      <c r="H4069" s="7"/>
      <c r="I4069" s="7"/>
      <c r="J4069" s="7"/>
      <c r="K4069" s="7"/>
      <c r="L4069" s="10"/>
      <c r="N4069" s="10"/>
      <c r="Q4069" s="11"/>
      <c r="R4069" s="7"/>
      <c r="S4069" s="7"/>
      <c r="T4069" s="7"/>
      <c r="U4069" s="7"/>
      <c r="V4069" s="10"/>
      <c r="X4069" s="10"/>
      <c r="AA4069" s="11"/>
    </row>
    <row r="4070" spans="2:27" x14ac:dyDescent="0.2">
      <c r="B4070" t="s">
        <v>394</v>
      </c>
      <c r="C4070">
        <v>40353098</v>
      </c>
      <c r="D4070" t="s">
        <v>485</v>
      </c>
      <c r="E4070">
        <v>1021023</v>
      </c>
      <c r="F4070" t="s">
        <v>508</v>
      </c>
      <c r="G4070" s="9">
        <v>44941</v>
      </c>
      <c r="H4070" s="7"/>
      <c r="I4070" s="7"/>
      <c r="J4070" s="7"/>
      <c r="K4070" s="7"/>
      <c r="L4070" s="10"/>
      <c r="N4070" s="10"/>
      <c r="Q4070" s="11"/>
      <c r="R4070" s="7"/>
      <c r="S4070" s="7"/>
      <c r="T4070" s="7"/>
      <c r="U4070" s="7"/>
      <c r="V4070" s="10"/>
      <c r="X4070" s="10"/>
      <c r="AA4070" s="11"/>
    </row>
    <row r="4071" spans="2:27" x14ac:dyDescent="0.2">
      <c r="B4071" t="s">
        <v>394</v>
      </c>
      <c r="C4071">
        <v>40353097</v>
      </c>
      <c r="D4071" t="s">
        <v>485</v>
      </c>
      <c r="E4071">
        <v>1011421</v>
      </c>
      <c r="F4071" t="s">
        <v>484</v>
      </c>
      <c r="G4071" s="9">
        <v>44941</v>
      </c>
      <c r="H4071" s="7"/>
      <c r="I4071" s="7"/>
      <c r="J4071" s="7"/>
      <c r="K4071" s="7"/>
      <c r="L4071" s="10"/>
      <c r="N4071" s="10"/>
      <c r="Q4071" s="11"/>
      <c r="R4071" s="7"/>
      <c r="S4071" s="7"/>
      <c r="T4071" s="7"/>
      <c r="U4071" s="7"/>
      <c r="V4071" s="10"/>
      <c r="X4071" s="10"/>
      <c r="AA4071" s="11"/>
    </row>
    <row r="4072" spans="2:27" x14ac:dyDescent="0.2">
      <c r="B4072" t="s">
        <v>394</v>
      </c>
      <c r="C4072">
        <v>40353096</v>
      </c>
      <c r="D4072" t="s">
        <v>485</v>
      </c>
      <c r="E4072">
        <v>1011421</v>
      </c>
      <c r="F4072" t="s">
        <v>484</v>
      </c>
      <c r="G4072" s="9">
        <v>44941</v>
      </c>
      <c r="H4072" s="7"/>
      <c r="I4072" s="7"/>
      <c r="J4072" s="7"/>
      <c r="K4072" s="7"/>
      <c r="L4072" s="10"/>
      <c r="N4072" s="10"/>
      <c r="Q4072" s="11"/>
      <c r="R4072" s="7"/>
      <c r="S4072" s="7"/>
      <c r="T4072" s="7"/>
      <c r="U4072" s="7"/>
      <c r="V4072" s="10"/>
      <c r="X4072" s="10"/>
      <c r="AA4072" s="11"/>
    </row>
    <row r="4073" spans="2:27" x14ac:dyDescent="0.2">
      <c r="B4073" t="s">
        <v>394</v>
      </c>
      <c r="C4073">
        <v>40353095</v>
      </c>
      <c r="D4073" t="s">
        <v>485</v>
      </c>
      <c r="E4073">
        <v>1011421</v>
      </c>
      <c r="F4073" t="s">
        <v>484</v>
      </c>
      <c r="G4073" s="9">
        <v>44941</v>
      </c>
      <c r="H4073" s="7"/>
      <c r="I4073" s="7"/>
      <c r="J4073" s="7"/>
      <c r="K4073" s="7"/>
      <c r="L4073" s="10"/>
      <c r="N4073" s="10"/>
      <c r="Q4073" s="11"/>
      <c r="R4073" s="7"/>
      <c r="S4073" s="7"/>
      <c r="T4073" s="7"/>
      <c r="U4073" s="7"/>
      <c r="V4073" s="10"/>
      <c r="X4073" s="10"/>
      <c r="AA4073" s="11"/>
    </row>
    <row r="4074" spans="2:27" x14ac:dyDescent="0.2">
      <c r="B4074" t="s">
        <v>394</v>
      </c>
      <c r="C4074">
        <v>40353094</v>
      </c>
      <c r="D4074" t="s">
        <v>485</v>
      </c>
      <c r="E4074">
        <v>1011421</v>
      </c>
      <c r="F4074" t="s">
        <v>484</v>
      </c>
      <c r="G4074" s="9">
        <v>44941</v>
      </c>
      <c r="H4074" s="7"/>
      <c r="I4074" s="7"/>
      <c r="J4074" s="7"/>
      <c r="K4074" s="7"/>
      <c r="L4074" s="10"/>
      <c r="N4074" s="10"/>
      <c r="Q4074" s="11"/>
      <c r="R4074" s="7"/>
      <c r="S4074" s="7"/>
      <c r="T4074" s="7"/>
      <c r="U4074" s="7"/>
      <c r="V4074" s="10"/>
      <c r="X4074" s="10"/>
      <c r="AA4074" s="11"/>
    </row>
    <row r="4075" spans="2:27" x14ac:dyDescent="0.2">
      <c r="B4075" t="s">
        <v>394</v>
      </c>
      <c r="C4075">
        <v>40353093</v>
      </c>
      <c r="D4075" t="s">
        <v>485</v>
      </c>
      <c r="E4075">
        <v>1011421</v>
      </c>
      <c r="F4075" t="s">
        <v>484</v>
      </c>
      <c r="G4075" s="9">
        <v>44933</v>
      </c>
      <c r="H4075" s="7"/>
      <c r="I4075" s="7"/>
      <c r="J4075" s="7"/>
      <c r="K4075" s="7"/>
      <c r="L4075" s="10"/>
      <c r="N4075" s="10"/>
      <c r="Q4075" s="11"/>
      <c r="R4075" s="7"/>
      <c r="S4075" s="7"/>
      <c r="T4075" s="7"/>
      <c r="U4075" s="7"/>
      <c r="V4075" s="10"/>
      <c r="X4075" s="10"/>
      <c r="AA4075" s="11"/>
    </row>
    <row r="4076" spans="2:27" x14ac:dyDescent="0.2">
      <c r="B4076" t="s">
        <v>394</v>
      </c>
      <c r="C4076">
        <v>40353092</v>
      </c>
      <c r="D4076" t="s">
        <v>485</v>
      </c>
      <c r="E4076">
        <v>1011421</v>
      </c>
      <c r="F4076" t="s">
        <v>484</v>
      </c>
      <c r="G4076" s="9">
        <v>44933</v>
      </c>
      <c r="H4076" s="7"/>
      <c r="I4076" s="7"/>
      <c r="J4076" s="7"/>
      <c r="K4076" s="7"/>
      <c r="L4076" s="10"/>
      <c r="N4076" s="10"/>
      <c r="Q4076" s="11"/>
      <c r="R4076" s="7"/>
      <c r="S4076" s="7"/>
      <c r="T4076" s="7"/>
      <c r="U4076" s="7"/>
      <c r="V4076" s="10"/>
      <c r="X4076" s="10"/>
      <c r="AA4076" s="11"/>
    </row>
    <row r="4077" spans="2:27" x14ac:dyDescent="0.2">
      <c r="B4077" t="s">
        <v>394</v>
      </c>
      <c r="C4077">
        <v>40353091</v>
      </c>
      <c r="D4077" t="s">
        <v>485</v>
      </c>
      <c r="E4077">
        <v>1011421</v>
      </c>
      <c r="F4077" t="s">
        <v>484</v>
      </c>
      <c r="G4077" s="9">
        <v>44933</v>
      </c>
      <c r="H4077" s="7"/>
      <c r="I4077" s="7"/>
      <c r="J4077" s="7"/>
      <c r="K4077" s="7"/>
      <c r="L4077" s="10"/>
      <c r="N4077" s="10"/>
      <c r="Q4077" s="11"/>
      <c r="R4077" s="7"/>
      <c r="S4077" s="7"/>
      <c r="T4077" s="7"/>
      <c r="U4077" s="7"/>
      <c r="V4077" s="10"/>
      <c r="X4077" s="10"/>
      <c r="AA4077" s="11"/>
    </row>
    <row r="4078" spans="2:27" x14ac:dyDescent="0.2">
      <c r="B4078" t="s">
        <v>394</v>
      </c>
      <c r="C4078">
        <v>40353090</v>
      </c>
      <c r="D4078" t="s">
        <v>485</v>
      </c>
      <c r="E4078">
        <v>1011421</v>
      </c>
      <c r="F4078" t="s">
        <v>484</v>
      </c>
      <c r="G4078" s="9">
        <v>44934</v>
      </c>
      <c r="H4078" s="7"/>
      <c r="I4078" s="7"/>
      <c r="J4078" s="7"/>
      <c r="K4078" s="7"/>
      <c r="L4078" s="10"/>
      <c r="N4078" s="10"/>
      <c r="Q4078" s="11"/>
      <c r="R4078" s="7"/>
      <c r="S4078" s="7"/>
      <c r="T4078" s="7"/>
      <c r="U4078" s="7"/>
      <c r="V4078" s="10"/>
      <c r="X4078" s="10"/>
      <c r="AA4078" s="11"/>
    </row>
    <row r="4079" spans="2:27" x14ac:dyDescent="0.2">
      <c r="B4079" t="s">
        <v>394</v>
      </c>
      <c r="C4079">
        <v>40353089</v>
      </c>
      <c r="D4079" t="s">
        <v>485</v>
      </c>
      <c r="E4079">
        <v>1011421</v>
      </c>
      <c r="F4079" t="s">
        <v>484</v>
      </c>
      <c r="G4079" s="9">
        <v>44927</v>
      </c>
      <c r="H4079" s="7"/>
      <c r="I4079" s="7"/>
      <c r="J4079" s="7"/>
      <c r="K4079" s="7"/>
      <c r="L4079" s="10"/>
      <c r="N4079" s="10"/>
      <c r="Q4079" s="11"/>
      <c r="R4079" s="7"/>
      <c r="S4079" s="7"/>
      <c r="T4079" s="7"/>
      <c r="U4079" s="7"/>
      <c r="V4079" s="10"/>
      <c r="X4079" s="10"/>
      <c r="AA4079" s="11"/>
    </row>
    <row r="4080" spans="2:27" x14ac:dyDescent="0.2">
      <c r="B4080" t="s">
        <v>394</v>
      </c>
      <c r="C4080">
        <v>40353088</v>
      </c>
      <c r="D4080" t="s">
        <v>485</v>
      </c>
      <c r="E4080">
        <v>1011421</v>
      </c>
      <c r="F4080" t="s">
        <v>484</v>
      </c>
      <c r="G4080" s="9">
        <v>44927</v>
      </c>
      <c r="H4080" s="7"/>
      <c r="I4080" s="7"/>
      <c r="J4080" s="7"/>
      <c r="K4080" s="7"/>
      <c r="L4080" s="10"/>
      <c r="N4080" s="10"/>
      <c r="Q4080" s="11"/>
      <c r="R4080" s="7"/>
      <c r="S4080" s="7"/>
      <c r="T4080" s="7"/>
      <c r="U4080" s="7"/>
      <c r="V4080" s="10"/>
      <c r="X4080" s="10"/>
      <c r="AA4080" s="11"/>
    </row>
    <row r="4081" spans="2:27" x14ac:dyDescent="0.2">
      <c r="B4081" t="s">
        <v>394</v>
      </c>
      <c r="C4081">
        <v>40353087</v>
      </c>
      <c r="D4081" t="s">
        <v>485</v>
      </c>
      <c r="E4081">
        <v>1011421</v>
      </c>
      <c r="F4081" t="s">
        <v>484</v>
      </c>
      <c r="G4081" s="9">
        <v>44927</v>
      </c>
      <c r="H4081" s="7"/>
      <c r="I4081" s="7"/>
      <c r="J4081" s="7"/>
      <c r="K4081" s="7"/>
      <c r="L4081" s="10"/>
      <c r="N4081" s="10"/>
      <c r="Q4081" s="11"/>
      <c r="R4081" s="7"/>
      <c r="S4081" s="7"/>
      <c r="T4081" s="7"/>
      <c r="U4081" s="7"/>
      <c r="V4081" s="10"/>
      <c r="X4081" s="10"/>
      <c r="AA4081" s="11"/>
    </row>
    <row r="4082" spans="2:27" x14ac:dyDescent="0.2">
      <c r="B4082" t="s">
        <v>394</v>
      </c>
      <c r="C4082">
        <v>40353086</v>
      </c>
      <c r="D4082" t="s">
        <v>485</v>
      </c>
      <c r="E4082">
        <v>1011421</v>
      </c>
      <c r="F4082" t="s">
        <v>484</v>
      </c>
      <c r="G4082" s="9">
        <v>44934</v>
      </c>
      <c r="H4082" s="7"/>
      <c r="I4082" s="7"/>
      <c r="J4082" s="7"/>
      <c r="K4082" s="7"/>
      <c r="L4082" s="10"/>
      <c r="N4082" s="10"/>
      <c r="Q4082" s="11"/>
      <c r="R4082" s="7"/>
      <c r="S4082" s="7"/>
      <c r="T4082" s="7"/>
      <c r="U4082" s="7"/>
      <c r="V4082" s="10"/>
      <c r="X4082" s="10"/>
      <c r="AA4082" s="11"/>
    </row>
    <row r="4083" spans="2:27" x14ac:dyDescent="0.2">
      <c r="B4083" t="s">
        <v>394</v>
      </c>
      <c r="C4083">
        <v>40353085</v>
      </c>
      <c r="D4083" t="s">
        <v>485</v>
      </c>
      <c r="E4083">
        <v>1011421</v>
      </c>
      <c r="F4083" t="s">
        <v>484</v>
      </c>
      <c r="G4083" s="9">
        <v>44920</v>
      </c>
      <c r="H4083" s="7"/>
      <c r="I4083" s="7"/>
      <c r="J4083" s="7"/>
      <c r="K4083" s="7"/>
      <c r="L4083" s="10"/>
      <c r="N4083" s="10"/>
      <c r="Q4083" s="11"/>
      <c r="R4083" s="7"/>
      <c r="S4083" s="7"/>
      <c r="T4083" s="7"/>
      <c r="U4083" s="7"/>
      <c r="V4083" s="10"/>
      <c r="X4083" s="10"/>
      <c r="AA4083" s="11"/>
    </row>
    <row r="4084" spans="2:27" x14ac:dyDescent="0.2">
      <c r="B4084" t="s">
        <v>394</v>
      </c>
      <c r="C4084">
        <v>40353084</v>
      </c>
      <c r="D4084" t="s">
        <v>485</v>
      </c>
      <c r="E4084">
        <v>1011421</v>
      </c>
      <c r="F4084" t="s">
        <v>484</v>
      </c>
      <c r="G4084" s="9">
        <v>44920</v>
      </c>
      <c r="H4084" s="7"/>
      <c r="I4084" s="7"/>
      <c r="J4084" s="7"/>
      <c r="K4084" s="7"/>
      <c r="L4084" s="10"/>
      <c r="N4084" s="10"/>
      <c r="Q4084" s="11"/>
      <c r="R4084" s="7"/>
      <c r="S4084" s="7"/>
      <c r="T4084" s="7"/>
      <c r="U4084" s="7"/>
      <c r="V4084" s="10"/>
      <c r="X4084" s="10"/>
      <c r="AA4084" s="11"/>
    </row>
    <row r="4085" spans="2:27" x14ac:dyDescent="0.2">
      <c r="B4085" t="s">
        <v>394</v>
      </c>
      <c r="C4085">
        <v>40353083</v>
      </c>
      <c r="D4085" t="s">
        <v>485</v>
      </c>
      <c r="E4085">
        <v>1011421</v>
      </c>
      <c r="F4085" t="s">
        <v>484</v>
      </c>
      <c r="G4085" s="9">
        <v>44919</v>
      </c>
      <c r="H4085" s="7"/>
      <c r="I4085" s="7"/>
      <c r="J4085" s="7"/>
      <c r="K4085" s="7"/>
      <c r="L4085" s="10"/>
      <c r="N4085" s="10"/>
      <c r="Q4085" s="11"/>
      <c r="R4085" s="7"/>
      <c r="S4085" s="7"/>
      <c r="T4085" s="7"/>
      <c r="U4085" s="7"/>
      <c r="V4085" s="10"/>
      <c r="X4085" s="10"/>
      <c r="AA4085" s="11"/>
    </row>
    <row r="4086" spans="2:27" x14ac:dyDescent="0.2">
      <c r="B4086" t="s">
        <v>394</v>
      </c>
      <c r="C4086">
        <v>40353082</v>
      </c>
      <c r="D4086" t="s">
        <v>485</v>
      </c>
      <c r="E4086">
        <v>1011421</v>
      </c>
      <c r="F4086" t="s">
        <v>484</v>
      </c>
      <c r="G4086" s="9">
        <v>44926</v>
      </c>
      <c r="H4086" s="7"/>
      <c r="I4086" s="7"/>
      <c r="J4086" s="7"/>
      <c r="K4086" s="7"/>
      <c r="L4086" s="10"/>
      <c r="N4086" s="10"/>
      <c r="Q4086" s="11"/>
      <c r="R4086" s="7"/>
      <c r="S4086" s="7"/>
      <c r="T4086" s="7"/>
      <c r="U4086" s="7"/>
      <c r="V4086" s="10"/>
      <c r="X4086" s="10"/>
      <c r="AA4086" s="11"/>
    </row>
    <row r="4087" spans="2:27" x14ac:dyDescent="0.2">
      <c r="B4087" t="s">
        <v>394</v>
      </c>
      <c r="C4087">
        <v>40353081</v>
      </c>
      <c r="D4087" t="s">
        <v>485</v>
      </c>
      <c r="E4087">
        <v>1021023</v>
      </c>
      <c r="F4087" t="s">
        <v>508</v>
      </c>
      <c r="G4087" s="9">
        <v>44940</v>
      </c>
      <c r="H4087" s="7"/>
      <c r="I4087" s="7"/>
      <c r="J4087" s="7"/>
      <c r="K4087" s="7"/>
      <c r="L4087" s="10"/>
      <c r="N4087" s="10"/>
      <c r="Q4087" s="11"/>
      <c r="R4087" s="7"/>
      <c r="S4087" s="7"/>
      <c r="T4087" s="7"/>
      <c r="U4087" s="7"/>
      <c r="V4087" s="10"/>
      <c r="X4087" s="10"/>
      <c r="AA4087" s="11"/>
    </row>
    <row r="4088" spans="2:27" x14ac:dyDescent="0.2">
      <c r="B4088" t="s">
        <v>394</v>
      </c>
      <c r="C4088">
        <v>40353081</v>
      </c>
      <c r="D4088" t="s">
        <v>485</v>
      </c>
      <c r="E4088">
        <v>1021023</v>
      </c>
      <c r="F4088" t="s">
        <v>508</v>
      </c>
      <c r="G4088" s="9">
        <v>44940</v>
      </c>
      <c r="H4088" s="7"/>
      <c r="I4088" s="7"/>
      <c r="J4088" s="7"/>
      <c r="K4088" s="7"/>
      <c r="L4088" s="10"/>
      <c r="N4088" s="10"/>
      <c r="Q4088" s="11"/>
      <c r="R4088" s="7"/>
      <c r="S4088" s="7"/>
      <c r="T4088" s="7"/>
      <c r="U4088" s="7"/>
      <c r="V4088" s="10"/>
      <c r="X4088" s="10"/>
      <c r="AA4088" s="11"/>
    </row>
    <row r="4089" spans="2:27" x14ac:dyDescent="0.2">
      <c r="B4089" t="s">
        <v>394</v>
      </c>
      <c r="C4089">
        <v>40353080</v>
      </c>
      <c r="D4089" t="s">
        <v>485</v>
      </c>
      <c r="E4089">
        <v>1021023</v>
      </c>
      <c r="F4089" t="s">
        <v>508</v>
      </c>
      <c r="G4089" s="9">
        <v>44920</v>
      </c>
      <c r="H4089" s="7"/>
      <c r="I4089" s="7"/>
      <c r="J4089" s="7"/>
      <c r="K4089" s="7"/>
      <c r="L4089" s="10"/>
      <c r="N4089" s="10"/>
      <c r="Q4089" s="11"/>
      <c r="R4089" s="7"/>
      <c r="S4089" s="7"/>
      <c r="T4089" s="7"/>
      <c r="U4089" s="7"/>
      <c r="V4089" s="10"/>
      <c r="X4089" s="10"/>
      <c r="AA4089" s="11"/>
    </row>
    <row r="4090" spans="2:27" x14ac:dyDescent="0.2">
      <c r="B4090" t="s">
        <v>394</v>
      </c>
      <c r="C4090">
        <v>40353078</v>
      </c>
      <c r="D4090" t="s">
        <v>485</v>
      </c>
      <c r="E4090">
        <v>1011421</v>
      </c>
      <c r="F4090" t="s">
        <v>484</v>
      </c>
      <c r="G4090" s="9">
        <v>44925</v>
      </c>
      <c r="H4090" s="7"/>
      <c r="I4090" s="7"/>
      <c r="J4090" s="7"/>
      <c r="K4090" s="7"/>
      <c r="L4090" s="10"/>
      <c r="N4090" s="10"/>
      <c r="Q4090" s="11"/>
      <c r="R4090" s="7"/>
      <c r="S4090" s="7"/>
      <c r="T4090" s="7"/>
      <c r="U4090" s="7"/>
      <c r="V4090" s="10"/>
      <c r="X4090" s="10"/>
      <c r="AA4090" s="11"/>
    </row>
    <row r="4091" spans="2:27" x14ac:dyDescent="0.2">
      <c r="B4091" t="s">
        <v>394</v>
      </c>
      <c r="C4091">
        <v>40353071</v>
      </c>
      <c r="D4091" t="s">
        <v>485</v>
      </c>
      <c r="E4091">
        <v>1020367</v>
      </c>
      <c r="F4091" t="s">
        <v>596</v>
      </c>
      <c r="G4091" s="9">
        <v>44926</v>
      </c>
      <c r="H4091" s="7"/>
      <c r="I4091" s="7"/>
      <c r="J4091" s="7"/>
      <c r="K4091" s="7"/>
      <c r="L4091" s="10"/>
      <c r="N4091" s="10"/>
      <c r="Q4091" s="11"/>
      <c r="R4091" s="7"/>
      <c r="S4091" s="7"/>
      <c r="T4091" s="7"/>
      <c r="U4091" s="7"/>
      <c r="V4091" s="10"/>
      <c r="X4091" s="10"/>
      <c r="AA4091" s="11"/>
    </row>
    <row r="4092" spans="2:27" x14ac:dyDescent="0.2">
      <c r="B4092" t="s">
        <v>394</v>
      </c>
      <c r="C4092">
        <v>40353071</v>
      </c>
      <c r="D4092" t="s">
        <v>485</v>
      </c>
      <c r="E4092">
        <v>1021078</v>
      </c>
      <c r="F4092" t="s">
        <v>536</v>
      </c>
      <c r="G4092" s="9">
        <v>44926</v>
      </c>
      <c r="H4092" s="7"/>
      <c r="I4092" s="7"/>
      <c r="J4092" s="7"/>
      <c r="K4092" s="7"/>
      <c r="L4092" s="10"/>
      <c r="N4092" s="10"/>
      <c r="Q4092" s="11"/>
      <c r="R4092" s="7"/>
      <c r="S4092" s="7"/>
      <c r="T4092" s="7"/>
      <c r="U4092" s="7"/>
      <c r="V4092" s="10"/>
      <c r="X4092" s="10"/>
      <c r="AA4092" s="11"/>
    </row>
    <row r="4093" spans="2:27" x14ac:dyDescent="0.2">
      <c r="B4093" t="s">
        <v>394</v>
      </c>
      <c r="C4093">
        <v>40353071</v>
      </c>
      <c r="D4093" t="s">
        <v>485</v>
      </c>
      <c r="E4093">
        <v>1020367</v>
      </c>
      <c r="F4093" t="s">
        <v>596</v>
      </c>
      <c r="G4093" s="9">
        <v>44926</v>
      </c>
      <c r="H4093" s="7"/>
      <c r="I4093" s="7"/>
      <c r="J4093" s="7"/>
      <c r="K4093" s="7"/>
      <c r="L4093" s="10"/>
      <c r="N4093" s="10"/>
      <c r="Q4093" s="11"/>
      <c r="R4093" s="7"/>
      <c r="S4093" s="7"/>
      <c r="T4093" s="7"/>
      <c r="U4093" s="7"/>
      <c r="V4093" s="10"/>
      <c r="X4093" s="10"/>
      <c r="AA4093" s="11"/>
    </row>
    <row r="4094" spans="2:27" ht="16" x14ac:dyDescent="0.2">
      <c r="B4094" t="s">
        <v>35</v>
      </c>
      <c r="C4094">
        <v>40352854</v>
      </c>
      <c r="D4094" t="s">
        <v>389</v>
      </c>
      <c r="E4094">
        <v>1012434</v>
      </c>
      <c r="F4094" t="s">
        <v>239</v>
      </c>
      <c r="G4094" s="9">
        <v>44956</v>
      </c>
      <c r="H4094" s="7"/>
      <c r="I4094" s="7"/>
      <c r="J4094" s="7"/>
      <c r="K4094" s="7"/>
      <c r="L4094" s="10">
        <v>5.5741092456127026</v>
      </c>
      <c r="M4094" s="9">
        <v>44961</v>
      </c>
      <c r="N4094" s="10">
        <v>5.5</v>
      </c>
      <c r="O4094" s="9">
        <v>44966</v>
      </c>
      <c r="P4094">
        <v>16</v>
      </c>
      <c r="Q4094" s="11" t="s">
        <v>49</v>
      </c>
      <c r="R4094" s="7"/>
      <c r="S4094" s="7"/>
      <c r="T4094" s="7"/>
      <c r="U4094" s="7"/>
      <c r="V4094" s="10">
        <v>7.5741092456127026</v>
      </c>
      <c r="W4094" s="9">
        <v>44963</v>
      </c>
      <c r="X4094" s="10">
        <v>7.5</v>
      </c>
      <c r="Y4094" s="9">
        <v>44966</v>
      </c>
      <c r="Z4094">
        <v>16</v>
      </c>
      <c r="AA4094" s="11" t="s">
        <v>49</v>
      </c>
    </row>
    <row r="4095" spans="2:27" ht="16" x14ac:dyDescent="0.2">
      <c r="B4095" t="s">
        <v>35</v>
      </c>
      <c r="C4095">
        <v>40352853</v>
      </c>
      <c r="D4095" t="s">
        <v>389</v>
      </c>
      <c r="E4095">
        <v>1012275</v>
      </c>
      <c r="F4095" t="s">
        <v>237</v>
      </c>
      <c r="G4095" s="9">
        <v>44936</v>
      </c>
      <c r="H4095" s="7"/>
      <c r="I4095" s="7"/>
      <c r="J4095" s="7"/>
      <c r="K4095" s="7"/>
      <c r="L4095" s="10">
        <v>5.5741092456127026</v>
      </c>
      <c r="M4095" s="9">
        <v>44941</v>
      </c>
      <c r="N4095" s="10">
        <v>5.5</v>
      </c>
      <c r="O4095" s="9">
        <v>44946</v>
      </c>
      <c r="P4095">
        <v>7</v>
      </c>
      <c r="Q4095" s="11" t="s">
        <v>49</v>
      </c>
      <c r="R4095" s="7"/>
      <c r="S4095" s="7"/>
      <c r="T4095" s="7"/>
      <c r="U4095" s="7"/>
      <c r="V4095" s="10">
        <v>7.5741092456127026</v>
      </c>
      <c r="W4095" s="9">
        <v>44943</v>
      </c>
      <c r="X4095" s="10">
        <v>7.5</v>
      </c>
      <c r="Y4095" s="9">
        <v>44946</v>
      </c>
      <c r="Z4095">
        <v>7</v>
      </c>
      <c r="AA4095" s="11" t="s">
        <v>49</v>
      </c>
    </row>
    <row r="4096" spans="2:27" ht="16" x14ac:dyDescent="0.2">
      <c r="B4096" t="s">
        <v>35</v>
      </c>
      <c r="C4096">
        <v>40352850</v>
      </c>
      <c r="D4096" t="s">
        <v>389</v>
      </c>
      <c r="E4096">
        <v>1011586</v>
      </c>
      <c r="F4096" t="s">
        <v>420</v>
      </c>
      <c r="G4096" s="9">
        <v>44958</v>
      </c>
      <c r="H4096" s="7"/>
      <c r="I4096" s="7"/>
      <c r="J4096" s="7"/>
      <c r="K4096" s="7"/>
      <c r="L4096" s="10">
        <v>5.5741092456127026</v>
      </c>
      <c r="M4096" s="9">
        <v>44963</v>
      </c>
      <c r="N4096" s="10">
        <v>5.5</v>
      </c>
      <c r="O4096" s="9">
        <v>44968</v>
      </c>
      <c r="P4096">
        <v>14</v>
      </c>
      <c r="Q4096" s="11" t="s">
        <v>49</v>
      </c>
      <c r="R4096" s="7"/>
      <c r="S4096" s="7"/>
      <c r="T4096" s="7"/>
      <c r="U4096" s="7"/>
      <c r="V4096" s="10">
        <v>7.5741092456127026</v>
      </c>
      <c r="W4096" s="9">
        <v>44965</v>
      </c>
      <c r="X4096" s="10">
        <v>7.5</v>
      </c>
      <c r="Y4096" s="9">
        <v>44968</v>
      </c>
      <c r="Z4096">
        <v>14</v>
      </c>
      <c r="AA4096" s="11" t="s">
        <v>49</v>
      </c>
    </row>
    <row r="4097" spans="2:27" ht="16" x14ac:dyDescent="0.2">
      <c r="B4097" t="s">
        <v>35</v>
      </c>
      <c r="C4097">
        <v>40352849</v>
      </c>
      <c r="D4097" t="s">
        <v>389</v>
      </c>
      <c r="E4097">
        <v>1011417</v>
      </c>
      <c r="F4097" t="s">
        <v>421</v>
      </c>
      <c r="G4097" s="9">
        <v>44956</v>
      </c>
      <c r="H4097" s="7"/>
      <c r="I4097" s="7"/>
      <c r="J4097" s="7"/>
      <c r="K4097" s="7"/>
      <c r="L4097" s="10">
        <v>5.5741092456127026</v>
      </c>
      <c r="M4097" s="9">
        <v>44961</v>
      </c>
      <c r="N4097" s="10">
        <v>5.5</v>
      </c>
      <c r="O4097" s="9">
        <v>44966</v>
      </c>
      <c r="P4097">
        <v>16</v>
      </c>
      <c r="Q4097" s="11" t="s">
        <v>49</v>
      </c>
      <c r="R4097" s="7"/>
      <c r="S4097" s="7"/>
      <c r="T4097" s="7"/>
      <c r="U4097" s="7"/>
      <c r="V4097" s="10">
        <v>7.5741092456127026</v>
      </c>
      <c r="W4097" s="9">
        <v>44963</v>
      </c>
      <c r="X4097" s="10">
        <v>7.5</v>
      </c>
      <c r="Y4097" s="9">
        <v>44966</v>
      </c>
      <c r="Z4097">
        <v>16</v>
      </c>
      <c r="AA4097" s="11" t="s">
        <v>49</v>
      </c>
    </row>
    <row r="4098" spans="2:27" ht="16" x14ac:dyDescent="0.2">
      <c r="B4098" t="s">
        <v>35</v>
      </c>
      <c r="C4098">
        <v>40352848</v>
      </c>
      <c r="D4098" t="s">
        <v>389</v>
      </c>
      <c r="E4098">
        <v>1011417</v>
      </c>
      <c r="F4098" t="s">
        <v>421</v>
      </c>
      <c r="G4098" s="9">
        <v>44952</v>
      </c>
      <c r="H4098" s="7"/>
      <c r="I4098" s="7"/>
      <c r="J4098" s="7"/>
      <c r="K4098" s="7"/>
      <c r="L4098" s="10">
        <v>5.5741092456127026</v>
      </c>
      <c r="M4098" s="9">
        <v>44957</v>
      </c>
      <c r="N4098" s="10">
        <v>5.5</v>
      </c>
      <c r="O4098" s="9">
        <v>44962</v>
      </c>
      <c r="P4098">
        <v>20</v>
      </c>
      <c r="Q4098" s="11" t="s">
        <v>49</v>
      </c>
      <c r="R4098" s="7"/>
      <c r="S4098" s="7"/>
      <c r="T4098" s="7"/>
      <c r="U4098" s="7"/>
      <c r="V4098" s="10">
        <v>7.5741092456127026</v>
      </c>
      <c r="W4098" s="9">
        <v>44959</v>
      </c>
      <c r="X4098" s="10">
        <v>7.5</v>
      </c>
      <c r="Y4098" s="9">
        <v>44962</v>
      </c>
      <c r="Z4098">
        <v>20</v>
      </c>
      <c r="AA4098" s="11" t="s">
        <v>49</v>
      </c>
    </row>
    <row r="4099" spans="2:27" ht="16" x14ac:dyDescent="0.2">
      <c r="B4099" t="s">
        <v>35</v>
      </c>
      <c r="C4099">
        <v>40352847</v>
      </c>
      <c r="D4099" t="s">
        <v>389</v>
      </c>
      <c r="E4099">
        <v>1011417</v>
      </c>
      <c r="F4099" t="s">
        <v>421</v>
      </c>
      <c r="G4099" s="9">
        <v>44952</v>
      </c>
      <c r="H4099" s="7"/>
      <c r="I4099" s="7"/>
      <c r="J4099" s="7"/>
      <c r="K4099" s="7"/>
      <c r="L4099" s="10">
        <v>5.5741092456127026</v>
      </c>
      <c r="M4099" s="9">
        <v>44957</v>
      </c>
      <c r="N4099" s="10">
        <v>5.5</v>
      </c>
      <c r="O4099" s="9">
        <v>44962</v>
      </c>
      <c r="P4099">
        <v>20</v>
      </c>
      <c r="Q4099" s="11" t="s">
        <v>49</v>
      </c>
      <c r="R4099" s="7"/>
      <c r="S4099" s="7"/>
      <c r="T4099" s="7"/>
      <c r="U4099" s="7"/>
      <c r="V4099" s="10">
        <v>7.5741092456127026</v>
      </c>
      <c r="W4099" s="9">
        <v>44959</v>
      </c>
      <c r="X4099" s="10">
        <v>7.5</v>
      </c>
      <c r="Y4099" s="9">
        <v>44962</v>
      </c>
      <c r="Z4099">
        <v>20</v>
      </c>
      <c r="AA4099" s="11" t="s">
        <v>49</v>
      </c>
    </row>
    <row r="4100" spans="2:27" ht="16" x14ac:dyDescent="0.2">
      <c r="B4100" t="s">
        <v>35</v>
      </c>
      <c r="C4100">
        <v>40352846</v>
      </c>
      <c r="D4100" t="s">
        <v>389</v>
      </c>
      <c r="E4100">
        <v>1011417</v>
      </c>
      <c r="F4100" t="s">
        <v>421</v>
      </c>
      <c r="G4100" s="9">
        <v>44955</v>
      </c>
      <c r="H4100" s="7"/>
      <c r="I4100" s="7"/>
      <c r="J4100" s="7"/>
      <c r="K4100" s="7"/>
      <c r="L4100" s="10">
        <v>5.5741092456127026</v>
      </c>
      <c r="M4100" s="9">
        <v>44960</v>
      </c>
      <c r="N4100" s="10">
        <v>5.5</v>
      </c>
      <c r="O4100" s="9">
        <v>44965</v>
      </c>
      <c r="P4100">
        <v>17</v>
      </c>
      <c r="Q4100" s="11" t="s">
        <v>49</v>
      </c>
      <c r="R4100" s="7"/>
      <c r="S4100" s="7"/>
      <c r="T4100" s="7"/>
      <c r="U4100" s="7"/>
      <c r="V4100" s="10">
        <v>7.5741092456127026</v>
      </c>
      <c r="W4100" s="9">
        <v>44962</v>
      </c>
      <c r="X4100" s="10">
        <v>7.5</v>
      </c>
      <c r="Y4100" s="9">
        <v>44965</v>
      </c>
      <c r="Z4100">
        <v>17</v>
      </c>
      <c r="AA4100" s="11" t="s">
        <v>49</v>
      </c>
    </row>
    <row r="4101" spans="2:27" ht="16" x14ac:dyDescent="0.2">
      <c r="B4101" t="s">
        <v>35</v>
      </c>
      <c r="C4101">
        <v>40352845</v>
      </c>
      <c r="D4101" t="s">
        <v>389</v>
      </c>
      <c r="E4101">
        <v>1011417</v>
      </c>
      <c r="F4101" t="s">
        <v>421</v>
      </c>
      <c r="G4101" s="9">
        <v>44940</v>
      </c>
      <c r="H4101" s="7"/>
      <c r="I4101" s="7"/>
      <c r="J4101" s="7"/>
      <c r="K4101" s="7"/>
      <c r="L4101" s="10">
        <v>5.5741092456127026</v>
      </c>
      <c r="M4101" s="9">
        <v>44945</v>
      </c>
      <c r="N4101" s="10">
        <v>5.5</v>
      </c>
      <c r="O4101" s="9">
        <v>44950</v>
      </c>
      <c r="P4101">
        <v>6</v>
      </c>
      <c r="Q4101" s="11" t="s">
        <v>49</v>
      </c>
      <c r="R4101" s="7"/>
      <c r="S4101" s="7"/>
      <c r="T4101" s="7"/>
      <c r="U4101" s="7"/>
      <c r="V4101" s="10">
        <v>7.5741092456127026</v>
      </c>
      <c r="W4101" s="9">
        <v>44947</v>
      </c>
      <c r="X4101" s="10">
        <v>7.5</v>
      </c>
      <c r="Y4101" s="9">
        <v>44950</v>
      </c>
      <c r="Z4101">
        <v>6</v>
      </c>
      <c r="AA4101" s="11" t="s">
        <v>49</v>
      </c>
    </row>
    <row r="4102" spans="2:27" ht="16" x14ac:dyDescent="0.2">
      <c r="B4102" t="s">
        <v>35</v>
      </c>
      <c r="C4102">
        <v>40352837</v>
      </c>
      <c r="D4102" t="s">
        <v>389</v>
      </c>
      <c r="E4102">
        <v>1012455</v>
      </c>
      <c r="F4102" t="s">
        <v>450</v>
      </c>
      <c r="G4102" s="9">
        <v>44955</v>
      </c>
      <c r="H4102" s="7"/>
      <c r="I4102" s="7"/>
      <c r="J4102" s="7"/>
      <c r="K4102" s="7"/>
      <c r="L4102" s="10">
        <v>5.5741092456127026</v>
      </c>
      <c r="M4102" s="9">
        <v>44960</v>
      </c>
      <c r="N4102" s="10">
        <v>5.5</v>
      </c>
      <c r="O4102" s="9">
        <v>44965</v>
      </c>
      <c r="P4102">
        <v>17</v>
      </c>
      <c r="Q4102" s="11" t="s">
        <v>49</v>
      </c>
      <c r="R4102" s="7"/>
      <c r="S4102" s="7"/>
      <c r="T4102" s="7"/>
      <c r="U4102" s="7"/>
      <c r="V4102" s="10">
        <v>7.5741092456127026</v>
      </c>
      <c r="W4102" s="9">
        <v>44962</v>
      </c>
      <c r="X4102" s="10">
        <v>7.5</v>
      </c>
      <c r="Y4102" s="9">
        <v>44965</v>
      </c>
      <c r="Z4102">
        <v>17</v>
      </c>
      <c r="AA4102" s="11" t="s">
        <v>49</v>
      </c>
    </row>
    <row r="4103" spans="2:27" x14ac:dyDescent="0.2">
      <c r="B4103" t="s">
        <v>394</v>
      </c>
      <c r="C4103">
        <v>40352833</v>
      </c>
      <c r="D4103" t="s">
        <v>396</v>
      </c>
      <c r="E4103">
        <v>1021012</v>
      </c>
      <c r="F4103" t="s">
        <v>612</v>
      </c>
      <c r="G4103" s="9">
        <v>44959</v>
      </c>
      <c r="H4103" s="7"/>
      <c r="I4103" s="7"/>
      <c r="J4103" s="7"/>
      <c r="K4103" s="7"/>
      <c r="L4103" s="10"/>
      <c r="N4103" s="10"/>
      <c r="Q4103" s="11"/>
      <c r="R4103" s="7"/>
      <c r="S4103" s="7"/>
      <c r="T4103" s="7"/>
      <c r="U4103" s="7"/>
      <c r="V4103" s="10"/>
      <c r="X4103" s="10"/>
      <c r="AA4103" s="11"/>
    </row>
    <row r="4104" spans="2:27" x14ac:dyDescent="0.2">
      <c r="B4104" t="s">
        <v>394</v>
      </c>
      <c r="C4104">
        <v>40352832</v>
      </c>
      <c r="D4104" t="s">
        <v>396</v>
      </c>
      <c r="E4104">
        <v>1021665</v>
      </c>
      <c r="F4104" t="s">
        <v>453</v>
      </c>
      <c r="G4104" s="9">
        <v>44959</v>
      </c>
      <c r="H4104" s="7"/>
      <c r="I4104" s="7"/>
      <c r="J4104" s="7"/>
      <c r="K4104" s="7"/>
      <c r="L4104" s="10"/>
      <c r="N4104" s="10"/>
      <c r="Q4104" s="11"/>
      <c r="R4104" s="7"/>
      <c r="S4104" s="7"/>
      <c r="T4104" s="7"/>
      <c r="U4104" s="7"/>
      <c r="V4104" s="10"/>
      <c r="X4104" s="10"/>
      <c r="AA4104" s="11"/>
    </row>
    <row r="4105" spans="2:27" x14ac:dyDescent="0.2">
      <c r="B4105" t="s">
        <v>394</v>
      </c>
      <c r="C4105">
        <v>40352831</v>
      </c>
      <c r="D4105" t="s">
        <v>396</v>
      </c>
      <c r="E4105">
        <v>1022887</v>
      </c>
      <c r="F4105" t="s">
        <v>404</v>
      </c>
      <c r="G4105" s="9">
        <v>44958</v>
      </c>
      <c r="H4105" s="7"/>
      <c r="I4105" s="7"/>
      <c r="J4105" s="7"/>
      <c r="K4105" s="7"/>
      <c r="L4105" s="10"/>
      <c r="N4105" s="10"/>
      <c r="Q4105" s="11"/>
      <c r="R4105" s="7"/>
      <c r="S4105" s="7"/>
      <c r="T4105" s="7"/>
      <c r="U4105" s="7"/>
      <c r="V4105" s="10"/>
      <c r="X4105" s="10"/>
      <c r="AA4105" s="11"/>
    </row>
    <row r="4106" spans="2:27" x14ac:dyDescent="0.2">
      <c r="B4106" t="s">
        <v>394</v>
      </c>
      <c r="C4106">
        <v>40352828</v>
      </c>
      <c r="D4106" t="s">
        <v>396</v>
      </c>
      <c r="E4106">
        <v>1022182</v>
      </c>
      <c r="F4106" t="s">
        <v>519</v>
      </c>
      <c r="G4106" s="9">
        <v>44958</v>
      </c>
      <c r="H4106" s="7"/>
      <c r="I4106" s="7"/>
      <c r="J4106" s="7"/>
      <c r="K4106" s="7"/>
      <c r="L4106" s="10"/>
      <c r="N4106" s="10"/>
      <c r="Q4106" s="11"/>
      <c r="R4106" s="7"/>
      <c r="S4106" s="7"/>
      <c r="T4106" s="7"/>
      <c r="U4106" s="7"/>
      <c r="V4106" s="10"/>
      <c r="X4106" s="10"/>
      <c r="AA4106" s="11"/>
    </row>
    <row r="4107" spans="2:27" x14ac:dyDescent="0.2">
      <c r="B4107" t="s">
        <v>394</v>
      </c>
      <c r="C4107">
        <v>40352828</v>
      </c>
      <c r="D4107" t="s">
        <v>396</v>
      </c>
      <c r="E4107">
        <v>1022182</v>
      </c>
      <c r="F4107" t="s">
        <v>519</v>
      </c>
      <c r="G4107" s="9">
        <v>44958</v>
      </c>
      <c r="H4107" s="7"/>
      <c r="I4107" s="7"/>
      <c r="J4107" s="7"/>
      <c r="K4107" s="7"/>
      <c r="L4107" s="10"/>
      <c r="N4107" s="10"/>
      <c r="Q4107" s="11"/>
      <c r="R4107" s="7"/>
      <c r="S4107" s="7"/>
      <c r="T4107" s="7"/>
      <c r="U4107" s="7"/>
      <c r="V4107" s="10"/>
      <c r="X4107" s="10"/>
      <c r="AA4107" s="11"/>
    </row>
    <row r="4108" spans="2:27" x14ac:dyDescent="0.2">
      <c r="B4108" t="s">
        <v>394</v>
      </c>
      <c r="C4108">
        <v>40352826</v>
      </c>
      <c r="D4108" t="s">
        <v>396</v>
      </c>
      <c r="E4108">
        <v>1021012</v>
      </c>
      <c r="F4108" t="s">
        <v>612</v>
      </c>
      <c r="G4108" s="9">
        <v>44958</v>
      </c>
      <c r="H4108" s="7"/>
      <c r="I4108" s="7"/>
      <c r="J4108" s="7"/>
      <c r="K4108" s="7"/>
      <c r="L4108" s="10"/>
      <c r="N4108" s="10"/>
      <c r="Q4108" s="11"/>
      <c r="R4108" s="7"/>
      <c r="S4108" s="7"/>
      <c r="T4108" s="7"/>
      <c r="U4108" s="7"/>
      <c r="V4108" s="10"/>
      <c r="X4108" s="10"/>
      <c r="AA4108" s="11"/>
    </row>
    <row r="4109" spans="2:27" x14ac:dyDescent="0.2">
      <c r="B4109" t="s">
        <v>394</v>
      </c>
      <c r="C4109">
        <v>40352824</v>
      </c>
      <c r="D4109" t="s">
        <v>396</v>
      </c>
      <c r="E4109">
        <v>1021150</v>
      </c>
      <c r="F4109" t="s">
        <v>402</v>
      </c>
      <c r="G4109" s="9">
        <v>44959</v>
      </c>
      <c r="H4109" s="7"/>
      <c r="I4109" s="7"/>
      <c r="J4109" s="7"/>
      <c r="K4109" s="7"/>
      <c r="L4109" s="10"/>
      <c r="N4109" s="10"/>
      <c r="Q4109" s="11"/>
      <c r="R4109" s="7"/>
      <c r="S4109" s="7"/>
      <c r="T4109" s="7"/>
      <c r="U4109" s="7"/>
      <c r="V4109" s="10"/>
      <c r="X4109" s="10"/>
      <c r="AA4109" s="11"/>
    </row>
    <row r="4110" spans="2:27" x14ac:dyDescent="0.2">
      <c r="B4110" t="s">
        <v>394</v>
      </c>
      <c r="C4110">
        <v>40352824</v>
      </c>
      <c r="D4110" t="s">
        <v>396</v>
      </c>
      <c r="E4110">
        <v>1021150</v>
      </c>
      <c r="F4110" t="s">
        <v>402</v>
      </c>
      <c r="G4110" s="9">
        <v>44959</v>
      </c>
      <c r="H4110" s="7"/>
      <c r="I4110" s="7"/>
      <c r="J4110" s="7"/>
      <c r="K4110" s="7"/>
      <c r="L4110" s="10"/>
      <c r="N4110" s="10"/>
      <c r="Q4110" s="11"/>
      <c r="R4110" s="7"/>
      <c r="S4110" s="7"/>
      <c r="T4110" s="7"/>
      <c r="U4110" s="7"/>
      <c r="V4110" s="10"/>
      <c r="X4110" s="10"/>
      <c r="AA4110" s="11"/>
    </row>
    <row r="4111" spans="2:27" x14ac:dyDescent="0.2">
      <c r="B4111" t="s">
        <v>394</v>
      </c>
      <c r="C4111">
        <v>40352823</v>
      </c>
      <c r="D4111" t="s">
        <v>396</v>
      </c>
      <c r="E4111">
        <v>1020860</v>
      </c>
      <c r="F4111" t="s">
        <v>403</v>
      </c>
      <c r="G4111" s="9">
        <v>44959</v>
      </c>
      <c r="H4111" s="7"/>
      <c r="I4111" s="7"/>
      <c r="J4111" s="7"/>
      <c r="K4111" s="7"/>
      <c r="L4111" s="10"/>
      <c r="N4111" s="10"/>
      <c r="Q4111" s="11"/>
      <c r="R4111" s="7"/>
      <c r="S4111" s="7"/>
      <c r="T4111" s="7"/>
      <c r="U4111" s="7"/>
      <c r="V4111" s="10"/>
      <c r="X4111" s="10"/>
      <c r="AA4111" s="11"/>
    </row>
    <row r="4112" spans="2:27" x14ac:dyDescent="0.2">
      <c r="B4112" t="s">
        <v>394</v>
      </c>
      <c r="C4112">
        <v>40352822</v>
      </c>
      <c r="D4112" t="s">
        <v>396</v>
      </c>
      <c r="E4112">
        <v>1020860</v>
      </c>
      <c r="F4112" t="s">
        <v>403</v>
      </c>
      <c r="G4112" s="9">
        <v>44959</v>
      </c>
      <c r="H4112" s="7"/>
      <c r="I4112" s="7"/>
      <c r="J4112" s="7"/>
      <c r="K4112" s="7"/>
      <c r="L4112" s="10"/>
      <c r="N4112" s="10"/>
      <c r="Q4112" s="11"/>
      <c r="R4112" s="7"/>
      <c r="S4112" s="7"/>
      <c r="T4112" s="7"/>
      <c r="U4112" s="7"/>
      <c r="V4112" s="10"/>
      <c r="X4112" s="10"/>
      <c r="AA4112" s="11"/>
    </row>
    <row r="4113" spans="2:27" x14ac:dyDescent="0.2">
      <c r="B4113" t="s">
        <v>394</v>
      </c>
      <c r="C4113">
        <v>40352819</v>
      </c>
      <c r="D4113" t="s">
        <v>396</v>
      </c>
      <c r="E4113">
        <v>1021665</v>
      </c>
      <c r="F4113" t="s">
        <v>453</v>
      </c>
      <c r="G4113" s="9">
        <v>44959</v>
      </c>
      <c r="H4113" s="7"/>
      <c r="I4113" s="7"/>
      <c r="J4113" s="7"/>
      <c r="K4113" s="7"/>
      <c r="L4113" s="10"/>
      <c r="N4113" s="10"/>
      <c r="Q4113" s="11"/>
      <c r="R4113" s="7"/>
      <c r="S4113" s="7"/>
      <c r="T4113" s="7"/>
      <c r="U4113" s="7"/>
      <c r="V4113" s="10"/>
      <c r="X4113" s="10"/>
      <c r="AA4113" s="11"/>
    </row>
    <row r="4114" spans="2:27" x14ac:dyDescent="0.2">
      <c r="B4114" t="s">
        <v>394</v>
      </c>
      <c r="C4114">
        <v>40352818</v>
      </c>
      <c r="D4114" t="s">
        <v>396</v>
      </c>
      <c r="E4114">
        <v>1021665</v>
      </c>
      <c r="F4114" t="s">
        <v>453</v>
      </c>
      <c r="G4114" s="9">
        <v>44958</v>
      </c>
      <c r="H4114" s="7"/>
      <c r="I4114" s="7"/>
      <c r="J4114" s="7"/>
      <c r="K4114" s="7"/>
      <c r="L4114" s="10"/>
      <c r="N4114" s="10"/>
      <c r="Q4114" s="11"/>
      <c r="R4114" s="7"/>
      <c r="S4114" s="7"/>
      <c r="T4114" s="7"/>
      <c r="U4114" s="7"/>
      <c r="V4114" s="10"/>
      <c r="X4114" s="10"/>
      <c r="AA4114" s="11"/>
    </row>
    <row r="4115" spans="2:27" x14ac:dyDescent="0.2">
      <c r="B4115" t="s">
        <v>394</v>
      </c>
      <c r="C4115">
        <v>40352805</v>
      </c>
      <c r="D4115" t="s">
        <v>396</v>
      </c>
      <c r="E4115">
        <v>1020861</v>
      </c>
      <c r="F4115" t="s">
        <v>400</v>
      </c>
      <c r="G4115" s="9">
        <v>44958</v>
      </c>
      <c r="H4115" s="7"/>
      <c r="I4115" s="7"/>
      <c r="J4115" s="7"/>
      <c r="K4115" s="7"/>
      <c r="L4115" s="10"/>
      <c r="N4115" s="10"/>
      <c r="Q4115" s="11"/>
      <c r="R4115" s="7"/>
      <c r="S4115" s="7"/>
      <c r="T4115" s="7"/>
      <c r="U4115" s="7"/>
      <c r="V4115" s="10"/>
      <c r="X4115" s="10"/>
      <c r="AA4115" s="11"/>
    </row>
    <row r="4116" spans="2:27" x14ac:dyDescent="0.2">
      <c r="B4116" t="s">
        <v>394</v>
      </c>
      <c r="C4116">
        <v>40352805</v>
      </c>
      <c r="D4116" t="s">
        <v>396</v>
      </c>
      <c r="E4116">
        <v>1020861</v>
      </c>
      <c r="F4116" t="s">
        <v>400</v>
      </c>
      <c r="G4116" s="9">
        <v>44958</v>
      </c>
      <c r="H4116" s="7"/>
      <c r="I4116" s="7"/>
      <c r="J4116" s="7"/>
      <c r="K4116" s="7"/>
      <c r="L4116" s="10"/>
      <c r="N4116" s="10"/>
      <c r="Q4116" s="11"/>
      <c r="R4116" s="7"/>
      <c r="S4116" s="7"/>
      <c r="T4116" s="7"/>
      <c r="U4116" s="7"/>
      <c r="V4116" s="10"/>
      <c r="X4116" s="10"/>
      <c r="AA4116" s="11"/>
    </row>
    <row r="4117" spans="2:27" x14ac:dyDescent="0.2">
      <c r="B4117" t="s">
        <v>394</v>
      </c>
      <c r="C4117">
        <v>40352804</v>
      </c>
      <c r="D4117" t="s">
        <v>396</v>
      </c>
      <c r="E4117">
        <v>1020861</v>
      </c>
      <c r="F4117" t="s">
        <v>400</v>
      </c>
      <c r="G4117" s="9">
        <v>44958</v>
      </c>
      <c r="H4117" s="7"/>
      <c r="I4117" s="7"/>
      <c r="J4117" s="7"/>
      <c r="K4117" s="7"/>
      <c r="L4117" s="10"/>
      <c r="N4117" s="10"/>
      <c r="Q4117" s="11"/>
      <c r="R4117" s="7"/>
      <c r="S4117" s="7"/>
      <c r="T4117" s="7"/>
      <c r="U4117" s="7"/>
      <c r="V4117" s="10"/>
      <c r="X4117" s="10"/>
      <c r="AA4117" s="11"/>
    </row>
    <row r="4118" spans="2:27" x14ac:dyDescent="0.2">
      <c r="B4118" t="s">
        <v>394</v>
      </c>
      <c r="C4118">
        <v>40352803</v>
      </c>
      <c r="D4118" t="s">
        <v>396</v>
      </c>
      <c r="E4118">
        <v>1020861</v>
      </c>
      <c r="F4118" t="s">
        <v>400</v>
      </c>
      <c r="G4118" s="9">
        <v>44958</v>
      </c>
      <c r="H4118" s="7"/>
      <c r="I4118" s="7"/>
      <c r="J4118" s="7"/>
      <c r="K4118" s="7"/>
      <c r="L4118" s="10"/>
      <c r="N4118" s="10"/>
      <c r="Q4118" s="11"/>
      <c r="R4118" s="7"/>
      <c r="S4118" s="7"/>
      <c r="T4118" s="7"/>
      <c r="U4118" s="7"/>
      <c r="V4118" s="10"/>
      <c r="X4118" s="10"/>
      <c r="AA4118" s="11"/>
    </row>
    <row r="4119" spans="2:27" x14ac:dyDescent="0.2">
      <c r="B4119" t="s">
        <v>394</v>
      </c>
      <c r="C4119">
        <v>40352800</v>
      </c>
      <c r="D4119" t="s">
        <v>396</v>
      </c>
      <c r="E4119">
        <v>1022885</v>
      </c>
      <c r="F4119" t="s">
        <v>401</v>
      </c>
      <c r="G4119" s="9">
        <v>44958</v>
      </c>
      <c r="H4119" s="7"/>
      <c r="I4119" s="7"/>
      <c r="J4119" s="7"/>
      <c r="K4119" s="7"/>
      <c r="L4119" s="10"/>
      <c r="N4119" s="10"/>
      <c r="Q4119" s="11"/>
      <c r="R4119" s="7"/>
      <c r="S4119" s="7"/>
      <c r="T4119" s="7"/>
      <c r="U4119" s="7"/>
      <c r="V4119" s="10"/>
      <c r="X4119" s="10"/>
      <c r="AA4119" s="11"/>
    </row>
    <row r="4120" spans="2:27" x14ac:dyDescent="0.2">
      <c r="B4120" t="s">
        <v>394</v>
      </c>
      <c r="C4120">
        <v>40352799</v>
      </c>
      <c r="D4120" t="s">
        <v>396</v>
      </c>
      <c r="E4120">
        <v>1022885</v>
      </c>
      <c r="F4120" t="s">
        <v>401</v>
      </c>
      <c r="G4120" s="9">
        <v>44943</v>
      </c>
      <c r="H4120" s="7"/>
      <c r="I4120" s="7"/>
      <c r="J4120" s="7"/>
      <c r="K4120" s="7"/>
      <c r="L4120" s="10"/>
      <c r="N4120" s="10"/>
      <c r="Q4120" s="11"/>
      <c r="R4120" s="7"/>
      <c r="S4120" s="7"/>
      <c r="T4120" s="7"/>
      <c r="U4120" s="7"/>
      <c r="V4120" s="10"/>
      <c r="X4120" s="10"/>
      <c r="AA4120" s="11"/>
    </row>
    <row r="4121" spans="2:27" x14ac:dyDescent="0.2">
      <c r="B4121" t="s">
        <v>394</v>
      </c>
      <c r="C4121">
        <v>40352798</v>
      </c>
      <c r="D4121" t="s">
        <v>396</v>
      </c>
      <c r="E4121">
        <v>1022885</v>
      </c>
      <c r="F4121" t="s">
        <v>401</v>
      </c>
      <c r="G4121" s="9">
        <v>44943</v>
      </c>
      <c r="H4121" s="7"/>
      <c r="I4121" s="7"/>
      <c r="J4121" s="7"/>
      <c r="K4121" s="7"/>
      <c r="L4121" s="10"/>
      <c r="N4121" s="10"/>
      <c r="Q4121" s="11"/>
      <c r="R4121" s="7"/>
      <c r="S4121" s="7"/>
      <c r="T4121" s="7"/>
      <c r="U4121" s="7"/>
      <c r="V4121" s="10"/>
      <c r="X4121" s="10"/>
      <c r="AA4121" s="11"/>
    </row>
    <row r="4122" spans="2:27" x14ac:dyDescent="0.2">
      <c r="B4122" t="s">
        <v>394</v>
      </c>
      <c r="C4122">
        <v>40352797</v>
      </c>
      <c r="D4122" t="s">
        <v>396</v>
      </c>
      <c r="E4122">
        <v>1022885</v>
      </c>
      <c r="F4122" t="s">
        <v>401</v>
      </c>
      <c r="G4122" s="9">
        <v>44943</v>
      </c>
      <c r="H4122" s="7"/>
      <c r="I4122" s="7"/>
      <c r="J4122" s="7"/>
      <c r="K4122" s="7"/>
      <c r="L4122" s="10"/>
      <c r="N4122" s="10"/>
      <c r="Q4122" s="11"/>
      <c r="R4122" s="7"/>
      <c r="S4122" s="7"/>
      <c r="T4122" s="7"/>
      <c r="U4122" s="7"/>
      <c r="V4122" s="10"/>
      <c r="X4122" s="10"/>
      <c r="AA4122" s="11"/>
    </row>
    <row r="4123" spans="2:27" x14ac:dyDescent="0.2">
      <c r="B4123" t="s">
        <v>394</v>
      </c>
      <c r="C4123">
        <v>40352775</v>
      </c>
      <c r="D4123" t="s">
        <v>396</v>
      </c>
      <c r="E4123">
        <v>1022930</v>
      </c>
      <c r="F4123" t="s">
        <v>456</v>
      </c>
      <c r="G4123" s="9">
        <v>44965</v>
      </c>
      <c r="H4123" s="7"/>
      <c r="I4123" s="7"/>
      <c r="J4123" s="7"/>
      <c r="K4123" s="7"/>
      <c r="L4123" s="10"/>
      <c r="N4123" s="10"/>
      <c r="Q4123" s="11"/>
      <c r="R4123" s="7"/>
      <c r="S4123" s="7"/>
      <c r="T4123" s="7"/>
      <c r="U4123" s="7"/>
      <c r="V4123" s="10"/>
      <c r="X4123" s="10"/>
      <c r="AA4123" s="11"/>
    </row>
    <row r="4124" spans="2:27" x14ac:dyDescent="0.2">
      <c r="B4124" t="s">
        <v>394</v>
      </c>
      <c r="C4124">
        <v>40352774</v>
      </c>
      <c r="D4124" t="s">
        <v>396</v>
      </c>
      <c r="E4124">
        <v>1022930</v>
      </c>
      <c r="F4124" t="s">
        <v>456</v>
      </c>
      <c r="G4124" s="9">
        <v>44959</v>
      </c>
      <c r="H4124" s="7"/>
      <c r="I4124" s="7"/>
      <c r="J4124" s="7"/>
      <c r="K4124" s="7"/>
      <c r="L4124" s="10"/>
      <c r="N4124" s="10"/>
      <c r="Q4124" s="11"/>
      <c r="R4124" s="7"/>
      <c r="S4124" s="7"/>
      <c r="T4124" s="7"/>
      <c r="U4124" s="7"/>
      <c r="V4124" s="10"/>
      <c r="X4124" s="10"/>
      <c r="AA4124" s="11"/>
    </row>
    <row r="4125" spans="2:27" x14ac:dyDescent="0.2">
      <c r="B4125" t="s">
        <v>394</v>
      </c>
      <c r="C4125">
        <v>40352773</v>
      </c>
      <c r="D4125" t="s">
        <v>396</v>
      </c>
      <c r="E4125">
        <v>1022930</v>
      </c>
      <c r="F4125" t="s">
        <v>456</v>
      </c>
      <c r="G4125" s="9">
        <v>44958</v>
      </c>
      <c r="H4125" s="7"/>
      <c r="I4125" s="7"/>
      <c r="J4125" s="7"/>
      <c r="K4125" s="7"/>
      <c r="L4125" s="10"/>
      <c r="N4125" s="10"/>
      <c r="Q4125" s="11"/>
      <c r="R4125" s="7"/>
      <c r="S4125" s="7"/>
      <c r="T4125" s="7"/>
      <c r="U4125" s="7"/>
      <c r="V4125" s="10"/>
      <c r="X4125" s="10"/>
      <c r="AA4125" s="11"/>
    </row>
    <row r="4126" spans="2:27" x14ac:dyDescent="0.2">
      <c r="B4126" t="s">
        <v>394</v>
      </c>
      <c r="C4126">
        <v>40352772</v>
      </c>
      <c r="D4126" t="s">
        <v>396</v>
      </c>
      <c r="E4126">
        <v>1022930</v>
      </c>
      <c r="F4126" t="s">
        <v>456</v>
      </c>
      <c r="G4126" s="9">
        <v>44958</v>
      </c>
      <c r="H4126" s="7"/>
      <c r="I4126" s="7"/>
      <c r="J4126" s="7"/>
      <c r="K4126" s="7"/>
      <c r="L4126" s="10"/>
      <c r="N4126" s="10"/>
      <c r="Q4126" s="11"/>
      <c r="R4126" s="7"/>
      <c r="S4126" s="7"/>
      <c r="T4126" s="7"/>
      <c r="U4126" s="7"/>
      <c r="V4126" s="10"/>
      <c r="X4126" s="10"/>
      <c r="AA4126" s="11"/>
    </row>
    <row r="4127" spans="2:27" x14ac:dyDescent="0.2">
      <c r="B4127" t="s">
        <v>394</v>
      </c>
      <c r="C4127">
        <v>40352771</v>
      </c>
      <c r="D4127" t="s">
        <v>396</v>
      </c>
      <c r="E4127">
        <v>1022930</v>
      </c>
      <c r="F4127" t="s">
        <v>456</v>
      </c>
      <c r="G4127" s="9">
        <v>44958</v>
      </c>
      <c r="H4127" s="7"/>
      <c r="I4127" s="7"/>
      <c r="J4127" s="7"/>
      <c r="K4127" s="7"/>
      <c r="L4127" s="10"/>
      <c r="N4127" s="10"/>
      <c r="Q4127" s="11"/>
      <c r="R4127" s="7"/>
      <c r="S4127" s="7"/>
      <c r="T4127" s="7"/>
      <c r="U4127" s="7"/>
      <c r="V4127" s="10"/>
      <c r="X4127" s="10"/>
      <c r="AA4127" s="11"/>
    </row>
    <row r="4128" spans="2:27" ht="16" x14ac:dyDescent="0.2">
      <c r="B4128" t="s">
        <v>35</v>
      </c>
      <c r="C4128">
        <v>40352765</v>
      </c>
      <c r="D4128" t="s">
        <v>409</v>
      </c>
      <c r="E4128">
        <v>1030379</v>
      </c>
      <c r="F4128" t="s">
        <v>97</v>
      </c>
      <c r="G4128" s="9">
        <v>44944</v>
      </c>
      <c r="H4128" s="7"/>
      <c r="I4128" s="7"/>
      <c r="J4128" s="7"/>
      <c r="K4128" s="7"/>
      <c r="L4128" s="10">
        <v>7.5</v>
      </c>
      <c r="M4128" s="9">
        <v>44951</v>
      </c>
      <c r="N4128" s="10">
        <v>9.5</v>
      </c>
      <c r="O4128" s="9">
        <v>44960</v>
      </c>
      <c r="P4128">
        <v>20</v>
      </c>
      <c r="Q4128" s="11" t="s">
        <v>49</v>
      </c>
      <c r="R4128" s="7"/>
      <c r="S4128" s="7"/>
      <c r="T4128" s="7"/>
      <c r="U4128" s="7"/>
      <c r="V4128" s="10">
        <v>9.5</v>
      </c>
      <c r="W4128" s="9">
        <v>44953</v>
      </c>
      <c r="X4128" s="10">
        <v>11.5</v>
      </c>
      <c r="Y4128" s="9">
        <v>44960</v>
      </c>
      <c r="Z4128">
        <v>20</v>
      </c>
      <c r="AA4128" s="11" t="s">
        <v>49</v>
      </c>
    </row>
    <row r="4129" spans="2:27" ht="16" x14ac:dyDescent="0.2">
      <c r="B4129" t="s">
        <v>35</v>
      </c>
      <c r="C4129">
        <v>40352756</v>
      </c>
      <c r="D4129" t="s">
        <v>409</v>
      </c>
      <c r="E4129">
        <v>1012522</v>
      </c>
      <c r="F4129" t="s">
        <v>115</v>
      </c>
      <c r="G4129" s="9">
        <v>44944</v>
      </c>
      <c r="H4129" s="7"/>
      <c r="I4129" s="7"/>
      <c r="J4129" s="7"/>
      <c r="K4129" s="7"/>
      <c r="L4129" s="10">
        <v>7.5</v>
      </c>
      <c r="M4129" s="9">
        <v>44951</v>
      </c>
      <c r="N4129" s="10">
        <v>9.5</v>
      </c>
      <c r="O4129" s="9">
        <v>44960</v>
      </c>
      <c r="P4129">
        <v>20</v>
      </c>
      <c r="Q4129" s="11" t="s">
        <v>49</v>
      </c>
      <c r="R4129" s="7"/>
      <c r="S4129" s="7"/>
      <c r="T4129" s="7"/>
      <c r="U4129" s="7"/>
      <c r="V4129" s="10">
        <v>9.5</v>
      </c>
      <c r="W4129" s="9">
        <v>44953</v>
      </c>
      <c r="X4129" s="10">
        <v>11.5</v>
      </c>
      <c r="Y4129" s="9">
        <v>44960</v>
      </c>
      <c r="Z4129">
        <v>20</v>
      </c>
      <c r="AA4129" s="11" t="s">
        <v>49</v>
      </c>
    </row>
    <row r="4130" spans="2:27" ht="16" x14ac:dyDescent="0.2">
      <c r="B4130" t="s">
        <v>35</v>
      </c>
      <c r="C4130">
        <v>40352756</v>
      </c>
      <c r="D4130" t="s">
        <v>409</v>
      </c>
      <c r="E4130">
        <v>1012110</v>
      </c>
      <c r="F4130" t="s">
        <v>109</v>
      </c>
      <c r="G4130" s="9">
        <v>44944</v>
      </c>
      <c r="H4130" s="7"/>
      <c r="I4130" s="7"/>
      <c r="J4130" s="7"/>
      <c r="K4130" s="7"/>
      <c r="L4130" s="10">
        <v>7.5</v>
      </c>
      <c r="M4130" s="9">
        <v>44951</v>
      </c>
      <c r="N4130" s="10">
        <v>9.5</v>
      </c>
      <c r="O4130" s="9">
        <v>44960</v>
      </c>
      <c r="P4130">
        <v>20</v>
      </c>
      <c r="Q4130" s="11" t="s">
        <v>49</v>
      </c>
      <c r="R4130" s="7"/>
      <c r="S4130" s="7"/>
      <c r="T4130" s="7"/>
      <c r="U4130" s="7"/>
      <c r="V4130" s="10">
        <v>9.5</v>
      </c>
      <c r="W4130" s="9">
        <v>44953</v>
      </c>
      <c r="X4130" s="10">
        <v>11.5</v>
      </c>
      <c r="Y4130" s="9">
        <v>44960</v>
      </c>
      <c r="Z4130">
        <v>20</v>
      </c>
      <c r="AA4130" s="11" t="s">
        <v>49</v>
      </c>
    </row>
    <row r="4131" spans="2:27" x14ac:dyDescent="0.2">
      <c r="B4131" t="s">
        <v>394</v>
      </c>
      <c r="C4131">
        <v>40352737</v>
      </c>
      <c r="D4131" t="s">
        <v>396</v>
      </c>
      <c r="E4131">
        <v>1021156</v>
      </c>
      <c r="F4131" t="s">
        <v>515</v>
      </c>
      <c r="G4131" s="9">
        <v>44967</v>
      </c>
      <c r="H4131" s="7"/>
      <c r="I4131" s="7"/>
      <c r="J4131" s="7"/>
      <c r="K4131" s="7"/>
      <c r="L4131" s="10"/>
      <c r="N4131" s="10"/>
      <c r="Q4131" s="11"/>
      <c r="R4131" s="7"/>
      <c r="S4131" s="7"/>
      <c r="T4131" s="7"/>
      <c r="U4131" s="7"/>
      <c r="V4131" s="10"/>
      <c r="X4131" s="10"/>
      <c r="AA4131" s="11"/>
    </row>
    <row r="4132" spans="2:27" x14ac:dyDescent="0.2">
      <c r="B4132" t="s">
        <v>394</v>
      </c>
      <c r="C4132">
        <v>40352737</v>
      </c>
      <c r="D4132" t="s">
        <v>396</v>
      </c>
      <c r="E4132">
        <v>1021156</v>
      </c>
      <c r="F4132" t="s">
        <v>515</v>
      </c>
      <c r="G4132" s="9">
        <v>44967</v>
      </c>
      <c r="H4132" s="7"/>
      <c r="I4132" s="7"/>
      <c r="J4132" s="7"/>
      <c r="K4132" s="7"/>
      <c r="L4132" s="10"/>
      <c r="N4132" s="10"/>
      <c r="Q4132" s="11"/>
      <c r="R4132" s="7"/>
      <c r="S4132" s="7"/>
      <c r="T4132" s="7"/>
      <c r="U4132" s="7"/>
      <c r="V4132" s="10"/>
      <c r="X4132" s="10"/>
      <c r="AA4132" s="11"/>
    </row>
    <row r="4133" spans="2:27" x14ac:dyDescent="0.2">
      <c r="B4133" t="s">
        <v>394</v>
      </c>
      <c r="C4133">
        <v>40352736</v>
      </c>
      <c r="D4133" t="s">
        <v>396</v>
      </c>
      <c r="E4133">
        <v>1021156</v>
      </c>
      <c r="F4133" t="s">
        <v>515</v>
      </c>
      <c r="G4133" s="9">
        <v>44961</v>
      </c>
      <c r="H4133" s="7"/>
      <c r="I4133" s="7"/>
      <c r="J4133" s="7"/>
      <c r="K4133" s="7"/>
      <c r="L4133" s="10"/>
      <c r="N4133" s="10"/>
      <c r="Q4133" s="11"/>
      <c r="R4133" s="7"/>
      <c r="S4133" s="7"/>
      <c r="T4133" s="7"/>
      <c r="U4133" s="7"/>
      <c r="V4133" s="10"/>
      <c r="X4133" s="10"/>
      <c r="AA4133" s="11"/>
    </row>
    <row r="4134" spans="2:27" x14ac:dyDescent="0.2">
      <c r="B4134" t="s">
        <v>394</v>
      </c>
      <c r="C4134">
        <v>40352527</v>
      </c>
      <c r="D4134" t="s">
        <v>485</v>
      </c>
      <c r="E4134">
        <v>1023433</v>
      </c>
      <c r="F4134" t="s">
        <v>490</v>
      </c>
      <c r="G4134" s="9">
        <v>44935</v>
      </c>
      <c r="H4134" s="7"/>
      <c r="I4134" s="7"/>
      <c r="J4134" s="7"/>
      <c r="K4134" s="7"/>
      <c r="L4134" s="10"/>
      <c r="N4134" s="10"/>
      <c r="Q4134" s="11"/>
      <c r="R4134" s="7"/>
      <c r="S4134" s="7"/>
      <c r="T4134" s="7"/>
      <c r="U4134" s="7"/>
      <c r="V4134" s="10"/>
      <c r="X4134" s="10"/>
      <c r="AA4134" s="11"/>
    </row>
    <row r="4135" spans="2:27" ht="16" x14ac:dyDescent="0.2">
      <c r="B4135" t="s">
        <v>35</v>
      </c>
      <c r="C4135">
        <v>40352520</v>
      </c>
      <c r="D4135" t="s">
        <v>409</v>
      </c>
      <c r="E4135">
        <v>1020828</v>
      </c>
      <c r="F4135" t="s">
        <v>74</v>
      </c>
      <c r="G4135" s="9">
        <v>44967</v>
      </c>
      <c r="H4135" s="7"/>
      <c r="I4135" s="7"/>
      <c r="J4135" s="7"/>
      <c r="K4135" s="7"/>
      <c r="L4135" s="10">
        <v>7.5</v>
      </c>
      <c r="M4135" s="9">
        <v>44974</v>
      </c>
      <c r="N4135" s="10">
        <v>9.5</v>
      </c>
      <c r="O4135" s="9">
        <v>44983</v>
      </c>
      <c r="P4135">
        <v>2</v>
      </c>
      <c r="Q4135" s="11" t="s">
        <v>594</v>
      </c>
      <c r="R4135" s="7"/>
      <c r="S4135" s="7"/>
      <c r="T4135" s="7"/>
      <c r="U4135" s="7"/>
      <c r="V4135" s="10">
        <v>9.5</v>
      </c>
      <c r="W4135" s="9">
        <v>44976</v>
      </c>
      <c r="X4135" s="10">
        <v>11.5</v>
      </c>
      <c r="Y4135" s="9">
        <v>44983</v>
      </c>
      <c r="Z4135">
        <v>2</v>
      </c>
      <c r="AA4135" s="11" t="s">
        <v>594</v>
      </c>
    </row>
    <row r="4136" spans="2:27" ht="16" x14ac:dyDescent="0.2">
      <c r="B4136" t="s">
        <v>35</v>
      </c>
      <c r="C4136">
        <v>40352520</v>
      </c>
      <c r="D4136" t="s">
        <v>409</v>
      </c>
      <c r="E4136">
        <v>1020828</v>
      </c>
      <c r="F4136" t="s">
        <v>74</v>
      </c>
      <c r="G4136" s="9">
        <v>44967</v>
      </c>
      <c r="H4136" s="7"/>
      <c r="I4136" s="7"/>
      <c r="J4136" s="7"/>
      <c r="K4136" s="7"/>
      <c r="L4136" s="10">
        <v>7.5</v>
      </c>
      <c r="M4136" s="9">
        <v>44974</v>
      </c>
      <c r="N4136" s="10">
        <v>9.5</v>
      </c>
      <c r="O4136" s="9">
        <v>44983</v>
      </c>
      <c r="P4136">
        <v>2</v>
      </c>
      <c r="Q4136" s="11" t="s">
        <v>594</v>
      </c>
      <c r="R4136" s="7"/>
      <c r="S4136" s="7"/>
      <c r="T4136" s="7"/>
      <c r="U4136" s="7"/>
      <c r="V4136" s="10">
        <v>9.5</v>
      </c>
      <c r="W4136" s="9">
        <v>44976</v>
      </c>
      <c r="X4136" s="10">
        <v>11.5</v>
      </c>
      <c r="Y4136" s="9">
        <v>44983</v>
      </c>
      <c r="Z4136">
        <v>2</v>
      </c>
      <c r="AA4136" s="11" t="s">
        <v>594</v>
      </c>
    </row>
    <row r="4137" spans="2:27" ht="16" x14ac:dyDescent="0.2">
      <c r="B4137" t="s">
        <v>35</v>
      </c>
      <c r="C4137">
        <v>40352519</v>
      </c>
      <c r="D4137" t="s">
        <v>409</v>
      </c>
      <c r="E4137">
        <v>1020828</v>
      </c>
      <c r="F4137" t="s">
        <v>74</v>
      </c>
      <c r="G4137" s="9">
        <v>44960</v>
      </c>
      <c r="H4137" s="7"/>
      <c r="I4137" s="7"/>
      <c r="J4137" s="7"/>
      <c r="K4137" s="7"/>
      <c r="L4137" s="10">
        <v>7.5</v>
      </c>
      <c r="M4137" s="9">
        <v>44967</v>
      </c>
      <c r="N4137" s="10">
        <v>9.5</v>
      </c>
      <c r="O4137" s="9">
        <v>44976</v>
      </c>
      <c r="P4137">
        <v>7</v>
      </c>
      <c r="Q4137" s="11" t="s">
        <v>49</v>
      </c>
      <c r="R4137" s="7"/>
      <c r="S4137" s="7"/>
      <c r="T4137" s="7"/>
      <c r="U4137" s="7"/>
      <c r="V4137" s="10">
        <v>9.5</v>
      </c>
      <c r="W4137" s="9">
        <v>44969</v>
      </c>
      <c r="X4137" s="10">
        <v>11.5</v>
      </c>
      <c r="Y4137" s="9">
        <v>44976</v>
      </c>
      <c r="Z4137">
        <v>7</v>
      </c>
      <c r="AA4137" s="11" t="s">
        <v>49</v>
      </c>
    </row>
    <row r="4138" spans="2:27" ht="16" x14ac:dyDescent="0.2">
      <c r="B4138" t="s">
        <v>35</v>
      </c>
      <c r="C4138">
        <v>40352513</v>
      </c>
      <c r="D4138" t="s">
        <v>409</v>
      </c>
      <c r="E4138">
        <v>1021539</v>
      </c>
      <c r="F4138" t="s">
        <v>437</v>
      </c>
      <c r="G4138" s="9">
        <v>44943</v>
      </c>
      <c r="H4138" s="7"/>
      <c r="I4138" s="7"/>
      <c r="J4138" s="7"/>
      <c r="K4138" s="7"/>
      <c r="L4138" s="10">
        <v>7.5</v>
      </c>
      <c r="M4138" s="9">
        <v>44950</v>
      </c>
      <c r="N4138" s="10">
        <v>9.5</v>
      </c>
      <c r="O4138" s="9">
        <v>44959</v>
      </c>
      <c r="P4138">
        <v>21</v>
      </c>
      <c r="Q4138" s="11" t="s">
        <v>49</v>
      </c>
      <c r="R4138" s="7"/>
      <c r="S4138" s="7"/>
      <c r="T4138" s="7"/>
      <c r="U4138" s="7"/>
      <c r="V4138" s="10">
        <v>9.5</v>
      </c>
      <c r="W4138" s="9">
        <v>44952</v>
      </c>
      <c r="X4138" s="10">
        <v>11.5</v>
      </c>
      <c r="Y4138" s="9">
        <v>44959</v>
      </c>
      <c r="Z4138">
        <v>21</v>
      </c>
      <c r="AA4138" s="11" t="s">
        <v>49</v>
      </c>
    </row>
    <row r="4139" spans="2:27" ht="16" x14ac:dyDescent="0.2">
      <c r="B4139" t="s">
        <v>35</v>
      </c>
      <c r="C4139">
        <v>40352513</v>
      </c>
      <c r="D4139" t="s">
        <v>409</v>
      </c>
      <c r="E4139">
        <v>1023446</v>
      </c>
      <c r="F4139" t="s">
        <v>614</v>
      </c>
      <c r="G4139" s="9">
        <v>44943</v>
      </c>
      <c r="H4139" s="7"/>
      <c r="I4139" s="7"/>
      <c r="J4139" s="7"/>
      <c r="K4139" s="7"/>
      <c r="L4139" s="10">
        <v>7.5</v>
      </c>
      <c r="M4139" s="9">
        <v>44950</v>
      </c>
      <c r="N4139" s="10">
        <v>9.5</v>
      </c>
      <c r="O4139" s="9">
        <v>44959</v>
      </c>
      <c r="P4139">
        <v>21</v>
      </c>
      <c r="Q4139" s="11" t="s">
        <v>49</v>
      </c>
      <c r="R4139" s="7"/>
      <c r="S4139" s="7"/>
      <c r="T4139" s="7"/>
      <c r="U4139" s="7"/>
      <c r="V4139" s="10">
        <v>9.5</v>
      </c>
      <c r="W4139" s="9">
        <v>44952</v>
      </c>
      <c r="X4139" s="10">
        <v>11.5</v>
      </c>
      <c r="Y4139" s="9">
        <v>44959</v>
      </c>
      <c r="Z4139">
        <v>21</v>
      </c>
      <c r="AA4139" s="11" t="s">
        <v>49</v>
      </c>
    </row>
    <row r="4140" spans="2:27" ht="16" x14ac:dyDescent="0.2">
      <c r="B4140" t="s">
        <v>35</v>
      </c>
      <c r="C4140">
        <v>40352513</v>
      </c>
      <c r="D4140" t="s">
        <v>409</v>
      </c>
      <c r="E4140">
        <v>1021538</v>
      </c>
      <c r="F4140" t="s">
        <v>256</v>
      </c>
      <c r="G4140" s="9">
        <v>44943</v>
      </c>
      <c r="H4140" s="7"/>
      <c r="I4140" s="7"/>
      <c r="J4140" s="7"/>
      <c r="K4140" s="7"/>
      <c r="L4140" s="10">
        <v>7.5</v>
      </c>
      <c r="M4140" s="9">
        <v>44950</v>
      </c>
      <c r="N4140" s="10">
        <v>9.5</v>
      </c>
      <c r="O4140" s="9">
        <v>44959</v>
      </c>
      <c r="P4140">
        <v>21</v>
      </c>
      <c r="Q4140" s="11" t="s">
        <v>49</v>
      </c>
      <c r="R4140" s="7"/>
      <c r="S4140" s="7"/>
      <c r="T4140" s="7"/>
      <c r="U4140" s="7"/>
      <c r="V4140" s="10">
        <v>9.5</v>
      </c>
      <c r="W4140" s="9">
        <v>44952</v>
      </c>
      <c r="X4140" s="10">
        <v>11.5</v>
      </c>
      <c r="Y4140" s="9">
        <v>44959</v>
      </c>
      <c r="Z4140">
        <v>21</v>
      </c>
      <c r="AA4140" s="11" t="s">
        <v>49</v>
      </c>
    </row>
    <row r="4141" spans="2:27" ht="16" x14ac:dyDescent="0.2">
      <c r="B4141" t="s">
        <v>35</v>
      </c>
      <c r="C4141">
        <v>40352508</v>
      </c>
      <c r="D4141" t="s">
        <v>386</v>
      </c>
      <c r="E4141">
        <v>1030388</v>
      </c>
      <c r="F4141" t="s">
        <v>455</v>
      </c>
      <c r="G4141" s="9">
        <v>45000</v>
      </c>
      <c r="H4141" s="7">
        <v>24000</v>
      </c>
      <c r="I4141" s="7"/>
      <c r="J4141" s="7"/>
      <c r="K4141" s="7"/>
      <c r="L4141" s="10">
        <v>5.1420118343195256</v>
      </c>
      <c r="M4141" s="9">
        <v>45005</v>
      </c>
      <c r="N4141" s="10">
        <v>7.5</v>
      </c>
      <c r="O4141" s="9">
        <v>45012</v>
      </c>
      <c r="P4141">
        <v>4</v>
      </c>
      <c r="Q4141" s="11" t="s">
        <v>49</v>
      </c>
      <c r="R4141" s="7">
        <v>24000</v>
      </c>
      <c r="S4141" s="7"/>
      <c r="T4141" s="7"/>
      <c r="U4141" s="7"/>
      <c r="V4141" s="10">
        <v>7.1420118343195256</v>
      </c>
      <c r="W4141" s="9">
        <v>45007</v>
      </c>
      <c r="X4141" s="10">
        <v>9.5</v>
      </c>
      <c r="Y4141" s="9">
        <v>45012</v>
      </c>
      <c r="Z4141">
        <v>4</v>
      </c>
      <c r="AA4141" s="11" t="s">
        <v>49</v>
      </c>
    </row>
    <row r="4142" spans="2:27" ht="16" x14ac:dyDescent="0.2">
      <c r="B4142" t="s">
        <v>35</v>
      </c>
      <c r="C4142">
        <v>40352507</v>
      </c>
      <c r="D4142" t="s">
        <v>386</v>
      </c>
      <c r="E4142">
        <v>1030388</v>
      </c>
      <c r="F4142" t="s">
        <v>455</v>
      </c>
      <c r="G4142" s="9">
        <v>44982</v>
      </c>
      <c r="H4142" s="7">
        <v>24000</v>
      </c>
      <c r="I4142" s="7"/>
      <c r="J4142" s="7"/>
      <c r="K4142" s="7"/>
      <c r="L4142" s="10">
        <v>5.1420118343195256</v>
      </c>
      <c r="M4142" s="9">
        <v>44987</v>
      </c>
      <c r="N4142" s="10">
        <v>7.5</v>
      </c>
      <c r="O4142" s="9">
        <v>44994</v>
      </c>
      <c r="P4142">
        <v>19</v>
      </c>
      <c r="Q4142" s="11" t="s">
        <v>49</v>
      </c>
      <c r="R4142" s="7">
        <v>24000</v>
      </c>
      <c r="S4142" s="7"/>
      <c r="T4142" s="7"/>
      <c r="U4142" s="7"/>
      <c r="V4142" s="10">
        <v>7.1420118343195256</v>
      </c>
      <c r="W4142" s="9">
        <v>44989</v>
      </c>
      <c r="X4142" s="10">
        <v>9.5</v>
      </c>
      <c r="Y4142" s="9">
        <v>44994</v>
      </c>
      <c r="Z4142">
        <v>19</v>
      </c>
      <c r="AA4142" s="11" t="s">
        <v>49</v>
      </c>
    </row>
    <row r="4143" spans="2:27" ht="16" x14ac:dyDescent="0.2">
      <c r="B4143" t="s">
        <v>35</v>
      </c>
      <c r="C4143">
        <v>40352506</v>
      </c>
      <c r="D4143" t="s">
        <v>386</v>
      </c>
      <c r="E4143">
        <v>1030355</v>
      </c>
      <c r="F4143" t="s">
        <v>385</v>
      </c>
      <c r="G4143" s="9">
        <v>44989</v>
      </c>
      <c r="H4143" s="7">
        <v>24000</v>
      </c>
      <c r="I4143" s="7"/>
      <c r="J4143" s="7"/>
      <c r="K4143" s="7"/>
      <c r="L4143" s="10">
        <v>5.1420118343195256</v>
      </c>
      <c r="M4143" s="9">
        <v>44994</v>
      </c>
      <c r="N4143" s="10">
        <v>7.5</v>
      </c>
      <c r="O4143" s="9">
        <v>45001</v>
      </c>
      <c r="P4143">
        <v>13</v>
      </c>
      <c r="Q4143" s="11" t="s">
        <v>49</v>
      </c>
      <c r="R4143" s="7">
        <v>24000</v>
      </c>
      <c r="S4143" s="7"/>
      <c r="T4143" s="7"/>
      <c r="U4143" s="7"/>
      <c r="V4143" s="10">
        <v>7.1420118343195256</v>
      </c>
      <c r="W4143" s="9">
        <v>44996</v>
      </c>
      <c r="X4143" s="10">
        <v>9.5</v>
      </c>
      <c r="Y4143" s="9">
        <v>45001</v>
      </c>
      <c r="Z4143">
        <v>13</v>
      </c>
      <c r="AA4143" s="11" t="s">
        <v>49</v>
      </c>
    </row>
    <row r="4144" spans="2:27" ht="16" x14ac:dyDescent="0.2">
      <c r="B4144" t="s">
        <v>35</v>
      </c>
      <c r="C4144">
        <v>40352505</v>
      </c>
      <c r="D4144" t="s">
        <v>386</v>
      </c>
      <c r="E4144">
        <v>1030355</v>
      </c>
      <c r="F4144" t="s">
        <v>385</v>
      </c>
      <c r="G4144" s="9">
        <v>45000</v>
      </c>
      <c r="H4144" s="7">
        <v>24000</v>
      </c>
      <c r="I4144" s="7"/>
      <c r="J4144" s="7"/>
      <c r="K4144" s="7"/>
      <c r="L4144" s="10">
        <v>5.1420118343195256</v>
      </c>
      <c r="M4144" s="9">
        <v>45005</v>
      </c>
      <c r="N4144" s="10">
        <v>7.5</v>
      </c>
      <c r="O4144" s="9">
        <v>45012</v>
      </c>
      <c r="P4144">
        <v>4</v>
      </c>
      <c r="Q4144" s="11" t="s">
        <v>49</v>
      </c>
      <c r="R4144" s="7">
        <v>24000</v>
      </c>
      <c r="S4144" s="7"/>
      <c r="T4144" s="7"/>
      <c r="U4144" s="7"/>
      <c r="V4144" s="10">
        <v>7.1420118343195256</v>
      </c>
      <c r="W4144" s="9">
        <v>45007</v>
      </c>
      <c r="X4144" s="10">
        <v>9.5</v>
      </c>
      <c r="Y4144" s="9">
        <v>45012</v>
      </c>
      <c r="Z4144">
        <v>4</v>
      </c>
      <c r="AA4144" s="11" t="s">
        <v>49</v>
      </c>
    </row>
    <row r="4145" spans="2:27" x14ac:dyDescent="0.2">
      <c r="B4145" t="s">
        <v>394</v>
      </c>
      <c r="C4145">
        <v>40352504</v>
      </c>
      <c r="D4145" t="s">
        <v>485</v>
      </c>
      <c r="E4145">
        <v>1011421</v>
      </c>
      <c r="F4145" t="s">
        <v>484</v>
      </c>
      <c r="G4145" s="9">
        <v>44933</v>
      </c>
      <c r="H4145" s="7"/>
      <c r="I4145" s="7"/>
      <c r="J4145" s="7"/>
      <c r="K4145" s="7"/>
      <c r="L4145" s="10"/>
      <c r="N4145" s="10"/>
      <c r="Q4145" s="11"/>
      <c r="R4145" s="7"/>
      <c r="S4145" s="7"/>
      <c r="T4145" s="7"/>
      <c r="U4145" s="7"/>
      <c r="V4145" s="10"/>
      <c r="X4145" s="10"/>
      <c r="AA4145" s="11"/>
    </row>
    <row r="4146" spans="2:27" x14ac:dyDescent="0.2">
      <c r="B4146" t="s">
        <v>394</v>
      </c>
      <c r="C4146">
        <v>40352503</v>
      </c>
      <c r="D4146" t="s">
        <v>485</v>
      </c>
      <c r="E4146">
        <v>1011421</v>
      </c>
      <c r="F4146" t="s">
        <v>484</v>
      </c>
      <c r="G4146" s="9">
        <v>44927</v>
      </c>
      <c r="H4146" s="7"/>
      <c r="I4146" s="7"/>
      <c r="J4146" s="7"/>
      <c r="K4146" s="7"/>
      <c r="L4146" s="10"/>
      <c r="N4146" s="10"/>
      <c r="Q4146" s="11"/>
      <c r="R4146" s="7"/>
      <c r="S4146" s="7"/>
      <c r="T4146" s="7"/>
      <c r="U4146" s="7"/>
      <c r="V4146" s="10"/>
      <c r="X4146" s="10"/>
      <c r="AA4146" s="11"/>
    </row>
    <row r="4147" spans="2:27" x14ac:dyDescent="0.2">
      <c r="B4147" t="s">
        <v>394</v>
      </c>
      <c r="C4147">
        <v>40352502</v>
      </c>
      <c r="D4147" t="s">
        <v>485</v>
      </c>
      <c r="E4147">
        <v>1011421</v>
      </c>
      <c r="F4147" t="s">
        <v>484</v>
      </c>
      <c r="G4147" s="9">
        <v>44920</v>
      </c>
      <c r="H4147" s="7"/>
      <c r="I4147" s="7"/>
      <c r="J4147" s="7"/>
      <c r="K4147" s="7"/>
      <c r="L4147" s="10"/>
      <c r="N4147" s="10"/>
      <c r="Q4147" s="11"/>
      <c r="R4147" s="7"/>
      <c r="S4147" s="7"/>
      <c r="T4147" s="7"/>
      <c r="U4147" s="7"/>
      <c r="V4147" s="10"/>
      <c r="X4147" s="10"/>
      <c r="AA4147" s="11"/>
    </row>
    <row r="4148" spans="2:27" x14ac:dyDescent="0.2">
      <c r="B4148" t="s">
        <v>394</v>
      </c>
      <c r="C4148">
        <v>40352501</v>
      </c>
      <c r="D4148" t="s">
        <v>485</v>
      </c>
      <c r="E4148">
        <v>1011421</v>
      </c>
      <c r="F4148" t="s">
        <v>484</v>
      </c>
      <c r="G4148" s="9">
        <v>44920</v>
      </c>
      <c r="H4148" s="7"/>
      <c r="I4148" s="7"/>
      <c r="J4148" s="7"/>
      <c r="K4148" s="7"/>
      <c r="L4148" s="10"/>
      <c r="N4148" s="10"/>
      <c r="Q4148" s="11"/>
      <c r="R4148" s="7"/>
      <c r="S4148" s="7"/>
      <c r="T4148" s="7"/>
      <c r="U4148" s="7"/>
      <c r="V4148" s="10"/>
      <c r="X4148" s="10"/>
      <c r="AA4148" s="11"/>
    </row>
    <row r="4149" spans="2:27" x14ac:dyDescent="0.2">
      <c r="B4149" t="s">
        <v>394</v>
      </c>
      <c r="C4149">
        <v>40352481</v>
      </c>
      <c r="D4149" t="s">
        <v>485</v>
      </c>
      <c r="E4149">
        <v>1022196</v>
      </c>
      <c r="F4149" t="s">
        <v>604</v>
      </c>
      <c r="G4149" s="9">
        <v>44919</v>
      </c>
      <c r="H4149" s="7"/>
      <c r="I4149" s="7"/>
      <c r="J4149" s="7"/>
      <c r="K4149" s="7"/>
      <c r="L4149" s="10"/>
      <c r="N4149" s="10"/>
      <c r="Q4149" s="11"/>
      <c r="R4149" s="7"/>
      <c r="S4149" s="7"/>
      <c r="T4149" s="7"/>
      <c r="U4149" s="7"/>
      <c r="V4149" s="10"/>
      <c r="X4149" s="10"/>
      <c r="AA4149" s="11"/>
    </row>
    <row r="4150" spans="2:27" x14ac:dyDescent="0.2">
      <c r="B4150" t="s">
        <v>394</v>
      </c>
      <c r="C4150">
        <v>40352441</v>
      </c>
      <c r="D4150" t="s">
        <v>485</v>
      </c>
      <c r="E4150">
        <v>1022709</v>
      </c>
      <c r="F4150" t="s">
        <v>493</v>
      </c>
      <c r="G4150" s="9">
        <v>44927</v>
      </c>
      <c r="H4150" s="7"/>
      <c r="I4150" s="7"/>
      <c r="J4150" s="7"/>
      <c r="K4150" s="7"/>
      <c r="L4150" s="10"/>
      <c r="N4150" s="10"/>
      <c r="Q4150" s="11"/>
      <c r="R4150" s="7"/>
      <c r="S4150" s="7"/>
      <c r="T4150" s="7"/>
      <c r="U4150" s="7"/>
      <c r="V4150" s="10"/>
      <c r="X4150" s="10"/>
      <c r="AA4150" s="11"/>
    </row>
    <row r="4151" spans="2:27" x14ac:dyDescent="0.2">
      <c r="B4151" t="s">
        <v>394</v>
      </c>
      <c r="C4151">
        <v>40352441</v>
      </c>
      <c r="D4151" t="s">
        <v>485</v>
      </c>
      <c r="E4151">
        <v>1020848</v>
      </c>
      <c r="F4151" t="s">
        <v>503</v>
      </c>
      <c r="G4151" s="9">
        <v>44927</v>
      </c>
      <c r="H4151" s="7"/>
      <c r="I4151" s="7"/>
      <c r="J4151" s="7"/>
      <c r="K4151" s="7"/>
      <c r="L4151" s="10"/>
      <c r="N4151" s="10"/>
      <c r="Q4151" s="11"/>
      <c r="R4151" s="7"/>
      <c r="S4151" s="7"/>
      <c r="T4151" s="7"/>
      <c r="U4151" s="7"/>
      <c r="V4151" s="10"/>
      <c r="X4151" s="10"/>
      <c r="AA4151" s="11"/>
    </row>
    <row r="4152" spans="2:27" x14ac:dyDescent="0.2">
      <c r="B4152" t="s">
        <v>394</v>
      </c>
      <c r="C4152">
        <v>40352359</v>
      </c>
      <c r="D4152" t="s">
        <v>485</v>
      </c>
      <c r="E4152">
        <v>1020367</v>
      </c>
      <c r="F4152" t="s">
        <v>596</v>
      </c>
      <c r="G4152" s="9">
        <v>44920</v>
      </c>
      <c r="H4152" s="7"/>
      <c r="I4152" s="7"/>
      <c r="J4152" s="7"/>
      <c r="K4152" s="7"/>
      <c r="L4152" s="10"/>
      <c r="N4152" s="10"/>
      <c r="Q4152" s="11"/>
      <c r="R4152" s="7"/>
      <c r="S4152" s="7"/>
      <c r="T4152" s="7"/>
      <c r="U4152" s="7"/>
      <c r="V4152" s="10"/>
      <c r="X4152" s="10"/>
      <c r="AA4152" s="11"/>
    </row>
    <row r="4153" spans="2:27" x14ac:dyDescent="0.2">
      <c r="B4153" t="s">
        <v>394</v>
      </c>
      <c r="C4153">
        <v>40352347</v>
      </c>
      <c r="D4153" t="s">
        <v>485</v>
      </c>
      <c r="E4153">
        <v>1011558</v>
      </c>
      <c r="F4153" t="s">
        <v>603</v>
      </c>
      <c r="G4153" s="9">
        <v>44933</v>
      </c>
      <c r="H4153" s="7"/>
      <c r="I4153" s="7"/>
      <c r="J4153" s="7"/>
      <c r="K4153" s="7"/>
      <c r="L4153" s="10"/>
      <c r="N4153" s="10"/>
      <c r="Q4153" s="11"/>
      <c r="R4153" s="7"/>
      <c r="S4153" s="7"/>
      <c r="T4153" s="7"/>
      <c r="U4153" s="7"/>
      <c r="V4153" s="10"/>
      <c r="X4153" s="10"/>
      <c r="AA4153" s="11"/>
    </row>
    <row r="4154" spans="2:27" x14ac:dyDescent="0.2">
      <c r="B4154" t="s">
        <v>394</v>
      </c>
      <c r="C4154">
        <v>40352346</v>
      </c>
      <c r="D4154" t="s">
        <v>485</v>
      </c>
      <c r="E4154">
        <v>1011558</v>
      </c>
      <c r="F4154" t="s">
        <v>603</v>
      </c>
      <c r="G4154" s="9">
        <v>44933</v>
      </c>
      <c r="H4154" s="7"/>
      <c r="I4154" s="7"/>
      <c r="J4154" s="7"/>
      <c r="K4154" s="7"/>
      <c r="L4154" s="10"/>
      <c r="N4154" s="10"/>
      <c r="Q4154" s="11"/>
      <c r="R4154" s="7"/>
      <c r="S4154" s="7"/>
      <c r="T4154" s="7"/>
      <c r="U4154" s="7"/>
      <c r="V4154" s="10"/>
      <c r="X4154" s="10"/>
      <c r="AA4154" s="11"/>
    </row>
    <row r="4155" spans="2:27" x14ac:dyDescent="0.2">
      <c r="B4155" t="s">
        <v>394</v>
      </c>
      <c r="C4155">
        <v>40352344</v>
      </c>
      <c r="D4155" t="s">
        <v>485</v>
      </c>
      <c r="E4155">
        <v>1012719</v>
      </c>
      <c r="F4155" t="s">
        <v>545</v>
      </c>
      <c r="G4155" s="9">
        <v>44932</v>
      </c>
      <c r="H4155" s="7"/>
      <c r="I4155" s="7"/>
      <c r="J4155" s="7"/>
      <c r="K4155" s="7"/>
      <c r="L4155" s="10"/>
      <c r="N4155" s="10"/>
      <c r="Q4155" s="11"/>
      <c r="R4155" s="7"/>
      <c r="S4155" s="7"/>
      <c r="T4155" s="7"/>
      <c r="U4155" s="7"/>
      <c r="V4155" s="10"/>
      <c r="X4155" s="10"/>
      <c r="AA4155" s="11"/>
    </row>
    <row r="4156" spans="2:27" x14ac:dyDescent="0.2">
      <c r="B4156" t="s">
        <v>394</v>
      </c>
      <c r="C4156">
        <v>40352343</v>
      </c>
      <c r="D4156" t="s">
        <v>485</v>
      </c>
      <c r="E4156">
        <v>1012719</v>
      </c>
      <c r="F4156" t="s">
        <v>545</v>
      </c>
      <c r="G4156" s="9">
        <v>44932</v>
      </c>
      <c r="H4156" s="7"/>
      <c r="I4156" s="7"/>
      <c r="J4156" s="7"/>
      <c r="K4156" s="7"/>
      <c r="L4156" s="10"/>
      <c r="N4156" s="10"/>
      <c r="Q4156" s="11"/>
      <c r="R4156" s="7"/>
      <c r="S4156" s="7"/>
      <c r="T4156" s="7"/>
      <c r="U4156" s="7"/>
      <c r="V4156" s="10"/>
      <c r="X4156" s="10"/>
      <c r="AA4156" s="11"/>
    </row>
    <row r="4157" spans="2:27" x14ac:dyDescent="0.2">
      <c r="B4157" t="s">
        <v>394</v>
      </c>
      <c r="C4157">
        <v>40352342</v>
      </c>
      <c r="D4157" t="s">
        <v>485</v>
      </c>
      <c r="E4157">
        <v>1011558</v>
      </c>
      <c r="F4157" t="s">
        <v>603</v>
      </c>
      <c r="G4157" s="9">
        <v>44933</v>
      </c>
      <c r="H4157" s="7"/>
      <c r="I4157" s="7"/>
      <c r="J4157" s="7"/>
      <c r="K4157" s="7"/>
      <c r="L4157" s="10"/>
      <c r="N4157" s="10"/>
      <c r="Q4157" s="11"/>
      <c r="R4157" s="7"/>
      <c r="S4157" s="7"/>
      <c r="T4157" s="7"/>
      <c r="U4157" s="7"/>
      <c r="V4157" s="10"/>
      <c r="X4157" s="10"/>
      <c r="AA4157" s="11"/>
    </row>
    <row r="4158" spans="2:27" x14ac:dyDescent="0.2">
      <c r="B4158" t="s">
        <v>394</v>
      </c>
      <c r="C4158">
        <v>40352341</v>
      </c>
      <c r="D4158" t="s">
        <v>485</v>
      </c>
      <c r="E4158">
        <v>1011558</v>
      </c>
      <c r="F4158" t="s">
        <v>603</v>
      </c>
      <c r="G4158" s="9">
        <v>44928</v>
      </c>
      <c r="H4158" s="7"/>
      <c r="I4158" s="7"/>
      <c r="J4158" s="7"/>
      <c r="K4158" s="7"/>
      <c r="L4158" s="10"/>
      <c r="N4158" s="10"/>
      <c r="Q4158" s="11"/>
      <c r="R4158" s="7"/>
      <c r="S4158" s="7"/>
      <c r="T4158" s="7"/>
      <c r="U4158" s="7"/>
      <c r="V4158" s="10"/>
      <c r="X4158" s="10"/>
      <c r="AA4158" s="11"/>
    </row>
    <row r="4159" spans="2:27" x14ac:dyDescent="0.2">
      <c r="B4159" t="s">
        <v>394</v>
      </c>
      <c r="C4159">
        <v>40352340</v>
      </c>
      <c r="D4159" t="s">
        <v>485</v>
      </c>
      <c r="E4159">
        <v>1011558</v>
      </c>
      <c r="F4159" t="s">
        <v>603</v>
      </c>
      <c r="G4159" s="9">
        <v>44928</v>
      </c>
      <c r="H4159" s="7"/>
      <c r="I4159" s="7"/>
      <c r="J4159" s="7"/>
      <c r="K4159" s="7"/>
      <c r="L4159" s="10"/>
      <c r="N4159" s="10"/>
      <c r="Q4159" s="11"/>
      <c r="R4159" s="7"/>
      <c r="S4159" s="7"/>
      <c r="T4159" s="7"/>
      <c r="U4159" s="7"/>
      <c r="V4159" s="10"/>
      <c r="X4159" s="10"/>
      <c r="AA4159" s="11"/>
    </row>
    <row r="4160" spans="2:27" x14ac:dyDescent="0.2">
      <c r="B4160" t="s">
        <v>394</v>
      </c>
      <c r="C4160">
        <v>40352339</v>
      </c>
      <c r="D4160" t="s">
        <v>485</v>
      </c>
      <c r="E4160">
        <v>1011558</v>
      </c>
      <c r="F4160" t="s">
        <v>603</v>
      </c>
      <c r="G4160" s="9">
        <v>44928</v>
      </c>
      <c r="H4160" s="7"/>
      <c r="I4160" s="7"/>
      <c r="J4160" s="7"/>
      <c r="K4160" s="7"/>
      <c r="L4160" s="10"/>
      <c r="N4160" s="10"/>
      <c r="Q4160" s="11"/>
      <c r="R4160" s="7"/>
      <c r="S4160" s="7"/>
      <c r="T4160" s="7"/>
      <c r="U4160" s="7"/>
      <c r="V4160" s="10"/>
      <c r="X4160" s="10"/>
      <c r="AA4160" s="11"/>
    </row>
    <row r="4161" spans="2:27" x14ac:dyDescent="0.2">
      <c r="B4161" t="s">
        <v>394</v>
      </c>
      <c r="C4161">
        <v>40352338</v>
      </c>
      <c r="D4161" t="s">
        <v>485</v>
      </c>
      <c r="E4161">
        <v>1011558</v>
      </c>
      <c r="F4161" t="s">
        <v>603</v>
      </c>
      <c r="G4161" s="9">
        <v>44933</v>
      </c>
      <c r="H4161" s="7"/>
      <c r="I4161" s="7"/>
      <c r="J4161" s="7"/>
      <c r="K4161" s="7"/>
      <c r="L4161" s="10"/>
      <c r="N4161" s="10"/>
      <c r="Q4161" s="11"/>
      <c r="R4161" s="7"/>
      <c r="S4161" s="7"/>
      <c r="T4161" s="7"/>
      <c r="U4161" s="7"/>
      <c r="V4161" s="10"/>
      <c r="X4161" s="10"/>
      <c r="AA4161" s="11"/>
    </row>
    <row r="4162" spans="2:27" x14ac:dyDescent="0.2">
      <c r="B4162" t="s">
        <v>394</v>
      </c>
      <c r="C4162">
        <v>40352336</v>
      </c>
      <c r="D4162" t="s">
        <v>485</v>
      </c>
      <c r="E4162">
        <v>1012719</v>
      </c>
      <c r="F4162" t="s">
        <v>545</v>
      </c>
      <c r="G4162" s="9">
        <v>44912</v>
      </c>
      <c r="H4162" s="7"/>
      <c r="I4162" s="7"/>
      <c r="J4162" s="7"/>
      <c r="K4162" s="7"/>
      <c r="L4162" s="10"/>
      <c r="N4162" s="10"/>
      <c r="Q4162" s="11"/>
      <c r="R4162" s="7"/>
      <c r="S4162" s="7"/>
      <c r="T4162" s="7"/>
      <c r="U4162" s="7"/>
      <c r="V4162" s="10"/>
      <c r="X4162" s="10"/>
      <c r="AA4162" s="11"/>
    </row>
    <row r="4163" spans="2:27" ht="16" x14ac:dyDescent="0.2">
      <c r="B4163" t="s">
        <v>35</v>
      </c>
      <c r="C4163">
        <v>40352077</v>
      </c>
      <c r="D4163" t="s">
        <v>409</v>
      </c>
      <c r="E4163">
        <v>1030379</v>
      </c>
      <c r="F4163" t="s">
        <v>97</v>
      </c>
      <c r="G4163" s="9">
        <v>44961</v>
      </c>
      <c r="H4163" s="7"/>
      <c r="I4163" s="7"/>
      <c r="J4163" s="7"/>
      <c r="K4163" s="7"/>
      <c r="L4163" s="10">
        <v>7.5</v>
      </c>
      <c r="M4163" s="9">
        <v>44968</v>
      </c>
      <c r="N4163" s="10">
        <v>9.5</v>
      </c>
      <c r="O4163" s="9">
        <v>44977</v>
      </c>
      <c r="P4163">
        <v>7</v>
      </c>
      <c r="Q4163" s="11" t="s">
        <v>49</v>
      </c>
      <c r="R4163" s="7"/>
      <c r="S4163" s="7"/>
      <c r="T4163" s="7"/>
      <c r="U4163" s="7"/>
      <c r="V4163" s="10">
        <v>9.5</v>
      </c>
      <c r="W4163" s="9">
        <v>44970</v>
      </c>
      <c r="X4163" s="10">
        <v>11.5</v>
      </c>
      <c r="Y4163" s="9">
        <v>44977</v>
      </c>
      <c r="Z4163">
        <v>7</v>
      </c>
      <c r="AA4163" s="11" t="s">
        <v>49</v>
      </c>
    </row>
    <row r="4164" spans="2:27" ht="16" x14ac:dyDescent="0.2">
      <c r="B4164" t="s">
        <v>35</v>
      </c>
      <c r="C4164">
        <v>40352076</v>
      </c>
      <c r="D4164" t="s">
        <v>409</v>
      </c>
      <c r="E4164">
        <v>1030379</v>
      </c>
      <c r="F4164" t="s">
        <v>97</v>
      </c>
      <c r="G4164" s="9">
        <v>44956</v>
      </c>
      <c r="H4164" s="7"/>
      <c r="I4164" s="7"/>
      <c r="J4164" s="7"/>
      <c r="K4164" s="7"/>
      <c r="L4164" s="10">
        <v>7.5</v>
      </c>
      <c r="M4164" s="9">
        <v>44963</v>
      </c>
      <c r="N4164" s="10">
        <v>9.5</v>
      </c>
      <c r="O4164" s="9">
        <v>44972</v>
      </c>
      <c r="P4164">
        <v>10</v>
      </c>
      <c r="Q4164" s="11" t="s">
        <v>49</v>
      </c>
      <c r="R4164" s="7"/>
      <c r="S4164" s="7"/>
      <c r="T4164" s="7"/>
      <c r="U4164" s="7"/>
      <c r="V4164" s="10">
        <v>9.5</v>
      </c>
      <c r="W4164" s="9">
        <v>44965</v>
      </c>
      <c r="X4164" s="10">
        <v>11.5</v>
      </c>
      <c r="Y4164" s="9">
        <v>44972</v>
      </c>
      <c r="Z4164">
        <v>10</v>
      </c>
      <c r="AA4164" s="11" t="s">
        <v>49</v>
      </c>
    </row>
    <row r="4165" spans="2:27" ht="16" x14ac:dyDescent="0.2">
      <c r="B4165" t="s">
        <v>35</v>
      </c>
      <c r="C4165">
        <v>40352075</v>
      </c>
      <c r="D4165" t="s">
        <v>409</v>
      </c>
      <c r="E4165">
        <v>1030379</v>
      </c>
      <c r="F4165" t="s">
        <v>97</v>
      </c>
      <c r="G4165" s="9">
        <v>44961</v>
      </c>
      <c r="H4165" s="7"/>
      <c r="I4165" s="7"/>
      <c r="J4165" s="7"/>
      <c r="K4165" s="7"/>
      <c r="L4165" s="10">
        <v>7.5</v>
      </c>
      <c r="M4165" s="9">
        <v>44968</v>
      </c>
      <c r="N4165" s="10">
        <v>9.5</v>
      </c>
      <c r="O4165" s="9">
        <v>44977</v>
      </c>
      <c r="P4165">
        <v>7</v>
      </c>
      <c r="Q4165" s="11" t="s">
        <v>49</v>
      </c>
      <c r="R4165" s="7"/>
      <c r="S4165" s="7"/>
      <c r="T4165" s="7"/>
      <c r="U4165" s="7"/>
      <c r="V4165" s="10">
        <v>9.5</v>
      </c>
      <c r="W4165" s="9">
        <v>44970</v>
      </c>
      <c r="X4165" s="10">
        <v>11.5</v>
      </c>
      <c r="Y4165" s="9">
        <v>44977</v>
      </c>
      <c r="Z4165">
        <v>7</v>
      </c>
      <c r="AA4165" s="11" t="s">
        <v>49</v>
      </c>
    </row>
    <row r="4166" spans="2:27" ht="16" x14ac:dyDescent="0.2">
      <c r="B4166" t="s">
        <v>35</v>
      </c>
      <c r="C4166">
        <v>40352073</v>
      </c>
      <c r="D4166" t="s">
        <v>409</v>
      </c>
      <c r="E4166">
        <v>1030379</v>
      </c>
      <c r="F4166" t="s">
        <v>97</v>
      </c>
      <c r="G4166" s="9">
        <v>44945</v>
      </c>
      <c r="H4166" s="7"/>
      <c r="I4166" s="7"/>
      <c r="J4166" s="7"/>
      <c r="K4166" s="7"/>
      <c r="L4166" s="10">
        <v>7.5</v>
      </c>
      <c r="M4166" s="9">
        <v>44952</v>
      </c>
      <c r="N4166" s="10">
        <v>9.5</v>
      </c>
      <c r="O4166" s="9">
        <v>44961</v>
      </c>
      <c r="P4166">
        <v>19</v>
      </c>
      <c r="Q4166" s="11" t="s">
        <v>49</v>
      </c>
      <c r="R4166" s="7"/>
      <c r="S4166" s="7"/>
      <c r="T4166" s="7"/>
      <c r="U4166" s="7"/>
      <c r="V4166" s="10">
        <v>9.5</v>
      </c>
      <c r="W4166" s="9">
        <v>44954</v>
      </c>
      <c r="X4166" s="10">
        <v>11.5</v>
      </c>
      <c r="Y4166" s="9">
        <v>44961</v>
      </c>
      <c r="Z4166">
        <v>19</v>
      </c>
      <c r="AA4166" s="11" t="s">
        <v>49</v>
      </c>
    </row>
    <row r="4167" spans="2:27" ht="16" x14ac:dyDescent="0.2">
      <c r="B4167" t="s">
        <v>35</v>
      </c>
      <c r="C4167">
        <v>40352072</v>
      </c>
      <c r="D4167" t="s">
        <v>409</v>
      </c>
      <c r="E4167">
        <v>1030379</v>
      </c>
      <c r="F4167" t="s">
        <v>97</v>
      </c>
      <c r="G4167" s="9">
        <v>44959</v>
      </c>
      <c r="H4167" s="7"/>
      <c r="I4167" s="7"/>
      <c r="J4167" s="7"/>
      <c r="K4167" s="7"/>
      <c r="L4167" s="10">
        <v>7.5</v>
      </c>
      <c r="M4167" s="9">
        <v>44966</v>
      </c>
      <c r="N4167" s="10">
        <v>9.5</v>
      </c>
      <c r="O4167" s="9">
        <v>44975</v>
      </c>
      <c r="P4167">
        <v>7</v>
      </c>
      <c r="Q4167" s="11" t="s">
        <v>49</v>
      </c>
      <c r="R4167" s="7"/>
      <c r="S4167" s="7"/>
      <c r="T4167" s="7"/>
      <c r="U4167" s="7"/>
      <c r="V4167" s="10">
        <v>9.5</v>
      </c>
      <c r="W4167" s="9">
        <v>44968</v>
      </c>
      <c r="X4167" s="10">
        <v>11.5</v>
      </c>
      <c r="Y4167" s="9">
        <v>44975</v>
      </c>
      <c r="Z4167">
        <v>7</v>
      </c>
      <c r="AA4167" s="11" t="s">
        <v>49</v>
      </c>
    </row>
    <row r="4168" spans="2:27" ht="16" x14ac:dyDescent="0.2">
      <c r="B4168" t="s">
        <v>35</v>
      </c>
      <c r="C4168">
        <v>40352071</v>
      </c>
      <c r="D4168" t="s">
        <v>409</v>
      </c>
      <c r="E4168">
        <v>1030379</v>
      </c>
      <c r="F4168" t="s">
        <v>97</v>
      </c>
      <c r="G4168" s="9">
        <v>44959</v>
      </c>
      <c r="H4168" s="7"/>
      <c r="I4168" s="7"/>
      <c r="J4168" s="7"/>
      <c r="K4168" s="7"/>
      <c r="L4168" s="10">
        <v>7.5</v>
      </c>
      <c r="M4168" s="9">
        <v>44966</v>
      </c>
      <c r="N4168" s="10">
        <v>9.5</v>
      </c>
      <c r="O4168" s="9">
        <v>44975</v>
      </c>
      <c r="P4168">
        <v>7</v>
      </c>
      <c r="Q4168" s="11" t="s">
        <v>49</v>
      </c>
      <c r="R4168" s="7"/>
      <c r="S4168" s="7"/>
      <c r="T4168" s="7"/>
      <c r="U4168" s="7"/>
      <c r="V4168" s="10">
        <v>9.5</v>
      </c>
      <c r="W4168" s="9">
        <v>44968</v>
      </c>
      <c r="X4168" s="10">
        <v>11.5</v>
      </c>
      <c r="Y4168" s="9">
        <v>44975</v>
      </c>
      <c r="Z4168">
        <v>7</v>
      </c>
      <c r="AA4168" s="11" t="s">
        <v>49</v>
      </c>
    </row>
    <row r="4169" spans="2:27" ht="16" x14ac:dyDescent="0.2">
      <c r="B4169" t="s">
        <v>35</v>
      </c>
      <c r="C4169">
        <v>40352070</v>
      </c>
      <c r="D4169" t="s">
        <v>409</v>
      </c>
      <c r="E4169">
        <v>1012518</v>
      </c>
      <c r="F4169" t="s">
        <v>65</v>
      </c>
      <c r="G4169" s="9">
        <v>44937</v>
      </c>
      <c r="H4169" s="7"/>
      <c r="I4169" s="7"/>
      <c r="J4169" s="7"/>
      <c r="K4169" s="7"/>
      <c r="L4169" s="10">
        <v>7.5</v>
      </c>
      <c r="M4169" s="9">
        <v>44944</v>
      </c>
      <c r="N4169" s="10">
        <v>9.5</v>
      </c>
      <c r="O4169" s="9">
        <v>44953</v>
      </c>
      <c r="P4169">
        <v>3</v>
      </c>
      <c r="Q4169" s="11" t="s">
        <v>49</v>
      </c>
      <c r="R4169" s="7"/>
      <c r="S4169" s="7"/>
      <c r="T4169" s="7"/>
      <c r="U4169" s="7"/>
      <c r="V4169" s="10">
        <v>9.5</v>
      </c>
      <c r="W4169" s="9">
        <v>44946</v>
      </c>
      <c r="X4169" s="10">
        <v>11.5</v>
      </c>
      <c r="Y4169" s="9">
        <v>44953</v>
      </c>
      <c r="Z4169">
        <v>3</v>
      </c>
      <c r="AA4169" s="11" t="s">
        <v>49</v>
      </c>
    </row>
    <row r="4170" spans="2:27" x14ac:dyDescent="0.2">
      <c r="B4170" t="s">
        <v>394</v>
      </c>
      <c r="C4170">
        <v>40352065</v>
      </c>
      <c r="D4170" t="s">
        <v>396</v>
      </c>
      <c r="E4170">
        <v>1023038</v>
      </c>
      <c r="F4170" t="s">
        <v>397</v>
      </c>
      <c r="G4170" s="9">
        <v>44958</v>
      </c>
      <c r="H4170" s="7"/>
      <c r="I4170" s="7"/>
      <c r="J4170" s="7"/>
      <c r="K4170" s="7"/>
      <c r="L4170" s="10"/>
      <c r="N4170" s="10"/>
      <c r="Q4170" s="11"/>
      <c r="R4170" s="7"/>
      <c r="S4170" s="7"/>
      <c r="T4170" s="7"/>
      <c r="U4170" s="7"/>
      <c r="V4170" s="10"/>
      <c r="X4170" s="10"/>
      <c r="AA4170" s="11"/>
    </row>
    <row r="4171" spans="2:27" x14ac:dyDescent="0.2">
      <c r="B4171" t="s">
        <v>394</v>
      </c>
      <c r="C4171">
        <v>40352064</v>
      </c>
      <c r="D4171" t="s">
        <v>396</v>
      </c>
      <c r="E4171">
        <v>1023038</v>
      </c>
      <c r="F4171" t="s">
        <v>397</v>
      </c>
      <c r="G4171" s="9">
        <v>44959</v>
      </c>
      <c r="H4171" s="7"/>
      <c r="I4171" s="7"/>
      <c r="J4171" s="7"/>
      <c r="K4171" s="7"/>
      <c r="L4171" s="10"/>
      <c r="N4171" s="10"/>
      <c r="Q4171" s="11"/>
      <c r="R4171" s="7"/>
      <c r="S4171" s="7"/>
      <c r="T4171" s="7"/>
      <c r="U4171" s="7"/>
      <c r="V4171" s="10"/>
      <c r="X4171" s="10"/>
      <c r="AA4171" s="11"/>
    </row>
    <row r="4172" spans="2:27" x14ac:dyDescent="0.2">
      <c r="B4172" t="s">
        <v>394</v>
      </c>
      <c r="C4172">
        <v>40352058</v>
      </c>
      <c r="D4172" t="s">
        <v>396</v>
      </c>
      <c r="E4172">
        <v>1021012</v>
      </c>
      <c r="F4172" t="s">
        <v>612</v>
      </c>
      <c r="G4172" s="9">
        <v>44943</v>
      </c>
      <c r="H4172" s="7"/>
      <c r="I4172" s="7"/>
      <c r="J4172" s="7"/>
      <c r="K4172" s="7"/>
      <c r="L4172" s="10"/>
      <c r="N4172" s="10"/>
      <c r="Q4172" s="11"/>
      <c r="R4172" s="7"/>
      <c r="S4172" s="7"/>
      <c r="T4172" s="7"/>
      <c r="U4172" s="7"/>
      <c r="V4172" s="10"/>
      <c r="X4172" s="10"/>
      <c r="AA4172" s="11"/>
    </row>
    <row r="4173" spans="2:27" ht="16" x14ac:dyDescent="0.2">
      <c r="B4173" t="s">
        <v>35</v>
      </c>
      <c r="C4173">
        <v>40352048</v>
      </c>
      <c r="D4173" t="s">
        <v>423</v>
      </c>
      <c r="E4173">
        <v>1030658</v>
      </c>
      <c r="F4173" t="s">
        <v>371</v>
      </c>
      <c r="G4173" s="9">
        <v>44919</v>
      </c>
      <c r="H4173" s="7"/>
      <c r="I4173" s="7"/>
      <c r="J4173" s="7"/>
      <c r="K4173" s="7"/>
      <c r="L4173" s="10">
        <v>5.4496124031007751</v>
      </c>
      <c r="M4173" s="9">
        <v>44924</v>
      </c>
      <c r="N4173" s="10">
        <v>10</v>
      </c>
      <c r="O4173" s="9">
        <v>44934</v>
      </c>
      <c r="P4173">
        <v>20</v>
      </c>
      <c r="Q4173" s="11" t="s">
        <v>49</v>
      </c>
      <c r="R4173" s="7"/>
      <c r="S4173" s="7"/>
      <c r="T4173" s="7"/>
      <c r="U4173" s="7"/>
      <c r="V4173" s="10">
        <v>7.4496124031007751</v>
      </c>
      <c r="W4173" s="9">
        <v>44926</v>
      </c>
      <c r="X4173" s="10">
        <v>12</v>
      </c>
      <c r="Y4173" s="9">
        <v>44934</v>
      </c>
      <c r="Z4173">
        <v>20</v>
      </c>
      <c r="AA4173" s="11" t="s">
        <v>49</v>
      </c>
    </row>
    <row r="4174" spans="2:27" ht="16" x14ac:dyDescent="0.2">
      <c r="B4174" t="s">
        <v>35</v>
      </c>
      <c r="C4174">
        <v>40352046</v>
      </c>
      <c r="D4174" t="s">
        <v>423</v>
      </c>
      <c r="E4174">
        <v>1030658</v>
      </c>
      <c r="F4174" t="s">
        <v>371</v>
      </c>
      <c r="G4174" s="9">
        <v>44941</v>
      </c>
      <c r="H4174" s="7"/>
      <c r="I4174" s="7"/>
      <c r="J4174" s="7"/>
      <c r="K4174" s="7"/>
      <c r="L4174" s="10">
        <v>5.4496124031007751</v>
      </c>
      <c r="M4174" s="9">
        <v>44946</v>
      </c>
      <c r="N4174" s="10">
        <v>10</v>
      </c>
      <c r="O4174" s="9">
        <v>44956</v>
      </c>
      <c r="P4174">
        <v>1</v>
      </c>
      <c r="Q4174" s="11" t="s">
        <v>648</v>
      </c>
      <c r="R4174" s="7"/>
      <c r="S4174" s="7"/>
      <c r="T4174" s="7"/>
      <c r="U4174" s="7"/>
      <c r="V4174" s="10">
        <v>7.4496124031007751</v>
      </c>
      <c r="W4174" s="9">
        <v>44948</v>
      </c>
      <c r="X4174" s="10">
        <v>12</v>
      </c>
      <c r="Y4174" s="9">
        <v>44956</v>
      </c>
      <c r="Z4174">
        <v>1</v>
      </c>
      <c r="AA4174" s="11" t="s">
        <v>648</v>
      </c>
    </row>
    <row r="4175" spans="2:27" ht="16" x14ac:dyDescent="0.2">
      <c r="B4175" t="s">
        <v>35</v>
      </c>
      <c r="C4175">
        <v>40352045</v>
      </c>
      <c r="D4175" t="s">
        <v>423</v>
      </c>
      <c r="E4175">
        <v>1030658</v>
      </c>
      <c r="F4175" t="s">
        <v>371</v>
      </c>
      <c r="G4175" s="9">
        <v>44919</v>
      </c>
      <c r="H4175" s="7"/>
      <c r="I4175" s="7"/>
      <c r="J4175" s="7"/>
      <c r="K4175" s="7"/>
      <c r="L4175" s="10">
        <v>5.4496124031007751</v>
      </c>
      <c r="M4175" s="9">
        <v>44924</v>
      </c>
      <c r="N4175" s="10">
        <v>10</v>
      </c>
      <c r="O4175" s="9">
        <v>44934</v>
      </c>
      <c r="P4175">
        <v>20</v>
      </c>
      <c r="Q4175" s="11" t="s">
        <v>49</v>
      </c>
      <c r="R4175" s="7"/>
      <c r="S4175" s="7"/>
      <c r="T4175" s="7"/>
      <c r="U4175" s="7"/>
      <c r="V4175" s="10">
        <v>7.4496124031007751</v>
      </c>
      <c r="W4175" s="9">
        <v>44926</v>
      </c>
      <c r="X4175" s="10">
        <v>12</v>
      </c>
      <c r="Y4175" s="9">
        <v>44934</v>
      </c>
      <c r="Z4175">
        <v>20</v>
      </c>
      <c r="AA4175" s="11" t="s">
        <v>49</v>
      </c>
    </row>
    <row r="4176" spans="2:27" ht="16" x14ac:dyDescent="0.2">
      <c r="B4176" t="s">
        <v>35</v>
      </c>
      <c r="C4176">
        <v>40352043</v>
      </c>
      <c r="D4176" t="s">
        <v>423</v>
      </c>
      <c r="E4176">
        <v>1030658</v>
      </c>
      <c r="F4176" t="s">
        <v>371</v>
      </c>
      <c r="G4176" s="9">
        <v>44927</v>
      </c>
      <c r="H4176" s="7"/>
      <c r="I4176" s="7"/>
      <c r="J4176" s="7"/>
      <c r="K4176" s="7"/>
      <c r="L4176" s="10">
        <v>5.4496124031007751</v>
      </c>
      <c r="M4176" s="9">
        <v>44932</v>
      </c>
      <c r="N4176" s="10">
        <v>10</v>
      </c>
      <c r="O4176" s="9">
        <v>44942</v>
      </c>
      <c r="P4176">
        <v>13</v>
      </c>
      <c r="Q4176" s="11" t="s">
        <v>49</v>
      </c>
      <c r="R4176" s="7"/>
      <c r="S4176" s="7"/>
      <c r="T4176" s="7"/>
      <c r="U4176" s="7"/>
      <c r="V4176" s="10">
        <v>7.4496124031007751</v>
      </c>
      <c r="W4176" s="9">
        <v>44934</v>
      </c>
      <c r="X4176" s="10">
        <v>12</v>
      </c>
      <c r="Y4176" s="9">
        <v>44942</v>
      </c>
      <c r="Z4176">
        <v>13</v>
      </c>
      <c r="AA4176" s="11" t="s">
        <v>49</v>
      </c>
    </row>
    <row r="4177" spans="2:27" ht="16" x14ac:dyDescent="0.2">
      <c r="B4177" t="s">
        <v>35</v>
      </c>
      <c r="C4177">
        <v>40352040</v>
      </c>
      <c r="D4177" t="s">
        <v>423</v>
      </c>
      <c r="E4177">
        <v>1030658</v>
      </c>
      <c r="F4177" t="s">
        <v>371</v>
      </c>
      <c r="G4177" s="9">
        <v>44935</v>
      </c>
      <c r="H4177" s="7"/>
      <c r="I4177" s="7"/>
      <c r="J4177" s="7"/>
      <c r="K4177" s="7"/>
      <c r="L4177" s="10">
        <v>5.4496124031007751</v>
      </c>
      <c r="M4177" s="9">
        <v>44940</v>
      </c>
      <c r="N4177" s="10">
        <v>10</v>
      </c>
      <c r="O4177" s="9">
        <v>44950</v>
      </c>
      <c r="P4177">
        <v>6</v>
      </c>
      <c r="Q4177" s="11" t="s">
        <v>49</v>
      </c>
      <c r="R4177" s="7"/>
      <c r="S4177" s="7"/>
      <c r="T4177" s="7"/>
      <c r="U4177" s="7"/>
      <c r="V4177" s="10">
        <v>7.4496124031007751</v>
      </c>
      <c r="W4177" s="9">
        <v>44942</v>
      </c>
      <c r="X4177" s="10">
        <v>12</v>
      </c>
      <c r="Y4177" s="9">
        <v>44950</v>
      </c>
      <c r="Z4177">
        <v>6</v>
      </c>
      <c r="AA4177" s="11" t="s">
        <v>49</v>
      </c>
    </row>
    <row r="4178" spans="2:27" ht="16" x14ac:dyDescent="0.2">
      <c r="B4178" t="s">
        <v>35</v>
      </c>
      <c r="C4178">
        <v>40352039</v>
      </c>
      <c r="D4178" t="s">
        <v>423</v>
      </c>
      <c r="E4178">
        <v>1030810</v>
      </c>
      <c r="F4178" t="s">
        <v>375</v>
      </c>
      <c r="G4178" s="9">
        <v>44941</v>
      </c>
      <c r="H4178" s="7"/>
      <c r="I4178" s="7"/>
      <c r="J4178" s="7"/>
      <c r="K4178" s="7"/>
      <c r="L4178" s="10">
        <v>5.4496124031007751</v>
      </c>
      <c r="M4178" s="9">
        <v>44946</v>
      </c>
      <c r="N4178" s="10">
        <v>10</v>
      </c>
      <c r="O4178" s="9">
        <v>44956</v>
      </c>
      <c r="P4178">
        <v>1</v>
      </c>
      <c r="Q4178" s="11" t="s">
        <v>648</v>
      </c>
      <c r="R4178" s="7"/>
      <c r="S4178" s="7"/>
      <c r="T4178" s="7"/>
      <c r="U4178" s="7"/>
      <c r="V4178" s="10">
        <v>7.4496124031007751</v>
      </c>
      <c r="W4178" s="9">
        <v>44948</v>
      </c>
      <c r="X4178" s="10">
        <v>12</v>
      </c>
      <c r="Y4178" s="9">
        <v>44956</v>
      </c>
      <c r="Z4178">
        <v>1</v>
      </c>
      <c r="AA4178" s="11" t="s">
        <v>648</v>
      </c>
    </row>
    <row r="4179" spans="2:27" ht="16" x14ac:dyDescent="0.2">
      <c r="B4179" t="s">
        <v>35</v>
      </c>
      <c r="C4179">
        <v>40352038</v>
      </c>
      <c r="D4179" t="s">
        <v>423</v>
      </c>
      <c r="E4179">
        <v>1030810</v>
      </c>
      <c r="F4179" t="s">
        <v>375</v>
      </c>
      <c r="G4179" s="9">
        <v>44919</v>
      </c>
      <c r="H4179" s="7"/>
      <c r="I4179" s="7"/>
      <c r="J4179" s="7"/>
      <c r="K4179" s="7"/>
      <c r="L4179" s="10">
        <v>5.4496124031007751</v>
      </c>
      <c r="M4179" s="9">
        <v>44924</v>
      </c>
      <c r="N4179" s="10">
        <v>10</v>
      </c>
      <c r="O4179" s="9">
        <v>44934</v>
      </c>
      <c r="P4179">
        <v>20</v>
      </c>
      <c r="Q4179" s="11" t="s">
        <v>49</v>
      </c>
      <c r="R4179" s="7"/>
      <c r="S4179" s="7"/>
      <c r="T4179" s="7"/>
      <c r="U4179" s="7"/>
      <c r="V4179" s="10">
        <v>7.4496124031007751</v>
      </c>
      <c r="W4179" s="9">
        <v>44926</v>
      </c>
      <c r="X4179" s="10">
        <v>12</v>
      </c>
      <c r="Y4179" s="9">
        <v>44934</v>
      </c>
      <c r="Z4179">
        <v>20</v>
      </c>
      <c r="AA4179" s="11" t="s">
        <v>49</v>
      </c>
    </row>
    <row r="4180" spans="2:27" ht="16" x14ac:dyDescent="0.2">
      <c r="B4180" t="s">
        <v>35</v>
      </c>
      <c r="C4180">
        <v>40352037</v>
      </c>
      <c r="D4180" t="s">
        <v>423</v>
      </c>
      <c r="E4180">
        <v>1030337</v>
      </c>
      <c r="F4180" t="s">
        <v>369</v>
      </c>
      <c r="G4180" s="9">
        <v>44927</v>
      </c>
      <c r="H4180" s="7"/>
      <c r="I4180" s="7"/>
      <c r="J4180" s="7"/>
      <c r="K4180" s="7"/>
      <c r="L4180" s="10">
        <v>5.4496124031007751</v>
      </c>
      <c r="M4180" s="9">
        <v>44932</v>
      </c>
      <c r="N4180" s="10">
        <v>10</v>
      </c>
      <c r="O4180" s="9">
        <v>44942</v>
      </c>
      <c r="P4180">
        <v>13</v>
      </c>
      <c r="Q4180" s="11" t="s">
        <v>49</v>
      </c>
      <c r="R4180" s="7"/>
      <c r="S4180" s="7"/>
      <c r="T4180" s="7"/>
      <c r="U4180" s="7"/>
      <c r="V4180" s="10">
        <v>7.4496124031007751</v>
      </c>
      <c r="W4180" s="9">
        <v>44934</v>
      </c>
      <c r="X4180" s="10">
        <v>12</v>
      </c>
      <c r="Y4180" s="9">
        <v>44942</v>
      </c>
      <c r="Z4180">
        <v>13</v>
      </c>
      <c r="AA4180" s="11" t="s">
        <v>49</v>
      </c>
    </row>
    <row r="4181" spans="2:27" ht="16" x14ac:dyDescent="0.2">
      <c r="B4181" t="s">
        <v>35</v>
      </c>
      <c r="C4181">
        <v>40352034</v>
      </c>
      <c r="D4181" t="s">
        <v>423</v>
      </c>
      <c r="E4181">
        <v>1030337</v>
      </c>
      <c r="F4181" t="s">
        <v>369</v>
      </c>
      <c r="G4181" s="9">
        <v>44935</v>
      </c>
      <c r="H4181" s="7"/>
      <c r="I4181" s="7"/>
      <c r="J4181" s="7"/>
      <c r="K4181" s="7"/>
      <c r="L4181" s="10">
        <v>5.4496124031007751</v>
      </c>
      <c r="M4181" s="9">
        <v>44940</v>
      </c>
      <c r="N4181" s="10">
        <v>10</v>
      </c>
      <c r="O4181" s="9">
        <v>44950</v>
      </c>
      <c r="P4181">
        <v>6</v>
      </c>
      <c r="Q4181" s="11" t="s">
        <v>49</v>
      </c>
      <c r="R4181" s="7"/>
      <c r="S4181" s="7"/>
      <c r="T4181" s="7"/>
      <c r="U4181" s="7"/>
      <c r="V4181" s="10">
        <v>7.4496124031007751</v>
      </c>
      <c r="W4181" s="9">
        <v>44942</v>
      </c>
      <c r="X4181" s="10">
        <v>12</v>
      </c>
      <c r="Y4181" s="9">
        <v>44950</v>
      </c>
      <c r="Z4181">
        <v>6</v>
      </c>
      <c r="AA4181" s="11" t="s">
        <v>49</v>
      </c>
    </row>
    <row r="4182" spans="2:27" ht="16" x14ac:dyDescent="0.2">
      <c r="B4182" t="s">
        <v>35</v>
      </c>
      <c r="C4182">
        <v>40352026</v>
      </c>
      <c r="D4182" t="s">
        <v>423</v>
      </c>
      <c r="E4182">
        <v>1023218</v>
      </c>
      <c r="F4182" t="s">
        <v>265</v>
      </c>
      <c r="G4182" s="9">
        <v>44935</v>
      </c>
      <c r="H4182" s="7"/>
      <c r="I4182" s="7"/>
      <c r="J4182" s="7"/>
      <c r="K4182" s="7"/>
      <c r="L4182" s="10">
        <v>5.4496124031007751</v>
      </c>
      <c r="M4182" s="9">
        <v>44940</v>
      </c>
      <c r="N4182" s="10">
        <v>10</v>
      </c>
      <c r="O4182" s="9">
        <v>44950</v>
      </c>
      <c r="P4182">
        <v>6</v>
      </c>
      <c r="Q4182" s="11" t="s">
        <v>49</v>
      </c>
      <c r="R4182" s="7"/>
      <c r="S4182" s="7"/>
      <c r="T4182" s="7"/>
      <c r="U4182" s="7"/>
      <c r="V4182" s="10">
        <v>7.4496124031007751</v>
      </c>
      <c r="W4182" s="9">
        <v>44942</v>
      </c>
      <c r="X4182" s="10">
        <v>12</v>
      </c>
      <c r="Y4182" s="9">
        <v>44950</v>
      </c>
      <c r="Z4182">
        <v>6</v>
      </c>
      <c r="AA4182" s="11" t="s">
        <v>49</v>
      </c>
    </row>
    <row r="4183" spans="2:27" ht="16" x14ac:dyDescent="0.2">
      <c r="B4183" t="s">
        <v>35</v>
      </c>
      <c r="C4183">
        <v>40352024</v>
      </c>
      <c r="D4183" t="s">
        <v>423</v>
      </c>
      <c r="E4183">
        <v>1023218</v>
      </c>
      <c r="F4183" t="s">
        <v>265</v>
      </c>
      <c r="G4183" s="9">
        <v>44935</v>
      </c>
      <c r="H4183" s="7"/>
      <c r="I4183" s="7"/>
      <c r="J4183" s="7"/>
      <c r="K4183" s="7"/>
      <c r="L4183" s="10">
        <v>5.4496124031007751</v>
      </c>
      <c r="M4183" s="9">
        <v>44940</v>
      </c>
      <c r="N4183" s="10">
        <v>10</v>
      </c>
      <c r="O4183" s="9">
        <v>44950</v>
      </c>
      <c r="P4183">
        <v>6</v>
      </c>
      <c r="Q4183" s="11" t="s">
        <v>49</v>
      </c>
      <c r="R4183" s="7"/>
      <c r="S4183" s="7"/>
      <c r="T4183" s="7"/>
      <c r="U4183" s="7"/>
      <c r="V4183" s="10">
        <v>7.4496124031007751</v>
      </c>
      <c r="W4183" s="9">
        <v>44942</v>
      </c>
      <c r="X4183" s="10">
        <v>12</v>
      </c>
      <c r="Y4183" s="9">
        <v>44950</v>
      </c>
      <c r="Z4183">
        <v>6</v>
      </c>
      <c r="AA4183" s="11" t="s">
        <v>49</v>
      </c>
    </row>
    <row r="4184" spans="2:27" ht="16" x14ac:dyDescent="0.2">
      <c r="B4184" t="s">
        <v>35</v>
      </c>
      <c r="C4184">
        <v>40352023</v>
      </c>
      <c r="D4184" t="s">
        <v>423</v>
      </c>
      <c r="E4184">
        <v>1023324</v>
      </c>
      <c r="F4184" t="s">
        <v>269</v>
      </c>
      <c r="G4184" s="9">
        <v>44919</v>
      </c>
      <c r="H4184" s="7"/>
      <c r="I4184" s="7"/>
      <c r="J4184" s="7"/>
      <c r="K4184" s="7"/>
      <c r="L4184" s="10">
        <v>5.4496124031007751</v>
      </c>
      <c r="M4184" s="9">
        <v>44924</v>
      </c>
      <c r="N4184" s="10">
        <v>10</v>
      </c>
      <c r="O4184" s="9">
        <v>44934</v>
      </c>
      <c r="P4184">
        <v>20</v>
      </c>
      <c r="Q4184" s="11" t="s">
        <v>49</v>
      </c>
      <c r="R4184" s="7"/>
      <c r="S4184" s="7"/>
      <c r="T4184" s="7"/>
      <c r="U4184" s="7"/>
      <c r="V4184" s="10">
        <v>7.4496124031007751</v>
      </c>
      <c r="W4184" s="9">
        <v>44926</v>
      </c>
      <c r="X4184" s="10">
        <v>12</v>
      </c>
      <c r="Y4184" s="9">
        <v>44934</v>
      </c>
      <c r="Z4184">
        <v>20</v>
      </c>
      <c r="AA4184" s="11" t="s">
        <v>49</v>
      </c>
    </row>
    <row r="4185" spans="2:27" ht="16" x14ac:dyDescent="0.2">
      <c r="B4185" t="s">
        <v>35</v>
      </c>
      <c r="C4185">
        <v>40352021</v>
      </c>
      <c r="D4185" t="s">
        <v>423</v>
      </c>
      <c r="E4185">
        <v>1023324</v>
      </c>
      <c r="F4185" t="s">
        <v>269</v>
      </c>
      <c r="G4185" s="9">
        <v>44935</v>
      </c>
      <c r="H4185" s="7"/>
      <c r="I4185" s="7"/>
      <c r="J4185" s="7"/>
      <c r="K4185" s="7"/>
      <c r="L4185" s="10">
        <v>5.4496124031007751</v>
      </c>
      <c r="M4185" s="9">
        <v>44940</v>
      </c>
      <c r="N4185" s="10">
        <v>10</v>
      </c>
      <c r="O4185" s="9">
        <v>44950</v>
      </c>
      <c r="P4185">
        <v>6</v>
      </c>
      <c r="Q4185" s="11" t="s">
        <v>49</v>
      </c>
      <c r="R4185" s="7"/>
      <c r="S4185" s="7"/>
      <c r="T4185" s="7"/>
      <c r="U4185" s="7"/>
      <c r="V4185" s="10">
        <v>7.4496124031007751</v>
      </c>
      <c r="W4185" s="9">
        <v>44942</v>
      </c>
      <c r="X4185" s="10">
        <v>12</v>
      </c>
      <c r="Y4185" s="9">
        <v>44950</v>
      </c>
      <c r="Z4185">
        <v>6</v>
      </c>
      <c r="AA4185" s="11" t="s">
        <v>49</v>
      </c>
    </row>
    <row r="4186" spans="2:27" ht="16" x14ac:dyDescent="0.2">
      <c r="B4186" t="s">
        <v>35</v>
      </c>
      <c r="C4186">
        <v>40352020</v>
      </c>
      <c r="D4186" t="s">
        <v>423</v>
      </c>
      <c r="E4186">
        <v>1023324</v>
      </c>
      <c r="F4186" t="s">
        <v>269</v>
      </c>
      <c r="G4186" s="9">
        <v>44919</v>
      </c>
      <c r="H4186" s="7"/>
      <c r="I4186" s="7"/>
      <c r="J4186" s="7"/>
      <c r="K4186" s="7"/>
      <c r="L4186" s="10">
        <v>5.4496124031007751</v>
      </c>
      <c r="M4186" s="9">
        <v>44924</v>
      </c>
      <c r="N4186" s="10">
        <v>10</v>
      </c>
      <c r="O4186" s="9">
        <v>44934</v>
      </c>
      <c r="P4186">
        <v>20</v>
      </c>
      <c r="Q4186" s="11" t="s">
        <v>49</v>
      </c>
      <c r="R4186" s="7"/>
      <c r="S4186" s="7"/>
      <c r="T4186" s="7"/>
      <c r="U4186" s="7"/>
      <c r="V4186" s="10">
        <v>7.4496124031007751</v>
      </c>
      <c r="W4186" s="9">
        <v>44926</v>
      </c>
      <c r="X4186" s="10">
        <v>12</v>
      </c>
      <c r="Y4186" s="9">
        <v>44934</v>
      </c>
      <c r="Z4186">
        <v>20</v>
      </c>
      <c r="AA4186" s="11" t="s">
        <v>49</v>
      </c>
    </row>
    <row r="4187" spans="2:27" ht="16" x14ac:dyDescent="0.2">
      <c r="B4187" t="s">
        <v>35</v>
      </c>
      <c r="C4187">
        <v>40352019</v>
      </c>
      <c r="D4187" t="s">
        <v>423</v>
      </c>
      <c r="E4187">
        <v>1023219</v>
      </c>
      <c r="F4187" t="s">
        <v>267</v>
      </c>
      <c r="G4187" s="9">
        <v>44919</v>
      </c>
      <c r="H4187" s="7"/>
      <c r="I4187" s="7"/>
      <c r="J4187" s="7"/>
      <c r="K4187" s="7"/>
      <c r="L4187" s="10">
        <v>5.4496124031007751</v>
      </c>
      <c r="M4187" s="9">
        <v>44924</v>
      </c>
      <c r="N4187" s="10">
        <v>10</v>
      </c>
      <c r="O4187" s="9">
        <v>44934</v>
      </c>
      <c r="P4187">
        <v>20</v>
      </c>
      <c r="Q4187" s="11" t="s">
        <v>49</v>
      </c>
      <c r="R4187" s="7"/>
      <c r="S4187" s="7"/>
      <c r="T4187" s="7"/>
      <c r="U4187" s="7"/>
      <c r="V4187" s="10">
        <v>7.4496124031007751</v>
      </c>
      <c r="W4187" s="9">
        <v>44926</v>
      </c>
      <c r="X4187" s="10">
        <v>12</v>
      </c>
      <c r="Y4187" s="9">
        <v>44934</v>
      </c>
      <c r="Z4187">
        <v>20</v>
      </c>
      <c r="AA4187" s="11" t="s">
        <v>49</v>
      </c>
    </row>
    <row r="4188" spans="2:27" ht="16" x14ac:dyDescent="0.2">
      <c r="B4188" t="s">
        <v>35</v>
      </c>
      <c r="C4188">
        <v>40352019</v>
      </c>
      <c r="D4188" t="s">
        <v>423</v>
      </c>
      <c r="E4188">
        <v>1023219</v>
      </c>
      <c r="F4188" t="s">
        <v>267</v>
      </c>
      <c r="G4188" s="9">
        <v>44919</v>
      </c>
      <c r="H4188" s="7"/>
      <c r="I4188" s="7"/>
      <c r="J4188" s="7"/>
      <c r="K4188" s="7"/>
      <c r="L4188" s="10">
        <v>5.4496124031007751</v>
      </c>
      <c r="M4188" s="9">
        <v>44924</v>
      </c>
      <c r="N4188" s="10">
        <v>10</v>
      </c>
      <c r="O4188" s="9">
        <v>44934</v>
      </c>
      <c r="P4188">
        <v>20</v>
      </c>
      <c r="Q4188" s="11" t="s">
        <v>49</v>
      </c>
      <c r="R4188" s="7"/>
      <c r="S4188" s="7"/>
      <c r="T4188" s="7"/>
      <c r="U4188" s="7"/>
      <c r="V4188" s="10">
        <v>7.4496124031007751</v>
      </c>
      <c r="W4188" s="9">
        <v>44926</v>
      </c>
      <c r="X4188" s="10">
        <v>12</v>
      </c>
      <c r="Y4188" s="9">
        <v>44934</v>
      </c>
      <c r="Z4188">
        <v>20</v>
      </c>
      <c r="AA4188" s="11" t="s">
        <v>49</v>
      </c>
    </row>
    <row r="4189" spans="2:27" ht="16" x14ac:dyDescent="0.2">
      <c r="B4189" t="s">
        <v>35</v>
      </c>
      <c r="C4189">
        <v>40352018</v>
      </c>
      <c r="D4189" t="s">
        <v>423</v>
      </c>
      <c r="E4189">
        <v>1023219</v>
      </c>
      <c r="F4189" t="s">
        <v>267</v>
      </c>
      <c r="G4189" s="9">
        <v>44935</v>
      </c>
      <c r="H4189" s="7"/>
      <c r="I4189" s="7"/>
      <c r="J4189" s="7"/>
      <c r="K4189" s="7"/>
      <c r="L4189" s="10">
        <v>5.4496124031007751</v>
      </c>
      <c r="M4189" s="9">
        <v>44940</v>
      </c>
      <c r="N4189" s="10">
        <v>10</v>
      </c>
      <c r="O4189" s="9">
        <v>44950</v>
      </c>
      <c r="P4189">
        <v>6</v>
      </c>
      <c r="Q4189" s="11" t="s">
        <v>49</v>
      </c>
      <c r="R4189" s="7"/>
      <c r="S4189" s="7"/>
      <c r="T4189" s="7"/>
      <c r="U4189" s="7"/>
      <c r="V4189" s="10">
        <v>7.4496124031007751</v>
      </c>
      <c r="W4189" s="9">
        <v>44942</v>
      </c>
      <c r="X4189" s="10">
        <v>12</v>
      </c>
      <c r="Y4189" s="9">
        <v>44950</v>
      </c>
      <c r="Z4189">
        <v>6</v>
      </c>
      <c r="AA4189" s="11" t="s">
        <v>49</v>
      </c>
    </row>
    <row r="4190" spans="2:27" ht="16" x14ac:dyDescent="0.2">
      <c r="B4190" t="s">
        <v>35</v>
      </c>
      <c r="C4190">
        <v>40352018</v>
      </c>
      <c r="D4190" t="s">
        <v>423</v>
      </c>
      <c r="E4190">
        <v>1023219</v>
      </c>
      <c r="F4190" t="s">
        <v>267</v>
      </c>
      <c r="G4190" s="9">
        <v>44935</v>
      </c>
      <c r="H4190" s="7"/>
      <c r="I4190" s="7"/>
      <c r="J4190" s="7"/>
      <c r="K4190" s="7"/>
      <c r="L4190" s="10">
        <v>5.4496124031007751</v>
      </c>
      <c r="M4190" s="9">
        <v>44940</v>
      </c>
      <c r="N4190" s="10">
        <v>10</v>
      </c>
      <c r="O4190" s="9">
        <v>44950</v>
      </c>
      <c r="P4190">
        <v>6</v>
      </c>
      <c r="Q4190" s="11" t="s">
        <v>49</v>
      </c>
      <c r="R4190" s="7"/>
      <c r="S4190" s="7"/>
      <c r="T4190" s="7"/>
      <c r="U4190" s="7"/>
      <c r="V4190" s="10">
        <v>7.4496124031007751</v>
      </c>
      <c r="W4190" s="9">
        <v>44942</v>
      </c>
      <c r="X4190" s="10">
        <v>12</v>
      </c>
      <c r="Y4190" s="9">
        <v>44950</v>
      </c>
      <c r="Z4190">
        <v>6</v>
      </c>
      <c r="AA4190" s="11" t="s">
        <v>49</v>
      </c>
    </row>
    <row r="4191" spans="2:27" ht="16" x14ac:dyDescent="0.2">
      <c r="B4191" t="s">
        <v>35</v>
      </c>
      <c r="C4191">
        <v>40352005</v>
      </c>
      <c r="D4191" t="s">
        <v>423</v>
      </c>
      <c r="E4191">
        <v>1021555</v>
      </c>
      <c r="F4191" t="s">
        <v>422</v>
      </c>
      <c r="G4191" s="9">
        <v>44945</v>
      </c>
      <c r="H4191" s="7"/>
      <c r="I4191" s="7"/>
      <c r="J4191" s="7"/>
      <c r="K4191" s="7"/>
      <c r="L4191" s="10">
        <v>5.4496124031007751</v>
      </c>
      <c r="M4191" s="9">
        <v>44950</v>
      </c>
      <c r="N4191" s="10">
        <v>10</v>
      </c>
      <c r="O4191" s="9">
        <v>44960</v>
      </c>
      <c r="P4191">
        <v>20</v>
      </c>
      <c r="Q4191" s="11" t="s">
        <v>49</v>
      </c>
      <c r="R4191" s="7"/>
      <c r="S4191" s="7"/>
      <c r="T4191" s="7"/>
      <c r="U4191" s="7"/>
      <c r="V4191" s="10">
        <v>7.4496124031007751</v>
      </c>
      <c r="W4191" s="9">
        <v>44952</v>
      </c>
      <c r="X4191" s="10">
        <v>12</v>
      </c>
      <c r="Y4191" s="9">
        <v>44960</v>
      </c>
      <c r="Z4191">
        <v>20</v>
      </c>
      <c r="AA4191" s="11" t="s">
        <v>49</v>
      </c>
    </row>
    <row r="4192" spans="2:27" ht="16" x14ac:dyDescent="0.2">
      <c r="B4192" t="s">
        <v>35</v>
      </c>
      <c r="C4192">
        <v>40352004</v>
      </c>
      <c r="D4192" t="s">
        <v>423</v>
      </c>
      <c r="E4192">
        <v>1021555</v>
      </c>
      <c r="F4192" t="s">
        <v>422</v>
      </c>
      <c r="G4192" s="9">
        <v>44945</v>
      </c>
      <c r="H4192" s="7"/>
      <c r="I4192" s="7"/>
      <c r="J4192" s="7"/>
      <c r="K4192" s="7"/>
      <c r="L4192" s="10">
        <v>5.4496124031007751</v>
      </c>
      <c r="M4192" s="9">
        <v>44950</v>
      </c>
      <c r="N4192" s="10">
        <v>10</v>
      </c>
      <c r="O4192" s="9">
        <v>44960</v>
      </c>
      <c r="P4192">
        <v>20</v>
      </c>
      <c r="Q4192" s="11" t="s">
        <v>49</v>
      </c>
      <c r="R4192" s="7"/>
      <c r="S4192" s="7"/>
      <c r="T4192" s="7"/>
      <c r="U4192" s="7"/>
      <c r="V4192" s="10">
        <v>7.4496124031007751</v>
      </c>
      <c r="W4192" s="9">
        <v>44952</v>
      </c>
      <c r="X4192" s="10">
        <v>12</v>
      </c>
      <c r="Y4192" s="9">
        <v>44960</v>
      </c>
      <c r="Z4192">
        <v>20</v>
      </c>
      <c r="AA4192" s="11" t="s">
        <v>49</v>
      </c>
    </row>
    <row r="4193" spans="2:27" ht="16" x14ac:dyDescent="0.2">
      <c r="B4193" t="s">
        <v>35</v>
      </c>
      <c r="C4193">
        <v>40352003</v>
      </c>
      <c r="D4193" t="s">
        <v>423</v>
      </c>
      <c r="E4193">
        <v>1021555</v>
      </c>
      <c r="F4193" t="s">
        <v>422</v>
      </c>
      <c r="G4193" s="9">
        <v>44945</v>
      </c>
      <c r="H4193" s="7"/>
      <c r="I4193" s="7"/>
      <c r="J4193" s="7"/>
      <c r="K4193" s="7"/>
      <c r="L4193" s="10">
        <v>5.4496124031007751</v>
      </c>
      <c r="M4193" s="9">
        <v>44950</v>
      </c>
      <c r="N4193" s="10">
        <v>10</v>
      </c>
      <c r="O4193" s="9">
        <v>44960</v>
      </c>
      <c r="P4193">
        <v>20</v>
      </c>
      <c r="Q4193" s="11" t="s">
        <v>49</v>
      </c>
      <c r="R4193" s="7"/>
      <c r="S4193" s="7"/>
      <c r="T4193" s="7"/>
      <c r="U4193" s="7"/>
      <c r="V4193" s="10">
        <v>7.4496124031007751</v>
      </c>
      <c r="W4193" s="9">
        <v>44952</v>
      </c>
      <c r="X4193" s="10">
        <v>12</v>
      </c>
      <c r="Y4193" s="9">
        <v>44960</v>
      </c>
      <c r="Z4193">
        <v>20</v>
      </c>
      <c r="AA4193" s="11" t="s">
        <v>49</v>
      </c>
    </row>
    <row r="4194" spans="2:27" ht="16" x14ac:dyDescent="0.2">
      <c r="B4194" t="s">
        <v>35</v>
      </c>
      <c r="C4194">
        <v>40352002</v>
      </c>
      <c r="D4194" t="s">
        <v>423</v>
      </c>
      <c r="E4194">
        <v>1021555</v>
      </c>
      <c r="F4194" t="s">
        <v>422</v>
      </c>
      <c r="G4194" s="9">
        <v>44929</v>
      </c>
      <c r="H4194" s="7"/>
      <c r="I4194" s="7"/>
      <c r="J4194" s="7"/>
      <c r="K4194" s="7"/>
      <c r="L4194" s="10">
        <v>5.4496124031007751</v>
      </c>
      <c r="M4194" s="9">
        <v>44934</v>
      </c>
      <c r="N4194" s="10">
        <v>10</v>
      </c>
      <c r="O4194" s="9">
        <v>44944</v>
      </c>
      <c r="P4194">
        <v>11</v>
      </c>
      <c r="Q4194" s="11" t="s">
        <v>49</v>
      </c>
      <c r="R4194" s="7"/>
      <c r="S4194" s="7"/>
      <c r="T4194" s="7"/>
      <c r="U4194" s="7"/>
      <c r="V4194" s="10">
        <v>7.4496124031007751</v>
      </c>
      <c r="W4194" s="9">
        <v>44936</v>
      </c>
      <c r="X4194" s="10">
        <v>12</v>
      </c>
      <c r="Y4194" s="9">
        <v>44944</v>
      </c>
      <c r="Z4194">
        <v>11</v>
      </c>
      <c r="AA4194" s="11" t="s">
        <v>49</v>
      </c>
    </row>
    <row r="4195" spans="2:27" ht="16" x14ac:dyDescent="0.2">
      <c r="B4195" t="s">
        <v>35</v>
      </c>
      <c r="C4195">
        <v>40352001</v>
      </c>
      <c r="D4195" t="s">
        <v>423</v>
      </c>
      <c r="E4195">
        <v>1021272</v>
      </c>
      <c r="F4195" t="s">
        <v>263</v>
      </c>
      <c r="G4195" s="9">
        <v>44935</v>
      </c>
      <c r="H4195" s="7"/>
      <c r="I4195" s="7"/>
      <c r="J4195" s="7"/>
      <c r="K4195" s="7"/>
      <c r="L4195" s="10">
        <v>5.4496124031007751</v>
      </c>
      <c r="M4195" s="9">
        <v>44940</v>
      </c>
      <c r="N4195" s="10">
        <v>10</v>
      </c>
      <c r="O4195" s="9">
        <v>44950</v>
      </c>
      <c r="P4195">
        <v>6</v>
      </c>
      <c r="Q4195" s="11" t="s">
        <v>49</v>
      </c>
      <c r="R4195" s="7"/>
      <c r="S4195" s="7"/>
      <c r="T4195" s="7"/>
      <c r="U4195" s="7"/>
      <c r="V4195" s="10">
        <v>7.4496124031007751</v>
      </c>
      <c r="W4195" s="9">
        <v>44942</v>
      </c>
      <c r="X4195" s="10">
        <v>12</v>
      </c>
      <c r="Y4195" s="9">
        <v>44950</v>
      </c>
      <c r="Z4195">
        <v>6</v>
      </c>
      <c r="AA4195" s="11" t="s">
        <v>49</v>
      </c>
    </row>
    <row r="4196" spans="2:27" ht="16" x14ac:dyDescent="0.2">
      <c r="B4196" t="s">
        <v>35</v>
      </c>
      <c r="C4196">
        <v>40352000</v>
      </c>
      <c r="D4196" t="s">
        <v>423</v>
      </c>
      <c r="E4196">
        <v>1021272</v>
      </c>
      <c r="F4196" t="s">
        <v>263</v>
      </c>
      <c r="G4196" s="9">
        <v>44935</v>
      </c>
      <c r="H4196" s="7"/>
      <c r="I4196" s="7"/>
      <c r="J4196" s="7"/>
      <c r="K4196" s="7"/>
      <c r="L4196" s="10">
        <v>5.4496124031007751</v>
      </c>
      <c r="M4196" s="9">
        <v>44940</v>
      </c>
      <c r="N4196" s="10">
        <v>10</v>
      </c>
      <c r="O4196" s="9">
        <v>44950</v>
      </c>
      <c r="P4196">
        <v>6</v>
      </c>
      <c r="Q4196" s="11" t="s">
        <v>49</v>
      </c>
      <c r="R4196" s="7"/>
      <c r="S4196" s="7"/>
      <c r="T4196" s="7"/>
      <c r="U4196" s="7"/>
      <c r="V4196" s="10">
        <v>7.4496124031007751</v>
      </c>
      <c r="W4196" s="9">
        <v>44942</v>
      </c>
      <c r="X4196" s="10">
        <v>12</v>
      </c>
      <c r="Y4196" s="9">
        <v>44950</v>
      </c>
      <c r="Z4196">
        <v>6</v>
      </c>
      <c r="AA4196" s="11" t="s">
        <v>49</v>
      </c>
    </row>
    <row r="4197" spans="2:27" ht="16" x14ac:dyDescent="0.2">
      <c r="B4197" t="s">
        <v>35</v>
      </c>
      <c r="C4197">
        <v>40351997</v>
      </c>
      <c r="D4197" t="s">
        <v>423</v>
      </c>
      <c r="E4197">
        <v>1021272</v>
      </c>
      <c r="F4197" t="s">
        <v>263</v>
      </c>
      <c r="G4197" s="9">
        <v>44935</v>
      </c>
      <c r="H4197" s="7"/>
      <c r="I4197" s="7"/>
      <c r="J4197" s="7"/>
      <c r="K4197" s="7"/>
      <c r="L4197" s="10">
        <v>5.4496124031007751</v>
      </c>
      <c r="M4197" s="9">
        <v>44940</v>
      </c>
      <c r="N4197" s="10">
        <v>10</v>
      </c>
      <c r="O4197" s="9">
        <v>44950</v>
      </c>
      <c r="P4197">
        <v>6</v>
      </c>
      <c r="Q4197" s="11" t="s">
        <v>49</v>
      </c>
      <c r="R4197" s="7"/>
      <c r="S4197" s="7"/>
      <c r="T4197" s="7"/>
      <c r="U4197" s="7"/>
      <c r="V4197" s="10">
        <v>7.4496124031007751</v>
      </c>
      <c r="W4197" s="9">
        <v>44942</v>
      </c>
      <c r="X4197" s="10">
        <v>12</v>
      </c>
      <c r="Y4197" s="9">
        <v>44950</v>
      </c>
      <c r="Z4197">
        <v>6</v>
      </c>
      <c r="AA4197" s="11" t="s">
        <v>49</v>
      </c>
    </row>
    <row r="4198" spans="2:27" ht="16" x14ac:dyDescent="0.2">
      <c r="B4198" t="s">
        <v>35</v>
      </c>
      <c r="C4198">
        <v>40351994</v>
      </c>
      <c r="D4198" t="s">
        <v>423</v>
      </c>
      <c r="E4198">
        <v>1021272</v>
      </c>
      <c r="F4198" t="s">
        <v>263</v>
      </c>
      <c r="G4198" s="9">
        <v>44935</v>
      </c>
      <c r="H4198" s="7"/>
      <c r="I4198" s="7"/>
      <c r="J4198" s="7"/>
      <c r="K4198" s="7"/>
      <c r="L4198" s="10">
        <v>5.4496124031007751</v>
      </c>
      <c r="M4198" s="9">
        <v>44940</v>
      </c>
      <c r="N4198" s="10">
        <v>10</v>
      </c>
      <c r="O4198" s="9">
        <v>44950</v>
      </c>
      <c r="P4198">
        <v>6</v>
      </c>
      <c r="Q4198" s="11" t="s">
        <v>49</v>
      </c>
      <c r="R4198" s="7"/>
      <c r="S4198" s="7"/>
      <c r="T4198" s="7"/>
      <c r="U4198" s="7"/>
      <c r="V4198" s="10">
        <v>7.4496124031007751</v>
      </c>
      <c r="W4198" s="9">
        <v>44942</v>
      </c>
      <c r="X4198" s="10">
        <v>12</v>
      </c>
      <c r="Y4198" s="9">
        <v>44950</v>
      </c>
      <c r="Z4198">
        <v>6</v>
      </c>
      <c r="AA4198" s="11" t="s">
        <v>49</v>
      </c>
    </row>
    <row r="4199" spans="2:27" ht="16" x14ac:dyDescent="0.2">
      <c r="B4199" t="s">
        <v>35</v>
      </c>
      <c r="C4199">
        <v>40351991</v>
      </c>
      <c r="D4199" t="s">
        <v>423</v>
      </c>
      <c r="E4199">
        <v>1021272</v>
      </c>
      <c r="F4199" t="s">
        <v>263</v>
      </c>
      <c r="G4199" s="9">
        <v>44919</v>
      </c>
      <c r="H4199" s="7"/>
      <c r="I4199" s="7"/>
      <c r="J4199" s="7"/>
      <c r="K4199" s="7"/>
      <c r="L4199" s="10">
        <v>5.4496124031007751</v>
      </c>
      <c r="M4199" s="9">
        <v>44924</v>
      </c>
      <c r="N4199" s="10">
        <v>10</v>
      </c>
      <c r="O4199" s="9">
        <v>44934</v>
      </c>
      <c r="P4199">
        <v>20</v>
      </c>
      <c r="Q4199" s="11" t="s">
        <v>49</v>
      </c>
      <c r="R4199" s="7"/>
      <c r="S4199" s="7"/>
      <c r="T4199" s="7"/>
      <c r="U4199" s="7"/>
      <c r="V4199" s="10">
        <v>7.4496124031007751</v>
      </c>
      <c r="W4199" s="9">
        <v>44926</v>
      </c>
      <c r="X4199" s="10">
        <v>12</v>
      </c>
      <c r="Y4199" s="9">
        <v>44934</v>
      </c>
      <c r="Z4199">
        <v>20</v>
      </c>
      <c r="AA4199" s="11" t="s">
        <v>49</v>
      </c>
    </row>
    <row r="4200" spans="2:27" ht="16" x14ac:dyDescent="0.2">
      <c r="B4200" t="s">
        <v>35</v>
      </c>
      <c r="C4200">
        <v>40351988</v>
      </c>
      <c r="D4200" t="s">
        <v>423</v>
      </c>
      <c r="E4200">
        <v>1021270</v>
      </c>
      <c r="F4200" t="s">
        <v>424</v>
      </c>
      <c r="G4200" s="9">
        <v>44945</v>
      </c>
      <c r="H4200" s="7"/>
      <c r="I4200" s="7"/>
      <c r="J4200" s="7"/>
      <c r="K4200" s="7"/>
      <c r="L4200" s="10">
        <v>5.4496124031007751</v>
      </c>
      <c r="M4200" s="9">
        <v>44950</v>
      </c>
      <c r="N4200" s="10">
        <v>10</v>
      </c>
      <c r="O4200" s="9">
        <v>44960</v>
      </c>
      <c r="P4200">
        <v>20</v>
      </c>
      <c r="Q4200" s="11" t="s">
        <v>49</v>
      </c>
      <c r="R4200" s="7"/>
      <c r="S4200" s="7"/>
      <c r="T4200" s="7"/>
      <c r="U4200" s="7"/>
      <c r="V4200" s="10">
        <v>7.4496124031007751</v>
      </c>
      <c r="W4200" s="9">
        <v>44952</v>
      </c>
      <c r="X4200" s="10">
        <v>12</v>
      </c>
      <c r="Y4200" s="9">
        <v>44960</v>
      </c>
      <c r="Z4200">
        <v>20</v>
      </c>
      <c r="AA4200" s="11" t="s">
        <v>49</v>
      </c>
    </row>
    <row r="4201" spans="2:27" ht="16" x14ac:dyDescent="0.2">
      <c r="B4201" t="s">
        <v>35</v>
      </c>
      <c r="C4201">
        <v>40351988</v>
      </c>
      <c r="D4201" t="s">
        <v>423</v>
      </c>
      <c r="E4201">
        <v>1021270</v>
      </c>
      <c r="F4201" t="s">
        <v>424</v>
      </c>
      <c r="G4201" s="9">
        <v>44945</v>
      </c>
      <c r="H4201" s="7"/>
      <c r="I4201" s="7"/>
      <c r="J4201" s="7"/>
      <c r="K4201" s="7"/>
      <c r="L4201" s="10">
        <v>5.4496124031007751</v>
      </c>
      <c r="M4201" s="9">
        <v>44950</v>
      </c>
      <c r="N4201" s="10">
        <v>10</v>
      </c>
      <c r="O4201" s="9">
        <v>44960</v>
      </c>
      <c r="P4201">
        <v>20</v>
      </c>
      <c r="Q4201" s="11" t="s">
        <v>49</v>
      </c>
      <c r="R4201" s="7"/>
      <c r="S4201" s="7"/>
      <c r="T4201" s="7"/>
      <c r="U4201" s="7"/>
      <c r="V4201" s="10">
        <v>7.4496124031007751</v>
      </c>
      <c r="W4201" s="9">
        <v>44952</v>
      </c>
      <c r="X4201" s="10">
        <v>12</v>
      </c>
      <c r="Y4201" s="9">
        <v>44960</v>
      </c>
      <c r="Z4201">
        <v>20</v>
      </c>
      <c r="AA4201" s="11" t="s">
        <v>49</v>
      </c>
    </row>
    <row r="4202" spans="2:27" ht="16" x14ac:dyDescent="0.2">
      <c r="B4202" t="s">
        <v>35</v>
      </c>
      <c r="C4202">
        <v>40351987</v>
      </c>
      <c r="D4202" t="s">
        <v>423</v>
      </c>
      <c r="E4202">
        <v>1021270</v>
      </c>
      <c r="F4202" t="s">
        <v>424</v>
      </c>
      <c r="G4202" s="9">
        <v>44929</v>
      </c>
      <c r="H4202" s="7"/>
      <c r="I4202" s="7"/>
      <c r="J4202" s="7"/>
      <c r="K4202" s="7"/>
      <c r="L4202" s="10">
        <v>5.4496124031007751</v>
      </c>
      <c r="M4202" s="9">
        <v>44934</v>
      </c>
      <c r="N4202" s="10">
        <v>10</v>
      </c>
      <c r="O4202" s="9">
        <v>44944</v>
      </c>
      <c r="P4202">
        <v>11</v>
      </c>
      <c r="Q4202" s="11" t="s">
        <v>49</v>
      </c>
      <c r="R4202" s="7"/>
      <c r="S4202" s="7"/>
      <c r="T4202" s="7"/>
      <c r="U4202" s="7"/>
      <c r="V4202" s="10">
        <v>7.4496124031007751</v>
      </c>
      <c r="W4202" s="9">
        <v>44936</v>
      </c>
      <c r="X4202" s="10">
        <v>12</v>
      </c>
      <c r="Y4202" s="9">
        <v>44944</v>
      </c>
      <c r="Z4202">
        <v>11</v>
      </c>
      <c r="AA4202" s="11" t="s">
        <v>49</v>
      </c>
    </row>
    <row r="4203" spans="2:27" ht="16" x14ac:dyDescent="0.2">
      <c r="B4203" t="s">
        <v>35</v>
      </c>
      <c r="C4203">
        <v>40351985</v>
      </c>
      <c r="D4203" t="s">
        <v>423</v>
      </c>
      <c r="E4203">
        <v>1021270</v>
      </c>
      <c r="F4203" t="s">
        <v>424</v>
      </c>
      <c r="G4203" s="9">
        <v>44945</v>
      </c>
      <c r="H4203" s="7"/>
      <c r="I4203" s="7"/>
      <c r="J4203" s="7"/>
      <c r="K4203" s="7"/>
      <c r="L4203" s="10">
        <v>5.4496124031007751</v>
      </c>
      <c r="M4203" s="9">
        <v>44950</v>
      </c>
      <c r="N4203" s="10">
        <v>10</v>
      </c>
      <c r="O4203" s="9">
        <v>44960</v>
      </c>
      <c r="P4203">
        <v>20</v>
      </c>
      <c r="Q4203" s="11" t="s">
        <v>49</v>
      </c>
      <c r="R4203" s="7"/>
      <c r="S4203" s="7"/>
      <c r="T4203" s="7"/>
      <c r="U4203" s="7"/>
      <c r="V4203" s="10">
        <v>7.4496124031007751</v>
      </c>
      <c r="W4203" s="9">
        <v>44952</v>
      </c>
      <c r="X4203" s="10">
        <v>12</v>
      </c>
      <c r="Y4203" s="9">
        <v>44960</v>
      </c>
      <c r="Z4203">
        <v>20</v>
      </c>
      <c r="AA4203" s="11" t="s">
        <v>49</v>
      </c>
    </row>
    <row r="4204" spans="2:27" ht="16" x14ac:dyDescent="0.2">
      <c r="B4204" t="s">
        <v>35</v>
      </c>
      <c r="C4204">
        <v>40351984</v>
      </c>
      <c r="D4204" t="s">
        <v>423</v>
      </c>
      <c r="E4204">
        <v>1021270</v>
      </c>
      <c r="F4204" t="s">
        <v>424</v>
      </c>
      <c r="G4204" s="9">
        <v>44929</v>
      </c>
      <c r="H4204" s="7"/>
      <c r="I4204" s="7"/>
      <c r="J4204" s="7"/>
      <c r="K4204" s="7"/>
      <c r="L4204" s="10">
        <v>5.4496124031007751</v>
      </c>
      <c r="M4204" s="9">
        <v>44934</v>
      </c>
      <c r="N4204" s="10">
        <v>10</v>
      </c>
      <c r="O4204" s="9">
        <v>44944</v>
      </c>
      <c r="P4204">
        <v>11</v>
      </c>
      <c r="Q4204" s="11" t="s">
        <v>49</v>
      </c>
      <c r="R4204" s="7"/>
      <c r="S4204" s="7"/>
      <c r="T4204" s="7"/>
      <c r="U4204" s="7"/>
      <c r="V4204" s="10">
        <v>7.4496124031007751</v>
      </c>
      <c r="W4204" s="9">
        <v>44936</v>
      </c>
      <c r="X4204" s="10">
        <v>12</v>
      </c>
      <c r="Y4204" s="9">
        <v>44944</v>
      </c>
      <c r="Z4204">
        <v>11</v>
      </c>
      <c r="AA4204" s="11" t="s">
        <v>49</v>
      </c>
    </row>
    <row r="4205" spans="2:27" ht="16" x14ac:dyDescent="0.2">
      <c r="B4205" t="s">
        <v>35</v>
      </c>
      <c r="C4205">
        <v>40351982</v>
      </c>
      <c r="D4205" t="s">
        <v>423</v>
      </c>
      <c r="E4205">
        <v>1021270</v>
      </c>
      <c r="F4205" t="s">
        <v>424</v>
      </c>
      <c r="G4205" s="9">
        <v>44945</v>
      </c>
      <c r="H4205" s="7"/>
      <c r="I4205" s="7"/>
      <c r="J4205" s="7"/>
      <c r="K4205" s="7"/>
      <c r="L4205" s="10">
        <v>5.4496124031007751</v>
      </c>
      <c r="M4205" s="9">
        <v>44950</v>
      </c>
      <c r="N4205" s="10">
        <v>10</v>
      </c>
      <c r="O4205" s="9">
        <v>44960</v>
      </c>
      <c r="P4205">
        <v>20</v>
      </c>
      <c r="Q4205" s="11" t="s">
        <v>49</v>
      </c>
      <c r="R4205" s="7"/>
      <c r="S4205" s="7"/>
      <c r="T4205" s="7"/>
      <c r="U4205" s="7"/>
      <c r="V4205" s="10">
        <v>7.4496124031007751</v>
      </c>
      <c r="W4205" s="9">
        <v>44952</v>
      </c>
      <c r="X4205" s="10">
        <v>12</v>
      </c>
      <c r="Y4205" s="9">
        <v>44960</v>
      </c>
      <c r="Z4205">
        <v>20</v>
      </c>
      <c r="AA4205" s="11" t="s">
        <v>49</v>
      </c>
    </row>
    <row r="4206" spans="2:27" ht="16" x14ac:dyDescent="0.2">
      <c r="B4206" t="s">
        <v>35</v>
      </c>
      <c r="C4206">
        <v>40351978</v>
      </c>
      <c r="D4206" t="s">
        <v>423</v>
      </c>
      <c r="E4206">
        <v>1012725</v>
      </c>
      <c r="F4206" t="s">
        <v>154</v>
      </c>
      <c r="G4206" s="9">
        <v>44925</v>
      </c>
      <c r="H4206" s="7"/>
      <c r="I4206" s="7"/>
      <c r="J4206" s="7"/>
      <c r="K4206" s="7"/>
      <c r="L4206" s="10">
        <v>5.4496124031007751</v>
      </c>
      <c r="M4206" s="9">
        <v>44930</v>
      </c>
      <c r="N4206" s="10">
        <v>10</v>
      </c>
      <c r="O4206" s="9">
        <v>44940</v>
      </c>
      <c r="P4206">
        <v>14</v>
      </c>
      <c r="Q4206" s="11" t="s">
        <v>49</v>
      </c>
      <c r="R4206" s="7"/>
      <c r="S4206" s="7"/>
      <c r="T4206" s="7"/>
      <c r="U4206" s="7"/>
      <c r="V4206" s="10">
        <v>7.4496124031007751</v>
      </c>
      <c r="W4206" s="9">
        <v>44932</v>
      </c>
      <c r="X4206" s="10">
        <v>12</v>
      </c>
      <c r="Y4206" s="9">
        <v>44940</v>
      </c>
      <c r="Z4206">
        <v>14</v>
      </c>
      <c r="AA4206" s="11" t="s">
        <v>49</v>
      </c>
    </row>
    <row r="4207" spans="2:27" ht="16" x14ac:dyDescent="0.2">
      <c r="B4207" t="s">
        <v>35</v>
      </c>
      <c r="C4207">
        <v>40351976</v>
      </c>
      <c r="D4207" t="s">
        <v>423</v>
      </c>
      <c r="E4207">
        <v>1011150</v>
      </c>
      <c r="F4207" t="s">
        <v>149</v>
      </c>
      <c r="G4207" s="9">
        <v>44935</v>
      </c>
      <c r="H4207" s="7"/>
      <c r="I4207" s="7"/>
      <c r="J4207" s="7"/>
      <c r="K4207" s="7"/>
      <c r="L4207" s="10">
        <v>5.4496124031007751</v>
      </c>
      <c r="M4207" s="9">
        <v>44940</v>
      </c>
      <c r="N4207" s="10">
        <v>10</v>
      </c>
      <c r="O4207" s="9">
        <v>44950</v>
      </c>
      <c r="P4207">
        <v>6</v>
      </c>
      <c r="Q4207" s="11" t="s">
        <v>49</v>
      </c>
      <c r="R4207" s="7"/>
      <c r="S4207" s="7"/>
      <c r="T4207" s="7"/>
      <c r="U4207" s="7"/>
      <c r="V4207" s="10">
        <v>7.4496124031007751</v>
      </c>
      <c r="W4207" s="9">
        <v>44942</v>
      </c>
      <c r="X4207" s="10">
        <v>12</v>
      </c>
      <c r="Y4207" s="9">
        <v>44950</v>
      </c>
      <c r="Z4207">
        <v>6</v>
      </c>
      <c r="AA4207" s="11" t="s">
        <v>49</v>
      </c>
    </row>
    <row r="4208" spans="2:27" ht="16" x14ac:dyDescent="0.2">
      <c r="B4208" t="s">
        <v>35</v>
      </c>
      <c r="C4208">
        <v>40351968</v>
      </c>
      <c r="D4208" t="s">
        <v>423</v>
      </c>
      <c r="E4208">
        <v>1012796</v>
      </c>
      <c r="F4208" t="s">
        <v>523</v>
      </c>
      <c r="G4208" s="9">
        <v>44935</v>
      </c>
      <c r="H4208" s="7"/>
      <c r="I4208" s="7"/>
      <c r="J4208" s="7"/>
      <c r="K4208" s="7"/>
      <c r="L4208" s="10">
        <v>5.4496124031007751</v>
      </c>
      <c r="M4208" s="9">
        <v>44940</v>
      </c>
      <c r="N4208" s="10">
        <v>10</v>
      </c>
      <c r="O4208" s="9">
        <v>44950</v>
      </c>
      <c r="P4208">
        <v>6</v>
      </c>
      <c r="Q4208" s="11" t="s">
        <v>49</v>
      </c>
      <c r="R4208" s="7"/>
      <c r="S4208" s="7"/>
      <c r="T4208" s="7"/>
      <c r="U4208" s="7"/>
      <c r="V4208" s="10">
        <v>7.4496124031007751</v>
      </c>
      <c r="W4208" s="9">
        <v>44942</v>
      </c>
      <c r="X4208" s="10">
        <v>12</v>
      </c>
      <c r="Y4208" s="9">
        <v>44950</v>
      </c>
      <c r="Z4208">
        <v>6</v>
      </c>
      <c r="AA4208" s="11" t="s">
        <v>49</v>
      </c>
    </row>
    <row r="4209" spans="2:27" ht="16" x14ac:dyDescent="0.2">
      <c r="B4209" t="s">
        <v>35</v>
      </c>
      <c r="C4209">
        <v>40351943</v>
      </c>
      <c r="D4209" t="s">
        <v>409</v>
      </c>
      <c r="E4209">
        <v>1023456</v>
      </c>
      <c r="F4209" t="s">
        <v>665</v>
      </c>
      <c r="G4209" s="9">
        <v>44950</v>
      </c>
      <c r="H4209" s="7"/>
      <c r="I4209" s="7"/>
      <c r="J4209" s="7"/>
      <c r="K4209" s="7"/>
      <c r="L4209" s="10">
        <v>7.5</v>
      </c>
      <c r="M4209" s="9">
        <v>44957</v>
      </c>
      <c r="N4209" s="10">
        <v>9.5</v>
      </c>
      <c r="O4209" s="9">
        <v>44966</v>
      </c>
      <c r="P4209">
        <v>15</v>
      </c>
      <c r="Q4209" s="11" t="s">
        <v>49</v>
      </c>
      <c r="R4209" s="7"/>
      <c r="S4209" s="7"/>
      <c r="T4209" s="7"/>
      <c r="U4209" s="7"/>
      <c r="V4209" s="10">
        <v>9.5</v>
      </c>
      <c r="W4209" s="9">
        <v>44959</v>
      </c>
      <c r="X4209" s="10">
        <v>11.5</v>
      </c>
      <c r="Y4209" s="9">
        <v>44966</v>
      </c>
      <c r="Z4209">
        <v>15</v>
      </c>
      <c r="AA4209" s="11" t="s">
        <v>49</v>
      </c>
    </row>
    <row r="4210" spans="2:27" ht="16" x14ac:dyDescent="0.2">
      <c r="B4210" t="s">
        <v>35</v>
      </c>
      <c r="C4210">
        <v>40351943</v>
      </c>
      <c r="D4210" t="s">
        <v>409</v>
      </c>
      <c r="E4210">
        <v>1023456</v>
      </c>
      <c r="F4210" t="s">
        <v>665</v>
      </c>
      <c r="G4210" s="9">
        <v>44950</v>
      </c>
      <c r="H4210" s="7"/>
      <c r="I4210" s="7"/>
      <c r="J4210" s="7"/>
      <c r="K4210" s="7"/>
      <c r="L4210" s="10">
        <v>7.5</v>
      </c>
      <c r="M4210" s="9">
        <v>44957</v>
      </c>
      <c r="N4210" s="10">
        <v>9.5</v>
      </c>
      <c r="O4210" s="9">
        <v>44966</v>
      </c>
      <c r="P4210">
        <v>15</v>
      </c>
      <c r="Q4210" s="11" t="s">
        <v>49</v>
      </c>
      <c r="R4210" s="7"/>
      <c r="S4210" s="7"/>
      <c r="T4210" s="7"/>
      <c r="U4210" s="7"/>
      <c r="V4210" s="10">
        <v>9.5</v>
      </c>
      <c r="W4210" s="9">
        <v>44959</v>
      </c>
      <c r="X4210" s="10">
        <v>11.5</v>
      </c>
      <c r="Y4210" s="9">
        <v>44966</v>
      </c>
      <c r="Z4210">
        <v>15</v>
      </c>
      <c r="AA4210" s="11" t="s">
        <v>49</v>
      </c>
    </row>
    <row r="4211" spans="2:27" ht="16" x14ac:dyDescent="0.2">
      <c r="B4211" t="s">
        <v>35</v>
      </c>
      <c r="C4211">
        <v>40351942</v>
      </c>
      <c r="D4211" t="s">
        <v>409</v>
      </c>
      <c r="E4211">
        <v>1021260</v>
      </c>
      <c r="F4211" t="s">
        <v>430</v>
      </c>
      <c r="G4211" s="9">
        <v>44950</v>
      </c>
      <c r="H4211" s="7"/>
      <c r="I4211" s="7"/>
      <c r="J4211" s="7"/>
      <c r="K4211" s="7"/>
      <c r="L4211" s="10">
        <v>7.5</v>
      </c>
      <c r="M4211" s="9">
        <v>44957</v>
      </c>
      <c r="N4211" s="10">
        <v>9.5</v>
      </c>
      <c r="O4211" s="9">
        <v>44966</v>
      </c>
      <c r="P4211">
        <v>15</v>
      </c>
      <c r="Q4211" s="11" t="s">
        <v>49</v>
      </c>
      <c r="R4211" s="7"/>
      <c r="S4211" s="7"/>
      <c r="T4211" s="7"/>
      <c r="U4211" s="7"/>
      <c r="V4211" s="10">
        <v>9.5</v>
      </c>
      <c r="W4211" s="9">
        <v>44959</v>
      </c>
      <c r="X4211" s="10">
        <v>11.5</v>
      </c>
      <c r="Y4211" s="9">
        <v>44966</v>
      </c>
      <c r="Z4211">
        <v>15</v>
      </c>
      <c r="AA4211" s="11" t="s">
        <v>49</v>
      </c>
    </row>
    <row r="4212" spans="2:27" ht="16" x14ac:dyDescent="0.2">
      <c r="B4212" t="s">
        <v>35</v>
      </c>
      <c r="C4212">
        <v>40351934</v>
      </c>
      <c r="D4212" t="s">
        <v>409</v>
      </c>
      <c r="E4212">
        <v>1012148</v>
      </c>
      <c r="F4212" t="s">
        <v>111</v>
      </c>
      <c r="G4212" s="9">
        <v>44936</v>
      </c>
      <c r="H4212" s="7"/>
      <c r="I4212" s="7"/>
      <c r="J4212" s="7"/>
      <c r="K4212" s="7"/>
      <c r="L4212" s="10">
        <v>7.5</v>
      </c>
      <c r="M4212" s="9">
        <v>44943</v>
      </c>
      <c r="N4212" s="10">
        <v>9.5</v>
      </c>
      <c r="O4212" s="9">
        <v>44952</v>
      </c>
      <c r="P4212">
        <v>4</v>
      </c>
      <c r="Q4212" s="11" t="s">
        <v>49</v>
      </c>
      <c r="R4212" s="7"/>
      <c r="S4212" s="7"/>
      <c r="T4212" s="7"/>
      <c r="U4212" s="7"/>
      <c r="V4212" s="10">
        <v>9.5</v>
      </c>
      <c r="W4212" s="9">
        <v>44945</v>
      </c>
      <c r="X4212" s="10">
        <v>11.5</v>
      </c>
      <c r="Y4212" s="9">
        <v>44952</v>
      </c>
      <c r="Z4212">
        <v>4</v>
      </c>
      <c r="AA4212" s="11" t="s">
        <v>49</v>
      </c>
    </row>
    <row r="4213" spans="2:27" ht="16" x14ac:dyDescent="0.2">
      <c r="B4213" t="s">
        <v>35</v>
      </c>
      <c r="C4213">
        <v>40351933</v>
      </c>
      <c r="D4213" t="s">
        <v>409</v>
      </c>
      <c r="E4213">
        <v>1012148</v>
      </c>
      <c r="F4213" t="s">
        <v>111</v>
      </c>
      <c r="G4213" s="9">
        <v>44929</v>
      </c>
      <c r="H4213" s="7"/>
      <c r="I4213" s="7"/>
      <c r="J4213" s="7"/>
      <c r="K4213" s="7"/>
      <c r="L4213" s="10">
        <v>7.5</v>
      </c>
      <c r="M4213" s="9">
        <v>44936</v>
      </c>
      <c r="N4213" s="10">
        <v>9.5</v>
      </c>
      <c r="O4213" s="9">
        <v>44945</v>
      </c>
      <c r="P4213">
        <v>10</v>
      </c>
      <c r="Q4213" s="11" t="s">
        <v>49</v>
      </c>
      <c r="R4213" s="7"/>
      <c r="S4213" s="7"/>
      <c r="T4213" s="7"/>
      <c r="U4213" s="7"/>
      <c r="V4213" s="10">
        <v>9.5</v>
      </c>
      <c r="W4213" s="9">
        <v>44938</v>
      </c>
      <c r="X4213" s="10">
        <v>11.5</v>
      </c>
      <c r="Y4213" s="9">
        <v>44945</v>
      </c>
      <c r="Z4213">
        <v>10</v>
      </c>
      <c r="AA4213" s="11" t="s">
        <v>49</v>
      </c>
    </row>
    <row r="4214" spans="2:27" ht="16" x14ac:dyDescent="0.2">
      <c r="B4214" t="s">
        <v>35</v>
      </c>
      <c r="C4214">
        <v>40351907</v>
      </c>
      <c r="D4214" t="s">
        <v>409</v>
      </c>
      <c r="E4214">
        <v>1012167</v>
      </c>
      <c r="F4214" t="s">
        <v>70</v>
      </c>
      <c r="G4214" s="9">
        <v>44929</v>
      </c>
      <c r="H4214" s="7"/>
      <c r="I4214" s="7"/>
      <c r="J4214" s="7"/>
      <c r="K4214" s="7"/>
      <c r="L4214" s="10">
        <v>7.5</v>
      </c>
      <c r="M4214" s="9">
        <v>44936</v>
      </c>
      <c r="N4214" s="10">
        <v>9.5</v>
      </c>
      <c r="O4214" s="9">
        <v>44945</v>
      </c>
      <c r="P4214">
        <v>10</v>
      </c>
      <c r="Q4214" s="11" t="s">
        <v>49</v>
      </c>
      <c r="R4214" s="7"/>
      <c r="S4214" s="7"/>
      <c r="T4214" s="7"/>
      <c r="U4214" s="7"/>
      <c r="V4214" s="10">
        <v>9.5</v>
      </c>
      <c r="W4214" s="9">
        <v>44938</v>
      </c>
      <c r="X4214" s="10">
        <v>11.5</v>
      </c>
      <c r="Y4214" s="9">
        <v>44945</v>
      </c>
      <c r="Z4214">
        <v>10</v>
      </c>
      <c r="AA4214" s="11" t="s">
        <v>49</v>
      </c>
    </row>
    <row r="4215" spans="2:27" ht="16" x14ac:dyDescent="0.2">
      <c r="B4215" t="s">
        <v>35</v>
      </c>
      <c r="C4215">
        <v>40351905</v>
      </c>
      <c r="D4215" t="s">
        <v>409</v>
      </c>
      <c r="E4215">
        <v>1012167</v>
      </c>
      <c r="F4215" t="s">
        <v>70</v>
      </c>
      <c r="G4215" s="9">
        <v>44928</v>
      </c>
      <c r="H4215" s="7"/>
      <c r="I4215" s="7"/>
      <c r="J4215" s="7"/>
      <c r="K4215" s="7"/>
      <c r="L4215" s="10">
        <v>7.5</v>
      </c>
      <c r="M4215" s="9">
        <v>44935</v>
      </c>
      <c r="N4215" s="10">
        <v>9.5</v>
      </c>
      <c r="O4215" s="9">
        <v>44944</v>
      </c>
      <c r="P4215">
        <v>11</v>
      </c>
      <c r="Q4215" s="11" t="s">
        <v>49</v>
      </c>
      <c r="R4215" s="7"/>
      <c r="S4215" s="7"/>
      <c r="T4215" s="7"/>
      <c r="U4215" s="7"/>
      <c r="V4215" s="10">
        <v>9.5</v>
      </c>
      <c r="W4215" s="9">
        <v>44937</v>
      </c>
      <c r="X4215" s="10">
        <v>11.5</v>
      </c>
      <c r="Y4215" s="9">
        <v>44944</v>
      </c>
      <c r="Z4215">
        <v>11</v>
      </c>
      <c r="AA4215" s="11" t="s">
        <v>49</v>
      </c>
    </row>
    <row r="4216" spans="2:27" ht="16" x14ac:dyDescent="0.2">
      <c r="B4216" t="s">
        <v>35</v>
      </c>
      <c r="C4216">
        <v>40351904</v>
      </c>
      <c r="D4216" t="s">
        <v>409</v>
      </c>
      <c r="E4216">
        <v>1012167</v>
      </c>
      <c r="F4216" t="s">
        <v>70</v>
      </c>
      <c r="G4216" s="9">
        <v>44928</v>
      </c>
      <c r="H4216" s="7"/>
      <c r="I4216" s="7"/>
      <c r="J4216" s="7"/>
      <c r="K4216" s="7"/>
      <c r="L4216" s="10">
        <v>7.5</v>
      </c>
      <c r="M4216" s="9">
        <v>44935</v>
      </c>
      <c r="N4216" s="10">
        <v>9.5</v>
      </c>
      <c r="O4216" s="9">
        <v>44944</v>
      </c>
      <c r="P4216">
        <v>11</v>
      </c>
      <c r="Q4216" s="11" t="s">
        <v>49</v>
      </c>
      <c r="R4216" s="7"/>
      <c r="S4216" s="7"/>
      <c r="T4216" s="7"/>
      <c r="U4216" s="7"/>
      <c r="V4216" s="10">
        <v>9.5</v>
      </c>
      <c r="W4216" s="9">
        <v>44937</v>
      </c>
      <c r="X4216" s="10">
        <v>11.5</v>
      </c>
      <c r="Y4216" s="9">
        <v>44944</v>
      </c>
      <c r="Z4216">
        <v>11</v>
      </c>
      <c r="AA4216" s="11" t="s">
        <v>49</v>
      </c>
    </row>
    <row r="4217" spans="2:27" ht="16" x14ac:dyDescent="0.2">
      <c r="B4217" t="s">
        <v>35</v>
      </c>
      <c r="C4217">
        <v>40351903</v>
      </c>
      <c r="D4217" t="s">
        <v>409</v>
      </c>
      <c r="E4217">
        <v>1012167</v>
      </c>
      <c r="F4217" t="s">
        <v>70</v>
      </c>
      <c r="G4217" s="9">
        <v>44929</v>
      </c>
      <c r="H4217" s="7"/>
      <c r="I4217" s="7"/>
      <c r="J4217" s="7"/>
      <c r="K4217" s="7"/>
      <c r="L4217" s="10">
        <v>7.5</v>
      </c>
      <c r="M4217" s="9">
        <v>44936</v>
      </c>
      <c r="N4217" s="10">
        <v>9.5</v>
      </c>
      <c r="O4217" s="9">
        <v>44945</v>
      </c>
      <c r="P4217">
        <v>10</v>
      </c>
      <c r="Q4217" s="11" t="s">
        <v>49</v>
      </c>
      <c r="R4217" s="7"/>
      <c r="S4217" s="7"/>
      <c r="T4217" s="7"/>
      <c r="U4217" s="7"/>
      <c r="V4217" s="10">
        <v>9.5</v>
      </c>
      <c r="W4217" s="9">
        <v>44938</v>
      </c>
      <c r="X4217" s="10">
        <v>11.5</v>
      </c>
      <c r="Y4217" s="9">
        <v>44945</v>
      </c>
      <c r="Z4217">
        <v>10</v>
      </c>
      <c r="AA4217" s="11" t="s">
        <v>49</v>
      </c>
    </row>
    <row r="4218" spans="2:27" ht="16" x14ac:dyDescent="0.2">
      <c r="B4218" t="s">
        <v>35</v>
      </c>
      <c r="C4218">
        <v>40351902</v>
      </c>
      <c r="D4218" t="s">
        <v>409</v>
      </c>
      <c r="E4218">
        <v>1012167</v>
      </c>
      <c r="F4218" t="s">
        <v>70</v>
      </c>
      <c r="G4218" s="9">
        <v>44929</v>
      </c>
      <c r="H4218" s="7"/>
      <c r="I4218" s="7"/>
      <c r="J4218" s="7"/>
      <c r="K4218" s="7"/>
      <c r="L4218" s="10">
        <v>7.5</v>
      </c>
      <c r="M4218" s="9">
        <v>44936</v>
      </c>
      <c r="N4218" s="10">
        <v>9.5</v>
      </c>
      <c r="O4218" s="9">
        <v>44945</v>
      </c>
      <c r="P4218">
        <v>10</v>
      </c>
      <c r="Q4218" s="11" t="s">
        <v>49</v>
      </c>
      <c r="R4218" s="7"/>
      <c r="S4218" s="7"/>
      <c r="T4218" s="7"/>
      <c r="U4218" s="7"/>
      <c r="V4218" s="10">
        <v>9.5</v>
      </c>
      <c r="W4218" s="9">
        <v>44938</v>
      </c>
      <c r="X4218" s="10">
        <v>11.5</v>
      </c>
      <c r="Y4218" s="9">
        <v>44945</v>
      </c>
      <c r="Z4218">
        <v>10</v>
      </c>
      <c r="AA4218" s="11" t="s">
        <v>49</v>
      </c>
    </row>
    <row r="4219" spans="2:27" ht="16" x14ac:dyDescent="0.2">
      <c r="B4219" t="s">
        <v>35</v>
      </c>
      <c r="C4219">
        <v>40351898</v>
      </c>
      <c r="D4219" t="s">
        <v>409</v>
      </c>
      <c r="E4219">
        <v>1012145</v>
      </c>
      <c r="F4219" t="s">
        <v>84</v>
      </c>
      <c r="G4219" s="9">
        <v>44934</v>
      </c>
      <c r="H4219" s="7"/>
      <c r="I4219" s="7"/>
      <c r="J4219" s="7"/>
      <c r="K4219" s="7"/>
      <c r="L4219" s="10">
        <v>7.5</v>
      </c>
      <c r="M4219" s="9">
        <v>44941</v>
      </c>
      <c r="N4219" s="10">
        <v>9.5</v>
      </c>
      <c r="O4219" s="9">
        <v>44950</v>
      </c>
      <c r="P4219">
        <v>6</v>
      </c>
      <c r="Q4219" s="11" t="s">
        <v>49</v>
      </c>
      <c r="R4219" s="7"/>
      <c r="S4219" s="7"/>
      <c r="T4219" s="7"/>
      <c r="U4219" s="7"/>
      <c r="V4219" s="10">
        <v>9.5</v>
      </c>
      <c r="W4219" s="9">
        <v>44943</v>
      </c>
      <c r="X4219" s="10">
        <v>11.5</v>
      </c>
      <c r="Y4219" s="9">
        <v>44950</v>
      </c>
      <c r="Z4219">
        <v>6</v>
      </c>
      <c r="AA4219" s="11" t="s">
        <v>49</v>
      </c>
    </row>
    <row r="4220" spans="2:27" ht="16" x14ac:dyDescent="0.2">
      <c r="B4220" t="s">
        <v>35</v>
      </c>
      <c r="C4220">
        <v>40351897</v>
      </c>
      <c r="D4220" t="s">
        <v>409</v>
      </c>
      <c r="E4220">
        <v>1012145</v>
      </c>
      <c r="F4220" t="s">
        <v>84</v>
      </c>
      <c r="G4220" s="9">
        <v>44928</v>
      </c>
      <c r="H4220" s="7"/>
      <c r="I4220" s="7"/>
      <c r="J4220" s="7"/>
      <c r="K4220" s="7"/>
      <c r="L4220" s="10">
        <v>7.5</v>
      </c>
      <c r="M4220" s="9">
        <v>44935</v>
      </c>
      <c r="N4220" s="10">
        <v>9.5</v>
      </c>
      <c r="O4220" s="9">
        <v>44944</v>
      </c>
      <c r="P4220">
        <v>11</v>
      </c>
      <c r="Q4220" s="11" t="s">
        <v>49</v>
      </c>
      <c r="R4220" s="7"/>
      <c r="S4220" s="7"/>
      <c r="T4220" s="7"/>
      <c r="U4220" s="7"/>
      <c r="V4220" s="10">
        <v>9.5</v>
      </c>
      <c r="W4220" s="9">
        <v>44937</v>
      </c>
      <c r="X4220" s="10">
        <v>11.5</v>
      </c>
      <c r="Y4220" s="9">
        <v>44944</v>
      </c>
      <c r="Z4220">
        <v>11</v>
      </c>
      <c r="AA4220" s="11" t="s">
        <v>49</v>
      </c>
    </row>
    <row r="4221" spans="2:27" ht="16" x14ac:dyDescent="0.2">
      <c r="B4221" t="s">
        <v>35</v>
      </c>
      <c r="C4221">
        <v>40351883</v>
      </c>
      <c r="D4221" t="s">
        <v>409</v>
      </c>
      <c r="E4221">
        <v>1030818</v>
      </c>
      <c r="F4221" t="s">
        <v>133</v>
      </c>
      <c r="G4221" s="9">
        <v>44957</v>
      </c>
      <c r="H4221" s="7"/>
      <c r="I4221" s="7"/>
      <c r="J4221" s="7"/>
      <c r="K4221" s="7"/>
      <c r="L4221" s="10">
        <v>7.5</v>
      </c>
      <c r="M4221" s="9">
        <v>44964</v>
      </c>
      <c r="N4221" s="10">
        <v>9.5</v>
      </c>
      <c r="O4221" s="9">
        <v>44973</v>
      </c>
      <c r="P4221">
        <v>9</v>
      </c>
      <c r="Q4221" s="11" t="s">
        <v>49</v>
      </c>
      <c r="R4221" s="7"/>
      <c r="S4221" s="7"/>
      <c r="T4221" s="7"/>
      <c r="U4221" s="7"/>
      <c r="V4221" s="10">
        <v>9.5</v>
      </c>
      <c r="W4221" s="9">
        <v>44966</v>
      </c>
      <c r="X4221" s="10">
        <v>11.5</v>
      </c>
      <c r="Y4221" s="9">
        <v>44973</v>
      </c>
      <c r="Z4221">
        <v>9</v>
      </c>
      <c r="AA4221" s="11" t="s">
        <v>49</v>
      </c>
    </row>
    <row r="4222" spans="2:27" ht="16" x14ac:dyDescent="0.2">
      <c r="B4222" t="s">
        <v>35</v>
      </c>
      <c r="C4222">
        <v>40351881</v>
      </c>
      <c r="D4222" t="s">
        <v>409</v>
      </c>
      <c r="E4222">
        <v>1030379</v>
      </c>
      <c r="F4222" t="s">
        <v>97</v>
      </c>
      <c r="G4222" s="9">
        <v>44943</v>
      </c>
      <c r="H4222" s="7"/>
      <c r="I4222" s="7"/>
      <c r="J4222" s="7"/>
      <c r="K4222" s="7"/>
      <c r="L4222" s="10">
        <v>7.5</v>
      </c>
      <c r="M4222" s="9">
        <v>44950</v>
      </c>
      <c r="N4222" s="10">
        <v>9.5</v>
      </c>
      <c r="O4222" s="9">
        <v>44959</v>
      </c>
      <c r="P4222">
        <v>21</v>
      </c>
      <c r="Q4222" s="11" t="s">
        <v>49</v>
      </c>
      <c r="R4222" s="7"/>
      <c r="S4222" s="7"/>
      <c r="T4222" s="7"/>
      <c r="U4222" s="7"/>
      <c r="V4222" s="10">
        <v>9.5</v>
      </c>
      <c r="W4222" s="9">
        <v>44952</v>
      </c>
      <c r="X4222" s="10">
        <v>11.5</v>
      </c>
      <c r="Y4222" s="9">
        <v>44959</v>
      </c>
      <c r="Z4222">
        <v>21</v>
      </c>
      <c r="AA4222" s="11" t="s">
        <v>49</v>
      </c>
    </row>
    <row r="4223" spans="2:27" ht="16" x14ac:dyDescent="0.2">
      <c r="B4223" t="s">
        <v>35</v>
      </c>
      <c r="C4223">
        <v>40351880</v>
      </c>
      <c r="D4223" t="s">
        <v>409</v>
      </c>
      <c r="E4223">
        <v>1030379</v>
      </c>
      <c r="F4223" t="s">
        <v>97</v>
      </c>
      <c r="G4223" s="9">
        <v>44943</v>
      </c>
      <c r="H4223" s="7"/>
      <c r="I4223" s="7"/>
      <c r="J4223" s="7"/>
      <c r="K4223" s="7"/>
      <c r="L4223" s="10">
        <v>7.5</v>
      </c>
      <c r="M4223" s="9">
        <v>44950</v>
      </c>
      <c r="N4223" s="10">
        <v>9.5</v>
      </c>
      <c r="O4223" s="9">
        <v>44959</v>
      </c>
      <c r="P4223">
        <v>21</v>
      </c>
      <c r="Q4223" s="11" t="s">
        <v>49</v>
      </c>
      <c r="R4223" s="7"/>
      <c r="S4223" s="7"/>
      <c r="T4223" s="7"/>
      <c r="U4223" s="7"/>
      <c r="V4223" s="10">
        <v>9.5</v>
      </c>
      <c r="W4223" s="9">
        <v>44952</v>
      </c>
      <c r="X4223" s="10">
        <v>11.5</v>
      </c>
      <c r="Y4223" s="9">
        <v>44959</v>
      </c>
      <c r="Z4223">
        <v>21</v>
      </c>
      <c r="AA4223" s="11" t="s">
        <v>49</v>
      </c>
    </row>
    <row r="4224" spans="2:27" ht="16" x14ac:dyDescent="0.2">
      <c r="B4224" t="s">
        <v>35</v>
      </c>
      <c r="C4224">
        <v>40351879</v>
      </c>
      <c r="D4224" t="s">
        <v>409</v>
      </c>
      <c r="E4224">
        <v>1030379</v>
      </c>
      <c r="F4224" t="s">
        <v>97</v>
      </c>
      <c r="G4224" s="9">
        <v>44943</v>
      </c>
      <c r="H4224" s="7"/>
      <c r="I4224" s="7"/>
      <c r="J4224" s="7"/>
      <c r="K4224" s="7"/>
      <c r="L4224" s="10">
        <v>7.5</v>
      </c>
      <c r="M4224" s="9">
        <v>44950</v>
      </c>
      <c r="N4224" s="10">
        <v>9.5</v>
      </c>
      <c r="O4224" s="9">
        <v>44959</v>
      </c>
      <c r="P4224">
        <v>21</v>
      </c>
      <c r="Q4224" s="11" t="s">
        <v>49</v>
      </c>
      <c r="R4224" s="7"/>
      <c r="S4224" s="7"/>
      <c r="T4224" s="7"/>
      <c r="U4224" s="7"/>
      <c r="V4224" s="10">
        <v>9.5</v>
      </c>
      <c r="W4224" s="9">
        <v>44952</v>
      </c>
      <c r="X4224" s="10">
        <v>11.5</v>
      </c>
      <c r="Y4224" s="9">
        <v>44959</v>
      </c>
      <c r="Z4224">
        <v>21</v>
      </c>
      <c r="AA4224" s="11" t="s">
        <v>49</v>
      </c>
    </row>
    <row r="4225" spans="2:27" ht="16" x14ac:dyDescent="0.2">
      <c r="B4225" t="s">
        <v>35</v>
      </c>
      <c r="C4225">
        <v>40351878</v>
      </c>
      <c r="D4225" t="s">
        <v>409</v>
      </c>
      <c r="E4225">
        <v>1030379</v>
      </c>
      <c r="F4225" t="s">
        <v>97</v>
      </c>
      <c r="G4225" s="9">
        <v>44949</v>
      </c>
      <c r="H4225" s="7"/>
      <c r="I4225" s="7"/>
      <c r="J4225" s="7"/>
      <c r="K4225" s="7"/>
      <c r="L4225" s="10">
        <v>7.5</v>
      </c>
      <c r="M4225" s="9">
        <v>44956</v>
      </c>
      <c r="N4225" s="10">
        <v>9.5</v>
      </c>
      <c r="O4225" s="9">
        <v>44965</v>
      </c>
      <c r="P4225">
        <v>16</v>
      </c>
      <c r="Q4225" s="11" t="s">
        <v>49</v>
      </c>
      <c r="R4225" s="7"/>
      <c r="S4225" s="7"/>
      <c r="T4225" s="7"/>
      <c r="U4225" s="7"/>
      <c r="V4225" s="10">
        <v>9.5</v>
      </c>
      <c r="W4225" s="9">
        <v>44958</v>
      </c>
      <c r="X4225" s="10">
        <v>11.5</v>
      </c>
      <c r="Y4225" s="9">
        <v>44965</v>
      </c>
      <c r="Z4225">
        <v>16</v>
      </c>
      <c r="AA4225" s="11" t="s">
        <v>49</v>
      </c>
    </row>
    <row r="4226" spans="2:27" ht="16" x14ac:dyDescent="0.2">
      <c r="B4226" t="s">
        <v>35</v>
      </c>
      <c r="C4226">
        <v>40351872</v>
      </c>
      <c r="D4226" t="s">
        <v>409</v>
      </c>
      <c r="E4226">
        <v>1012523</v>
      </c>
      <c r="F4226" t="s">
        <v>116</v>
      </c>
      <c r="G4226" s="9">
        <v>44935</v>
      </c>
      <c r="H4226" s="7"/>
      <c r="I4226" s="7"/>
      <c r="J4226" s="7"/>
      <c r="K4226" s="7"/>
      <c r="L4226" s="10">
        <v>7.5</v>
      </c>
      <c r="M4226" s="9">
        <v>44942</v>
      </c>
      <c r="N4226" s="10">
        <v>9.5</v>
      </c>
      <c r="O4226" s="9">
        <v>44951</v>
      </c>
      <c r="P4226">
        <v>5</v>
      </c>
      <c r="Q4226" s="11" t="s">
        <v>49</v>
      </c>
      <c r="R4226" s="7"/>
      <c r="S4226" s="7"/>
      <c r="T4226" s="7"/>
      <c r="U4226" s="7"/>
      <c r="V4226" s="10">
        <v>9.5</v>
      </c>
      <c r="W4226" s="9">
        <v>44944</v>
      </c>
      <c r="X4226" s="10">
        <v>11.5</v>
      </c>
      <c r="Y4226" s="9">
        <v>44951</v>
      </c>
      <c r="Z4226">
        <v>5</v>
      </c>
      <c r="AA4226" s="11" t="s">
        <v>49</v>
      </c>
    </row>
    <row r="4227" spans="2:27" ht="16" x14ac:dyDescent="0.2">
      <c r="B4227" t="s">
        <v>35</v>
      </c>
      <c r="C4227">
        <v>40351872</v>
      </c>
      <c r="D4227" t="s">
        <v>409</v>
      </c>
      <c r="E4227">
        <v>1012111</v>
      </c>
      <c r="F4227" t="s">
        <v>137</v>
      </c>
      <c r="G4227" s="9">
        <v>44935</v>
      </c>
      <c r="H4227" s="7"/>
      <c r="I4227" s="7"/>
      <c r="J4227" s="7"/>
      <c r="K4227" s="7"/>
      <c r="L4227" s="10">
        <v>7.5</v>
      </c>
      <c r="M4227" s="9">
        <v>44942</v>
      </c>
      <c r="N4227" s="10">
        <v>9.5</v>
      </c>
      <c r="O4227" s="9">
        <v>44951</v>
      </c>
      <c r="P4227">
        <v>5</v>
      </c>
      <c r="Q4227" s="11" t="s">
        <v>49</v>
      </c>
      <c r="R4227" s="7"/>
      <c r="S4227" s="7"/>
      <c r="T4227" s="7"/>
      <c r="U4227" s="7"/>
      <c r="V4227" s="10">
        <v>9.5</v>
      </c>
      <c r="W4227" s="9">
        <v>44944</v>
      </c>
      <c r="X4227" s="10">
        <v>11.5</v>
      </c>
      <c r="Y4227" s="9">
        <v>44951</v>
      </c>
      <c r="Z4227">
        <v>5</v>
      </c>
      <c r="AA4227" s="11" t="s">
        <v>49</v>
      </c>
    </row>
    <row r="4228" spans="2:27" ht="16" x14ac:dyDescent="0.2">
      <c r="B4228" t="s">
        <v>35</v>
      </c>
      <c r="C4228">
        <v>40351855</v>
      </c>
      <c r="D4228" t="s">
        <v>409</v>
      </c>
      <c r="E4228">
        <v>1012165</v>
      </c>
      <c r="F4228" t="s">
        <v>61</v>
      </c>
      <c r="G4228" s="9">
        <v>44945</v>
      </c>
      <c r="H4228" s="7"/>
      <c r="I4228" s="7"/>
      <c r="J4228" s="7"/>
      <c r="K4228" s="7"/>
      <c r="L4228" s="10">
        <v>7.5</v>
      </c>
      <c r="M4228" s="9">
        <v>44952</v>
      </c>
      <c r="N4228" s="10">
        <v>9.5</v>
      </c>
      <c r="O4228" s="9">
        <v>44961</v>
      </c>
      <c r="P4228">
        <v>19</v>
      </c>
      <c r="Q4228" s="11" t="s">
        <v>49</v>
      </c>
      <c r="R4228" s="7"/>
      <c r="S4228" s="7"/>
      <c r="T4228" s="7"/>
      <c r="U4228" s="7"/>
      <c r="V4228" s="10">
        <v>9.5</v>
      </c>
      <c r="W4228" s="9">
        <v>44954</v>
      </c>
      <c r="X4228" s="10">
        <v>11.5</v>
      </c>
      <c r="Y4228" s="9">
        <v>44961</v>
      </c>
      <c r="Z4228">
        <v>19</v>
      </c>
      <c r="AA4228" s="11" t="s">
        <v>49</v>
      </c>
    </row>
    <row r="4229" spans="2:27" ht="16" x14ac:dyDescent="0.2">
      <c r="B4229" t="s">
        <v>35</v>
      </c>
      <c r="C4229">
        <v>40351854</v>
      </c>
      <c r="D4229" t="s">
        <v>409</v>
      </c>
      <c r="E4229">
        <v>1012165</v>
      </c>
      <c r="F4229" t="s">
        <v>61</v>
      </c>
      <c r="G4229" s="9">
        <v>44937</v>
      </c>
      <c r="H4229" s="7"/>
      <c r="I4229" s="7"/>
      <c r="J4229" s="7"/>
      <c r="K4229" s="7"/>
      <c r="L4229" s="10">
        <v>7.5</v>
      </c>
      <c r="M4229" s="9">
        <v>44944</v>
      </c>
      <c r="N4229" s="10">
        <v>9.5</v>
      </c>
      <c r="O4229" s="9">
        <v>44953</v>
      </c>
      <c r="P4229">
        <v>3</v>
      </c>
      <c r="Q4229" s="11" t="s">
        <v>49</v>
      </c>
      <c r="R4229" s="7"/>
      <c r="S4229" s="7"/>
      <c r="T4229" s="7"/>
      <c r="U4229" s="7"/>
      <c r="V4229" s="10">
        <v>9.5</v>
      </c>
      <c r="W4229" s="9">
        <v>44946</v>
      </c>
      <c r="X4229" s="10">
        <v>11.5</v>
      </c>
      <c r="Y4229" s="9">
        <v>44953</v>
      </c>
      <c r="Z4229">
        <v>3</v>
      </c>
      <c r="AA4229" s="11" t="s">
        <v>49</v>
      </c>
    </row>
    <row r="4230" spans="2:27" ht="16" x14ac:dyDescent="0.2">
      <c r="B4230" t="s">
        <v>35</v>
      </c>
      <c r="C4230">
        <v>40351846</v>
      </c>
      <c r="D4230" t="s">
        <v>409</v>
      </c>
      <c r="E4230">
        <v>1012159</v>
      </c>
      <c r="F4230" t="s">
        <v>88</v>
      </c>
      <c r="G4230" s="9">
        <v>44936</v>
      </c>
      <c r="H4230" s="7"/>
      <c r="I4230" s="7"/>
      <c r="J4230" s="7"/>
      <c r="K4230" s="7"/>
      <c r="L4230" s="10">
        <v>7.5</v>
      </c>
      <c r="M4230" s="9">
        <v>44943</v>
      </c>
      <c r="N4230" s="10">
        <v>9.5</v>
      </c>
      <c r="O4230" s="9">
        <v>44952</v>
      </c>
      <c r="P4230">
        <v>4</v>
      </c>
      <c r="Q4230" s="11" t="s">
        <v>49</v>
      </c>
      <c r="R4230" s="7"/>
      <c r="S4230" s="7"/>
      <c r="T4230" s="7"/>
      <c r="U4230" s="7"/>
      <c r="V4230" s="10">
        <v>9.5</v>
      </c>
      <c r="W4230" s="9">
        <v>44945</v>
      </c>
      <c r="X4230" s="10">
        <v>11.5</v>
      </c>
      <c r="Y4230" s="9">
        <v>44952</v>
      </c>
      <c r="Z4230">
        <v>4</v>
      </c>
      <c r="AA4230" s="11" t="s">
        <v>49</v>
      </c>
    </row>
    <row r="4231" spans="2:27" ht="16" x14ac:dyDescent="0.2">
      <c r="B4231" t="s">
        <v>35</v>
      </c>
      <c r="C4231">
        <v>40351842</v>
      </c>
      <c r="D4231" t="s">
        <v>409</v>
      </c>
      <c r="E4231">
        <v>1012111</v>
      </c>
      <c r="F4231" t="s">
        <v>137</v>
      </c>
      <c r="G4231" s="9">
        <v>44937</v>
      </c>
      <c r="H4231" s="7"/>
      <c r="I4231" s="7"/>
      <c r="J4231" s="7"/>
      <c r="K4231" s="7"/>
      <c r="L4231" s="10">
        <v>7.5</v>
      </c>
      <c r="M4231" s="9">
        <v>44944</v>
      </c>
      <c r="N4231" s="10">
        <v>9.5</v>
      </c>
      <c r="O4231" s="9">
        <v>44953</v>
      </c>
      <c r="P4231">
        <v>3</v>
      </c>
      <c r="Q4231" s="11" t="s">
        <v>49</v>
      </c>
      <c r="R4231" s="7"/>
      <c r="S4231" s="7"/>
      <c r="T4231" s="7"/>
      <c r="U4231" s="7"/>
      <c r="V4231" s="10">
        <v>9.5</v>
      </c>
      <c r="W4231" s="9">
        <v>44946</v>
      </c>
      <c r="X4231" s="10">
        <v>11.5</v>
      </c>
      <c r="Y4231" s="9">
        <v>44953</v>
      </c>
      <c r="Z4231">
        <v>3</v>
      </c>
      <c r="AA4231" s="11" t="s">
        <v>49</v>
      </c>
    </row>
    <row r="4232" spans="2:27" ht="16" x14ac:dyDescent="0.2">
      <c r="B4232" t="s">
        <v>35</v>
      </c>
      <c r="C4232">
        <v>40351565</v>
      </c>
      <c r="D4232" t="s">
        <v>389</v>
      </c>
      <c r="E4232">
        <v>1022373</v>
      </c>
      <c r="F4232" t="s">
        <v>302</v>
      </c>
      <c r="G4232" s="9">
        <v>44945</v>
      </c>
      <c r="H4232" s="7"/>
      <c r="I4232" s="7"/>
      <c r="J4232" s="7"/>
      <c r="K4232" s="7"/>
      <c r="L4232" s="10">
        <v>5.5741092456127026</v>
      </c>
      <c r="M4232" s="9">
        <v>44950</v>
      </c>
      <c r="N4232" s="10">
        <v>5.5</v>
      </c>
      <c r="O4232" s="9">
        <v>44955</v>
      </c>
      <c r="P4232">
        <v>2</v>
      </c>
      <c r="Q4232" s="11" t="s">
        <v>648</v>
      </c>
      <c r="R4232" s="7"/>
      <c r="S4232" s="7"/>
      <c r="T4232" s="7"/>
      <c r="U4232" s="7"/>
      <c r="V4232" s="10">
        <v>7.5741092456127026</v>
      </c>
      <c r="W4232" s="9">
        <v>44952</v>
      </c>
      <c r="X4232" s="10">
        <v>7.5</v>
      </c>
      <c r="Y4232" s="9">
        <v>44955</v>
      </c>
      <c r="Z4232">
        <v>2</v>
      </c>
      <c r="AA4232" s="11" t="s">
        <v>648</v>
      </c>
    </row>
    <row r="4233" spans="2:27" ht="16" x14ac:dyDescent="0.2">
      <c r="B4233" t="s">
        <v>35</v>
      </c>
      <c r="C4233">
        <v>40351525</v>
      </c>
      <c r="D4233" t="s">
        <v>389</v>
      </c>
      <c r="E4233">
        <v>1022096</v>
      </c>
      <c r="F4233" t="s">
        <v>440</v>
      </c>
      <c r="G4233" s="9">
        <v>44941</v>
      </c>
      <c r="H4233" s="7"/>
      <c r="I4233" s="7"/>
      <c r="J4233" s="7"/>
      <c r="K4233" s="7"/>
      <c r="L4233" s="10">
        <v>5.5741092456127026</v>
      </c>
      <c r="M4233" s="9">
        <v>44946</v>
      </c>
      <c r="N4233" s="10">
        <v>5.5</v>
      </c>
      <c r="O4233" s="9">
        <v>44951</v>
      </c>
      <c r="P4233">
        <v>5</v>
      </c>
      <c r="Q4233" s="11" t="s">
        <v>49</v>
      </c>
      <c r="R4233" s="7"/>
      <c r="S4233" s="7"/>
      <c r="T4233" s="7"/>
      <c r="U4233" s="7"/>
      <c r="V4233" s="10">
        <v>7.5741092456127026</v>
      </c>
      <c r="W4233" s="9">
        <v>44948</v>
      </c>
      <c r="X4233" s="10">
        <v>7.5</v>
      </c>
      <c r="Y4233" s="9">
        <v>44951</v>
      </c>
      <c r="Z4233">
        <v>5</v>
      </c>
      <c r="AA4233" s="11" t="s">
        <v>49</v>
      </c>
    </row>
    <row r="4234" spans="2:27" ht="16" x14ac:dyDescent="0.2">
      <c r="B4234" t="s">
        <v>35</v>
      </c>
      <c r="C4234">
        <v>40351524</v>
      </c>
      <c r="D4234" t="s">
        <v>389</v>
      </c>
      <c r="E4234">
        <v>1022096</v>
      </c>
      <c r="F4234" t="s">
        <v>440</v>
      </c>
      <c r="G4234" s="9">
        <v>44941</v>
      </c>
      <c r="H4234" s="7"/>
      <c r="I4234" s="7"/>
      <c r="J4234" s="7"/>
      <c r="K4234" s="7"/>
      <c r="L4234" s="10">
        <v>5.5741092456127026</v>
      </c>
      <c r="M4234" s="9">
        <v>44946</v>
      </c>
      <c r="N4234" s="10">
        <v>5.5</v>
      </c>
      <c r="O4234" s="9">
        <v>44951</v>
      </c>
      <c r="P4234">
        <v>5</v>
      </c>
      <c r="Q4234" s="11" t="s">
        <v>49</v>
      </c>
      <c r="R4234" s="7"/>
      <c r="S4234" s="7"/>
      <c r="T4234" s="7"/>
      <c r="U4234" s="7"/>
      <c r="V4234" s="10">
        <v>7.5741092456127026</v>
      </c>
      <c r="W4234" s="9">
        <v>44948</v>
      </c>
      <c r="X4234" s="10">
        <v>7.5</v>
      </c>
      <c r="Y4234" s="9">
        <v>44951</v>
      </c>
      <c r="Z4234">
        <v>5</v>
      </c>
      <c r="AA4234" s="11" t="s">
        <v>49</v>
      </c>
    </row>
    <row r="4235" spans="2:27" ht="16" x14ac:dyDescent="0.2">
      <c r="B4235" t="s">
        <v>35</v>
      </c>
      <c r="C4235">
        <v>40351519</v>
      </c>
      <c r="D4235" t="s">
        <v>389</v>
      </c>
      <c r="E4235">
        <v>1021766</v>
      </c>
      <c r="F4235" t="s">
        <v>286</v>
      </c>
      <c r="G4235" s="9">
        <v>44968</v>
      </c>
      <c r="H4235" s="7"/>
      <c r="I4235" s="7"/>
      <c r="J4235" s="7"/>
      <c r="K4235" s="7"/>
      <c r="L4235" s="10">
        <v>5.5741092456127026</v>
      </c>
      <c r="M4235" s="9">
        <v>44973</v>
      </c>
      <c r="N4235" s="10">
        <v>5.5</v>
      </c>
      <c r="O4235" s="9">
        <v>44978</v>
      </c>
      <c r="P4235">
        <v>6</v>
      </c>
      <c r="Q4235" s="11" t="s">
        <v>49</v>
      </c>
      <c r="R4235" s="7"/>
      <c r="S4235" s="7"/>
      <c r="T4235" s="7"/>
      <c r="U4235" s="7"/>
      <c r="V4235" s="10">
        <v>7.5741092456127026</v>
      </c>
      <c r="W4235" s="9">
        <v>44975</v>
      </c>
      <c r="X4235" s="10">
        <v>7.5</v>
      </c>
      <c r="Y4235" s="9">
        <v>44978</v>
      </c>
      <c r="Z4235">
        <v>6</v>
      </c>
      <c r="AA4235" s="11" t="s">
        <v>49</v>
      </c>
    </row>
    <row r="4236" spans="2:27" ht="16" x14ac:dyDescent="0.2">
      <c r="B4236" t="s">
        <v>35</v>
      </c>
      <c r="C4236">
        <v>40351518</v>
      </c>
      <c r="D4236" t="s">
        <v>389</v>
      </c>
      <c r="E4236">
        <v>1021766</v>
      </c>
      <c r="F4236" t="s">
        <v>286</v>
      </c>
      <c r="G4236" s="9">
        <v>44969</v>
      </c>
      <c r="H4236" s="7"/>
      <c r="I4236" s="7"/>
      <c r="J4236" s="7"/>
      <c r="K4236" s="7"/>
      <c r="L4236" s="10">
        <v>5.5741092456127026</v>
      </c>
      <c r="M4236" s="9">
        <v>44974</v>
      </c>
      <c r="N4236" s="10">
        <v>5.5</v>
      </c>
      <c r="O4236" s="9">
        <v>44979</v>
      </c>
      <c r="P4236">
        <v>5</v>
      </c>
      <c r="Q4236" s="11" t="s">
        <v>49</v>
      </c>
      <c r="R4236" s="7"/>
      <c r="S4236" s="7"/>
      <c r="T4236" s="7"/>
      <c r="U4236" s="7"/>
      <c r="V4236" s="10">
        <v>7.5741092456127026</v>
      </c>
      <c r="W4236" s="9">
        <v>44976</v>
      </c>
      <c r="X4236" s="10">
        <v>7.5</v>
      </c>
      <c r="Y4236" s="9">
        <v>44979</v>
      </c>
      <c r="Z4236">
        <v>5</v>
      </c>
      <c r="AA4236" s="11" t="s">
        <v>49</v>
      </c>
    </row>
    <row r="4237" spans="2:27" ht="16" x14ac:dyDescent="0.2">
      <c r="B4237" t="s">
        <v>35</v>
      </c>
      <c r="C4237">
        <v>40351517</v>
      </c>
      <c r="D4237" t="s">
        <v>389</v>
      </c>
      <c r="E4237">
        <v>1021766</v>
      </c>
      <c r="F4237" t="s">
        <v>286</v>
      </c>
      <c r="G4237" s="9">
        <v>44969</v>
      </c>
      <c r="H4237" s="7"/>
      <c r="I4237" s="7"/>
      <c r="J4237" s="7"/>
      <c r="K4237" s="7"/>
      <c r="L4237" s="10">
        <v>5.5741092456127026</v>
      </c>
      <c r="M4237" s="9">
        <v>44974</v>
      </c>
      <c r="N4237" s="10">
        <v>5.5</v>
      </c>
      <c r="O4237" s="9">
        <v>44979</v>
      </c>
      <c r="P4237">
        <v>5</v>
      </c>
      <c r="Q4237" s="11" t="s">
        <v>49</v>
      </c>
      <c r="R4237" s="7"/>
      <c r="S4237" s="7"/>
      <c r="T4237" s="7"/>
      <c r="U4237" s="7"/>
      <c r="V4237" s="10">
        <v>7.5741092456127026</v>
      </c>
      <c r="W4237" s="9">
        <v>44976</v>
      </c>
      <c r="X4237" s="10">
        <v>7.5</v>
      </c>
      <c r="Y4237" s="9">
        <v>44979</v>
      </c>
      <c r="Z4237">
        <v>5</v>
      </c>
      <c r="AA4237" s="11" t="s">
        <v>49</v>
      </c>
    </row>
    <row r="4238" spans="2:27" ht="16" x14ac:dyDescent="0.2">
      <c r="B4238" t="s">
        <v>35</v>
      </c>
      <c r="C4238">
        <v>40351516</v>
      </c>
      <c r="D4238" t="s">
        <v>389</v>
      </c>
      <c r="E4238">
        <v>1021766</v>
      </c>
      <c r="F4238" t="s">
        <v>286</v>
      </c>
      <c r="G4238" s="9">
        <v>44975</v>
      </c>
      <c r="H4238" s="7"/>
      <c r="I4238" s="7"/>
      <c r="J4238" s="7"/>
      <c r="K4238" s="7"/>
      <c r="L4238" s="10">
        <v>5.5741092456127026</v>
      </c>
      <c r="M4238" s="9">
        <v>44980</v>
      </c>
      <c r="N4238" s="10">
        <v>5.5</v>
      </c>
      <c r="O4238" s="9">
        <v>44985</v>
      </c>
      <c r="P4238">
        <v>0</v>
      </c>
      <c r="Q4238" s="11" t="s">
        <v>594</v>
      </c>
      <c r="R4238" s="7"/>
      <c r="S4238" s="7"/>
      <c r="T4238" s="7"/>
      <c r="U4238" s="7"/>
      <c r="V4238" s="10">
        <v>7.5741092456127026</v>
      </c>
      <c r="W4238" s="9">
        <v>44982</v>
      </c>
      <c r="X4238" s="10">
        <v>7.5</v>
      </c>
      <c r="Y4238" s="9">
        <v>44985</v>
      </c>
      <c r="Z4238">
        <v>0</v>
      </c>
      <c r="AA4238" s="11" t="s">
        <v>594</v>
      </c>
    </row>
    <row r="4239" spans="2:27" ht="16" x14ac:dyDescent="0.2">
      <c r="B4239" t="s">
        <v>35</v>
      </c>
      <c r="C4239">
        <v>40351515</v>
      </c>
      <c r="D4239" t="s">
        <v>389</v>
      </c>
      <c r="E4239">
        <v>1021766</v>
      </c>
      <c r="F4239" t="s">
        <v>286</v>
      </c>
      <c r="G4239" s="9">
        <v>44953</v>
      </c>
      <c r="H4239" s="7"/>
      <c r="I4239" s="7"/>
      <c r="J4239" s="7"/>
      <c r="K4239" s="7"/>
      <c r="L4239" s="10">
        <v>5.5741092456127026</v>
      </c>
      <c r="M4239" s="9">
        <v>44958</v>
      </c>
      <c r="N4239" s="10">
        <v>5.5</v>
      </c>
      <c r="O4239" s="9">
        <v>44963</v>
      </c>
      <c r="P4239">
        <v>19</v>
      </c>
      <c r="Q4239" s="11" t="s">
        <v>49</v>
      </c>
      <c r="R4239" s="7"/>
      <c r="S4239" s="7"/>
      <c r="T4239" s="7"/>
      <c r="U4239" s="7"/>
      <c r="V4239" s="10">
        <v>7.5741092456127026</v>
      </c>
      <c r="W4239" s="9">
        <v>44960</v>
      </c>
      <c r="X4239" s="10">
        <v>7.5</v>
      </c>
      <c r="Y4239" s="9">
        <v>44963</v>
      </c>
      <c r="Z4239">
        <v>19</v>
      </c>
      <c r="AA4239" s="11" t="s">
        <v>49</v>
      </c>
    </row>
    <row r="4240" spans="2:27" ht="16" x14ac:dyDescent="0.2">
      <c r="B4240" t="s">
        <v>35</v>
      </c>
      <c r="C4240">
        <v>40351514</v>
      </c>
      <c r="D4240" t="s">
        <v>389</v>
      </c>
      <c r="E4240">
        <v>1021766</v>
      </c>
      <c r="F4240" t="s">
        <v>286</v>
      </c>
      <c r="G4240" s="9">
        <v>44969</v>
      </c>
      <c r="H4240" s="7"/>
      <c r="I4240" s="7"/>
      <c r="J4240" s="7"/>
      <c r="K4240" s="7"/>
      <c r="L4240" s="10">
        <v>5.5741092456127026</v>
      </c>
      <c r="M4240" s="9">
        <v>44974</v>
      </c>
      <c r="N4240" s="10">
        <v>5.5</v>
      </c>
      <c r="O4240" s="9">
        <v>44979</v>
      </c>
      <c r="P4240">
        <v>5</v>
      </c>
      <c r="Q4240" s="11" t="s">
        <v>49</v>
      </c>
      <c r="R4240" s="7"/>
      <c r="S4240" s="7"/>
      <c r="T4240" s="7"/>
      <c r="U4240" s="7"/>
      <c r="V4240" s="10">
        <v>7.5741092456127026</v>
      </c>
      <c r="W4240" s="9">
        <v>44976</v>
      </c>
      <c r="X4240" s="10">
        <v>7.5</v>
      </c>
      <c r="Y4240" s="9">
        <v>44979</v>
      </c>
      <c r="Z4240">
        <v>5</v>
      </c>
      <c r="AA4240" s="11" t="s">
        <v>49</v>
      </c>
    </row>
    <row r="4241" spans="2:27" ht="16" x14ac:dyDescent="0.2">
      <c r="B4241" t="s">
        <v>35</v>
      </c>
      <c r="C4241">
        <v>40351513</v>
      </c>
      <c r="D4241" t="s">
        <v>389</v>
      </c>
      <c r="E4241">
        <v>1021766</v>
      </c>
      <c r="F4241" t="s">
        <v>286</v>
      </c>
      <c r="G4241" s="9">
        <v>44953</v>
      </c>
      <c r="H4241" s="7"/>
      <c r="I4241" s="7"/>
      <c r="J4241" s="7"/>
      <c r="K4241" s="7"/>
      <c r="L4241" s="10">
        <v>5.5741092456127026</v>
      </c>
      <c r="M4241" s="9">
        <v>44958</v>
      </c>
      <c r="N4241" s="10">
        <v>5.5</v>
      </c>
      <c r="O4241" s="9">
        <v>44963</v>
      </c>
      <c r="P4241">
        <v>19</v>
      </c>
      <c r="Q4241" s="11" t="s">
        <v>49</v>
      </c>
      <c r="R4241" s="7"/>
      <c r="S4241" s="7"/>
      <c r="T4241" s="7"/>
      <c r="U4241" s="7"/>
      <c r="V4241" s="10">
        <v>7.5741092456127026</v>
      </c>
      <c r="W4241" s="9">
        <v>44960</v>
      </c>
      <c r="X4241" s="10">
        <v>7.5</v>
      </c>
      <c r="Y4241" s="9">
        <v>44963</v>
      </c>
      <c r="Z4241">
        <v>19</v>
      </c>
      <c r="AA4241" s="11" t="s">
        <v>49</v>
      </c>
    </row>
    <row r="4242" spans="2:27" ht="16" x14ac:dyDescent="0.2">
      <c r="B4242" t="s">
        <v>35</v>
      </c>
      <c r="C4242">
        <v>40351504</v>
      </c>
      <c r="D4242" t="s">
        <v>389</v>
      </c>
      <c r="E4242">
        <v>1023306</v>
      </c>
      <c r="F4242" t="s">
        <v>330</v>
      </c>
      <c r="G4242" s="9">
        <v>44952</v>
      </c>
      <c r="H4242" s="7"/>
      <c r="I4242" s="7"/>
      <c r="J4242" s="7"/>
      <c r="K4242" s="7"/>
      <c r="L4242" s="10">
        <v>5.5741092456127026</v>
      </c>
      <c r="M4242" s="9">
        <v>44957</v>
      </c>
      <c r="N4242" s="10">
        <v>5.5</v>
      </c>
      <c r="O4242" s="9">
        <v>44962</v>
      </c>
      <c r="P4242">
        <v>20</v>
      </c>
      <c r="Q4242" s="11" t="s">
        <v>49</v>
      </c>
      <c r="R4242" s="7"/>
      <c r="S4242" s="7"/>
      <c r="T4242" s="7"/>
      <c r="U4242" s="7"/>
      <c r="V4242" s="10">
        <v>7.5741092456127026</v>
      </c>
      <c r="W4242" s="9">
        <v>44959</v>
      </c>
      <c r="X4242" s="10">
        <v>7.5</v>
      </c>
      <c r="Y4242" s="9">
        <v>44962</v>
      </c>
      <c r="Z4242">
        <v>20</v>
      </c>
      <c r="AA4242" s="11" t="s">
        <v>49</v>
      </c>
    </row>
    <row r="4243" spans="2:27" ht="16" x14ac:dyDescent="0.2">
      <c r="B4243" t="s">
        <v>35</v>
      </c>
      <c r="C4243">
        <v>40351503</v>
      </c>
      <c r="D4243" t="s">
        <v>389</v>
      </c>
      <c r="E4243">
        <v>1023306</v>
      </c>
      <c r="F4243" t="s">
        <v>330</v>
      </c>
      <c r="G4243" s="9">
        <v>44952</v>
      </c>
      <c r="H4243" s="7"/>
      <c r="I4243" s="7"/>
      <c r="J4243" s="7"/>
      <c r="K4243" s="7"/>
      <c r="L4243" s="10">
        <v>5.5741092456127026</v>
      </c>
      <c r="M4243" s="9">
        <v>44957</v>
      </c>
      <c r="N4243" s="10">
        <v>5.5</v>
      </c>
      <c r="O4243" s="9">
        <v>44962</v>
      </c>
      <c r="P4243">
        <v>20</v>
      </c>
      <c r="Q4243" s="11" t="s">
        <v>49</v>
      </c>
      <c r="R4243" s="7"/>
      <c r="S4243" s="7"/>
      <c r="T4243" s="7"/>
      <c r="U4243" s="7"/>
      <c r="V4243" s="10">
        <v>7.5741092456127026</v>
      </c>
      <c r="W4243" s="9">
        <v>44959</v>
      </c>
      <c r="X4243" s="10">
        <v>7.5</v>
      </c>
      <c r="Y4243" s="9">
        <v>44962</v>
      </c>
      <c r="Z4243">
        <v>20</v>
      </c>
      <c r="AA4243" s="11" t="s">
        <v>49</v>
      </c>
    </row>
    <row r="4244" spans="2:27" ht="16" x14ac:dyDescent="0.2">
      <c r="B4244" t="s">
        <v>35</v>
      </c>
      <c r="C4244">
        <v>40351502</v>
      </c>
      <c r="D4244" t="s">
        <v>389</v>
      </c>
      <c r="E4244">
        <v>1023306</v>
      </c>
      <c r="F4244" t="s">
        <v>330</v>
      </c>
      <c r="G4244" s="9">
        <v>44962</v>
      </c>
      <c r="H4244" s="7"/>
      <c r="I4244" s="7"/>
      <c r="J4244" s="7"/>
      <c r="K4244" s="7"/>
      <c r="L4244" s="10">
        <v>5.5741092456127026</v>
      </c>
      <c r="M4244" s="9">
        <v>44967</v>
      </c>
      <c r="N4244" s="10">
        <v>5.5</v>
      </c>
      <c r="O4244" s="9">
        <v>44972</v>
      </c>
      <c r="P4244">
        <v>11</v>
      </c>
      <c r="Q4244" s="11" t="s">
        <v>49</v>
      </c>
      <c r="R4244" s="7"/>
      <c r="S4244" s="7"/>
      <c r="T4244" s="7"/>
      <c r="U4244" s="7"/>
      <c r="V4244" s="10">
        <v>7.5741092456127026</v>
      </c>
      <c r="W4244" s="9">
        <v>44969</v>
      </c>
      <c r="X4244" s="10">
        <v>7.5</v>
      </c>
      <c r="Y4244" s="9">
        <v>44972</v>
      </c>
      <c r="Z4244">
        <v>11</v>
      </c>
      <c r="AA4244" s="11" t="s">
        <v>49</v>
      </c>
    </row>
    <row r="4245" spans="2:27" ht="16" x14ac:dyDescent="0.2">
      <c r="B4245" t="s">
        <v>35</v>
      </c>
      <c r="C4245">
        <v>40351501</v>
      </c>
      <c r="D4245" t="s">
        <v>389</v>
      </c>
      <c r="E4245">
        <v>1023306</v>
      </c>
      <c r="F4245" t="s">
        <v>330</v>
      </c>
      <c r="G4245" s="9">
        <v>44954</v>
      </c>
      <c r="H4245" s="7"/>
      <c r="I4245" s="7"/>
      <c r="J4245" s="7"/>
      <c r="K4245" s="7"/>
      <c r="L4245" s="10">
        <v>5.5741092456127026</v>
      </c>
      <c r="M4245" s="9">
        <v>44959</v>
      </c>
      <c r="N4245" s="10">
        <v>5.5</v>
      </c>
      <c r="O4245" s="9">
        <v>44964</v>
      </c>
      <c r="P4245">
        <v>18</v>
      </c>
      <c r="Q4245" s="11" t="s">
        <v>49</v>
      </c>
      <c r="R4245" s="7"/>
      <c r="S4245" s="7"/>
      <c r="T4245" s="7"/>
      <c r="U4245" s="7"/>
      <c r="V4245" s="10">
        <v>7.5741092456127026</v>
      </c>
      <c r="W4245" s="9">
        <v>44961</v>
      </c>
      <c r="X4245" s="10">
        <v>7.5</v>
      </c>
      <c r="Y4245" s="9">
        <v>44964</v>
      </c>
      <c r="Z4245">
        <v>18</v>
      </c>
      <c r="AA4245" s="11" t="s">
        <v>49</v>
      </c>
    </row>
    <row r="4246" spans="2:27" ht="16" x14ac:dyDescent="0.2">
      <c r="B4246" t="s">
        <v>35</v>
      </c>
      <c r="C4246">
        <v>40351500</v>
      </c>
      <c r="D4246" t="s">
        <v>389</v>
      </c>
      <c r="E4246">
        <v>1023306</v>
      </c>
      <c r="F4246" t="s">
        <v>330</v>
      </c>
      <c r="G4246" s="9">
        <v>44940</v>
      </c>
      <c r="H4246" s="7"/>
      <c r="I4246" s="7"/>
      <c r="J4246" s="7"/>
      <c r="K4246" s="7"/>
      <c r="L4246" s="10">
        <v>5.5741092456127026</v>
      </c>
      <c r="M4246" s="9">
        <v>44945</v>
      </c>
      <c r="N4246" s="10">
        <v>5.5</v>
      </c>
      <c r="O4246" s="9">
        <v>44950</v>
      </c>
      <c r="P4246">
        <v>6</v>
      </c>
      <c r="Q4246" s="11" t="s">
        <v>49</v>
      </c>
      <c r="R4246" s="7"/>
      <c r="S4246" s="7"/>
      <c r="T4246" s="7"/>
      <c r="U4246" s="7"/>
      <c r="V4246" s="10">
        <v>7.5741092456127026</v>
      </c>
      <c r="W4246" s="9">
        <v>44947</v>
      </c>
      <c r="X4246" s="10">
        <v>7.5</v>
      </c>
      <c r="Y4246" s="9">
        <v>44950</v>
      </c>
      <c r="Z4246">
        <v>6</v>
      </c>
      <c r="AA4246" s="11" t="s">
        <v>49</v>
      </c>
    </row>
    <row r="4247" spans="2:27" ht="16" x14ac:dyDescent="0.2">
      <c r="B4247" t="s">
        <v>35</v>
      </c>
      <c r="C4247">
        <v>40351498</v>
      </c>
      <c r="D4247" t="s">
        <v>389</v>
      </c>
      <c r="E4247">
        <v>1023306</v>
      </c>
      <c r="F4247" t="s">
        <v>330</v>
      </c>
      <c r="G4247" s="9">
        <v>44952</v>
      </c>
      <c r="H4247" s="7"/>
      <c r="I4247" s="7"/>
      <c r="J4247" s="7"/>
      <c r="K4247" s="7"/>
      <c r="L4247" s="10">
        <v>5.5741092456127026</v>
      </c>
      <c r="M4247" s="9">
        <v>44957</v>
      </c>
      <c r="N4247" s="10">
        <v>5.5</v>
      </c>
      <c r="O4247" s="9">
        <v>44962</v>
      </c>
      <c r="P4247">
        <v>20</v>
      </c>
      <c r="Q4247" s="11" t="s">
        <v>49</v>
      </c>
      <c r="R4247" s="7"/>
      <c r="S4247" s="7"/>
      <c r="T4247" s="7"/>
      <c r="U4247" s="7"/>
      <c r="V4247" s="10">
        <v>7.5741092456127026</v>
      </c>
      <c r="W4247" s="9">
        <v>44959</v>
      </c>
      <c r="X4247" s="10">
        <v>7.5</v>
      </c>
      <c r="Y4247" s="9">
        <v>44962</v>
      </c>
      <c r="Z4247">
        <v>20</v>
      </c>
      <c r="AA4247" s="11" t="s">
        <v>49</v>
      </c>
    </row>
    <row r="4248" spans="2:27" ht="16" x14ac:dyDescent="0.2">
      <c r="B4248" t="s">
        <v>35</v>
      </c>
      <c r="C4248">
        <v>40351497</v>
      </c>
      <c r="D4248" t="s">
        <v>389</v>
      </c>
      <c r="E4248">
        <v>1023306</v>
      </c>
      <c r="F4248" t="s">
        <v>330</v>
      </c>
      <c r="G4248" s="9">
        <v>44941</v>
      </c>
      <c r="H4248" s="7"/>
      <c r="I4248" s="7"/>
      <c r="J4248" s="7"/>
      <c r="K4248" s="7"/>
      <c r="L4248" s="10">
        <v>5.5741092456127026</v>
      </c>
      <c r="M4248" s="9">
        <v>44946</v>
      </c>
      <c r="N4248" s="10">
        <v>5.5</v>
      </c>
      <c r="O4248" s="9">
        <v>44951</v>
      </c>
      <c r="P4248">
        <v>5</v>
      </c>
      <c r="Q4248" s="11" t="s">
        <v>49</v>
      </c>
      <c r="R4248" s="7"/>
      <c r="S4248" s="7"/>
      <c r="T4248" s="7"/>
      <c r="U4248" s="7"/>
      <c r="V4248" s="10">
        <v>7.5741092456127026</v>
      </c>
      <c r="W4248" s="9">
        <v>44948</v>
      </c>
      <c r="X4248" s="10">
        <v>7.5</v>
      </c>
      <c r="Y4248" s="9">
        <v>44951</v>
      </c>
      <c r="Z4248">
        <v>5</v>
      </c>
      <c r="AA4248" s="11" t="s">
        <v>49</v>
      </c>
    </row>
    <row r="4249" spans="2:27" ht="16" x14ac:dyDescent="0.2">
      <c r="B4249" t="s">
        <v>35</v>
      </c>
      <c r="C4249">
        <v>40351496</v>
      </c>
      <c r="D4249" t="s">
        <v>389</v>
      </c>
      <c r="E4249">
        <v>1022388</v>
      </c>
      <c r="F4249" t="s">
        <v>170</v>
      </c>
      <c r="G4249" s="9">
        <v>44941</v>
      </c>
      <c r="H4249" s="7"/>
      <c r="I4249" s="7"/>
      <c r="J4249" s="7"/>
      <c r="K4249" s="7"/>
      <c r="L4249" s="10">
        <v>5.5741092456127026</v>
      </c>
      <c r="M4249" s="9">
        <v>44946</v>
      </c>
      <c r="N4249" s="10">
        <v>5.5</v>
      </c>
      <c r="O4249" s="9">
        <v>44951</v>
      </c>
      <c r="P4249">
        <v>5</v>
      </c>
      <c r="Q4249" s="11" t="s">
        <v>49</v>
      </c>
      <c r="R4249" s="7"/>
      <c r="S4249" s="7"/>
      <c r="T4249" s="7"/>
      <c r="U4249" s="7"/>
      <c r="V4249" s="10">
        <v>7.5741092456127026</v>
      </c>
      <c r="W4249" s="9">
        <v>44948</v>
      </c>
      <c r="X4249" s="10">
        <v>7.5</v>
      </c>
      <c r="Y4249" s="9">
        <v>44951</v>
      </c>
      <c r="Z4249">
        <v>5</v>
      </c>
      <c r="AA4249" s="11" t="s">
        <v>49</v>
      </c>
    </row>
    <row r="4250" spans="2:27" ht="16" x14ac:dyDescent="0.2">
      <c r="B4250" t="s">
        <v>35</v>
      </c>
      <c r="C4250">
        <v>40351496</v>
      </c>
      <c r="D4250" t="s">
        <v>389</v>
      </c>
      <c r="E4250">
        <v>1022388</v>
      </c>
      <c r="F4250" t="s">
        <v>170</v>
      </c>
      <c r="G4250" s="9">
        <v>44941</v>
      </c>
      <c r="H4250" s="7"/>
      <c r="I4250" s="7"/>
      <c r="J4250" s="7"/>
      <c r="K4250" s="7"/>
      <c r="L4250" s="10">
        <v>5.5741092456127026</v>
      </c>
      <c r="M4250" s="9">
        <v>44946</v>
      </c>
      <c r="N4250" s="10">
        <v>5.5</v>
      </c>
      <c r="O4250" s="9">
        <v>44951</v>
      </c>
      <c r="P4250">
        <v>5</v>
      </c>
      <c r="Q4250" s="11" t="s">
        <v>49</v>
      </c>
      <c r="R4250" s="7"/>
      <c r="S4250" s="7"/>
      <c r="T4250" s="7"/>
      <c r="U4250" s="7"/>
      <c r="V4250" s="10">
        <v>7.5741092456127026</v>
      </c>
      <c r="W4250" s="9">
        <v>44948</v>
      </c>
      <c r="X4250" s="10">
        <v>7.5</v>
      </c>
      <c r="Y4250" s="9">
        <v>44951</v>
      </c>
      <c r="Z4250">
        <v>5</v>
      </c>
      <c r="AA4250" s="11" t="s">
        <v>49</v>
      </c>
    </row>
    <row r="4251" spans="2:27" ht="16" x14ac:dyDescent="0.2">
      <c r="B4251" t="s">
        <v>35</v>
      </c>
      <c r="C4251">
        <v>40351495</v>
      </c>
      <c r="D4251" t="s">
        <v>389</v>
      </c>
      <c r="E4251">
        <v>1022388</v>
      </c>
      <c r="F4251" t="s">
        <v>170</v>
      </c>
      <c r="G4251" s="9">
        <v>44941</v>
      </c>
      <c r="H4251" s="7"/>
      <c r="I4251" s="7"/>
      <c r="J4251" s="7"/>
      <c r="K4251" s="7"/>
      <c r="L4251" s="10">
        <v>5.5741092456127026</v>
      </c>
      <c r="M4251" s="9">
        <v>44946</v>
      </c>
      <c r="N4251" s="10">
        <v>5.5</v>
      </c>
      <c r="O4251" s="9">
        <v>44951</v>
      </c>
      <c r="P4251">
        <v>5</v>
      </c>
      <c r="Q4251" s="11" t="s">
        <v>49</v>
      </c>
      <c r="R4251" s="7"/>
      <c r="S4251" s="7"/>
      <c r="T4251" s="7"/>
      <c r="U4251" s="7"/>
      <c r="V4251" s="10">
        <v>7.5741092456127026</v>
      </c>
      <c r="W4251" s="9">
        <v>44948</v>
      </c>
      <c r="X4251" s="10">
        <v>7.5</v>
      </c>
      <c r="Y4251" s="9">
        <v>44951</v>
      </c>
      <c r="Z4251">
        <v>5</v>
      </c>
      <c r="AA4251" s="11" t="s">
        <v>49</v>
      </c>
    </row>
    <row r="4252" spans="2:27" ht="16" x14ac:dyDescent="0.2">
      <c r="B4252" t="s">
        <v>35</v>
      </c>
      <c r="C4252">
        <v>40351490</v>
      </c>
      <c r="D4252" t="s">
        <v>389</v>
      </c>
      <c r="E4252">
        <v>1022125</v>
      </c>
      <c r="F4252" t="s">
        <v>296</v>
      </c>
      <c r="G4252" s="9">
        <v>44962</v>
      </c>
      <c r="H4252" s="7"/>
      <c r="I4252" s="7"/>
      <c r="J4252" s="7"/>
      <c r="K4252" s="7"/>
      <c r="L4252" s="10">
        <v>5.5741092456127026</v>
      </c>
      <c r="M4252" s="9">
        <v>44967</v>
      </c>
      <c r="N4252" s="10">
        <v>5.5</v>
      </c>
      <c r="O4252" s="9">
        <v>44972</v>
      </c>
      <c r="P4252">
        <v>11</v>
      </c>
      <c r="Q4252" s="11" t="s">
        <v>49</v>
      </c>
      <c r="R4252" s="7"/>
      <c r="S4252" s="7"/>
      <c r="T4252" s="7"/>
      <c r="U4252" s="7"/>
      <c r="V4252" s="10">
        <v>7.5741092456127026</v>
      </c>
      <c r="W4252" s="9">
        <v>44969</v>
      </c>
      <c r="X4252" s="10">
        <v>7.5</v>
      </c>
      <c r="Y4252" s="9">
        <v>44972</v>
      </c>
      <c r="Z4252">
        <v>11</v>
      </c>
      <c r="AA4252" s="11" t="s">
        <v>49</v>
      </c>
    </row>
    <row r="4253" spans="2:27" ht="16" x14ac:dyDescent="0.2">
      <c r="B4253" t="s">
        <v>35</v>
      </c>
      <c r="C4253">
        <v>40351488</v>
      </c>
      <c r="D4253" t="s">
        <v>389</v>
      </c>
      <c r="E4253">
        <v>1022125</v>
      </c>
      <c r="F4253" t="s">
        <v>296</v>
      </c>
      <c r="G4253" s="9">
        <v>44962</v>
      </c>
      <c r="H4253" s="7"/>
      <c r="I4253" s="7"/>
      <c r="J4253" s="7"/>
      <c r="K4253" s="7"/>
      <c r="L4253" s="10">
        <v>5.5741092456127026</v>
      </c>
      <c r="M4253" s="9">
        <v>44967</v>
      </c>
      <c r="N4253" s="10">
        <v>5.5</v>
      </c>
      <c r="O4253" s="9">
        <v>44972</v>
      </c>
      <c r="P4253">
        <v>11</v>
      </c>
      <c r="Q4253" s="11" t="s">
        <v>49</v>
      </c>
      <c r="R4253" s="7"/>
      <c r="S4253" s="7"/>
      <c r="T4253" s="7"/>
      <c r="U4253" s="7"/>
      <c r="V4253" s="10">
        <v>7.5741092456127026</v>
      </c>
      <c r="W4253" s="9">
        <v>44969</v>
      </c>
      <c r="X4253" s="10">
        <v>7.5</v>
      </c>
      <c r="Y4253" s="9">
        <v>44972</v>
      </c>
      <c r="Z4253">
        <v>11</v>
      </c>
      <c r="AA4253" s="11" t="s">
        <v>49</v>
      </c>
    </row>
    <row r="4254" spans="2:27" ht="16" x14ac:dyDescent="0.2">
      <c r="B4254" t="s">
        <v>35</v>
      </c>
      <c r="C4254">
        <v>40351488</v>
      </c>
      <c r="D4254" t="s">
        <v>389</v>
      </c>
      <c r="E4254">
        <v>1022125</v>
      </c>
      <c r="F4254" t="s">
        <v>296</v>
      </c>
      <c r="G4254" s="9">
        <v>44962</v>
      </c>
      <c r="H4254" s="7"/>
      <c r="I4254" s="7"/>
      <c r="J4254" s="7"/>
      <c r="K4254" s="7"/>
      <c r="L4254" s="10">
        <v>5.5741092456127026</v>
      </c>
      <c r="M4254" s="9">
        <v>44967</v>
      </c>
      <c r="N4254" s="10">
        <v>5.5</v>
      </c>
      <c r="O4254" s="9">
        <v>44972</v>
      </c>
      <c r="P4254">
        <v>11</v>
      </c>
      <c r="Q4254" s="11" t="s">
        <v>49</v>
      </c>
      <c r="R4254" s="7"/>
      <c r="S4254" s="7"/>
      <c r="T4254" s="7"/>
      <c r="U4254" s="7"/>
      <c r="V4254" s="10">
        <v>7.5741092456127026</v>
      </c>
      <c r="W4254" s="9">
        <v>44969</v>
      </c>
      <c r="X4254" s="10">
        <v>7.5</v>
      </c>
      <c r="Y4254" s="9">
        <v>44972</v>
      </c>
      <c r="Z4254">
        <v>11</v>
      </c>
      <c r="AA4254" s="11" t="s">
        <v>49</v>
      </c>
    </row>
    <row r="4255" spans="2:27" ht="16" x14ac:dyDescent="0.2">
      <c r="B4255" t="s">
        <v>35</v>
      </c>
      <c r="C4255">
        <v>40351487</v>
      </c>
      <c r="D4255" t="s">
        <v>389</v>
      </c>
      <c r="E4255">
        <v>1022125</v>
      </c>
      <c r="F4255" t="s">
        <v>296</v>
      </c>
      <c r="G4255" s="9">
        <v>44956</v>
      </c>
      <c r="H4255" s="7"/>
      <c r="I4255" s="7"/>
      <c r="J4255" s="7"/>
      <c r="K4255" s="7"/>
      <c r="L4255" s="10">
        <v>5.5741092456127026</v>
      </c>
      <c r="M4255" s="9">
        <v>44961</v>
      </c>
      <c r="N4255" s="10">
        <v>5.5</v>
      </c>
      <c r="O4255" s="9">
        <v>44966</v>
      </c>
      <c r="P4255">
        <v>16</v>
      </c>
      <c r="Q4255" s="11" t="s">
        <v>49</v>
      </c>
      <c r="R4255" s="7"/>
      <c r="S4255" s="7"/>
      <c r="T4255" s="7"/>
      <c r="U4255" s="7"/>
      <c r="V4255" s="10">
        <v>7.5741092456127026</v>
      </c>
      <c r="W4255" s="9">
        <v>44963</v>
      </c>
      <c r="X4255" s="10">
        <v>7.5</v>
      </c>
      <c r="Y4255" s="9">
        <v>44966</v>
      </c>
      <c r="Z4255">
        <v>16</v>
      </c>
      <c r="AA4255" s="11" t="s">
        <v>49</v>
      </c>
    </row>
    <row r="4256" spans="2:27" ht="16" x14ac:dyDescent="0.2">
      <c r="B4256" t="s">
        <v>35</v>
      </c>
      <c r="C4256">
        <v>40351487</v>
      </c>
      <c r="D4256" t="s">
        <v>389</v>
      </c>
      <c r="E4256">
        <v>1022125</v>
      </c>
      <c r="F4256" t="s">
        <v>296</v>
      </c>
      <c r="G4256" s="9">
        <v>44956</v>
      </c>
      <c r="H4256" s="7"/>
      <c r="I4256" s="7"/>
      <c r="J4256" s="7"/>
      <c r="K4256" s="7"/>
      <c r="L4256" s="10">
        <v>5.5741092456127026</v>
      </c>
      <c r="M4256" s="9">
        <v>44961</v>
      </c>
      <c r="N4256" s="10">
        <v>5.5</v>
      </c>
      <c r="O4256" s="9">
        <v>44966</v>
      </c>
      <c r="P4256">
        <v>16</v>
      </c>
      <c r="Q4256" s="11" t="s">
        <v>49</v>
      </c>
      <c r="R4256" s="7"/>
      <c r="S4256" s="7"/>
      <c r="T4256" s="7"/>
      <c r="U4256" s="7"/>
      <c r="V4256" s="10">
        <v>7.5741092456127026</v>
      </c>
      <c r="W4256" s="9">
        <v>44963</v>
      </c>
      <c r="X4256" s="10">
        <v>7.5</v>
      </c>
      <c r="Y4256" s="9">
        <v>44966</v>
      </c>
      <c r="Z4256">
        <v>16</v>
      </c>
      <c r="AA4256" s="11" t="s">
        <v>49</v>
      </c>
    </row>
    <row r="4257" spans="2:27" ht="16" x14ac:dyDescent="0.2">
      <c r="B4257" t="s">
        <v>35</v>
      </c>
      <c r="C4257">
        <v>40351486</v>
      </c>
      <c r="D4257" t="s">
        <v>389</v>
      </c>
      <c r="E4257">
        <v>1022125</v>
      </c>
      <c r="F4257" t="s">
        <v>296</v>
      </c>
      <c r="G4257" s="9">
        <v>44952</v>
      </c>
      <c r="H4257" s="7"/>
      <c r="I4257" s="7"/>
      <c r="J4257" s="7"/>
      <c r="K4257" s="7"/>
      <c r="L4257" s="10">
        <v>5.5741092456127026</v>
      </c>
      <c r="M4257" s="9">
        <v>44957</v>
      </c>
      <c r="N4257" s="10">
        <v>5.5</v>
      </c>
      <c r="O4257" s="9">
        <v>44962</v>
      </c>
      <c r="P4257">
        <v>20</v>
      </c>
      <c r="Q4257" s="11" t="s">
        <v>49</v>
      </c>
      <c r="R4257" s="7"/>
      <c r="S4257" s="7"/>
      <c r="T4257" s="7"/>
      <c r="U4257" s="7"/>
      <c r="V4257" s="10">
        <v>7.5741092456127026</v>
      </c>
      <c r="W4257" s="9">
        <v>44959</v>
      </c>
      <c r="X4257" s="10">
        <v>7.5</v>
      </c>
      <c r="Y4257" s="9">
        <v>44962</v>
      </c>
      <c r="Z4257">
        <v>20</v>
      </c>
      <c r="AA4257" s="11" t="s">
        <v>49</v>
      </c>
    </row>
    <row r="4258" spans="2:27" ht="16" x14ac:dyDescent="0.2">
      <c r="B4258" t="s">
        <v>35</v>
      </c>
      <c r="C4258">
        <v>40351485</v>
      </c>
      <c r="D4258" t="s">
        <v>389</v>
      </c>
      <c r="E4258">
        <v>1022125</v>
      </c>
      <c r="F4258" t="s">
        <v>296</v>
      </c>
      <c r="G4258" s="9">
        <v>44952</v>
      </c>
      <c r="H4258" s="7"/>
      <c r="I4258" s="7"/>
      <c r="J4258" s="7"/>
      <c r="K4258" s="7"/>
      <c r="L4258" s="10">
        <v>5.5741092456127026</v>
      </c>
      <c r="M4258" s="9">
        <v>44957</v>
      </c>
      <c r="N4258" s="10">
        <v>5.5</v>
      </c>
      <c r="O4258" s="9">
        <v>44962</v>
      </c>
      <c r="P4258">
        <v>20</v>
      </c>
      <c r="Q4258" s="11" t="s">
        <v>49</v>
      </c>
      <c r="R4258" s="7"/>
      <c r="S4258" s="7"/>
      <c r="T4258" s="7"/>
      <c r="U4258" s="7"/>
      <c r="V4258" s="10">
        <v>7.5741092456127026</v>
      </c>
      <c r="W4258" s="9">
        <v>44959</v>
      </c>
      <c r="X4258" s="10">
        <v>7.5</v>
      </c>
      <c r="Y4258" s="9">
        <v>44962</v>
      </c>
      <c r="Z4258">
        <v>20</v>
      </c>
      <c r="AA4258" s="11" t="s">
        <v>49</v>
      </c>
    </row>
    <row r="4259" spans="2:27" ht="16" x14ac:dyDescent="0.2">
      <c r="B4259" t="s">
        <v>35</v>
      </c>
      <c r="C4259">
        <v>40351484</v>
      </c>
      <c r="D4259" t="s">
        <v>389</v>
      </c>
      <c r="E4259">
        <v>1022125</v>
      </c>
      <c r="F4259" t="s">
        <v>296</v>
      </c>
      <c r="G4259" s="9">
        <v>44943</v>
      </c>
      <c r="H4259" s="7"/>
      <c r="I4259" s="7"/>
      <c r="J4259" s="7"/>
      <c r="K4259" s="7"/>
      <c r="L4259" s="10">
        <v>5.5741092456127026</v>
      </c>
      <c r="M4259" s="9">
        <v>44948</v>
      </c>
      <c r="N4259" s="10">
        <v>5.5</v>
      </c>
      <c r="O4259" s="9">
        <v>44953</v>
      </c>
      <c r="P4259">
        <v>3</v>
      </c>
      <c r="Q4259" s="11" t="s">
        <v>49</v>
      </c>
      <c r="R4259" s="7"/>
      <c r="S4259" s="7"/>
      <c r="T4259" s="7"/>
      <c r="U4259" s="7"/>
      <c r="V4259" s="10">
        <v>7.5741092456127026</v>
      </c>
      <c r="W4259" s="9">
        <v>44950</v>
      </c>
      <c r="X4259" s="10">
        <v>7.5</v>
      </c>
      <c r="Y4259" s="9">
        <v>44953</v>
      </c>
      <c r="Z4259">
        <v>3</v>
      </c>
      <c r="AA4259" s="11" t="s">
        <v>49</v>
      </c>
    </row>
    <row r="4260" spans="2:27" ht="16" x14ac:dyDescent="0.2">
      <c r="B4260" t="s">
        <v>35</v>
      </c>
      <c r="C4260">
        <v>40351483</v>
      </c>
      <c r="D4260" t="s">
        <v>389</v>
      </c>
      <c r="E4260">
        <v>1022125</v>
      </c>
      <c r="F4260" t="s">
        <v>296</v>
      </c>
      <c r="G4260" s="9">
        <v>44941</v>
      </c>
      <c r="H4260" s="7"/>
      <c r="I4260" s="7"/>
      <c r="J4260" s="7"/>
      <c r="K4260" s="7"/>
      <c r="L4260" s="10">
        <v>5.5741092456127026</v>
      </c>
      <c r="M4260" s="9">
        <v>44946</v>
      </c>
      <c r="N4260" s="10">
        <v>5.5</v>
      </c>
      <c r="O4260" s="9">
        <v>44951</v>
      </c>
      <c r="P4260">
        <v>5</v>
      </c>
      <c r="Q4260" s="11" t="s">
        <v>49</v>
      </c>
      <c r="R4260" s="7"/>
      <c r="S4260" s="7"/>
      <c r="T4260" s="7"/>
      <c r="U4260" s="7"/>
      <c r="V4260" s="10">
        <v>7.5741092456127026</v>
      </c>
      <c r="W4260" s="9">
        <v>44948</v>
      </c>
      <c r="X4260" s="10">
        <v>7.5</v>
      </c>
      <c r="Y4260" s="9">
        <v>44951</v>
      </c>
      <c r="Z4260">
        <v>5</v>
      </c>
      <c r="AA4260" s="11" t="s">
        <v>49</v>
      </c>
    </row>
    <row r="4261" spans="2:27" ht="16" x14ac:dyDescent="0.2">
      <c r="B4261" t="s">
        <v>35</v>
      </c>
      <c r="C4261">
        <v>40351482</v>
      </c>
      <c r="D4261" t="s">
        <v>389</v>
      </c>
      <c r="E4261">
        <v>1022125</v>
      </c>
      <c r="F4261" t="s">
        <v>296</v>
      </c>
      <c r="G4261" s="9">
        <v>44935</v>
      </c>
      <c r="H4261" s="7"/>
      <c r="I4261" s="7"/>
      <c r="J4261" s="7"/>
      <c r="K4261" s="7"/>
      <c r="L4261" s="10">
        <v>5.5741092456127026</v>
      </c>
      <c r="M4261" s="9">
        <v>44940</v>
      </c>
      <c r="N4261" s="10">
        <v>5.5</v>
      </c>
      <c r="O4261" s="9">
        <v>44945</v>
      </c>
      <c r="P4261">
        <v>8</v>
      </c>
      <c r="Q4261" s="11" t="s">
        <v>49</v>
      </c>
      <c r="R4261" s="7"/>
      <c r="S4261" s="7"/>
      <c r="T4261" s="7"/>
      <c r="U4261" s="7"/>
      <c r="V4261" s="10">
        <v>7.5741092456127026</v>
      </c>
      <c r="W4261" s="9">
        <v>44942</v>
      </c>
      <c r="X4261" s="10">
        <v>7.5</v>
      </c>
      <c r="Y4261" s="9">
        <v>44945</v>
      </c>
      <c r="Z4261">
        <v>8</v>
      </c>
      <c r="AA4261" s="11" t="s">
        <v>49</v>
      </c>
    </row>
    <row r="4262" spans="2:27" ht="16" x14ac:dyDescent="0.2">
      <c r="B4262" t="s">
        <v>35</v>
      </c>
      <c r="C4262">
        <v>40351479</v>
      </c>
      <c r="D4262" t="s">
        <v>389</v>
      </c>
      <c r="E4262">
        <v>1022943</v>
      </c>
      <c r="F4262" t="s">
        <v>324</v>
      </c>
      <c r="G4262" s="9">
        <v>44973</v>
      </c>
      <c r="H4262" s="7"/>
      <c r="I4262" s="7"/>
      <c r="J4262" s="7"/>
      <c r="K4262" s="7"/>
      <c r="L4262" s="10">
        <v>5.5741092456127026</v>
      </c>
      <c r="M4262" s="9">
        <v>44978</v>
      </c>
      <c r="N4262" s="10">
        <v>5.5</v>
      </c>
      <c r="O4262" s="9">
        <v>44983</v>
      </c>
      <c r="P4262">
        <v>2</v>
      </c>
      <c r="Q4262" s="11" t="s">
        <v>594</v>
      </c>
      <c r="R4262" s="7"/>
      <c r="S4262" s="7"/>
      <c r="T4262" s="7"/>
      <c r="U4262" s="7"/>
      <c r="V4262" s="10">
        <v>7.5741092456127026</v>
      </c>
      <c r="W4262" s="9">
        <v>44980</v>
      </c>
      <c r="X4262" s="10">
        <v>7.5</v>
      </c>
      <c r="Y4262" s="9">
        <v>44983</v>
      </c>
      <c r="Z4262">
        <v>2</v>
      </c>
      <c r="AA4262" s="11" t="s">
        <v>594</v>
      </c>
    </row>
    <row r="4263" spans="2:27" ht="16" x14ac:dyDescent="0.2">
      <c r="B4263" t="s">
        <v>35</v>
      </c>
      <c r="C4263">
        <v>40351478</v>
      </c>
      <c r="D4263" t="s">
        <v>389</v>
      </c>
      <c r="E4263">
        <v>1022943</v>
      </c>
      <c r="F4263" t="s">
        <v>324</v>
      </c>
      <c r="G4263" s="9">
        <v>44955</v>
      </c>
      <c r="H4263" s="7"/>
      <c r="I4263" s="7"/>
      <c r="J4263" s="7"/>
      <c r="K4263" s="7"/>
      <c r="L4263" s="10">
        <v>5.5741092456127026</v>
      </c>
      <c r="M4263" s="9">
        <v>44960</v>
      </c>
      <c r="N4263" s="10">
        <v>5.5</v>
      </c>
      <c r="O4263" s="9">
        <v>44965</v>
      </c>
      <c r="P4263">
        <v>17</v>
      </c>
      <c r="Q4263" s="11" t="s">
        <v>49</v>
      </c>
      <c r="R4263" s="7"/>
      <c r="S4263" s="7"/>
      <c r="T4263" s="7"/>
      <c r="U4263" s="7"/>
      <c r="V4263" s="10">
        <v>7.5741092456127026</v>
      </c>
      <c r="W4263" s="9">
        <v>44962</v>
      </c>
      <c r="X4263" s="10">
        <v>7.5</v>
      </c>
      <c r="Y4263" s="9">
        <v>44965</v>
      </c>
      <c r="Z4263">
        <v>17</v>
      </c>
      <c r="AA4263" s="11" t="s">
        <v>49</v>
      </c>
    </row>
    <row r="4264" spans="2:27" ht="16" x14ac:dyDescent="0.2">
      <c r="B4264" t="s">
        <v>35</v>
      </c>
      <c r="C4264">
        <v>40351471</v>
      </c>
      <c r="D4264" t="s">
        <v>389</v>
      </c>
      <c r="E4264">
        <v>1021733</v>
      </c>
      <c r="F4264" t="s">
        <v>277</v>
      </c>
      <c r="G4264" s="9">
        <v>44953</v>
      </c>
      <c r="H4264" s="7"/>
      <c r="I4264" s="7"/>
      <c r="J4264" s="7"/>
      <c r="K4264" s="7"/>
      <c r="L4264" s="10">
        <v>5.5741092456127026</v>
      </c>
      <c r="M4264" s="9">
        <v>44958</v>
      </c>
      <c r="N4264" s="10">
        <v>5.5</v>
      </c>
      <c r="O4264" s="9">
        <v>44963</v>
      </c>
      <c r="P4264">
        <v>19</v>
      </c>
      <c r="Q4264" s="11" t="s">
        <v>49</v>
      </c>
      <c r="R4264" s="7"/>
      <c r="S4264" s="7"/>
      <c r="T4264" s="7"/>
      <c r="U4264" s="7"/>
      <c r="V4264" s="10">
        <v>7.5741092456127026</v>
      </c>
      <c r="W4264" s="9">
        <v>44960</v>
      </c>
      <c r="X4264" s="10">
        <v>7.5</v>
      </c>
      <c r="Y4264" s="9">
        <v>44963</v>
      </c>
      <c r="Z4264">
        <v>19</v>
      </c>
      <c r="AA4264" s="11" t="s">
        <v>49</v>
      </c>
    </row>
    <row r="4265" spans="2:27" ht="16" x14ac:dyDescent="0.2">
      <c r="B4265" t="s">
        <v>35</v>
      </c>
      <c r="C4265">
        <v>40351469</v>
      </c>
      <c r="D4265" t="s">
        <v>389</v>
      </c>
      <c r="E4265">
        <v>1021733</v>
      </c>
      <c r="F4265" t="s">
        <v>277</v>
      </c>
      <c r="G4265" s="9">
        <v>44953</v>
      </c>
      <c r="H4265" s="7"/>
      <c r="I4265" s="7"/>
      <c r="J4265" s="7"/>
      <c r="K4265" s="7"/>
      <c r="L4265" s="10">
        <v>5.5741092456127026</v>
      </c>
      <c r="M4265" s="9">
        <v>44958</v>
      </c>
      <c r="N4265" s="10">
        <v>5.5</v>
      </c>
      <c r="O4265" s="9">
        <v>44963</v>
      </c>
      <c r="P4265">
        <v>19</v>
      </c>
      <c r="Q4265" s="11" t="s">
        <v>49</v>
      </c>
      <c r="R4265" s="7"/>
      <c r="S4265" s="7"/>
      <c r="T4265" s="7"/>
      <c r="U4265" s="7"/>
      <c r="V4265" s="10">
        <v>7.5741092456127026</v>
      </c>
      <c r="W4265" s="9">
        <v>44960</v>
      </c>
      <c r="X4265" s="10">
        <v>7.5</v>
      </c>
      <c r="Y4265" s="9">
        <v>44963</v>
      </c>
      <c r="Z4265">
        <v>19</v>
      </c>
      <c r="AA4265" s="11" t="s">
        <v>49</v>
      </c>
    </row>
    <row r="4266" spans="2:27" ht="16" x14ac:dyDescent="0.2">
      <c r="B4266" t="s">
        <v>35</v>
      </c>
      <c r="C4266">
        <v>40351465</v>
      </c>
      <c r="D4266" t="s">
        <v>389</v>
      </c>
      <c r="E4266">
        <v>1021733</v>
      </c>
      <c r="F4266" t="s">
        <v>277</v>
      </c>
      <c r="G4266" s="9">
        <v>44953</v>
      </c>
      <c r="H4266" s="7"/>
      <c r="I4266" s="7"/>
      <c r="J4266" s="7"/>
      <c r="K4266" s="7"/>
      <c r="L4266" s="10">
        <v>5.5741092456127026</v>
      </c>
      <c r="M4266" s="9">
        <v>44958</v>
      </c>
      <c r="N4266" s="10">
        <v>5.5</v>
      </c>
      <c r="O4266" s="9">
        <v>44963</v>
      </c>
      <c r="P4266">
        <v>19</v>
      </c>
      <c r="Q4266" s="11" t="s">
        <v>49</v>
      </c>
      <c r="R4266" s="7"/>
      <c r="S4266" s="7"/>
      <c r="T4266" s="7"/>
      <c r="U4266" s="7"/>
      <c r="V4266" s="10">
        <v>7.5741092456127026</v>
      </c>
      <c r="W4266" s="9">
        <v>44960</v>
      </c>
      <c r="X4266" s="10">
        <v>7.5</v>
      </c>
      <c r="Y4266" s="9">
        <v>44963</v>
      </c>
      <c r="Z4266">
        <v>19</v>
      </c>
      <c r="AA4266" s="11" t="s">
        <v>49</v>
      </c>
    </row>
    <row r="4267" spans="2:27" ht="16" x14ac:dyDescent="0.2">
      <c r="B4267" t="s">
        <v>35</v>
      </c>
      <c r="C4267">
        <v>40351464</v>
      </c>
      <c r="D4267" t="s">
        <v>389</v>
      </c>
      <c r="E4267">
        <v>1021733</v>
      </c>
      <c r="F4267" t="s">
        <v>277</v>
      </c>
      <c r="G4267" s="9">
        <v>44948</v>
      </c>
      <c r="H4267" s="7"/>
      <c r="I4267" s="7"/>
      <c r="J4267" s="7"/>
      <c r="K4267" s="7"/>
      <c r="L4267" s="10">
        <v>5.5741092456127026</v>
      </c>
      <c r="M4267" s="9">
        <v>44953</v>
      </c>
      <c r="N4267" s="10">
        <v>5.5</v>
      </c>
      <c r="O4267" s="9">
        <v>44958</v>
      </c>
      <c r="P4267">
        <v>23</v>
      </c>
      <c r="Q4267" s="11" t="s">
        <v>49</v>
      </c>
      <c r="R4267" s="7"/>
      <c r="S4267" s="7"/>
      <c r="T4267" s="7"/>
      <c r="U4267" s="7"/>
      <c r="V4267" s="10">
        <v>7.5741092456127026</v>
      </c>
      <c r="W4267" s="9">
        <v>44955</v>
      </c>
      <c r="X4267" s="10">
        <v>7.5</v>
      </c>
      <c r="Y4267" s="9">
        <v>44958</v>
      </c>
      <c r="Z4267">
        <v>23</v>
      </c>
      <c r="AA4267" s="11" t="s">
        <v>49</v>
      </c>
    </row>
    <row r="4268" spans="2:27" ht="16" x14ac:dyDescent="0.2">
      <c r="B4268" t="s">
        <v>35</v>
      </c>
      <c r="C4268">
        <v>40351454</v>
      </c>
      <c r="D4268" t="s">
        <v>389</v>
      </c>
      <c r="E4268">
        <v>1021733</v>
      </c>
      <c r="F4268" t="s">
        <v>277</v>
      </c>
      <c r="G4268" s="9">
        <v>44956</v>
      </c>
      <c r="H4268" s="7"/>
      <c r="I4268" s="7"/>
      <c r="J4268" s="7"/>
      <c r="K4268" s="7"/>
      <c r="L4268" s="10">
        <v>5.5741092456127026</v>
      </c>
      <c r="M4268" s="9">
        <v>44961</v>
      </c>
      <c r="N4268" s="10">
        <v>5.5</v>
      </c>
      <c r="O4268" s="9">
        <v>44966</v>
      </c>
      <c r="P4268">
        <v>16</v>
      </c>
      <c r="Q4268" s="11" t="s">
        <v>49</v>
      </c>
      <c r="R4268" s="7"/>
      <c r="S4268" s="7"/>
      <c r="T4268" s="7"/>
      <c r="U4268" s="7"/>
      <c r="V4268" s="10">
        <v>7.5741092456127026</v>
      </c>
      <c r="W4268" s="9">
        <v>44963</v>
      </c>
      <c r="X4268" s="10">
        <v>7.5</v>
      </c>
      <c r="Y4268" s="9">
        <v>44966</v>
      </c>
      <c r="Z4268">
        <v>16</v>
      </c>
      <c r="AA4268" s="11" t="s">
        <v>49</v>
      </c>
    </row>
    <row r="4269" spans="2:27" ht="16" x14ac:dyDescent="0.2">
      <c r="B4269" t="s">
        <v>35</v>
      </c>
      <c r="C4269">
        <v>40351445</v>
      </c>
      <c r="D4269" t="s">
        <v>389</v>
      </c>
      <c r="E4269">
        <v>1021774</v>
      </c>
      <c r="F4269" t="s">
        <v>443</v>
      </c>
      <c r="G4269" s="9">
        <v>44955</v>
      </c>
      <c r="H4269" s="7"/>
      <c r="I4269" s="7"/>
      <c r="J4269" s="7"/>
      <c r="K4269" s="7"/>
      <c r="L4269" s="10">
        <v>5.5741092456127026</v>
      </c>
      <c r="M4269" s="9">
        <v>44960</v>
      </c>
      <c r="N4269" s="10">
        <v>5.5</v>
      </c>
      <c r="O4269" s="9">
        <v>44965</v>
      </c>
      <c r="P4269">
        <v>17</v>
      </c>
      <c r="Q4269" s="11" t="s">
        <v>49</v>
      </c>
      <c r="R4269" s="7"/>
      <c r="S4269" s="7"/>
      <c r="T4269" s="7"/>
      <c r="U4269" s="7"/>
      <c r="V4269" s="10">
        <v>7.5741092456127026</v>
      </c>
      <c r="W4269" s="9">
        <v>44962</v>
      </c>
      <c r="X4269" s="10">
        <v>7.5</v>
      </c>
      <c r="Y4269" s="9">
        <v>44965</v>
      </c>
      <c r="Z4269">
        <v>17</v>
      </c>
      <c r="AA4269" s="11" t="s">
        <v>49</v>
      </c>
    </row>
    <row r="4270" spans="2:27" ht="16" x14ac:dyDescent="0.2">
      <c r="B4270" t="s">
        <v>35</v>
      </c>
      <c r="C4270">
        <v>40351444</v>
      </c>
      <c r="D4270" t="s">
        <v>389</v>
      </c>
      <c r="E4270">
        <v>1021774</v>
      </c>
      <c r="F4270" t="s">
        <v>443</v>
      </c>
      <c r="G4270" s="9">
        <v>44941</v>
      </c>
      <c r="H4270" s="7"/>
      <c r="I4270" s="7"/>
      <c r="J4270" s="7"/>
      <c r="K4270" s="7"/>
      <c r="L4270" s="10">
        <v>5.5741092456127026</v>
      </c>
      <c r="M4270" s="9">
        <v>44946</v>
      </c>
      <c r="N4270" s="10">
        <v>5.5</v>
      </c>
      <c r="O4270" s="9">
        <v>44951</v>
      </c>
      <c r="P4270">
        <v>5</v>
      </c>
      <c r="Q4270" s="11" t="s">
        <v>49</v>
      </c>
      <c r="R4270" s="7"/>
      <c r="S4270" s="7"/>
      <c r="T4270" s="7"/>
      <c r="U4270" s="7"/>
      <c r="V4270" s="10">
        <v>7.5741092456127026</v>
      </c>
      <c r="W4270" s="9">
        <v>44948</v>
      </c>
      <c r="X4270" s="10">
        <v>7.5</v>
      </c>
      <c r="Y4270" s="9">
        <v>44951</v>
      </c>
      <c r="Z4270">
        <v>5</v>
      </c>
      <c r="AA4270" s="11" t="s">
        <v>49</v>
      </c>
    </row>
    <row r="4271" spans="2:27" ht="16" x14ac:dyDescent="0.2">
      <c r="B4271" t="s">
        <v>35</v>
      </c>
      <c r="C4271">
        <v>40351443</v>
      </c>
      <c r="D4271" t="s">
        <v>389</v>
      </c>
      <c r="E4271">
        <v>1022636</v>
      </c>
      <c r="F4271" t="s">
        <v>312</v>
      </c>
      <c r="G4271" s="9">
        <v>44960</v>
      </c>
      <c r="H4271" s="7"/>
      <c r="I4271" s="7"/>
      <c r="J4271" s="7"/>
      <c r="K4271" s="7"/>
      <c r="L4271" s="10">
        <v>5.5741092456127026</v>
      </c>
      <c r="M4271" s="9">
        <v>44965</v>
      </c>
      <c r="N4271" s="10">
        <v>5.5</v>
      </c>
      <c r="O4271" s="9">
        <v>44970</v>
      </c>
      <c r="P4271">
        <v>13</v>
      </c>
      <c r="Q4271" s="11" t="s">
        <v>49</v>
      </c>
      <c r="R4271" s="7"/>
      <c r="S4271" s="7"/>
      <c r="T4271" s="7"/>
      <c r="U4271" s="7"/>
      <c r="V4271" s="10">
        <v>7.5741092456127026</v>
      </c>
      <c r="W4271" s="9">
        <v>44967</v>
      </c>
      <c r="X4271" s="10">
        <v>7.5</v>
      </c>
      <c r="Y4271" s="9">
        <v>44970</v>
      </c>
      <c r="Z4271">
        <v>13</v>
      </c>
      <c r="AA4271" s="11" t="s">
        <v>49</v>
      </c>
    </row>
    <row r="4272" spans="2:27" ht="16" x14ac:dyDescent="0.2">
      <c r="B4272" t="s">
        <v>35</v>
      </c>
      <c r="C4272">
        <v>40351442</v>
      </c>
      <c r="D4272" t="s">
        <v>389</v>
      </c>
      <c r="E4272">
        <v>1022636</v>
      </c>
      <c r="F4272" t="s">
        <v>312</v>
      </c>
      <c r="G4272" s="9">
        <v>44962</v>
      </c>
      <c r="H4272" s="7"/>
      <c r="I4272" s="7"/>
      <c r="J4272" s="7"/>
      <c r="K4272" s="7"/>
      <c r="L4272" s="10">
        <v>5.5741092456127026</v>
      </c>
      <c r="M4272" s="9">
        <v>44967</v>
      </c>
      <c r="N4272" s="10">
        <v>5.5</v>
      </c>
      <c r="O4272" s="9">
        <v>44972</v>
      </c>
      <c r="P4272">
        <v>11</v>
      </c>
      <c r="Q4272" s="11" t="s">
        <v>49</v>
      </c>
      <c r="R4272" s="7"/>
      <c r="S4272" s="7"/>
      <c r="T4272" s="7"/>
      <c r="U4272" s="7"/>
      <c r="V4272" s="10">
        <v>7.5741092456127026</v>
      </c>
      <c r="W4272" s="9">
        <v>44969</v>
      </c>
      <c r="X4272" s="10">
        <v>7.5</v>
      </c>
      <c r="Y4272" s="9">
        <v>44972</v>
      </c>
      <c r="Z4272">
        <v>11</v>
      </c>
      <c r="AA4272" s="11" t="s">
        <v>49</v>
      </c>
    </row>
    <row r="4273" spans="2:27" ht="16" x14ac:dyDescent="0.2">
      <c r="B4273" t="s">
        <v>35</v>
      </c>
      <c r="C4273">
        <v>40351441</v>
      </c>
      <c r="D4273" t="s">
        <v>389</v>
      </c>
      <c r="E4273">
        <v>1022636</v>
      </c>
      <c r="F4273" t="s">
        <v>312</v>
      </c>
      <c r="G4273" s="9">
        <v>44955</v>
      </c>
      <c r="H4273" s="7"/>
      <c r="I4273" s="7"/>
      <c r="J4273" s="7"/>
      <c r="K4273" s="7"/>
      <c r="L4273" s="10">
        <v>5.5741092456127026</v>
      </c>
      <c r="M4273" s="9">
        <v>44960</v>
      </c>
      <c r="N4273" s="10">
        <v>5.5</v>
      </c>
      <c r="O4273" s="9">
        <v>44965</v>
      </c>
      <c r="P4273">
        <v>17</v>
      </c>
      <c r="Q4273" s="11" t="s">
        <v>49</v>
      </c>
      <c r="R4273" s="7"/>
      <c r="S4273" s="7"/>
      <c r="T4273" s="7"/>
      <c r="U4273" s="7"/>
      <c r="V4273" s="10">
        <v>7.5741092456127026</v>
      </c>
      <c r="W4273" s="9">
        <v>44962</v>
      </c>
      <c r="X4273" s="10">
        <v>7.5</v>
      </c>
      <c r="Y4273" s="9">
        <v>44965</v>
      </c>
      <c r="Z4273">
        <v>17</v>
      </c>
      <c r="AA4273" s="11" t="s">
        <v>49</v>
      </c>
    </row>
    <row r="4274" spans="2:27" ht="16" x14ac:dyDescent="0.2">
      <c r="B4274" t="s">
        <v>35</v>
      </c>
      <c r="C4274">
        <v>40351440</v>
      </c>
      <c r="D4274" t="s">
        <v>389</v>
      </c>
      <c r="E4274">
        <v>1022636</v>
      </c>
      <c r="F4274" t="s">
        <v>312</v>
      </c>
      <c r="G4274" s="9">
        <v>44956</v>
      </c>
      <c r="H4274" s="7"/>
      <c r="I4274" s="7"/>
      <c r="J4274" s="7"/>
      <c r="K4274" s="7"/>
      <c r="L4274" s="10">
        <v>5.5741092456127026</v>
      </c>
      <c r="M4274" s="9">
        <v>44961</v>
      </c>
      <c r="N4274" s="10">
        <v>5.5</v>
      </c>
      <c r="O4274" s="9">
        <v>44966</v>
      </c>
      <c r="P4274">
        <v>16</v>
      </c>
      <c r="Q4274" s="11" t="s">
        <v>49</v>
      </c>
      <c r="R4274" s="7"/>
      <c r="S4274" s="7"/>
      <c r="T4274" s="7"/>
      <c r="U4274" s="7"/>
      <c r="V4274" s="10">
        <v>7.5741092456127026</v>
      </c>
      <c r="W4274" s="9">
        <v>44963</v>
      </c>
      <c r="X4274" s="10">
        <v>7.5</v>
      </c>
      <c r="Y4274" s="9">
        <v>44966</v>
      </c>
      <c r="Z4274">
        <v>16</v>
      </c>
      <c r="AA4274" s="11" t="s">
        <v>49</v>
      </c>
    </row>
    <row r="4275" spans="2:27" ht="16" x14ac:dyDescent="0.2">
      <c r="B4275" t="s">
        <v>35</v>
      </c>
      <c r="C4275">
        <v>40351439</v>
      </c>
      <c r="D4275" t="s">
        <v>389</v>
      </c>
      <c r="E4275">
        <v>1022636</v>
      </c>
      <c r="F4275" t="s">
        <v>312</v>
      </c>
      <c r="G4275" s="9">
        <v>44956</v>
      </c>
      <c r="H4275" s="7"/>
      <c r="I4275" s="7"/>
      <c r="J4275" s="7"/>
      <c r="K4275" s="7"/>
      <c r="L4275" s="10">
        <v>5.5741092456127026</v>
      </c>
      <c r="M4275" s="9">
        <v>44961</v>
      </c>
      <c r="N4275" s="10">
        <v>5.5</v>
      </c>
      <c r="O4275" s="9">
        <v>44966</v>
      </c>
      <c r="P4275">
        <v>16</v>
      </c>
      <c r="Q4275" s="11" t="s">
        <v>49</v>
      </c>
      <c r="R4275" s="7"/>
      <c r="S4275" s="7"/>
      <c r="T4275" s="7"/>
      <c r="U4275" s="7"/>
      <c r="V4275" s="10">
        <v>7.5741092456127026</v>
      </c>
      <c r="W4275" s="9">
        <v>44963</v>
      </c>
      <c r="X4275" s="10">
        <v>7.5</v>
      </c>
      <c r="Y4275" s="9">
        <v>44966</v>
      </c>
      <c r="Z4275">
        <v>16</v>
      </c>
      <c r="AA4275" s="11" t="s">
        <v>49</v>
      </c>
    </row>
    <row r="4276" spans="2:27" ht="16" x14ac:dyDescent="0.2">
      <c r="B4276" t="s">
        <v>35</v>
      </c>
      <c r="C4276">
        <v>40351436</v>
      </c>
      <c r="D4276" t="s">
        <v>389</v>
      </c>
      <c r="E4276">
        <v>1022183</v>
      </c>
      <c r="F4276" t="s">
        <v>165</v>
      </c>
      <c r="G4276" s="9">
        <v>44962</v>
      </c>
      <c r="H4276" s="7"/>
      <c r="I4276" s="7"/>
      <c r="J4276" s="7"/>
      <c r="K4276" s="7"/>
      <c r="L4276" s="10">
        <v>5.5741092456127026</v>
      </c>
      <c r="M4276" s="9">
        <v>44967</v>
      </c>
      <c r="N4276" s="10">
        <v>5.5</v>
      </c>
      <c r="O4276" s="9">
        <v>44972</v>
      </c>
      <c r="P4276">
        <v>11</v>
      </c>
      <c r="Q4276" s="11" t="s">
        <v>49</v>
      </c>
      <c r="R4276" s="7"/>
      <c r="S4276" s="7"/>
      <c r="T4276" s="7"/>
      <c r="U4276" s="7"/>
      <c r="V4276" s="10">
        <v>7.5741092456127026</v>
      </c>
      <c r="W4276" s="9">
        <v>44969</v>
      </c>
      <c r="X4276" s="10">
        <v>7.5</v>
      </c>
      <c r="Y4276" s="9">
        <v>44972</v>
      </c>
      <c r="Z4276">
        <v>11</v>
      </c>
      <c r="AA4276" s="11" t="s">
        <v>49</v>
      </c>
    </row>
    <row r="4277" spans="2:27" ht="16" x14ac:dyDescent="0.2">
      <c r="B4277" t="s">
        <v>35</v>
      </c>
      <c r="C4277">
        <v>40351435</v>
      </c>
      <c r="D4277" t="s">
        <v>389</v>
      </c>
      <c r="E4277">
        <v>1022183</v>
      </c>
      <c r="F4277" t="s">
        <v>165</v>
      </c>
      <c r="G4277" s="9">
        <v>44945</v>
      </c>
      <c r="H4277" s="7"/>
      <c r="I4277" s="7"/>
      <c r="J4277" s="7"/>
      <c r="K4277" s="7"/>
      <c r="L4277" s="10">
        <v>5.5741092456127026</v>
      </c>
      <c r="M4277" s="9">
        <v>44950</v>
      </c>
      <c r="N4277" s="10">
        <v>5.5</v>
      </c>
      <c r="O4277" s="9">
        <v>44955</v>
      </c>
      <c r="P4277">
        <v>2</v>
      </c>
      <c r="Q4277" s="11" t="s">
        <v>648</v>
      </c>
      <c r="R4277" s="7"/>
      <c r="S4277" s="7"/>
      <c r="T4277" s="7"/>
      <c r="U4277" s="7"/>
      <c r="V4277" s="10">
        <v>7.5741092456127026</v>
      </c>
      <c r="W4277" s="9">
        <v>44952</v>
      </c>
      <c r="X4277" s="10">
        <v>7.5</v>
      </c>
      <c r="Y4277" s="9">
        <v>44955</v>
      </c>
      <c r="Z4277">
        <v>2</v>
      </c>
      <c r="AA4277" s="11" t="s">
        <v>648</v>
      </c>
    </row>
    <row r="4278" spans="2:27" ht="16" x14ac:dyDescent="0.2">
      <c r="B4278" t="s">
        <v>35</v>
      </c>
      <c r="C4278">
        <v>40351434</v>
      </c>
      <c r="D4278" t="s">
        <v>389</v>
      </c>
      <c r="E4278">
        <v>1022183</v>
      </c>
      <c r="F4278" t="s">
        <v>165</v>
      </c>
      <c r="G4278" s="9">
        <v>44945</v>
      </c>
      <c r="H4278" s="7"/>
      <c r="I4278" s="7"/>
      <c r="J4278" s="7"/>
      <c r="K4278" s="7"/>
      <c r="L4278" s="10">
        <v>5.5741092456127026</v>
      </c>
      <c r="M4278" s="9">
        <v>44950</v>
      </c>
      <c r="N4278" s="10">
        <v>5.5</v>
      </c>
      <c r="O4278" s="9">
        <v>44955</v>
      </c>
      <c r="P4278">
        <v>2</v>
      </c>
      <c r="Q4278" s="11" t="s">
        <v>648</v>
      </c>
      <c r="R4278" s="7"/>
      <c r="S4278" s="7"/>
      <c r="T4278" s="7"/>
      <c r="U4278" s="7"/>
      <c r="V4278" s="10">
        <v>7.5741092456127026</v>
      </c>
      <c r="W4278" s="9">
        <v>44952</v>
      </c>
      <c r="X4278" s="10">
        <v>7.5</v>
      </c>
      <c r="Y4278" s="9">
        <v>44955</v>
      </c>
      <c r="Z4278">
        <v>2</v>
      </c>
      <c r="AA4278" s="11" t="s">
        <v>648</v>
      </c>
    </row>
    <row r="4279" spans="2:27" ht="16" x14ac:dyDescent="0.2">
      <c r="B4279" t="s">
        <v>35</v>
      </c>
      <c r="C4279">
        <v>40351433</v>
      </c>
      <c r="D4279" t="s">
        <v>389</v>
      </c>
      <c r="E4279">
        <v>1022183</v>
      </c>
      <c r="F4279" t="s">
        <v>165</v>
      </c>
      <c r="G4279" s="9">
        <v>44955</v>
      </c>
      <c r="H4279" s="7"/>
      <c r="I4279" s="7"/>
      <c r="J4279" s="7"/>
      <c r="K4279" s="7"/>
      <c r="L4279" s="10">
        <v>5.5741092456127026</v>
      </c>
      <c r="M4279" s="9">
        <v>44960</v>
      </c>
      <c r="N4279" s="10">
        <v>5.5</v>
      </c>
      <c r="O4279" s="9">
        <v>44965</v>
      </c>
      <c r="P4279">
        <v>17</v>
      </c>
      <c r="Q4279" s="11" t="s">
        <v>49</v>
      </c>
      <c r="R4279" s="7"/>
      <c r="S4279" s="7"/>
      <c r="T4279" s="7"/>
      <c r="U4279" s="7"/>
      <c r="V4279" s="10">
        <v>7.5741092456127026</v>
      </c>
      <c r="W4279" s="9">
        <v>44962</v>
      </c>
      <c r="X4279" s="10">
        <v>7.5</v>
      </c>
      <c r="Y4279" s="9">
        <v>44965</v>
      </c>
      <c r="Z4279">
        <v>17</v>
      </c>
      <c r="AA4279" s="11" t="s">
        <v>49</v>
      </c>
    </row>
    <row r="4280" spans="2:27" ht="16" x14ac:dyDescent="0.2">
      <c r="B4280" t="s">
        <v>35</v>
      </c>
      <c r="C4280">
        <v>40351432</v>
      </c>
      <c r="D4280" t="s">
        <v>389</v>
      </c>
      <c r="E4280">
        <v>1022183</v>
      </c>
      <c r="F4280" t="s">
        <v>165</v>
      </c>
      <c r="G4280" s="9">
        <v>44955</v>
      </c>
      <c r="H4280" s="7"/>
      <c r="I4280" s="7"/>
      <c r="J4280" s="7"/>
      <c r="K4280" s="7"/>
      <c r="L4280" s="10">
        <v>5.5741092456127026</v>
      </c>
      <c r="M4280" s="9">
        <v>44960</v>
      </c>
      <c r="N4280" s="10">
        <v>5.5</v>
      </c>
      <c r="O4280" s="9">
        <v>44965</v>
      </c>
      <c r="P4280">
        <v>17</v>
      </c>
      <c r="Q4280" s="11" t="s">
        <v>49</v>
      </c>
      <c r="R4280" s="7"/>
      <c r="S4280" s="7"/>
      <c r="T4280" s="7"/>
      <c r="U4280" s="7"/>
      <c r="V4280" s="10">
        <v>7.5741092456127026</v>
      </c>
      <c r="W4280" s="9">
        <v>44962</v>
      </c>
      <c r="X4280" s="10">
        <v>7.5</v>
      </c>
      <c r="Y4280" s="9">
        <v>44965</v>
      </c>
      <c r="Z4280">
        <v>17</v>
      </c>
      <c r="AA4280" s="11" t="s">
        <v>49</v>
      </c>
    </row>
    <row r="4281" spans="2:27" ht="16" x14ac:dyDescent="0.2">
      <c r="B4281" t="s">
        <v>35</v>
      </c>
      <c r="C4281">
        <v>40351431</v>
      </c>
      <c r="D4281" t="s">
        <v>389</v>
      </c>
      <c r="E4281">
        <v>1022183</v>
      </c>
      <c r="F4281" t="s">
        <v>165</v>
      </c>
      <c r="G4281" s="9">
        <v>44945</v>
      </c>
      <c r="H4281" s="7"/>
      <c r="I4281" s="7"/>
      <c r="J4281" s="7"/>
      <c r="K4281" s="7"/>
      <c r="L4281" s="10">
        <v>5.5741092456127026</v>
      </c>
      <c r="M4281" s="9">
        <v>44950</v>
      </c>
      <c r="N4281" s="10">
        <v>5.5</v>
      </c>
      <c r="O4281" s="9">
        <v>44955</v>
      </c>
      <c r="P4281">
        <v>2</v>
      </c>
      <c r="Q4281" s="11" t="s">
        <v>648</v>
      </c>
      <c r="R4281" s="7"/>
      <c r="S4281" s="7"/>
      <c r="T4281" s="7"/>
      <c r="U4281" s="7"/>
      <c r="V4281" s="10">
        <v>7.5741092456127026</v>
      </c>
      <c r="W4281" s="9">
        <v>44952</v>
      </c>
      <c r="X4281" s="10">
        <v>7.5</v>
      </c>
      <c r="Y4281" s="9">
        <v>44955</v>
      </c>
      <c r="Z4281">
        <v>2</v>
      </c>
      <c r="AA4281" s="11" t="s">
        <v>648</v>
      </c>
    </row>
    <row r="4282" spans="2:27" ht="16" x14ac:dyDescent="0.2">
      <c r="B4282" t="s">
        <v>35</v>
      </c>
      <c r="C4282">
        <v>40351430</v>
      </c>
      <c r="D4282" t="s">
        <v>389</v>
      </c>
      <c r="E4282">
        <v>1022183</v>
      </c>
      <c r="F4282" t="s">
        <v>165</v>
      </c>
      <c r="G4282" s="9">
        <v>44956</v>
      </c>
      <c r="H4282" s="7"/>
      <c r="I4282" s="7"/>
      <c r="J4282" s="7"/>
      <c r="K4282" s="7"/>
      <c r="L4282" s="10">
        <v>5.5741092456127026</v>
      </c>
      <c r="M4282" s="9">
        <v>44961</v>
      </c>
      <c r="N4282" s="10">
        <v>5.5</v>
      </c>
      <c r="O4282" s="9">
        <v>44966</v>
      </c>
      <c r="P4282">
        <v>16</v>
      </c>
      <c r="Q4282" s="11" t="s">
        <v>49</v>
      </c>
      <c r="R4282" s="7"/>
      <c r="S4282" s="7"/>
      <c r="T4282" s="7"/>
      <c r="U4282" s="7"/>
      <c r="V4282" s="10">
        <v>7.5741092456127026</v>
      </c>
      <c r="W4282" s="9">
        <v>44963</v>
      </c>
      <c r="X4282" s="10">
        <v>7.5</v>
      </c>
      <c r="Y4282" s="9">
        <v>44966</v>
      </c>
      <c r="Z4282">
        <v>16</v>
      </c>
      <c r="AA4282" s="11" t="s">
        <v>49</v>
      </c>
    </row>
    <row r="4283" spans="2:27" ht="16" x14ac:dyDescent="0.2">
      <c r="B4283" t="s">
        <v>35</v>
      </c>
      <c r="C4283">
        <v>40351429</v>
      </c>
      <c r="D4283" t="s">
        <v>389</v>
      </c>
      <c r="E4283">
        <v>1022183</v>
      </c>
      <c r="F4283" t="s">
        <v>165</v>
      </c>
      <c r="G4283" s="9">
        <v>44956</v>
      </c>
      <c r="H4283" s="7"/>
      <c r="I4283" s="7"/>
      <c r="J4283" s="7"/>
      <c r="K4283" s="7"/>
      <c r="L4283" s="10">
        <v>5.5741092456127026</v>
      </c>
      <c r="M4283" s="9">
        <v>44961</v>
      </c>
      <c r="N4283" s="10">
        <v>5.5</v>
      </c>
      <c r="O4283" s="9">
        <v>44966</v>
      </c>
      <c r="P4283">
        <v>16</v>
      </c>
      <c r="Q4283" s="11" t="s">
        <v>49</v>
      </c>
      <c r="R4283" s="7"/>
      <c r="S4283" s="7"/>
      <c r="T4283" s="7"/>
      <c r="U4283" s="7"/>
      <c r="V4283" s="10">
        <v>7.5741092456127026</v>
      </c>
      <c r="W4283" s="9">
        <v>44963</v>
      </c>
      <c r="X4283" s="10">
        <v>7.5</v>
      </c>
      <c r="Y4283" s="9">
        <v>44966</v>
      </c>
      <c r="Z4283">
        <v>16</v>
      </c>
      <c r="AA4283" s="11" t="s">
        <v>49</v>
      </c>
    </row>
    <row r="4284" spans="2:27" ht="16" x14ac:dyDescent="0.2">
      <c r="B4284" t="s">
        <v>35</v>
      </c>
      <c r="C4284">
        <v>40351428</v>
      </c>
      <c r="D4284" t="s">
        <v>389</v>
      </c>
      <c r="E4284">
        <v>1022183</v>
      </c>
      <c r="F4284" t="s">
        <v>165</v>
      </c>
      <c r="G4284" s="9">
        <v>44940</v>
      </c>
      <c r="H4284" s="7"/>
      <c r="I4284" s="7"/>
      <c r="J4284" s="7"/>
      <c r="K4284" s="7"/>
      <c r="L4284" s="10">
        <v>5.5741092456127026</v>
      </c>
      <c r="M4284" s="9">
        <v>44945</v>
      </c>
      <c r="N4284" s="10">
        <v>5.5</v>
      </c>
      <c r="O4284" s="9">
        <v>44950</v>
      </c>
      <c r="P4284">
        <v>6</v>
      </c>
      <c r="Q4284" s="11" t="s">
        <v>49</v>
      </c>
      <c r="R4284" s="7"/>
      <c r="S4284" s="7"/>
      <c r="T4284" s="7"/>
      <c r="U4284" s="7"/>
      <c r="V4284" s="10">
        <v>7.5741092456127026</v>
      </c>
      <c r="W4284" s="9">
        <v>44947</v>
      </c>
      <c r="X4284" s="10">
        <v>7.5</v>
      </c>
      <c r="Y4284" s="9">
        <v>44950</v>
      </c>
      <c r="Z4284">
        <v>6</v>
      </c>
      <c r="AA4284" s="11" t="s">
        <v>49</v>
      </c>
    </row>
    <row r="4285" spans="2:27" ht="16" x14ac:dyDescent="0.2">
      <c r="B4285" t="s">
        <v>35</v>
      </c>
      <c r="C4285">
        <v>40351421</v>
      </c>
      <c r="D4285" t="s">
        <v>389</v>
      </c>
      <c r="E4285">
        <v>1022183</v>
      </c>
      <c r="F4285" t="s">
        <v>165</v>
      </c>
      <c r="G4285" s="9">
        <v>44936</v>
      </c>
      <c r="H4285" s="7"/>
      <c r="I4285" s="7"/>
      <c r="J4285" s="7"/>
      <c r="K4285" s="7"/>
      <c r="L4285" s="10">
        <v>5.5741092456127026</v>
      </c>
      <c r="M4285" s="9">
        <v>44941</v>
      </c>
      <c r="N4285" s="10">
        <v>5.5</v>
      </c>
      <c r="O4285" s="9">
        <v>44946</v>
      </c>
      <c r="P4285">
        <v>7</v>
      </c>
      <c r="Q4285" s="11" t="s">
        <v>49</v>
      </c>
      <c r="R4285" s="7"/>
      <c r="S4285" s="7"/>
      <c r="T4285" s="7"/>
      <c r="U4285" s="7"/>
      <c r="V4285" s="10">
        <v>7.5741092456127026</v>
      </c>
      <c r="W4285" s="9">
        <v>44943</v>
      </c>
      <c r="X4285" s="10">
        <v>7.5</v>
      </c>
      <c r="Y4285" s="9">
        <v>44946</v>
      </c>
      <c r="Z4285">
        <v>7</v>
      </c>
      <c r="AA4285" s="11" t="s">
        <v>49</v>
      </c>
    </row>
    <row r="4286" spans="2:27" ht="16" x14ac:dyDescent="0.2">
      <c r="B4286" t="s">
        <v>35</v>
      </c>
      <c r="C4286">
        <v>40351420</v>
      </c>
      <c r="D4286" t="s">
        <v>389</v>
      </c>
      <c r="E4286">
        <v>1022183</v>
      </c>
      <c r="F4286" t="s">
        <v>165</v>
      </c>
      <c r="G4286" s="9">
        <v>44941</v>
      </c>
      <c r="H4286" s="7"/>
      <c r="I4286" s="7"/>
      <c r="J4286" s="7"/>
      <c r="K4286" s="7"/>
      <c r="L4286" s="10">
        <v>5.5741092456127026</v>
      </c>
      <c r="M4286" s="9">
        <v>44946</v>
      </c>
      <c r="N4286" s="10">
        <v>5.5</v>
      </c>
      <c r="O4286" s="9">
        <v>44951</v>
      </c>
      <c r="P4286">
        <v>5</v>
      </c>
      <c r="Q4286" s="11" t="s">
        <v>49</v>
      </c>
      <c r="R4286" s="7"/>
      <c r="S4286" s="7"/>
      <c r="T4286" s="7"/>
      <c r="U4286" s="7"/>
      <c r="V4286" s="10">
        <v>7.5741092456127026</v>
      </c>
      <c r="W4286" s="9">
        <v>44948</v>
      </c>
      <c r="X4286" s="10">
        <v>7.5</v>
      </c>
      <c r="Y4286" s="9">
        <v>44951</v>
      </c>
      <c r="Z4286">
        <v>5</v>
      </c>
      <c r="AA4286" s="11" t="s">
        <v>49</v>
      </c>
    </row>
    <row r="4287" spans="2:27" ht="16" x14ac:dyDescent="0.2">
      <c r="B4287" t="s">
        <v>35</v>
      </c>
      <c r="C4287">
        <v>40351419</v>
      </c>
      <c r="D4287" t="s">
        <v>389</v>
      </c>
      <c r="E4287">
        <v>1022183</v>
      </c>
      <c r="F4287" t="s">
        <v>165</v>
      </c>
      <c r="G4287" s="9">
        <v>44941</v>
      </c>
      <c r="H4287" s="7"/>
      <c r="I4287" s="7"/>
      <c r="J4287" s="7"/>
      <c r="K4287" s="7"/>
      <c r="L4287" s="10">
        <v>5.5741092456127026</v>
      </c>
      <c r="M4287" s="9">
        <v>44946</v>
      </c>
      <c r="N4287" s="10">
        <v>5.5</v>
      </c>
      <c r="O4287" s="9">
        <v>44951</v>
      </c>
      <c r="P4287">
        <v>5</v>
      </c>
      <c r="Q4287" s="11" t="s">
        <v>49</v>
      </c>
      <c r="R4287" s="7"/>
      <c r="S4287" s="7"/>
      <c r="T4287" s="7"/>
      <c r="U4287" s="7"/>
      <c r="V4287" s="10">
        <v>7.5741092456127026</v>
      </c>
      <c r="W4287" s="9">
        <v>44948</v>
      </c>
      <c r="X4287" s="10">
        <v>7.5</v>
      </c>
      <c r="Y4287" s="9">
        <v>44951</v>
      </c>
      <c r="Z4287">
        <v>5</v>
      </c>
      <c r="AA4287" s="11" t="s">
        <v>49</v>
      </c>
    </row>
    <row r="4288" spans="2:27" ht="16" x14ac:dyDescent="0.2">
      <c r="B4288" t="s">
        <v>35</v>
      </c>
      <c r="C4288">
        <v>40351404</v>
      </c>
      <c r="D4288" t="s">
        <v>389</v>
      </c>
      <c r="E4288">
        <v>1021738</v>
      </c>
      <c r="F4288" t="s">
        <v>282</v>
      </c>
      <c r="G4288" s="9">
        <v>44956</v>
      </c>
      <c r="H4288" s="7"/>
      <c r="I4288" s="7"/>
      <c r="J4288" s="7"/>
      <c r="K4288" s="7"/>
      <c r="L4288" s="10">
        <v>5.5741092456127026</v>
      </c>
      <c r="M4288" s="9">
        <v>44961</v>
      </c>
      <c r="N4288" s="10">
        <v>5.5</v>
      </c>
      <c r="O4288" s="9">
        <v>44966</v>
      </c>
      <c r="P4288">
        <v>16</v>
      </c>
      <c r="Q4288" s="11" t="s">
        <v>49</v>
      </c>
      <c r="R4288" s="7"/>
      <c r="S4288" s="7"/>
      <c r="T4288" s="7"/>
      <c r="U4288" s="7"/>
      <c r="V4288" s="10">
        <v>7.5741092456127026</v>
      </c>
      <c r="W4288" s="9">
        <v>44963</v>
      </c>
      <c r="X4288" s="10">
        <v>7.5</v>
      </c>
      <c r="Y4288" s="9">
        <v>44966</v>
      </c>
      <c r="Z4288">
        <v>16</v>
      </c>
      <c r="AA4288" s="11" t="s">
        <v>49</v>
      </c>
    </row>
    <row r="4289" spans="2:27" ht="16" x14ac:dyDescent="0.2">
      <c r="B4289" t="s">
        <v>35</v>
      </c>
      <c r="C4289">
        <v>40351404</v>
      </c>
      <c r="D4289" t="s">
        <v>389</v>
      </c>
      <c r="E4289">
        <v>1021738</v>
      </c>
      <c r="F4289" t="s">
        <v>282</v>
      </c>
      <c r="G4289" s="9">
        <v>44956</v>
      </c>
      <c r="H4289" s="7"/>
      <c r="I4289" s="7"/>
      <c r="J4289" s="7"/>
      <c r="K4289" s="7"/>
      <c r="L4289" s="10">
        <v>5.5741092456127026</v>
      </c>
      <c r="M4289" s="9">
        <v>44961</v>
      </c>
      <c r="N4289" s="10">
        <v>5.5</v>
      </c>
      <c r="O4289" s="9">
        <v>44966</v>
      </c>
      <c r="P4289">
        <v>16</v>
      </c>
      <c r="Q4289" s="11" t="s">
        <v>49</v>
      </c>
      <c r="R4289" s="7"/>
      <c r="S4289" s="7"/>
      <c r="T4289" s="7"/>
      <c r="U4289" s="7"/>
      <c r="V4289" s="10">
        <v>7.5741092456127026</v>
      </c>
      <c r="W4289" s="9">
        <v>44963</v>
      </c>
      <c r="X4289" s="10">
        <v>7.5</v>
      </c>
      <c r="Y4289" s="9">
        <v>44966</v>
      </c>
      <c r="Z4289">
        <v>16</v>
      </c>
      <c r="AA4289" s="11" t="s">
        <v>49</v>
      </c>
    </row>
    <row r="4290" spans="2:27" ht="16" x14ac:dyDescent="0.2">
      <c r="B4290" t="s">
        <v>35</v>
      </c>
      <c r="C4290">
        <v>40351403</v>
      </c>
      <c r="D4290" t="s">
        <v>389</v>
      </c>
      <c r="E4290">
        <v>1021738</v>
      </c>
      <c r="F4290" t="s">
        <v>282</v>
      </c>
      <c r="G4290" s="9">
        <v>44945</v>
      </c>
      <c r="H4290" s="7"/>
      <c r="I4290" s="7"/>
      <c r="J4290" s="7"/>
      <c r="K4290" s="7"/>
      <c r="L4290" s="10">
        <v>5.5741092456127026</v>
      </c>
      <c r="M4290" s="9">
        <v>44950</v>
      </c>
      <c r="N4290" s="10">
        <v>5.5</v>
      </c>
      <c r="O4290" s="9">
        <v>44955</v>
      </c>
      <c r="P4290">
        <v>2</v>
      </c>
      <c r="Q4290" s="11" t="s">
        <v>648</v>
      </c>
      <c r="R4290" s="7"/>
      <c r="S4290" s="7"/>
      <c r="T4290" s="7"/>
      <c r="U4290" s="7"/>
      <c r="V4290" s="10">
        <v>7.5741092456127026</v>
      </c>
      <c r="W4290" s="9">
        <v>44952</v>
      </c>
      <c r="X4290" s="10">
        <v>7.5</v>
      </c>
      <c r="Y4290" s="9">
        <v>44955</v>
      </c>
      <c r="Z4290">
        <v>2</v>
      </c>
      <c r="AA4290" s="11" t="s">
        <v>648</v>
      </c>
    </row>
    <row r="4291" spans="2:27" ht="16" x14ac:dyDescent="0.2">
      <c r="B4291" t="s">
        <v>35</v>
      </c>
      <c r="C4291">
        <v>40351402</v>
      </c>
      <c r="D4291" t="s">
        <v>389</v>
      </c>
      <c r="E4291">
        <v>1021738</v>
      </c>
      <c r="F4291" t="s">
        <v>282</v>
      </c>
      <c r="G4291" s="9">
        <v>44952</v>
      </c>
      <c r="H4291" s="7"/>
      <c r="I4291" s="7"/>
      <c r="J4291" s="7"/>
      <c r="K4291" s="7"/>
      <c r="L4291" s="10">
        <v>5.5741092456127026</v>
      </c>
      <c r="M4291" s="9">
        <v>44957</v>
      </c>
      <c r="N4291" s="10">
        <v>5.5</v>
      </c>
      <c r="O4291" s="9">
        <v>44962</v>
      </c>
      <c r="P4291">
        <v>20</v>
      </c>
      <c r="Q4291" s="11" t="s">
        <v>49</v>
      </c>
      <c r="R4291" s="7"/>
      <c r="S4291" s="7"/>
      <c r="T4291" s="7"/>
      <c r="U4291" s="7"/>
      <c r="V4291" s="10">
        <v>7.5741092456127026</v>
      </c>
      <c r="W4291" s="9">
        <v>44959</v>
      </c>
      <c r="X4291" s="10">
        <v>7.5</v>
      </c>
      <c r="Y4291" s="9">
        <v>44962</v>
      </c>
      <c r="Z4291">
        <v>20</v>
      </c>
      <c r="AA4291" s="11" t="s">
        <v>49</v>
      </c>
    </row>
    <row r="4292" spans="2:27" ht="16" x14ac:dyDescent="0.2">
      <c r="B4292" t="s">
        <v>35</v>
      </c>
      <c r="C4292">
        <v>40351402</v>
      </c>
      <c r="D4292" t="s">
        <v>389</v>
      </c>
      <c r="E4292">
        <v>1021738</v>
      </c>
      <c r="F4292" t="s">
        <v>282</v>
      </c>
      <c r="G4292" s="9">
        <v>44952</v>
      </c>
      <c r="H4292" s="7"/>
      <c r="I4292" s="7"/>
      <c r="J4292" s="7"/>
      <c r="K4292" s="7"/>
      <c r="L4292" s="10">
        <v>5.5741092456127026</v>
      </c>
      <c r="M4292" s="9">
        <v>44957</v>
      </c>
      <c r="N4292" s="10">
        <v>5.5</v>
      </c>
      <c r="O4292" s="9">
        <v>44962</v>
      </c>
      <c r="P4292">
        <v>20</v>
      </c>
      <c r="Q4292" s="11" t="s">
        <v>49</v>
      </c>
      <c r="R4292" s="7"/>
      <c r="S4292" s="7"/>
      <c r="T4292" s="7"/>
      <c r="U4292" s="7"/>
      <c r="V4292" s="10">
        <v>7.5741092456127026</v>
      </c>
      <c r="W4292" s="9">
        <v>44959</v>
      </c>
      <c r="X4292" s="10">
        <v>7.5</v>
      </c>
      <c r="Y4292" s="9">
        <v>44962</v>
      </c>
      <c r="Z4292">
        <v>20</v>
      </c>
      <c r="AA4292" s="11" t="s">
        <v>49</v>
      </c>
    </row>
    <row r="4293" spans="2:27" ht="16" x14ac:dyDescent="0.2">
      <c r="B4293" t="s">
        <v>35</v>
      </c>
      <c r="C4293">
        <v>40351400</v>
      </c>
      <c r="D4293" t="s">
        <v>389</v>
      </c>
      <c r="E4293">
        <v>1021735</v>
      </c>
      <c r="F4293" t="s">
        <v>278</v>
      </c>
      <c r="G4293" s="9">
        <v>44962</v>
      </c>
      <c r="H4293" s="7"/>
      <c r="I4293" s="7"/>
      <c r="J4293" s="7"/>
      <c r="K4293" s="7"/>
      <c r="L4293" s="10">
        <v>5.5741092456127026</v>
      </c>
      <c r="M4293" s="9">
        <v>44967</v>
      </c>
      <c r="N4293" s="10">
        <v>5.5</v>
      </c>
      <c r="O4293" s="9">
        <v>44972</v>
      </c>
      <c r="P4293">
        <v>11</v>
      </c>
      <c r="Q4293" s="11" t="s">
        <v>49</v>
      </c>
      <c r="R4293" s="7"/>
      <c r="S4293" s="7"/>
      <c r="T4293" s="7"/>
      <c r="U4293" s="7"/>
      <c r="V4293" s="10">
        <v>7.5741092456127026</v>
      </c>
      <c r="W4293" s="9">
        <v>44969</v>
      </c>
      <c r="X4293" s="10">
        <v>7.5</v>
      </c>
      <c r="Y4293" s="9">
        <v>44972</v>
      </c>
      <c r="Z4293">
        <v>11</v>
      </c>
      <c r="AA4293" s="11" t="s">
        <v>49</v>
      </c>
    </row>
    <row r="4294" spans="2:27" ht="16" x14ac:dyDescent="0.2">
      <c r="B4294" t="s">
        <v>35</v>
      </c>
      <c r="C4294">
        <v>40351399</v>
      </c>
      <c r="D4294" t="s">
        <v>389</v>
      </c>
      <c r="E4294">
        <v>1021735</v>
      </c>
      <c r="F4294" t="s">
        <v>278</v>
      </c>
      <c r="G4294" s="9">
        <v>44960</v>
      </c>
      <c r="H4294" s="7"/>
      <c r="I4294" s="7"/>
      <c r="J4294" s="7"/>
      <c r="K4294" s="7"/>
      <c r="L4294" s="10">
        <v>5.5741092456127026</v>
      </c>
      <c r="M4294" s="9">
        <v>44965</v>
      </c>
      <c r="N4294" s="10">
        <v>5.5</v>
      </c>
      <c r="O4294" s="9">
        <v>44970</v>
      </c>
      <c r="P4294">
        <v>13</v>
      </c>
      <c r="Q4294" s="11" t="s">
        <v>49</v>
      </c>
      <c r="R4294" s="7"/>
      <c r="S4294" s="7"/>
      <c r="T4294" s="7"/>
      <c r="U4294" s="7"/>
      <c r="V4294" s="10">
        <v>7.5741092456127026</v>
      </c>
      <c r="W4294" s="9">
        <v>44967</v>
      </c>
      <c r="X4294" s="10">
        <v>7.5</v>
      </c>
      <c r="Y4294" s="9">
        <v>44970</v>
      </c>
      <c r="Z4294">
        <v>13</v>
      </c>
      <c r="AA4294" s="11" t="s">
        <v>49</v>
      </c>
    </row>
    <row r="4295" spans="2:27" ht="16" x14ac:dyDescent="0.2">
      <c r="B4295" t="s">
        <v>35</v>
      </c>
      <c r="C4295">
        <v>40351398</v>
      </c>
      <c r="D4295" t="s">
        <v>389</v>
      </c>
      <c r="E4295">
        <v>1021735</v>
      </c>
      <c r="F4295" t="s">
        <v>278</v>
      </c>
      <c r="G4295" s="9">
        <v>44956</v>
      </c>
      <c r="H4295" s="7"/>
      <c r="I4295" s="7"/>
      <c r="J4295" s="7"/>
      <c r="K4295" s="7"/>
      <c r="L4295" s="10">
        <v>5.5741092456127026</v>
      </c>
      <c r="M4295" s="9">
        <v>44961</v>
      </c>
      <c r="N4295" s="10">
        <v>5.5</v>
      </c>
      <c r="O4295" s="9">
        <v>44966</v>
      </c>
      <c r="P4295">
        <v>16</v>
      </c>
      <c r="Q4295" s="11" t="s">
        <v>49</v>
      </c>
      <c r="R4295" s="7"/>
      <c r="S4295" s="7"/>
      <c r="T4295" s="7"/>
      <c r="U4295" s="7"/>
      <c r="V4295" s="10">
        <v>7.5741092456127026</v>
      </c>
      <c r="W4295" s="9">
        <v>44963</v>
      </c>
      <c r="X4295" s="10">
        <v>7.5</v>
      </c>
      <c r="Y4295" s="9">
        <v>44966</v>
      </c>
      <c r="Z4295">
        <v>16</v>
      </c>
      <c r="AA4295" s="11" t="s">
        <v>49</v>
      </c>
    </row>
    <row r="4296" spans="2:27" ht="16" x14ac:dyDescent="0.2">
      <c r="B4296" t="s">
        <v>35</v>
      </c>
      <c r="C4296">
        <v>40351397</v>
      </c>
      <c r="D4296" t="s">
        <v>389</v>
      </c>
      <c r="E4296">
        <v>1021735</v>
      </c>
      <c r="F4296" t="s">
        <v>278</v>
      </c>
      <c r="G4296" s="9">
        <v>44936</v>
      </c>
      <c r="H4296" s="7"/>
      <c r="I4296" s="7"/>
      <c r="J4296" s="7"/>
      <c r="K4296" s="7"/>
      <c r="L4296" s="10">
        <v>5.5741092456127026</v>
      </c>
      <c r="M4296" s="9">
        <v>44941</v>
      </c>
      <c r="N4296" s="10">
        <v>5.5</v>
      </c>
      <c r="O4296" s="9">
        <v>44946</v>
      </c>
      <c r="P4296">
        <v>7</v>
      </c>
      <c r="Q4296" s="11" t="s">
        <v>49</v>
      </c>
      <c r="R4296" s="7"/>
      <c r="S4296" s="7"/>
      <c r="T4296" s="7"/>
      <c r="U4296" s="7"/>
      <c r="V4296" s="10">
        <v>7.5741092456127026</v>
      </c>
      <c r="W4296" s="9">
        <v>44943</v>
      </c>
      <c r="X4296" s="10">
        <v>7.5</v>
      </c>
      <c r="Y4296" s="9">
        <v>44946</v>
      </c>
      <c r="Z4296">
        <v>7</v>
      </c>
      <c r="AA4296" s="11" t="s">
        <v>49</v>
      </c>
    </row>
    <row r="4297" spans="2:27" ht="16" x14ac:dyDescent="0.2">
      <c r="B4297" t="s">
        <v>35</v>
      </c>
      <c r="C4297">
        <v>40351396</v>
      </c>
      <c r="D4297" t="s">
        <v>389</v>
      </c>
      <c r="E4297">
        <v>1021739</v>
      </c>
      <c r="F4297" t="s">
        <v>416</v>
      </c>
      <c r="G4297" s="9">
        <v>44975</v>
      </c>
      <c r="H4297" s="7"/>
      <c r="I4297" s="7"/>
      <c r="J4297" s="7"/>
      <c r="K4297" s="7"/>
      <c r="L4297" s="10">
        <v>5.5741092456127026</v>
      </c>
      <c r="M4297" s="9">
        <v>44980</v>
      </c>
      <c r="N4297" s="10">
        <v>5.5</v>
      </c>
      <c r="O4297" s="9">
        <v>44985</v>
      </c>
      <c r="P4297">
        <v>0</v>
      </c>
      <c r="Q4297" s="11" t="s">
        <v>594</v>
      </c>
      <c r="R4297" s="7"/>
      <c r="S4297" s="7"/>
      <c r="T4297" s="7"/>
      <c r="U4297" s="7"/>
      <c r="V4297" s="10">
        <v>7.5741092456127026</v>
      </c>
      <c r="W4297" s="9">
        <v>44982</v>
      </c>
      <c r="X4297" s="10">
        <v>7.5</v>
      </c>
      <c r="Y4297" s="9">
        <v>44985</v>
      </c>
      <c r="Z4297">
        <v>0</v>
      </c>
      <c r="AA4297" s="11" t="s">
        <v>594</v>
      </c>
    </row>
    <row r="4298" spans="2:27" ht="16" x14ac:dyDescent="0.2">
      <c r="B4298" t="s">
        <v>35</v>
      </c>
      <c r="C4298">
        <v>40351393</v>
      </c>
      <c r="D4298" t="s">
        <v>389</v>
      </c>
      <c r="E4298">
        <v>1022748</v>
      </c>
      <c r="F4298" t="s">
        <v>444</v>
      </c>
      <c r="G4298" s="9">
        <v>44965</v>
      </c>
      <c r="H4298" s="7"/>
      <c r="I4298" s="7"/>
      <c r="J4298" s="7"/>
      <c r="K4298" s="7"/>
      <c r="L4298" s="10">
        <v>5.5741092456127026</v>
      </c>
      <c r="M4298" s="9">
        <v>44970</v>
      </c>
      <c r="N4298" s="10">
        <v>5.5</v>
      </c>
      <c r="O4298" s="9">
        <v>44975</v>
      </c>
      <c r="P4298">
        <v>8</v>
      </c>
      <c r="Q4298" s="11" t="s">
        <v>49</v>
      </c>
      <c r="R4298" s="7"/>
      <c r="S4298" s="7"/>
      <c r="T4298" s="7"/>
      <c r="U4298" s="7"/>
      <c r="V4298" s="10">
        <v>7.5741092456127026</v>
      </c>
      <c r="W4298" s="9">
        <v>44972</v>
      </c>
      <c r="X4298" s="10">
        <v>7.5</v>
      </c>
      <c r="Y4298" s="9">
        <v>44975</v>
      </c>
      <c r="Z4298">
        <v>8</v>
      </c>
      <c r="AA4298" s="11" t="s">
        <v>49</v>
      </c>
    </row>
    <row r="4299" spans="2:27" ht="16" x14ac:dyDescent="0.2">
      <c r="B4299" t="s">
        <v>35</v>
      </c>
      <c r="C4299">
        <v>40351392</v>
      </c>
      <c r="D4299" t="s">
        <v>389</v>
      </c>
      <c r="E4299">
        <v>1022748</v>
      </c>
      <c r="F4299" t="s">
        <v>444</v>
      </c>
      <c r="G4299" s="9">
        <v>44975</v>
      </c>
      <c r="H4299" s="7"/>
      <c r="I4299" s="7"/>
      <c r="J4299" s="7"/>
      <c r="K4299" s="7"/>
      <c r="L4299" s="10">
        <v>5.5741092456127026</v>
      </c>
      <c r="M4299" s="9">
        <v>44980</v>
      </c>
      <c r="N4299" s="10">
        <v>5.5</v>
      </c>
      <c r="O4299" s="9">
        <v>44985</v>
      </c>
      <c r="P4299">
        <v>0</v>
      </c>
      <c r="Q4299" s="11" t="s">
        <v>594</v>
      </c>
      <c r="R4299" s="7"/>
      <c r="S4299" s="7"/>
      <c r="T4299" s="7"/>
      <c r="U4299" s="7"/>
      <c r="V4299" s="10">
        <v>7.5741092456127026</v>
      </c>
      <c r="W4299" s="9">
        <v>44982</v>
      </c>
      <c r="X4299" s="10">
        <v>7.5</v>
      </c>
      <c r="Y4299" s="9">
        <v>44985</v>
      </c>
      <c r="Z4299">
        <v>0</v>
      </c>
      <c r="AA4299" s="11" t="s">
        <v>594</v>
      </c>
    </row>
    <row r="4300" spans="2:27" ht="16" x14ac:dyDescent="0.2">
      <c r="B4300" t="s">
        <v>35</v>
      </c>
      <c r="C4300">
        <v>40351391</v>
      </c>
      <c r="D4300" t="s">
        <v>389</v>
      </c>
      <c r="E4300">
        <v>1022748</v>
      </c>
      <c r="F4300" t="s">
        <v>444</v>
      </c>
      <c r="G4300" s="9">
        <v>44962</v>
      </c>
      <c r="H4300" s="7"/>
      <c r="I4300" s="7"/>
      <c r="J4300" s="7"/>
      <c r="K4300" s="7"/>
      <c r="L4300" s="10">
        <v>5.5741092456127026</v>
      </c>
      <c r="M4300" s="9">
        <v>44967</v>
      </c>
      <c r="N4300" s="10">
        <v>5.5</v>
      </c>
      <c r="O4300" s="9">
        <v>44972</v>
      </c>
      <c r="P4300">
        <v>11</v>
      </c>
      <c r="Q4300" s="11" t="s">
        <v>49</v>
      </c>
      <c r="R4300" s="7"/>
      <c r="S4300" s="7"/>
      <c r="T4300" s="7"/>
      <c r="U4300" s="7"/>
      <c r="V4300" s="10">
        <v>7.5741092456127026</v>
      </c>
      <c r="W4300" s="9">
        <v>44969</v>
      </c>
      <c r="X4300" s="10">
        <v>7.5</v>
      </c>
      <c r="Y4300" s="9">
        <v>44972</v>
      </c>
      <c r="Z4300">
        <v>11</v>
      </c>
      <c r="AA4300" s="11" t="s">
        <v>49</v>
      </c>
    </row>
    <row r="4301" spans="2:27" ht="16" x14ac:dyDescent="0.2">
      <c r="B4301" t="s">
        <v>35</v>
      </c>
      <c r="C4301">
        <v>40351390</v>
      </c>
      <c r="D4301" t="s">
        <v>389</v>
      </c>
      <c r="E4301">
        <v>1022748</v>
      </c>
      <c r="F4301" t="s">
        <v>444</v>
      </c>
      <c r="G4301" s="9">
        <v>44955</v>
      </c>
      <c r="H4301" s="7"/>
      <c r="I4301" s="7"/>
      <c r="J4301" s="7"/>
      <c r="K4301" s="7"/>
      <c r="L4301" s="10">
        <v>5.5741092456127026</v>
      </c>
      <c r="M4301" s="9">
        <v>44960</v>
      </c>
      <c r="N4301" s="10">
        <v>5.5</v>
      </c>
      <c r="O4301" s="9">
        <v>44965</v>
      </c>
      <c r="P4301">
        <v>17</v>
      </c>
      <c r="Q4301" s="11" t="s">
        <v>49</v>
      </c>
      <c r="R4301" s="7"/>
      <c r="S4301" s="7"/>
      <c r="T4301" s="7"/>
      <c r="U4301" s="7"/>
      <c r="V4301" s="10">
        <v>7.5741092456127026</v>
      </c>
      <c r="W4301" s="9">
        <v>44962</v>
      </c>
      <c r="X4301" s="10">
        <v>7.5</v>
      </c>
      <c r="Y4301" s="9">
        <v>44965</v>
      </c>
      <c r="Z4301">
        <v>17</v>
      </c>
      <c r="AA4301" s="11" t="s">
        <v>49</v>
      </c>
    </row>
    <row r="4302" spans="2:27" ht="16" x14ac:dyDescent="0.2">
      <c r="B4302" t="s">
        <v>35</v>
      </c>
      <c r="C4302">
        <v>40351389</v>
      </c>
      <c r="D4302" t="s">
        <v>389</v>
      </c>
      <c r="E4302">
        <v>1022748</v>
      </c>
      <c r="F4302" t="s">
        <v>444</v>
      </c>
      <c r="G4302" s="9">
        <v>44962</v>
      </c>
      <c r="H4302" s="7"/>
      <c r="I4302" s="7"/>
      <c r="J4302" s="7"/>
      <c r="K4302" s="7"/>
      <c r="L4302" s="10">
        <v>5.5741092456127026</v>
      </c>
      <c r="M4302" s="9">
        <v>44967</v>
      </c>
      <c r="N4302" s="10">
        <v>5.5</v>
      </c>
      <c r="O4302" s="9">
        <v>44972</v>
      </c>
      <c r="P4302">
        <v>11</v>
      </c>
      <c r="Q4302" s="11" t="s">
        <v>49</v>
      </c>
      <c r="R4302" s="7"/>
      <c r="S4302" s="7"/>
      <c r="T4302" s="7"/>
      <c r="U4302" s="7"/>
      <c r="V4302" s="10">
        <v>7.5741092456127026</v>
      </c>
      <c r="W4302" s="9">
        <v>44969</v>
      </c>
      <c r="X4302" s="10">
        <v>7.5</v>
      </c>
      <c r="Y4302" s="9">
        <v>44972</v>
      </c>
      <c r="Z4302">
        <v>11</v>
      </c>
      <c r="AA4302" s="11" t="s">
        <v>49</v>
      </c>
    </row>
    <row r="4303" spans="2:27" ht="16" x14ac:dyDescent="0.2">
      <c r="B4303" t="s">
        <v>35</v>
      </c>
      <c r="C4303">
        <v>40351388</v>
      </c>
      <c r="D4303" t="s">
        <v>389</v>
      </c>
      <c r="E4303">
        <v>1022748</v>
      </c>
      <c r="F4303" t="s">
        <v>444</v>
      </c>
      <c r="G4303" s="9">
        <v>44941</v>
      </c>
      <c r="H4303" s="7"/>
      <c r="I4303" s="7"/>
      <c r="J4303" s="7"/>
      <c r="K4303" s="7"/>
      <c r="L4303" s="10">
        <v>5.5741092456127026</v>
      </c>
      <c r="M4303" s="9">
        <v>44946</v>
      </c>
      <c r="N4303" s="10">
        <v>5.5</v>
      </c>
      <c r="O4303" s="9">
        <v>44951</v>
      </c>
      <c r="P4303">
        <v>5</v>
      </c>
      <c r="Q4303" s="11" t="s">
        <v>49</v>
      </c>
      <c r="R4303" s="7"/>
      <c r="S4303" s="7"/>
      <c r="T4303" s="7"/>
      <c r="U4303" s="7"/>
      <c r="V4303" s="10">
        <v>7.5741092456127026</v>
      </c>
      <c r="W4303" s="9">
        <v>44948</v>
      </c>
      <c r="X4303" s="10">
        <v>7.5</v>
      </c>
      <c r="Y4303" s="9">
        <v>44951</v>
      </c>
      <c r="Z4303">
        <v>5</v>
      </c>
      <c r="AA4303" s="11" t="s">
        <v>49</v>
      </c>
    </row>
    <row r="4304" spans="2:27" ht="16" x14ac:dyDescent="0.2">
      <c r="B4304" t="s">
        <v>35</v>
      </c>
      <c r="C4304">
        <v>40351386</v>
      </c>
      <c r="D4304" t="s">
        <v>389</v>
      </c>
      <c r="E4304">
        <v>1022753</v>
      </c>
      <c r="F4304" t="s">
        <v>320</v>
      </c>
      <c r="G4304" s="9">
        <v>44975</v>
      </c>
      <c r="H4304" s="7"/>
      <c r="I4304" s="7"/>
      <c r="J4304" s="7"/>
      <c r="K4304" s="7"/>
      <c r="L4304" s="10">
        <v>5.5741092456127026</v>
      </c>
      <c r="M4304" s="9">
        <v>44980</v>
      </c>
      <c r="N4304" s="10">
        <v>5.5</v>
      </c>
      <c r="O4304" s="9">
        <v>44985</v>
      </c>
      <c r="P4304">
        <v>0</v>
      </c>
      <c r="Q4304" s="11" t="s">
        <v>594</v>
      </c>
      <c r="R4304" s="7"/>
      <c r="S4304" s="7"/>
      <c r="T4304" s="7"/>
      <c r="U4304" s="7"/>
      <c r="V4304" s="10">
        <v>7.5741092456127026</v>
      </c>
      <c r="W4304" s="9">
        <v>44982</v>
      </c>
      <c r="X4304" s="10">
        <v>7.5</v>
      </c>
      <c r="Y4304" s="9">
        <v>44985</v>
      </c>
      <c r="Z4304">
        <v>0</v>
      </c>
      <c r="AA4304" s="11" t="s">
        <v>594</v>
      </c>
    </row>
    <row r="4305" spans="2:27" ht="16" x14ac:dyDescent="0.2">
      <c r="B4305" t="s">
        <v>35</v>
      </c>
      <c r="C4305">
        <v>40351385</v>
      </c>
      <c r="D4305" t="s">
        <v>389</v>
      </c>
      <c r="E4305">
        <v>1022753</v>
      </c>
      <c r="F4305" t="s">
        <v>320</v>
      </c>
      <c r="G4305" s="9">
        <v>44975</v>
      </c>
      <c r="H4305" s="7"/>
      <c r="I4305" s="7"/>
      <c r="J4305" s="7"/>
      <c r="K4305" s="7"/>
      <c r="L4305" s="10">
        <v>5.5741092456127026</v>
      </c>
      <c r="M4305" s="9">
        <v>44980</v>
      </c>
      <c r="N4305" s="10">
        <v>5.5</v>
      </c>
      <c r="O4305" s="9">
        <v>44985</v>
      </c>
      <c r="P4305">
        <v>0</v>
      </c>
      <c r="Q4305" s="11" t="s">
        <v>594</v>
      </c>
      <c r="R4305" s="7"/>
      <c r="S4305" s="7"/>
      <c r="T4305" s="7"/>
      <c r="U4305" s="7"/>
      <c r="V4305" s="10">
        <v>7.5741092456127026</v>
      </c>
      <c r="W4305" s="9">
        <v>44982</v>
      </c>
      <c r="X4305" s="10">
        <v>7.5</v>
      </c>
      <c r="Y4305" s="9">
        <v>44985</v>
      </c>
      <c r="Z4305">
        <v>0</v>
      </c>
      <c r="AA4305" s="11" t="s">
        <v>594</v>
      </c>
    </row>
    <row r="4306" spans="2:27" ht="16" x14ac:dyDescent="0.2">
      <c r="B4306" t="s">
        <v>35</v>
      </c>
      <c r="C4306">
        <v>40351385</v>
      </c>
      <c r="D4306" t="s">
        <v>389</v>
      </c>
      <c r="E4306">
        <v>1022753</v>
      </c>
      <c r="F4306" t="s">
        <v>320</v>
      </c>
      <c r="G4306" s="9">
        <v>44975</v>
      </c>
      <c r="H4306" s="7"/>
      <c r="I4306" s="7"/>
      <c r="J4306" s="7"/>
      <c r="K4306" s="7"/>
      <c r="L4306" s="10">
        <v>5.5741092456127026</v>
      </c>
      <c r="M4306" s="9">
        <v>44980</v>
      </c>
      <c r="N4306" s="10">
        <v>5.5</v>
      </c>
      <c r="O4306" s="9">
        <v>44985</v>
      </c>
      <c r="P4306">
        <v>0</v>
      </c>
      <c r="Q4306" s="11" t="s">
        <v>594</v>
      </c>
      <c r="R4306" s="7"/>
      <c r="S4306" s="7"/>
      <c r="T4306" s="7"/>
      <c r="U4306" s="7"/>
      <c r="V4306" s="10">
        <v>7.5741092456127026</v>
      </c>
      <c r="W4306" s="9">
        <v>44982</v>
      </c>
      <c r="X4306" s="10">
        <v>7.5</v>
      </c>
      <c r="Y4306" s="9">
        <v>44985</v>
      </c>
      <c r="Z4306">
        <v>0</v>
      </c>
      <c r="AA4306" s="11" t="s">
        <v>594</v>
      </c>
    </row>
    <row r="4307" spans="2:27" ht="16" x14ac:dyDescent="0.2">
      <c r="B4307" t="s">
        <v>35</v>
      </c>
      <c r="C4307">
        <v>40351384</v>
      </c>
      <c r="D4307" t="s">
        <v>389</v>
      </c>
      <c r="E4307">
        <v>1022753</v>
      </c>
      <c r="F4307" t="s">
        <v>320</v>
      </c>
      <c r="G4307" s="9">
        <v>44975</v>
      </c>
      <c r="H4307" s="7"/>
      <c r="I4307" s="7"/>
      <c r="J4307" s="7"/>
      <c r="K4307" s="7"/>
      <c r="L4307" s="10">
        <v>5.5741092456127026</v>
      </c>
      <c r="M4307" s="9">
        <v>44980</v>
      </c>
      <c r="N4307" s="10">
        <v>5.5</v>
      </c>
      <c r="O4307" s="9">
        <v>44985</v>
      </c>
      <c r="P4307">
        <v>0</v>
      </c>
      <c r="Q4307" s="11" t="s">
        <v>594</v>
      </c>
      <c r="R4307" s="7"/>
      <c r="S4307" s="7"/>
      <c r="T4307" s="7"/>
      <c r="U4307" s="7"/>
      <c r="V4307" s="10">
        <v>7.5741092456127026</v>
      </c>
      <c r="W4307" s="9">
        <v>44982</v>
      </c>
      <c r="X4307" s="10">
        <v>7.5</v>
      </c>
      <c r="Y4307" s="9">
        <v>44985</v>
      </c>
      <c r="Z4307">
        <v>0</v>
      </c>
      <c r="AA4307" s="11" t="s">
        <v>594</v>
      </c>
    </row>
    <row r="4308" spans="2:27" ht="16" x14ac:dyDescent="0.2">
      <c r="B4308" t="s">
        <v>35</v>
      </c>
      <c r="C4308">
        <v>40351383</v>
      </c>
      <c r="D4308" t="s">
        <v>389</v>
      </c>
      <c r="E4308">
        <v>1022753</v>
      </c>
      <c r="F4308" t="s">
        <v>320</v>
      </c>
      <c r="G4308" s="9">
        <v>44975</v>
      </c>
      <c r="H4308" s="7"/>
      <c r="I4308" s="7"/>
      <c r="J4308" s="7"/>
      <c r="K4308" s="7"/>
      <c r="L4308" s="10">
        <v>5.5741092456127026</v>
      </c>
      <c r="M4308" s="9">
        <v>44980</v>
      </c>
      <c r="N4308" s="10">
        <v>5.5</v>
      </c>
      <c r="O4308" s="9">
        <v>44985</v>
      </c>
      <c r="P4308">
        <v>0</v>
      </c>
      <c r="Q4308" s="11" t="s">
        <v>594</v>
      </c>
      <c r="R4308" s="7"/>
      <c r="S4308" s="7"/>
      <c r="T4308" s="7"/>
      <c r="U4308" s="7"/>
      <c r="V4308" s="10">
        <v>7.5741092456127026</v>
      </c>
      <c r="W4308" s="9">
        <v>44982</v>
      </c>
      <c r="X4308" s="10">
        <v>7.5</v>
      </c>
      <c r="Y4308" s="9">
        <v>44985</v>
      </c>
      <c r="Z4308">
        <v>0</v>
      </c>
      <c r="AA4308" s="11" t="s">
        <v>594</v>
      </c>
    </row>
    <row r="4309" spans="2:27" ht="16" x14ac:dyDescent="0.2">
      <c r="B4309" t="s">
        <v>35</v>
      </c>
      <c r="C4309">
        <v>40351382</v>
      </c>
      <c r="D4309" t="s">
        <v>389</v>
      </c>
      <c r="E4309">
        <v>1022753</v>
      </c>
      <c r="F4309" t="s">
        <v>320</v>
      </c>
      <c r="G4309" s="9">
        <v>44975</v>
      </c>
      <c r="H4309" s="7"/>
      <c r="I4309" s="7"/>
      <c r="J4309" s="7"/>
      <c r="K4309" s="7"/>
      <c r="L4309" s="10">
        <v>5.5741092456127026</v>
      </c>
      <c r="M4309" s="9">
        <v>44980</v>
      </c>
      <c r="N4309" s="10">
        <v>5.5</v>
      </c>
      <c r="O4309" s="9">
        <v>44985</v>
      </c>
      <c r="P4309">
        <v>0</v>
      </c>
      <c r="Q4309" s="11" t="s">
        <v>594</v>
      </c>
      <c r="R4309" s="7"/>
      <c r="S4309" s="7"/>
      <c r="T4309" s="7"/>
      <c r="U4309" s="7"/>
      <c r="V4309" s="10">
        <v>7.5741092456127026</v>
      </c>
      <c r="W4309" s="9">
        <v>44982</v>
      </c>
      <c r="X4309" s="10">
        <v>7.5</v>
      </c>
      <c r="Y4309" s="9">
        <v>44985</v>
      </c>
      <c r="Z4309">
        <v>0</v>
      </c>
      <c r="AA4309" s="11" t="s">
        <v>594</v>
      </c>
    </row>
    <row r="4310" spans="2:27" ht="16" x14ac:dyDescent="0.2">
      <c r="B4310" t="s">
        <v>35</v>
      </c>
      <c r="C4310">
        <v>40351381</v>
      </c>
      <c r="D4310" t="s">
        <v>389</v>
      </c>
      <c r="E4310">
        <v>1022753</v>
      </c>
      <c r="F4310" t="s">
        <v>320</v>
      </c>
      <c r="G4310" s="9">
        <v>44954</v>
      </c>
      <c r="H4310" s="7"/>
      <c r="I4310" s="7"/>
      <c r="J4310" s="7"/>
      <c r="K4310" s="7"/>
      <c r="L4310" s="10">
        <v>5.5741092456127026</v>
      </c>
      <c r="M4310" s="9">
        <v>44959</v>
      </c>
      <c r="N4310" s="10">
        <v>5.5</v>
      </c>
      <c r="O4310" s="9">
        <v>44964</v>
      </c>
      <c r="P4310">
        <v>18</v>
      </c>
      <c r="Q4310" s="11" t="s">
        <v>49</v>
      </c>
      <c r="R4310" s="7"/>
      <c r="S4310" s="7"/>
      <c r="T4310" s="7"/>
      <c r="U4310" s="7"/>
      <c r="V4310" s="10">
        <v>7.5741092456127026</v>
      </c>
      <c r="W4310" s="9">
        <v>44961</v>
      </c>
      <c r="X4310" s="10">
        <v>7.5</v>
      </c>
      <c r="Y4310" s="9">
        <v>44964</v>
      </c>
      <c r="Z4310">
        <v>18</v>
      </c>
      <c r="AA4310" s="11" t="s">
        <v>49</v>
      </c>
    </row>
    <row r="4311" spans="2:27" ht="16" x14ac:dyDescent="0.2">
      <c r="B4311" t="s">
        <v>35</v>
      </c>
      <c r="C4311">
        <v>40351381</v>
      </c>
      <c r="D4311" t="s">
        <v>389</v>
      </c>
      <c r="E4311">
        <v>1022753</v>
      </c>
      <c r="F4311" t="s">
        <v>320</v>
      </c>
      <c r="G4311" s="9">
        <v>44954</v>
      </c>
      <c r="H4311" s="7"/>
      <c r="I4311" s="7"/>
      <c r="J4311" s="7"/>
      <c r="K4311" s="7"/>
      <c r="L4311" s="10">
        <v>5.5741092456127026</v>
      </c>
      <c r="M4311" s="9">
        <v>44959</v>
      </c>
      <c r="N4311" s="10">
        <v>5.5</v>
      </c>
      <c r="O4311" s="9">
        <v>44964</v>
      </c>
      <c r="P4311">
        <v>18</v>
      </c>
      <c r="Q4311" s="11" t="s">
        <v>49</v>
      </c>
      <c r="R4311" s="7"/>
      <c r="S4311" s="7"/>
      <c r="T4311" s="7"/>
      <c r="U4311" s="7"/>
      <c r="V4311" s="10">
        <v>7.5741092456127026</v>
      </c>
      <c r="W4311" s="9">
        <v>44961</v>
      </c>
      <c r="X4311" s="10">
        <v>7.5</v>
      </c>
      <c r="Y4311" s="9">
        <v>44964</v>
      </c>
      <c r="Z4311">
        <v>18</v>
      </c>
      <c r="AA4311" s="11" t="s">
        <v>49</v>
      </c>
    </row>
    <row r="4312" spans="2:27" ht="16" x14ac:dyDescent="0.2">
      <c r="B4312" t="s">
        <v>35</v>
      </c>
      <c r="C4312">
        <v>40351380</v>
      </c>
      <c r="D4312" t="s">
        <v>389</v>
      </c>
      <c r="E4312">
        <v>1022753</v>
      </c>
      <c r="F4312" t="s">
        <v>320</v>
      </c>
      <c r="G4312" s="9">
        <v>44945</v>
      </c>
      <c r="H4312" s="7"/>
      <c r="I4312" s="7"/>
      <c r="J4312" s="7"/>
      <c r="K4312" s="7"/>
      <c r="L4312" s="10">
        <v>5.5741092456127026</v>
      </c>
      <c r="M4312" s="9">
        <v>44950</v>
      </c>
      <c r="N4312" s="10">
        <v>5.5</v>
      </c>
      <c r="O4312" s="9">
        <v>44955</v>
      </c>
      <c r="P4312">
        <v>2</v>
      </c>
      <c r="Q4312" s="11" t="s">
        <v>648</v>
      </c>
      <c r="R4312" s="7"/>
      <c r="S4312" s="7"/>
      <c r="T4312" s="7"/>
      <c r="U4312" s="7"/>
      <c r="V4312" s="10">
        <v>7.5741092456127026</v>
      </c>
      <c r="W4312" s="9">
        <v>44952</v>
      </c>
      <c r="X4312" s="10">
        <v>7.5</v>
      </c>
      <c r="Y4312" s="9">
        <v>44955</v>
      </c>
      <c r="Z4312">
        <v>2</v>
      </c>
      <c r="AA4312" s="11" t="s">
        <v>648</v>
      </c>
    </row>
    <row r="4313" spans="2:27" ht="16" x14ac:dyDescent="0.2">
      <c r="B4313" t="s">
        <v>35</v>
      </c>
      <c r="C4313">
        <v>40351379</v>
      </c>
      <c r="D4313" t="s">
        <v>389</v>
      </c>
      <c r="E4313">
        <v>1022753</v>
      </c>
      <c r="F4313" t="s">
        <v>320</v>
      </c>
      <c r="G4313" s="9">
        <v>44945</v>
      </c>
      <c r="H4313" s="7"/>
      <c r="I4313" s="7"/>
      <c r="J4313" s="7"/>
      <c r="K4313" s="7"/>
      <c r="L4313" s="10">
        <v>5.5741092456127026</v>
      </c>
      <c r="M4313" s="9">
        <v>44950</v>
      </c>
      <c r="N4313" s="10">
        <v>5.5</v>
      </c>
      <c r="O4313" s="9">
        <v>44955</v>
      </c>
      <c r="P4313">
        <v>2</v>
      </c>
      <c r="Q4313" s="11" t="s">
        <v>648</v>
      </c>
      <c r="R4313" s="7"/>
      <c r="S4313" s="7"/>
      <c r="T4313" s="7"/>
      <c r="U4313" s="7"/>
      <c r="V4313" s="10">
        <v>7.5741092456127026</v>
      </c>
      <c r="W4313" s="9">
        <v>44952</v>
      </c>
      <c r="X4313" s="10">
        <v>7.5</v>
      </c>
      <c r="Y4313" s="9">
        <v>44955</v>
      </c>
      <c r="Z4313">
        <v>2</v>
      </c>
      <c r="AA4313" s="11" t="s">
        <v>648</v>
      </c>
    </row>
    <row r="4314" spans="2:27" ht="16" x14ac:dyDescent="0.2">
      <c r="B4314" t="s">
        <v>35</v>
      </c>
      <c r="C4314">
        <v>40351374</v>
      </c>
      <c r="D4314" t="s">
        <v>389</v>
      </c>
      <c r="E4314">
        <v>1022099</v>
      </c>
      <c r="F4314" t="s">
        <v>294</v>
      </c>
      <c r="G4314" s="9">
        <v>44952</v>
      </c>
      <c r="H4314" s="7"/>
      <c r="I4314" s="7"/>
      <c r="J4314" s="7"/>
      <c r="K4314" s="7"/>
      <c r="L4314" s="10">
        <v>5.5741092456127026</v>
      </c>
      <c r="M4314" s="9">
        <v>44957</v>
      </c>
      <c r="N4314" s="10">
        <v>5.5</v>
      </c>
      <c r="O4314" s="9">
        <v>44962</v>
      </c>
      <c r="P4314">
        <v>20</v>
      </c>
      <c r="Q4314" s="11" t="s">
        <v>49</v>
      </c>
      <c r="R4314" s="7"/>
      <c r="S4314" s="7"/>
      <c r="T4314" s="7"/>
      <c r="U4314" s="7"/>
      <c r="V4314" s="10">
        <v>7.5741092456127026</v>
      </c>
      <c r="W4314" s="9">
        <v>44959</v>
      </c>
      <c r="X4314" s="10">
        <v>7.5</v>
      </c>
      <c r="Y4314" s="9">
        <v>44962</v>
      </c>
      <c r="Z4314">
        <v>20</v>
      </c>
      <c r="AA4314" s="11" t="s">
        <v>49</v>
      </c>
    </row>
    <row r="4315" spans="2:27" ht="16" x14ac:dyDescent="0.2">
      <c r="B4315" t="s">
        <v>35</v>
      </c>
      <c r="C4315">
        <v>40351373</v>
      </c>
      <c r="D4315" t="s">
        <v>389</v>
      </c>
      <c r="E4315">
        <v>1022099</v>
      </c>
      <c r="F4315" t="s">
        <v>294</v>
      </c>
      <c r="G4315" s="9">
        <v>44936</v>
      </c>
      <c r="H4315" s="7"/>
      <c r="I4315" s="7"/>
      <c r="J4315" s="7"/>
      <c r="K4315" s="7"/>
      <c r="L4315" s="10">
        <v>5.5741092456127026</v>
      </c>
      <c r="M4315" s="9">
        <v>44941</v>
      </c>
      <c r="N4315" s="10">
        <v>5.5</v>
      </c>
      <c r="O4315" s="9">
        <v>44946</v>
      </c>
      <c r="P4315">
        <v>7</v>
      </c>
      <c r="Q4315" s="11" t="s">
        <v>49</v>
      </c>
      <c r="R4315" s="7"/>
      <c r="S4315" s="7"/>
      <c r="T4315" s="7"/>
      <c r="U4315" s="7"/>
      <c r="V4315" s="10">
        <v>7.5741092456127026</v>
      </c>
      <c r="W4315" s="9">
        <v>44943</v>
      </c>
      <c r="X4315" s="10">
        <v>7.5</v>
      </c>
      <c r="Y4315" s="9">
        <v>44946</v>
      </c>
      <c r="Z4315">
        <v>7</v>
      </c>
      <c r="AA4315" s="11" t="s">
        <v>49</v>
      </c>
    </row>
    <row r="4316" spans="2:27" ht="16" x14ac:dyDescent="0.2">
      <c r="B4316" t="s">
        <v>35</v>
      </c>
      <c r="C4316">
        <v>40351372</v>
      </c>
      <c r="D4316" t="s">
        <v>389</v>
      </c>
      <c r="E4316">
        <v>1022099</v>
      </c>
      <c r="F4316" t="s">
        <v>294</v>
      </c>
      <c r="G4316" s="9">
        <v>44940</v>
      </c>
      <c r="H4316" s="7"/>
      <c r="I4316" s="7"/>
      <c r="J4316" s="7"/>
      <c r="K4316" s="7"/>
      <c r="L4316" s="10">
        <v>5.5741092456127026</v>
      </c>
      <c r="M4316" s="9">
        <v>44945</v>
      </c>
      <c r="N4316" s="10">
        <v>5.5</v>
      </c>
      <c r="O4316" s="9">
        <v>44950</v>
      </c>
      <c r="P4316">
        <v>6</v>
      </c>
      <c r="Q4316" s="11" t="s">
        <v>49</v>
      </c>
      <c r="R4316" s="7"/>
      <c r="S4316" s="7"/>
      <c r="T4316" s="7"/>
      <c r="U4316" s="7"/>
      <c r="V4316" s="10">
        <v>7.5741092456127026</v>
      </c>
      <c r="W4316" s="9">
        <v>44947</v>
      </c>
      <c r="X4316" s="10">
        <v>7.5</v>
      </c>
      <c r="Y4316" s="9">
        <v>44950</v>
      </c>
      <c r="Z4316">
        <v>6</v>
      </c>
      <c r="AA4316" s="11" t="s">
        <v>49</v>
      </c>
    </row>
    <row r="4317" spans="2:27" ht="16" x14ac:dyDescent="0.2">
      <c r="B4317" t="s">
        <v>35</v>
      </c>
      <c r="C4317">
        <v>40351369</v>
      </c>
      <c r="D4317" t="s">
        <v>389</v>
      </c>
      <c r="E4317">
        <v>1021732</v>
      </c>
      <c r="F4317" t="s">
        <v>275</v>
      </c>
      <c r="G4317" s="9">
        <v>44968</v>
      </c>
      <c r="H4317" s="7"/>
      <c r="I4317" s="7"/>
      <c r="J4317" s="7"/>
      <c r="K4317" s="7"/>
      <c r="L4317" s="10">
        <v>5.5741092456127026</v>
      </c>
      <c r="M4317" s="9">
        <v>44973</v>
      </c>
      <c r="N4317" s="10">
        <v>5.5</v>
      </c>
      <c r="O4317" s="9">
        <v>44978</v>
      </c>
      <c r="P4317">
        <v>6</v>
      </c>
      <c r="Q4317" s="11" t="s">
        <v>49</v>
      </c>
      <c r="R4317" s="7"/>
      <c r="S4317" s="7"/>
      <c r="T4317" s="7"/>
      <c r="U4317" s="7"/>
      <c r="V4317" s="10">
        <v>7.5741092456127026</v>
      </c>
      <c r="W4317" s="9">
        <v>44975</v>
      </c>
      <c r="X4317" s="10">
        <v>7.5</v>
      </c>
      <c r="Y4317" s="9">
        <v>44978</v>
      </c>
      <c r="Z4317">
        <v>6</v>
      </c>
      <c r="AA4317" s="11" t="s">
        <v>49</v>
      </c>
    </row>
    <row r="4318" spans="2:27" ht="16" x14ac:dyDescent="0.2">
      <c r="B4318" t="s">
        <v>35</v>
      </c>
      <c r="C4318">
        <v>40351368</v>
      </c>
      <c r="D4318" t="s">
        <v>389</v>
      </c>
      <c r="E4318">
        <v>1021732</v>
      </c>
      <c r="F4318" t="s">
        <v>275</v>
      </c>
      <c r="G4318" s="9">
        <v>44968</v>
      </c>
      <c r="H4318" s="7"/>
      <c r="I4318" s="7"/>
      <c r="J4318" s="7"/>
      <c r="K4318" s="7"/>
      <c r="L4318" s="10">
        <v>5.5741092456127026</v>
      </c>
      <c r="M4318" s="9">
        <v>44973</v>
      </c>
      <c r="N4318" s="10">
        <v>5.5</v>
      </c>
      <c r="O4318" s="9">
        <v>44978</v>
      </c>
      <c r="P4318">
        <v>6</v>
      </c>
      <c r="Q4318" s="11" t="s">
        <v>49</v>
      </c>
      <c r="R4318" s="7"/>
      <c r="S4318" s="7"/>
      <c r="T4318" s="7"/>
      <c r="U4318" s="7"/>
      <c r="V4318" s="10">
        <v>7.5741092456127026</v>
      </c>
      <c r="W4318" s="9">
        <v>44975</v>
      </c>
      <c r="X4318" s="10">
        <v>7.5</v>
      </c>
      <c r="Y4318" s="9">
        <v>44978</v>
      </c>
      <c r="Z4318">
        <v>6</v>
      </c>
      <c r="AA4318" s="11" t="s">
        <v>49</v>
      </c>
    </row>
    <row r="4319" spans="2:27" ht="16" x14ac:dyDescent="0.2">
      <c r="B4319" t="s">
        <v>35</v>
      </c>
      <c r="C4319">
        <v>40351366</v>
      </c>
      <c r="D4319" t="s">
        <v>389</v>
      </c>
      <c r="E4319">
        <v>1021732</v>
      </c>
      <c r="F4319" t="s">
        <v>275</v>
      </c>
      <c r="G4319" s="9">
        <v>44953</v>
      </c>
      <c r="H4319" s="7"/>
      <c r="I4319" s="7"/>
      <c r="J4319" s="7"/>
      <c r="K4319" s="7"/>
      <c r="L4319" s="10">
        <v>5.5741092456127026</v>
      </c>
      <c r="M4319" s="9">
        <v>44958</v>
      </c>
      <c r="N4319" s="10">
        <v>5.5</v>
      </c>
      <c r="O4319" s="9">
        <v>44963</v>
      </c>
      <c r="P4319">
        <v>19</v>
      </c>
      <c r="Q4319" s="11" t="s">
        <v>49</v>
      </c>
      <c r="R4319" s="7"/>
      <c r="S4319" s="7"/>
      <c r="T4319" s="7"/>
      <c r="U4319" s="7"/>
      <c r="V4319" s="10">
        <v>7.5741092456127026</v>
      </c>
      <c r="W4319" s="9">
        <v>44960</v>
      </c>
      <c r="X4319" s="10">
        <v>7.5</v>
      </c>
      <c r="Y4319" s="9">
        <v>44963</v>
      </c>
      <c r="Z4319">
        <v>19</v>
      </c>
      <c r="AA4319" s="11" t="s">
        <v>49</v>
      </c>
    </row>
    <row r="4320" spans="2:27" ht="16" x14ac:dyDescent="0.2">
      <c r="B4320" t="s">
        <v>35</v>
      </c>
      <c r="C4320">
        <v>40351365</v>
      </c>
      <c r="D4320" t="s">
        <v>389</v>
      </c>
      <c r="E4320">
        <v>1021732</v>
      </c>
      <c r="F4320" t="s">
        <v>275</v>
      </c>
      <c r="G4320" s="9">
        <v>44969</v>
      </c>
      <c r="H4320" s="7"/>
      <c r="I4320" s="7"/>
      <c r="J4320" s="7"/>
      <c r="K4320" s="7"/>
      <c r="L4320" s="10">
        <v>5.5741092456127026</v>
      </c>
      <c r="M4320" s="9">
        <v>44974</v>
      </c>
      <c r="N4320" s="10">
        <v>5.5</v>
      </c>
      <c r="O4320" s="9">
        <v>44979</v>
      </c>
      <c r="P4320">
        <v>5</v>
      </c>
      <c r="Q4320" s="11" t="s">
        <v>49</v>
      </c>
      <c r="R4320" s="7"/>
      <c r="S4320" s="7"/>
      <c r="T4320" s="7"/>
      <c r="U4320" s="7"/>
      <c r="V4320" s="10">
        <v>7.5741092456127026</v>
      </c>
      <c r="W4320" s="9">
        <v>44976</v>
      </c>
      <c r="X4320" s="10">
        <v>7.5</v>
      </c>
      <c r="Y4320" s="9">
        <v>44979</v>
      </c>
      <c r="Z4320">
        <v>5</v>
      </c>
      <c r="AA4320" s="11" t="s">
        <v>49</v>
      </c>
    </row>
    <row r="4321" spans="2:27" ht="16" x14ac:dyDescent="0.2">
      <c r="B4321" t="s">
        <v>35</v>
      </c>
      <c r="C4321">
        <v>40351361</v>
      </c>
      <c r="D4321" t="s">
        <v>389</v>
      </c>
      <c r="E4321">
        <v>1021732</v>
      </c>
      <c r="F4321" t="s">
        <v>275</v>
      </c>
      <c r="G4321" s="9">
        <v>44953</v>
      </c>
      <c r="H4321" s="7"/>
      <c r="I4321" s="7"/>
      <c r="J4321" s="7"/>
      <c r="K4321" s="7"/>
      <c r="L4321" s="10">
        <v>5.5741092456127026</v>
      </c>
      <c r="M4321" s="9">
        <v>44958</v>
      </c>
      <c r="N4321" s="10">
        <v>5.5</v>
      </c>
      <c r="O4321" s="9">
        <v>44963</v>
      </c>
      <c r="P4321">
        <v>19</v>
      </c>
      <c r="Q4321" s="11" t="s">
        <v>49</v>
      </c>
      <c r="R4321" s="7"/>
      <c r="S4321" s="7"/>
      <c r="T4321" s="7"/>
      <c r="U4321" s="7"/>
      <c r="V4321" s="10">
        <v>7.5741092456127026</v>
      </c>
      <c r="W4321" s="9">
        <v>44960</v>
      </c>
      <c r="X4321" s="10">
        <v>7.5</v>
      </c>
      <c r="Y4321" s="9">
        <v>44963</v>
      </c>
      <c r="Z4321">
        <v>19</v>
      </c>
      <c r="AA4321" s="11" t="s">
        <v>49</v>
      </c>
    </row>
    <row r="4322" spans="2:27" ht="16" x14ac:dyDescent="0.2">
      <c r="B4322" t="s">
        <v>35</v>
      </c>
      <c r="C4322">
        <v>40351356</v>
      </c>
      <c r="D4322" t="s">
        <v>389</v>
      </c>
      <c r="E4322">
        <v>1022541</v>
      </c>
      <c r="F4322" t="s">
        <v>445</v>
      </c>
      <c r="G4322" s="9">
        <v>44958</v>
      </c>
      <c r="H4322" s="7"/>
      <c r="I4322" s="7"/>
      <c r="J4322" s="7"/>
      <c r="K4322" s="7"/>
      <c r="L4322" s="10">
        <v>5.5741092456127026</v>
      </c>
      <c r="M4322" s="9">
        <v>44963</v>
      </c>
      <c r="N4322" s="10">
        <v>5.5</v>
      </c>
      <c r="O4322" s="9">
        <v>44968</v>
      </c>
      <c r="P4322">
        <v>14</v>
      </c>
      <c r="Q4322" s="11" t="s">
        <v>49</v>
      </c>
      <c r="R4322" s="7"/>
      <c r="S4322" s="7"/>
      <c r="T4322" s="7"/>
      <c r="U4322" s="7"/>
      <c r="V4322" s="10">
        <v>7.5741092456127026</v>
      </c>
      <c r="W4322" s="9">
        <v>44965</v>
      </c>
      <c r="X4322" s="10">
        <v>7.5</v>
      </c>
      <c r="Y4322" s="9">
        <v>44968</v>
      </c>
      <c r="Z4322">
        <v>14</v>
      </c>
      <c r="AA4322" s="11" t="s">
        <v>49</v>
      </c>
    </row>
    <row r="4323" spans="2:27" ht="16" x14ac:dyDescent="0.2">
      <c r="B4323" t="s">
        <v>35</v>
      </c>
      <c r="C4323">
        <v>40351355</v>
      </c>
      <c r="D4323" t="s">
        <v>389</v>
      </c>
      <c r="E4323">
        <v>1022541</v>
      </c>
      <c r="F4323" t="s">
        <v>445</v>
      </c>
      <c r="G4323" s="9">
        <v>44958</v>
      </c>
      <c r="H4323" s="7"/>
      <c r="I4323" s="7"/>
      <c r="J4323" s="7"/>
      <c r="K4323" s="7"/>
      <c r="L4323" s="10">
        <v>5.5741092456127026</v>
      </c>
      <c r="M4323" s="9">
        <v>44963</v>
      </c>
      <c r="N4323" s="10">
        <v>5.5</v>
      </c>
      <c r="O4323" s="9">
        <v>44968</v>
      </c>
      <c r="P4323">
        <v>14</v>
      </c>
      <c r="Q4323" s="11" t="s">
        <v>49</v>
      </c>
      <c r="R4323" s="7"/>
      <c r="S4323" s="7"/>
      <c r="T4323" s="7"/>
      <c r="U4323" s="7"/>
      <c r="V4323" s="10">
        <v>7.5741092456127026</v>
      </c>
      <c r="W4323" s="9">
        <v>44965</v>
      </c>
      <c r="X4323" s="10">
        <v>7.5</v>
      </c>
      <c r="Y4323" s="9">
        <v>44968</v>
      </c>
      <c r="Z4323">
        <v>14</v>
      </c>
      <c r="AA4323" s="11" t="s">
        <v>49</v>
      </c>
    </row>
    <row r="4324" spans="2:27" ht="16" x14ac:dyDescent="0.2">
      <c r="B4324" t="s">
        <v>35</v>
      </c>
      <c r="C4324">
        <v>40351354</v>
      </c>
      <c r="D4324" t="s">
        <v>389</v>
      </c>
      <c r="E4324">
        <v>1022541</v>
      </c>
      <c r="F4324" t="s">
        <v>445</v>
      </c>
      <c r="G4324" s="9">
        <v>44956</v>
      </c>
      <c r="H4324" s="7"/>
      <c r="I4324" s="7"/>
      <c r="J4324" s="7"/>
      <c r="K4324" s="7"/>
      <c r="L4324" s="10">
        <v>5.5741092456127026</v>
      </c>
      <c r="M4324" s="9">
        <v>44961</v>
      </c>
      <c r="N4324" s="10">
        <v>5.5</v>
      </c>
      <c r="O4324" s="9">
        <v>44966</v>
      </c>
      <c r="P4324">
        <v>16</v>
      </c>
      <c r="Q4324" s="11" t="s">
        <v>49</v>
      </c>
      <c r="R4324" s="7"/>
      <c r="S4324" s="7"/>
      <c r="T4324" s="7"/>
      <c r="U4324" s="7"/>
      <c r="V4324" s="10">
        <v>7.5741092456127026</v>
      </c>
      <c r="W4324" s="9">
        <v>44963</v>
      </c>
      <c r="X4324" s="10">
        <v>7.5</v>
      </c>
      <c r="Y4324" s="9">
        <v>44966</v>
      </c>
      <c r="Z4324">
        <v>16</v>
      </c>
      <c r="AA4324" s="11" t="s">
        <v>49</v>
      </c>
    </row>
    <row r="4325" spans="2:27" ht="16" x14ac:dyDescent="0.2">
      <c r="B4325" t="s">
        <v>35</v>
      </c>
      <c r="C4325">
        <v>40351353</v>
      </c>
      <c r="D4325" t="s">
        <v>389</v>
      </c>
      <c r="E4325">
        <v>1022541</v>
      </c>
      <c r="F4325" t="s">
        <v>445</v>
      </c>
      <c r="G4325" s="9">
        <v>44952</v>
      </c>
      <c r="H4325" s="7"/>
      <c r="I4325" s="7"/>
      <c r="J4325" s="7"/>
      <c r="K4325" s="7"/>
      <c r="L4325" s="10">
        <v>5.5741092456127026</v>
      </c>
      <c r="M4325" s="9">
        <v>44957</v>
      </c>
      <c r="N4325" s="10">
        <v>5.5</v>
      </c>
      <c r="O4325" s="9">
        <v>44962</v>
      </c>
      <c r="P4325">
        <v>20</v>
      </c>
      <c r="Q4325" s="11" t="s">
        <v>49</v>
      </c>
      <c r="R4325" s="7"/>
      <c r="S4325" s="7"/>
      <c r="T4325" s="7"/>
      <c r="U4325" s="7"/>
      <c r="V4325" s="10">
        <v>7.5741092456127026</v>
      </c>
      <c r="W4325" s="9">
        <v>44959</v>
      </c>
      <c r="X4325" s="10">
        <v>7.5</v>
      </c>
      <c r="Y4325" s="9">
        <v>44962</v>
      </c>
      <c r="Z4325">
        <v>20</v>
      </c>
      <c r="AA4325" s="11" t="s">
        <v>49</v>
      </c>
    </row>
    <row r="4326" spans="2:27" ht="16" x14ac:dyDescent="0.2">
      <c r="B4326" t="s">
        <v>35</v>
      </c>
      <c r="C4326">
        <v>40351352</v>
      </c>
      <c r="D4326" t="s">
        <v>389</v>
      </c>
      <c r="E4326">
        <v>1022541</v>
      </c>
      <c r="F4326" t="s">
        <v>445</v>
      </c>
      <c r="G4326" s="9">
        <v>44952</v>
      </c>
      <c r="H4326" s="7"/>
      <c r="I4326" s="7"/>
      <c r="J4326" s="7"/>
      <c r="K4326" s="7"/>
      <c r="L4326" s="10">
        <v>5.5741092456127026</v>
      </c>
      <c r="M4326" s="9">
        <v>44957</v>
      </c>
      <c r="N4326" s="10">
        <v>5.5</v>
      </c>
      <c r="O4326" s="9">
        <v>44962</v>
      </c>
      <c r="P4326">
        <v>20</v>
      </c>
      <c r="Q4326" s="11" t="s">
        <v>49</v>
      </c>
      <c r="R4326" s="7"/>
      <c r="S4326" s="7"/>
      <c r="T4326" s="7"/>
      <c r="U4326" s="7"/>
      <c r="V4326" s="10">
        <v>7.5741092456127026</v>
      </c>
      <c r="W4326" s="9">
        <v>44959</v>
      </c>
      <c r="X4326" s="10">
        <v>7.5</v>
      </c>
      <c r="Y4326" s="9">
        <v>44962</v>
      </c>
      <c r="Z4326">
        <v>20</v>
      </c>
      <c r="AA4326" s="11" t="s">
        <v>49</v>
      </c>
    </row>
    <row r="4327" spans="2:27" ht="16" x14ac:dyDescent="0.2">
      <c r="B4327" t="s">
        <v>35</v>
      </c>
      <c r="C4327">
        <v>40351351</v>
      </c>
      <c r="D4327" t="s">
        <v>389</v>
      </c>
      <c r="E4327">
        <v>1022541</v>
      </c>
      <c r="F4327" t="s">
        <v>445</v>
      </c>
      <c r="G4327" s="9">
        <v>44956</v>
      </c>
      <c r="H4327" s="7"/>
      <c r="I4327" s="7"/>
      <c r="J4327" s="7"/>
      <c r="K4327" s="7"/>
      <c r="L4327" s="10">
        <v>5.5741092456127026</v>
      </c>
      <c r="M4327" s="9">
        <v>44961</v>
      </c>
      <c r="N4327" s="10">
        <v>5.5</v>
      </c>
      <c r="O4327" s="9">
        <v>44966</v>
      </c>
      <c r="P4327">
        <v>16</v>
      </c>
      <c r="Q4327" s="11" t="s">
        <v>49</v>
      </c>
      <c r="R4327" s="7"/>
      <c r="S4327" s="7"/>
      <c r="T4327" s="7"/>
      <c r="U4327" s="7"/>
      <c r="V4327" s="10">
        <v>7.5741092456127026</v>
      </c>
      <c r="W4327" s="9">
        <v>44963</v>
      </c>
      <c r="X4327" s="10">
        <v>7.5</v>
      </c>
      <c r="Y4327" s="9">
        <v>44966</v>
      </c>
      <c r="Z4327">
        <v>16</v>
      </c>
      <c r="AA4327" s="11" t="s">
        <v>49</v>
      </c>
    </row>
    <row r="4328" spans="2:27" ht="16" x14ac:dyDescent="0.2">
      <c r="B4328" t="s">
        <v>35</v>
      </c>
      <c r="C4328">
        <v>40351350</v>
      </c>
      <c r="D4328" t="s">
        <v>389</v>
      </c>
      <c r="E4328">
        <v>1022541</v>
      </c>
      <c r="F4328" t="s">
        <v>445</v>
      </c>
      <c r="G4328" s="9">
        <v>44939</v>
      </c>
      <c r="H4328" s="7"/>
      <c r="I4328" s="7"/>
      <c r="J4328" s="7"/>
      <c r="K4328" s="7"/>
      <c r="L4328" s="10">
        <v>5.5741092456127026</v>
      </c>
      <c r="M4328" s="9">
        <v>44944</v>
      </c>
      <c r="N4328" s="10">
        <v>5.5</v>
      </c>
      <c r="O4328" s="9">
        <v>44949</v>
      </c>
      <c r="P4328">
        <v>6</v>
      </c>
      <c r="Q4328" s="11" t="s">
        <v>49</v>
      </c>
      <c r="R4328" s="7"/>
      <c r="S4328" s="7"/>
      <c r="T4328" s="7"/>
      <c r="U4328" s="7"/>
      <c r="V4328" s="10">
        <v>7.5741092456127026</v>
      </c>
      <c r="W4328" s="9">
        <v>44946</v>
      </c>
      <c r="X4328" s="10">
        <v>7.5</v>
      </c>
      <c r="Y4328" s="9">
        <v>44949</v>
      </c>
      <c r="Z4328">
        <v>6</v>
      </c>
      <c r="AA4328" s="11" t="s">
        <v>49</v>
      </c>
    </row>
    <row r="4329" spans="2:27" ht="16" x14ac:dyDescent="0.2">
      <c r="B4329" t="s">
        <v>35</v>
      </c>
      <c r="C4329">
        <v>40351349</v>
      </c>
      <c r="D4329" t="s">
        <v>389</v>
      </c>
      <c r="E4329">
        <v>1022541</v>
      </c>
      <c r="F4329" t="s">
        <v>445</v>
      </c>
      <c r="G4329" s="9">
        <v>44941</v>
      </c>
      <c r="H4329" s="7"/>
      <c r="I4329" s="7"/>
      <c r="J4329" s="7"/>
      <c r="K4329" s="7"/>
      <c r="L4329" s="10">
        <v>5.5741092456127026</v>
      </c>
      <c r="M4329" s="9">
        <v>44946</v>
      </c>
      <c r="N4329" s="10">
        <v>5.5</v>
      </c>
      <c r="O4329" s="9">
        <v>44951</v>
      </c>
      <c r="P4329">
        <v>5</v>
      </c>
      <c r="Q4329" s="11" t="s">
        <v>49</v>
      </c>
      <c r="R4329" s="7"/>
      <c r="S4329" s="7"/>
      <c r="T4329" s="7"/>
      <c r="U4329" s="7"/>
      <c r="V4329" s="10">
        <v>7.5741092456127026</v>
      </c>
      <c r="W4329" s="9">
        <v>44948</v>
      </c>
      <c r="X4329" s="10">
        <v>7.5</v>
      </c>
      <c r="Y4329" s="9">
        <v>44951</v>
      </c>
      <c r="Z4329">
        <v>5</v>
      </c>
      <c r="AA4329" s="11" t="s">
        <v>49</v>
      </c>
    </row>
    <row r="4330" spans="2:27" ht="16" x14ac:dyDescent="0.2">
      <c r="B4330" t="s">
        <v>35</v>
      </c>
      <c r="C4330">
        <v>40351348</v>
      </c>
      <c r="D4330" t="s">
        <v>389</v>
      </c>
      <c r="E4330">
        <v>1022541</v>
      </c>
      <c r="F4330" t="s">
        <v>445</v>
      </c>
      <c r="G4330" s="9">
        <v>44940</v>
      </c>
      <c r="H4330" s="7"/>
      <c r="I4330" s="7"/>
      <c r="J4330" s="7"/>
      <c r="K4330" s="7"/>
      <c r="L4330" s="10">
        <v>5.5741092456127026</v>
      </c>
      <c r="M4330" s="9">
        <v>44945</v>
      </c>
      <c r="N4330" s="10">
        <v>5.5</v>
      </c>
      <c r="O4330" s="9">
        <v>44950</v>
      </c>
      <c r="P4330">
        <v>6</v>
      </c>
      <c r="Q4330" s="11" t="s">
        <v>49</v>
      </c>
      <c r="R4330" s="7"/>
      <c r="S4330" s="7"/>
      <c r="T4330" s="7"/>
      <c r="U4330" s="7"/>
      <c r="V4330" s="10">
        <v>7.5741092456127026</v>
      </c>
      <c r="W4330" s="9">
        <v>44947</v>
      </c>
      <c r="X4330" s="10">
        <v>7.5</v>
      </c>
      <c r="Y4330" s="9">
        <v>44950</v>
      </c>
      <c r="Z4330">
        <v>6</v>
      </c>
      <c r="AA4330" s="11" t="s">
        <v>49</v>
      </c>
    </row>
    <row r="4331" spans="2:27" ht="16" x14ac:dyDescent="0.2">
      <c r="B4331" t="s">
        <v>35</v>
      </c>
      <c r="C4331">
        <v>40351347</v>
      </c>
      <c r="D4331" t="s">
        <v>389</v>
      </c>
      <c r="E4331">
        <v>1022856</v>
      </c>
      <c r="F4331" t="s">
        <v>446</v>
      </c>
      <c r="G4331" s="9">
        <v>44952</v>
      </c>
      <c r="H4331" s="7"/>
      <c r="I4331" s="7"/>
      <c r="J4331" s="7"/>
      <c r="K4331" s="7"/>
      <c r="L4331" s="10">
        <v>5.5741092456127026</v>
      </c>
      <c r="M4331" s="9">
        <v>44957</v>
      </c>
      <c r="N4331" s="10">
        <v>5.5</v>
      </c>
      <c r="O4331" s="9">
        <v>44962</v>
      </c>
      <c r="P4331">
        <v>20</v>
      </c>
      <c r="Q4331" s="11" t="s">
        <v>49</v>
      </c>
      <c r="R4331" s="7"/>
      <c r="S4331" s="7"/>
      <c r="T4331" s="7"/>
      <c r="U4331" s="7"/>
      <c r="V4331" s="10">
        <v>7.5741092456127026</v>
      </c>
      <c r="W4331" s="9">
        <v>44959</v>
      </c>
      <c r="X4331" s="10">
        <v>7.5</v>
      </c>
      <c r="Y4331" s="9">
        <v>44962</v>
      </c>
      <c r="Z4331">
        <v>20</v>
      </c>
      <c r="AA4331" s="11" t="s">
        <v>49</v>
      </c>
    </row>
    <row r="4332" spans="2:27" ht="16" x14ac:dyDescent="0.2">
      <c r="B4332" t="s">
        <v>35</v>
      </c>
      <c r="C4332">
        <v>40351346</v>
      </c>
      <c r="D4332" t="s">
        <v>389</v>
      </c>
      <c r="E4332">
        <v>1022856</v>
      </c>
      <c r="F4332" t="s">
        <v>446</v>
      </c>
      <c r="G4332" s="9">
        <v>44952</v>
      </c>
      <c r="H4332" s="7"/>
      <c r="I4332" s="7"/>
      <c r="J4332" s="7"/>
      <c r="K4332" s="7"/>
      <c r="L4332" s="10">
        <v>5.5741092456127026</v>
      </c>
      <c r="M4332" s="9">
        <v>44957</v>
      </c>
      <c r="N4332" s="10">
        <v>5.5</v>
      </c>
      <c r="O4332" s="9">
        <v>44962</v>
      </c>
      <c r="P4332">
        <v>20</v>
      </c>
      <c r="Q4332" s="11" t="s">
        <v>49</v>
      </c>
      <c r="R4332" s="7"/>
      <c r="S4332" s="7"/>
      <c r="T4332" s="7"/>
      <c r="U4332" s="7"/>
      <c r="V4332" s="10">
        <v>7.5741092456127026</v>
      </c>
      <c r="W4332" s="9">
        <v>44959</v>
      </c>
      <c r="X4332" s="10">
        <v>7.5</v>
      </c>
      <c r="Y4332" s="9">
        <v>44962</v>
      </c>
      <c r="Z4332">
        <v>20</v>
      </c>
      <c r="AA4332" s="11" t="s">
        <v>49</v>
      </c>
    </row>
    <row r="4333" spans="2:27" ht="16" x14ac:dyDescent="0.2">
      <c r="B4333" t="s">
        <v>35</v>
      </c>
      <c r="C4333">
        <v>40351342</v>
      </c>
      <c r="D4333" t="s">
        <v>389</v>
      </c>
      <c r="E4333">
        <v>1022381</v>
      </c>
      <c r="F4333" t="s">
        <v>447</v>
      </c>
      <c r="G4333" s="9">
        <v>44958</v>
      </c>
      <c r="H4333" s="7"/>
      <c r="I4333" s="7"/>
      <c r="J4333" s="7"/>
      <c r="K4333" s="7"/>
      <c r="L4333" s="10">
        <v>5.5741092456127026</v>
      </c>
      <c r="M4333" s="9">
        <v>44963</v>
      </c>
      <c r="N4333" s="10">
        <v>5.5</v>
      </c>
      <c r="O4333" s="9">
        <v>44968</v>
      </c>
      <c r="P4333">
        <v>14</v>
      </c>
      <c r="Q4333" s="11" t="s">
        <v>49</v>
      </c>
      <c r="R4333" s="7"/>
      <c r="S4333" s="7"/>
      <c r="T4333" s="7"/>
      <c r="U4333" s="7"/>
      <c r="V4333" s="10">
        <v>7.5741092456127026</v>
      </c>
      <c r="W4333" s="9">
        <v>44965</v>
      </c>
      <c r="X4333" s="10">
        <v>7.5</v>
      </c>
      <c r="Y4333" s="9">
        <v>44968</v>
      </c>
      <c r="Z4333">
        <v>14</v>
      </c>
      <c r="AA4333" s="11" t="s">
        <v>49</v>
      </c>
    </row>
    <row r="4334" spans="2:27" ht="16" x14ac:dyDescent="0.2">
      <c r="B4334" t="s">
        <v>35</v>
      </c>
      <c r="C4334">
        <v>40351341</v>
      </c>
      <c r="D4334" t="s">
        <v>389</v>
      </c>
      <c r="E4334">
        <v>1022381</v>
      </c>
      <c r="F4334" t="s">
        <v>447</v>
      </c>
      <c r="G4334" s="9">
        <v>44956</v>
      </c>
      <c r="H4334" s="7"/>
      <c r="I4334" s="7"/>
      <c r="J4334" s="7"/>
      <c r="K4334" s="7"/>
      <c r="L4334" s="10">
        <v>5.5741092456127026</v>
      </c>
      <c r="M4334" s="9">
        <v>44961</v>
      </c>
      <c r="N4334" s="10">
        <v>5.5</v>
      </c>
      <c r="O4334" s="9">
        <v>44966</v>
      </c>
      <c r="P4334">
        <v>16</v>
      </c>
      <c r="Q4334" s="11" t="s">
        <v>49</v>
      </c>
      <c r="R4334" s="7"/>
      <c r="S4334" s="7"/>
      <c r="T4334" s="7"/>
      <c r="U4334" s="7"/>
      <c r="V4334" s="10">
        <v>7.5741092456127026</v>
      </c>
      <c r="W4334" s="9">
        <v>44963</v>
      </c>
      <c r="X4334" s="10">
        <v>7.5</v>
      </c>
      <c r="Y4334" s="9">
        <v>44966</v>
      </c>
      <c r="Z4334">
        <v>16</v>
      </c>
      <c r="AA4334" s="11" t="s">
        <v>49</v>
      </c>
    </row>
    <row r="4335" spans="2:27" ht="16" x14ac:dyDescent="0.2">
      <c r="B4335" t="s">
        <v>35</v>
      </c>
      <c r="C4335">
        <v>40351336</v>
      </c>
      <c r="D4335" t="s">
        <v>389</v>
      </c>
      <c r="E4335">
        <v>1022193</v>
      </c>
      <c r="F4335" t="s">
        <v>168</v>
      </c>
      <c r="G4335" s="9">
        <v>44956</v>
      </c>
      <c r="H4335" s="7"/>
      <c r="I4335" s="7"/>
      <c r="J4335" s="7"/>
      <c r="K4335" s="7"/>
      <c r="L4335" s="10">
        <v>5.5741092456127026</v>
      </c>
      <c r="M4335" s="9">
        <v>44961</v>
      </c>
      <c r="N4335" s="10">
        <v>5.5</v>
      </c>
      <c r="O4335" s="9">
        <v>44966</v>
      </c>
      <c r="P4335">
        <v>16</v>
      </c>
      <c r="Q4335" s="11" t="s">
        <v>49</v>
      </c>
      <c r="R4335" s="7"/>
      <c r="S4335" s="7"/>
      <c r="T4335" s="7"/>
      <c r="U4335" s="7"/>
      <c r="V4335" s="10">
        <v>7.5741092456127026</v>
      </c>
      <c r="W4335" s="9">
        <v>44963</v>
      </c>
      <c r="X4335" s="10">
        <v>7.5</v>
      </c>
      <c r="Y4335" s="9">
        <v>44966</v>
      </c>
      <c r="Z4335">
        <v>16</v>
      </c>
      <c r="AA4335" s="11" t="s">
        <v>49</v>
      </c>
    </row>
    <row r="4336" spans="2:27" ht="16" x14ac:dyDescent="0.2">
      <c r="B4336" t="s">
        <v>35</v>
      </c>
      <c r="C4336">
        <v>40351335</v>
      </c>
      <c r="D4336" t="s">
        <v>389</v>
      </c>
      <c r="E4336">
        <v>1022193</v>
      </c>
      <c r="F4336" t="s">
        <v>168</v>
      </c>
      <c r="G4336" s="9">
        <v>44960</v>
      </c>
      <c r="H4336" s="7"/>
      <c r="I4336" s="7"/>
      <c r="J4336" s="7"/>
      <c r="K4336" s="7"/>
      <c r="L4336" s="10">
        <v>5.5741092456127026</v>
      </c>
      <c r="M4336" s="9">
        <v>44965</v>
      </c>
      <c r="N4336" s="10">
        <v>5.5</v>
      </c>
      <c r="O4336" s="9">
        <v>44970</v>
      </c>
      <c r="P4336">
        <v>13</v>
      </c>
      <c r="Q4336" s="11" t="s">
        <v>49</v>
      </c>
      <c r="R4336" s="7"/>
      <c r="S4336" s="7"/>
      <c r="T4336" s="7"/>
      <c r="U4336" s="7"/>
      <c r="V4336" s="10">
        <v>7.5741092456127026</v>
      </c>
      <c r="W4336" s="9">
        <v>44967</v>
      </c>
      <c r="X4336" s="10">
        <v>7.5</v>
      </c>
      <c r="Y4336" s="9">
        <v>44970</v>
      </c>
      <c r="Z4336">
        <v>13</v>
      </c>
      <c r="AA4336" s="11" t="s">
        <v>49</v>
      </c>
    </row>
    <row r="4337" spans="2:27" ht="16" x14ac:dyDescent="0.2">
      <c r="B4337" t="s">
        <v>35</v>
      </c>
      <c r="C4337">
        <v>40351334</v>
      </c>
      <c r="D4337" t="s">
        <v>389</v>
      </c>
      <c r="E4337">
        <v>1022379</v>
      </c>
      <c r="F4337" t="s">
        <v>306</v>
      </c>
      <c r="G4337" s="9">
        <v>44968</v>
      </c>
      <c r="H4337" s="7"/>
      <c r="I4337" s="7"/>
      <c r="J4337" s="7"/>
      <c r="K4337" s="7"/>
      <c r="L4337" s="10">
        <v>5.5741092456127026</v>
      </c>
      <c r="M4337" s="9">
        <v>44973</v>
      </c>
      <c r="N4337" s="10">
        <v>5.5</v>
      </c>
      <c r="O4337" s="9">
        <v>44978</v>
      </c>
      <c r="P4337">
        <v>6</v>
      </c>
      <c r="Q4337" s="11" t="s">
        <v>49</v>
      </c>
      <c r="R4337" s="7"/>
      <c r="S4337" s="7"/>
      <c r="T4337" s="7"/>
      <c r="U4337" s="7"/>
      <c r="V4337" s="10">
        <v>7.5741092456127026</v>
      </c>
      <c r="W4337" s="9">
        <v>44975</v>
      </c>
      <c r="X4337" s="10">
        <v>7.5</v>
      </c>
      <c r="Y4337" s="9">
        <v>44978</v>
      </c>
      <c r="Z4337">
        <v>6</v>
      </c>
      <c r="AA4337" s="11" t="s">
        <v>49</v>
      </c>
    </row>
    <row r="4338" spans="2:27" ht="16" x14ac:dyDescent="0.2">
      <c r="B4338" t="s">
        <v>35</v>
      </c>
      <c r="C4338">
        <v>40351334</v>
      </c>
      <c r="D4338" t="s">
        <v>389</v>
      </c>
      <c r="E4338">
        <v>1022379</v>
      </c>
      <c r="F4338" t="s">
        <v>306</v>
      </c>
      <c r="G4338" s="9">
        <v>44968</v>
      </c>
      <c r="H4338" s="7"/>
      <c r="I4338" s="7"/>
      <c r="J4338" s="7"/>
      <c r="K4338" s="7"/>
      <c r="L4338" s="10">
        <v>5.5741092456127026</v>
      </c>
      <c r="M4338" s="9">
        <v>44973</v>
      </c>
      <c r="N4338" s="10">
        <v>5.5</v>
      </c>
      <c r="O4338" s="9">
        <v>44978</v>
      </c>
      <c r="P4338">
        <v>6</v>
      </c>
      <c r="Q4338" s="11" t="s">
        <v>49</v>
      </c>
      <c r="R4338" s="7"/>
      <c r="S4338" s="7"/>
      <c r="T4338" s="7"/>
      <c r="U4338" s="7"/>
      <c r="V4338" s="10">
        <v>7.5741092456127026</v>
      </c>
      <c r="W4338" s="9">
        <v>44975</v>
      </c>
      <c r="X4338" s="10">
        <v>7.5</v>
      </c>
      <c r="Y4338" s="9">
        <v>44978</v>
      </c>
      <c r="Z4338">
        <v>6</v>
      </c>
      <c r="AA4338" s="11" t="s">
        <v>49</v>
      </c>
    </row>
    <row r="4339" spans="2:27" ht="16" x14ac:dyDescent="0.2">
      <c r="B4339" t="s">
        <v>35</v>
      </c>
      <c r="C4339">
        <v>40351333</v>
      </c>
      <c r="D4339" t="s">
        <v>389</v>
      </c>
      <c r="E4339">
        <v>1022379</v>
      </c>
      <c r="F4339" t="s">
        <v>306</v>
      </c>
      <c r="G4339" s="9">
        <v>44975</v>
      </c>
      <c r="H4339" s="7"/>
      <c r="I4339" s="7"/>
      <c r="J4339" s="7"/>
      <c r="K4339" s="7"/>
      <c r="L4339" s="10">
        <v>5.5741092456127026</v>
      </c>
      <c r="M4339" s="9">
        <v>44980</v>
      </c>
      <c r="N4339" s="10">
        <v>5.5</v>
      </c>
      <c r="O4339" s="9">
        <v>44985</v>
      </c>
      <c r="P4339">
        <v>0</v>
      </c>
      <c r="Q4339" s="11" t="s">
        <v>594</v>
      </c>
      <c r="R4339" s="7"/>
      <c r="S4339" s="7"/>
      <c r="T4339" s="7"/>
      <c r="U4339" s="7"/>
      <c r="V4339" s="10">
        <v>7.5741092456127026</v>
      </c>
      <c r="W4339" s="9">
        <v>44982</v>
      </c>
      <c r="X4339" s="10">
        <v>7.5</v>
      </c>
      <c r="Y4339" s="9">
        <v>44985</v>
      </c>
      <c r="Z4339">
        <v>0</v>
      </c>
      <c r="AA4339" s="11" t="s">
        <v>594</v>
      </c>
    </row>
    <row r="4340" spans="2:27" ht="16" x14ac:dyDescent="0.2">
      <c r="B4340" t="s">
        <v>35</v>
      </c>
      <c r="C4340">
        <v>40351332</v>
      </c>
      <c r="D4340" t="s">
        <v>389</v>
      </c>
      <c r="E4340">
        <v>1022379</v>
      </c>
      <c r="F4340" t="s">
        <v>306</v>
      </c>
      <c r="G4340" s="9">
        <v>44975</v>
      </c>
      <c r="H4340" s="7"/>
      <c r="I4340" s="7"/>
      <c r="J4340" s="7"/>
      <c r="K4340" s="7"/>
      <c r="L4340" s="10">
        <v>5.5741092456127026</v>
      </c>
      <c r="M4340" s="9">
        <v>44980</v>
      </c>
      <c r="N4340" s="10">
        <v>5.5</v>
      </c>
      <c r="O4340" s="9">
        <v>44985</v>
      </c>
      <c r="P4340">
        <v>0</v>
      </c>
      <c r="Q4340" s="11" t="s">
        <v>594</v>
      </c>
      <c r="R4340" s="7"/>
      <c r="S4340" s="7"/>
      <c r="T4340" s="7"/>
      <c r="U4340" s="7"/>
      <c r="V4340" s="10">
        <v>7.5741092456127026</v>
      </c>
      <c r="W4340" s="9">
        <v>44982</v>
      </c>
      <c r="X4340" s="10">
        <v>7.5</v>
      </c>
      <c r="Y4340" s="9">
        <v>44985</v>
      </c>
      <c r="Z4340">
        <v>0</v>
      </c>
      <c r="AA4340" s="11" t="s">
        <v>594</v>
      </c>
    </row>
    <row r="4341" spans="2:27" ht="16" x14ac:dyDescent="0.2">
      <c r="B4341" t="s">
        <v>35</v>
      </c>
      <c r="C4341">
        <v>40351331</v>
      </c>
      <c r="D4341" t="s">
        <v>389</v>
      </c>
      <c r="E4341">
        <v>1022379</v>
      </c>
      <c r="F4341" t="s">
        <v>306</v>
      </c>
      <c r="G4341" s="9">
        <v>44947</v>
      </c>
      <c r="H4341" s="7"/>
      <c r="I4341" s="7"/>
      <c r="J4341" s="7"/>
      <c r="K4341" s="7"/>
      <c r="L4341" s="10">
        <v>5.5741092456127026</v>
      </c>
      <c r="M4341" s="9">
        <v>44952</v>
      </c>
      <c r="N4341" s="10">
        <v>5.5</v>
      </c>
      <c r="O4341" s="9">
        <v>44957</v>
      </c>
      <c r="P4341">
        <v>0</v>
      </c>
      <c r="Q4341" s="11" t="s">
        <v>648</v>
      </c>
      <c r="R4341" s="7"/>
      <c r="S4341" s="7"/>
      <c r="T4341" s="7"/>
      <c r="U4341" s="7"/>
      <c r="V4341" s="10">
        <v>7.5741092456127026</v>
      </c>
      <c r="W4341" s="9">
        <v>44954</v>
      </c>
      <c r="X4341" s="10">
        <v>7.5</v>
      </c>
      <c r="Y4341" s="9">
        <v>44957</v>
      </c>
      <c r="Z4341">
        <v>0</v>
      </c>
      <c r="AA4341" s="11" t="s">
        <v>648</v>
      </c>
    </row>
    <row r="4342" spans="2:27" ht="16" x14ac:dyDescent="0.2">
      <c r="B4342" t="s">
        <v>35</v>
      </c>
      <c r="C4342">
        <v>40351330</v>
      </c>
      <c r="D4342" t="s">
        <v>389</v>
      </c>
      <c r="E4342">
        <v>1022379</v>
      </c>
      <c r="F4342" t="s">
        <v>306</v>
      </c>
      <c r="G4342" s="9">
        <v>44947</v>
      </c>
      <c r="H4342" s="7"/>
      <c r="I4342" s="7"/>
      <c r="J4342" s="7"/>
      <c r="K4342" s="7"/>
      <c r="L4342" s="10">
        <v>5.5741092456127026</v>
      </c>
      <c r="M4342" s="9">
        <v>44952</v>
      </c>
      <c r="N4342" s="10">
        <v>5.5</v>
      </c>
      <c r="O4342" s="9">
        <v>44957</v>
      </c>
      <c r="P4342">
        <v>0</v>
      </c>
      <c r="Q4342" s="11" t="s">
        <v>648</v>
      </c>
      <c r="R4342" s="7"/>
      <c r="S4342" s="7"/>
      <c r="T4342" s="7"/>
      <c r="U4342" s="7"/>
      <c r="V4342" s="10">
        <v>7.5741092456127026</v>
      </c>
      <c r="W4342" s="9">
        <v>44954</v>
      </c>
      <c r="X4342" s="10">
        <v>7.5</v>
      </c>
      <c r="Y4342" s="9">
        <v>44957</v>
      </c>
      <c r="Z4342">
        <v>0</v>
      </c>
      <c r="AA4342" s="11" t="s">
        <v>648</v>
      </c>
    </row>
    <row r="4343" spans="2:27" ht="16" x14ac:dyDescent="0.2">
      <c r="B4343" t="s">
        <v>35</v>
      </c>
      <c r="C4343">
        <v>40351329</v>
      </c>
      <c r="D4343" t="s">
        <v>389</v>
      </c>
      <c r="E4343">
        <v>1022379</v>
      </c>
      <c r="F4343" t="s">
        <v>306</v>
      </c>
      <c r="G4343" s="9">
        <v>44956</v>
      </c>
      <c r="H4343" s="7"/>
      <c r="I4343" s="7"/>
      <c r="J4343" s="7"/>
      <c r="K4343" s="7"/>
      <c r="L4343" s="10">
        <v>5.5741092456127026</v>
      </c>
      <c r="M4343" s="9">
        <v>44961</v>
      </c>
      <c r="N4343" s="10">
        <v>5.5</v>
      </c>
      <c r="O4343" s="9">
        <v>44966</v>
      </c>
      <c r="P4343">
        <v>16</v>
      </c>
      <c r="Q4343" s="11" t="s">
        <v>49</v>
      </c>
      <c r="R4343" s="7"/>
      <c r="S4343" s="7"/>
      <c r="T4343" s="7"/>
      <c r="U4343" s="7"/>
      <c r="V4343" s="10">
        <v>7.5741092456127026</v>
      </c>
      <c r="W4343" s="9">
        <v>44963</v>
      </c>
      <c r="X4343" s="10">
        <v>7.5</v>
      </c>
      <c r="Y4343" s="9">
        <v>44966</v>
      </c>
      <c r="Z4343">
        <v>16</v>
      </c>
      <c r="AA4343" s="11" t="s">
        <v>49</v>
      </c>
    </row>
    <row r="4344" spans="2:27" ht="16" x14ac:dyDescent="0.2">
      <c r="B4344" t="s">
        <v>35</v>
      </c>
      <c r="C4344">
        <v>40351328</v>
      </c>
      <c r="D4344" t="s">
        <v>389</v>
      </c>
      <c r="E4344">
        <v>1022379</v>
      </c>
      <c r="F4344" t="s">
        <v>306</v>
      </c>
      <c r="G4344" s="9">
        <v>44952</v>
      </c>
      <c r="H4344" s="7"/>
      <c r="I4344" s="7"/>
      <c r="J4344" s="7"/>
      <c r="K4344" s="7"/>
      <c r="L4344" s="10">
        <v>5.5741092456127026</v>
      </c>
      <c r="M4344" s="9">
        <v>44957</v>
      </c>
      <c r="N4344" s="10">
        <v>5.5</v>
      </c>
      <c r="O4344" s="9">
        <v>44962</v>
      </c>
      <c r="P4344">
        <v>20</v>
      </c>
      <c r="Q4344" s="11" t="s">
        <v>49</v>
      </c>
      <c r="R4344" s="7"/>
      <c r="S4344" s="7"/>
      <c r="T4344" s="7"/>
      <c r="U4344" s="7"/>
      <c r="V4344" s="10">
        <v>7.5741092456127026</v>
      </c>
      <c r="W4344" s="9">
        <v>44959</v>
      </c>
      <c r="X4344" s="10">
        <v>7.5</v>
      </c>
      <c r="Y4344" s="9">
        <v>44962</v>
      </c>
      <c r="Z4344">
        <v>20</v>
      </c>
      <c r="AA4344" s="11" t="s">
        <v>49</v>
      </c>
    </row>
    <row r="4345" spans="2:27" ht="16" x14ac:dyDescent="0.2">
      <c r="B4345" t="s">
        <v>35</v>
      </c>
      <c r="C4345">
        <v>40351327</v>
      </c>
      <c r="D4345" t="s">
        <v>389</v>
      </c>
      <c r="E4345">
        <v>1022646</v>
      </c>
      <c r="F4345" t="s">
        <v>176</v>
      </c>
      <c r="G4345" s="9">
        <v>44956</v>
      </c>
      <c r="H4345" s="7"/>
      <c r="I4345" s="7"/>
      <c r="J4345" s="7"/>
      <c r="K4345" s="7"/>
      <c r="L4345" s="10">
        <v>5.5741092456127026</v>
      </c>
      <c r="M4345" s="9">
        <v>44961</v>
      </c>
      <c r="N4345" s="10">
        <v>5.5</v>
      </c>
      <c r="O4345" s="9">
        <v>44966</v>
      </c>
      <c r="P4345">
        <v>16</v>
      </c>
      <c r="Q4345" s="11" t="s">
        <v>49</v>
      </c>
      <c r="R4345" s="7"/>
      <c r="S4345" s="7"/>
      <c r="T4345" s="7"/>
      <c r="U4345" s="7"/>
      <c r="V4345" s="10">
        <v>7.5741092456127026</v>
      </c>
      <c r="W4345" s="9">
        <v>44963</v>
      </c>
      <c r="X4345" s="10">
        <v>7.5</v>
      </c>
      <c r="Y4345" s="9">
        <v>44966</v>
      </c>
      <c r="Z4345">
        <v>16</v>
      </c>
      <c r="AA4345" s="11" t="s">
        <v>49</v>
      </c>
    </row>
    <row r="4346" spans="2:27" ht="16" x14ac:dyDescent="0.2">
      <c r="B4346" t="s">
        <v>35</v>
      </c>
      <c r="C4346">
        <v>40351327</v>
      </c>
      <c r="D4346" t="s">
        <v>389</v>
      </c>
      <c r="E4346">
        <v>1022646</v>
      </c>
      <c r="F4346" t="s">
        <v>176</v>
      </c>
      <c r="G4346" s="9">
        <v>44956</v>
      </c>
      <c r="H4346" s="7"/>
      <c r="I4346" s="7"/>
      <c r="J4346" s="7"/>
      <c r="K4346" s="7"/>
      <c r="L4346" s="10">
        <v>5.5741092456127026</v>
      </c>
      <c r="M4346" s="9">
        <v>44961</v>
      </c>
      <c r="N4346" s="10">
        <v>5.5</v>
      </c>
      <c r="O4346" s="9">
        <v>44966</v>
      </c>
      <c r="P4346">
        <v>16</v>
      </c>
      <c r="Q4346" s="11" t="s">
        <v>49</v>
      </c>
      <c r="R4346" s="7"/>
      <c r="S4346" s="7"/>
      <c r="T4346" s="7"/>
      <c r="U4346" s="7"/>
      <c r="V4346" s="10">
        <v>7.5741092456127026</v>
      </c>
      <c r="W4346" s="9">
        <v>44963</v>
      </c>
      <c r="X4346" s="10">
        <v>7.5</v>
      </c>
      <c r="Y4346" s="9">
        <v>44966</v>
      </c>
      <c r="Z4346">
        <v>16</v>
      </c>
      <c r="AA4346" s="11" t="s">
        <v>49</v>
      </c>
    </row>
    <row r="4347" spans="2:27" ht="16" x14ac:dyDescent="0.2">
      <c r="B4347" t="s">
        <v>35</v>
      </c>
      <c r="C4347">
        <v>40351325</v>
      </c>
      <c r="D4347" t="s">
        <v>389</v>
      </c>
      <c r="E4347">
        <v>1022568</v>
      </c>
      <c r="F4347" t="s">
        <v>310</v>
      </c>
      <c r="G4347" s="9">
        <v>44945</v>
      </c>
      <c r="H4347" s="7"/>
      <c r="I4347" s="7"/>
      <c r="J4347" s="7"/>
      <c r="K4347" s="7"/>
      <c r="L4347" s="10">
        <v>5.5741092456127026</v>
      </c>
      <c r="M4347" s="9">
        <v>44950</v>
      </c>
      <c r="N4347" s="10">
        <v>5.5</v>
      </c>
      <c r="O4347" s="9">
        <v>44955</v>
      </c>
      <c r="P4347">
        <v>2</v>
      </c>
      <c r="Q4347" s="11" t="s">
        <v>648</v>
      </c>
      <c r="R4347" s="7"/>
      <c r="S4347" s="7"/>
      <c r="T4347" s="7"/>
      <c r="U4347" s="7"/>
      <c r="V4347" s="10">
        <v>7.5741092456127026</v>
      </c>
      <c r="W4347" s="9">
        <v>44952</v>
      </c>
      <c r="X4347" s="10">
        <v>7.5</v>
      </c>
      <c r="Y4347" s="9">
        <v>44955</v>
      </c>
      <c r="Z4347">
        <v>2</v>
      </c>
      <c r="AA4347" s="11" t="s">
        <v>648</v>
      </c>
    </row>
    <row r="4348" spans="2:27" ht="16" x14ac:dyDescent="0.2">
      <c r="B4348" t="s">
        <v>35</v>
      </c>
      <c r="C4348">
        <v>40351325</v>
      </c>
      <c r="D4348" t="s">
        <v>389</v>
      </c>
      <c r="E4348">
        <v>1023066</v>
      </c>
      <c r="F4348" t="s">
        <v>529</v>
      </c>
      <c r="G4348" s="9">
        <v>44945</v>
      </c>
      <c r="H4348" s="7"/>
      <c r="I4348" s="7"/>
      <c r="J4348" s="7"/>
      <c r="K4348" s="7"/>
      <c r="L4348" s="10">
        <v>5.5741092456127026</v>
      </c>
      <c r="M4348" s="9">
        <v>44950</v>
      </c>
      <c r="N4348" s="10">
        <v>5.5</v>
      </c>
      <c r="O4348" s="9">
        <v>44955</v>
      </c>
      <c r="P4348">
        <v>2</v>
      </c>
      <c r="Q4348" s="11" t="s">
        <v>648</v>
      </c>
      <c r="R4348" s="7"/>
      <c r="S4348" s="7"/>
      <c r="T4348" s="7"/>
      <c r="U4348" s="7"/>
      <c r="V4348" s="10">
        <v>7.5741092456127026</v>
      </c>
      <c r="W4348" s="9">
        <v>44952</v>
      </c>
      <c r="X4348" s="10">
        <v>7.5</v>
      </c>
      <c r="Y4348" s="9">
        <v>44955</v>
      </c>
      <c r="Z4348">
        <v>2</v>
      </c>
      <c r="AA4348" s="11" t="s">
        <v>648</v>
      </c>
    </row>
    <row r="4349" spans="2:27" ht="16" x14ac:dyDescent="0.2">
      <c r="B4349" t="s">
        <v>35</v>
      </c>
      <c r="C4349">
        <v>40351323</v>
      </c>
      <c r="D4349" t="s">
        <v>389</v>
      </c>
      <c r="E4349">
        <v>1021992</v>
      </c>
      <c r="F4349" t="s">
        <v>290</v>
      </c>
      <c r="G4349" s="9">
        <v>44975</v>
      </c>
      <c r="H4349" s="7"/>
      <c r="I4349" s="7"/>
      <c r="J4349" s="7"/>
      <c r="K4349" s="7"/>
      <c r="L4349" s="10">
        <v>5.5741092456127026</v>
      </c>
      <c r="M4349" s="9">
        <v>44980</v>
      </c>
      <c r="N4349" s="10">
        <v>5.5</v>
      </c>
      <c r="O4349" s="9">
        <v>44985</v>
      </c>
      <c r="P4349">
        <v>0</v>
      </c>
      <c r="Q4349" s="11" t="s">
        <v>594</v>
      </c>
      <c r="R4349" s="7"/>
      <c r="S4349" s="7"/>
      <c r="T4349" s="7"/>
      <c r="U4349" s="7"/>
      <c r="V4349" s="10">
        <v>7.5741092456127026</v>
      </c>
      <c r="W4349" s="9">
        <v>44982</v>
      </c>
      <c r="X4349" s="10">
        <v>7.5</v>
      </c>
      <c r="Y4349" s="9">
        <v>44985</v>
      </c>
      <c r="Z4349">
        <v>0</v>
      </c>
      <c r="AA4349" s="11" t="s">
        <v>594</v>
      </c>
    </row>
    <row r="4350" spans="2:27" ht="16" x14ac:dyDescent="0.2">
      <c r="B4350" t="s">
        <v>35</v>
      </c>
      <c r="C4350">
        <v>40351323</v>
      </c>
      <c r="D4350" t="s">
        <v>389</v>
      </c>
      <c r="E4350">
        <v>1021992</v>
      </c>
      <c r="F4350" t="s">
        <v>290</v>
      </c>
      <c r="G4350" s="9">
        <v>44975</v>
      </c>
      <c r="H4350" s="7"/>
      <c r="I4350" s="7"/>
      <c r="J4350" s="7"/>
      <c r="K4350" s="7"/>
      <c r="L4350" s="10">
        <v>5.5741092456127026</v>
      </c>
      <c r="M4350" s="9">
        <v>44980</v>
      </c>
      <c r="N4350" s="10">
        <v>5.5</v>
      </c>
      <c r="O4350" s="9">
        <v>44985</v>
      </c>
      <c r="P4350">
        <v>0</v>
      </c>
      <c r="Q4350" s="11" t="s">
        <v>594</v>
      </c>
      <c r="R4350" s="7"/>
      <c r="S4350" s="7"/>
      <c r="T4350" s="7"/>
      <c r="U4350" s="7"/>
      <c r="V4350" s="10">
        <v>7.5741092456127026</v>
      </c>
      <c r="W4350" s="9">
        <v>44982</v>
      </c>
      <c r="X4350" s="10">
        <v>7.5</v>
      </c>
      <c r="Y4350" s="9">
        <v>44985</v>
      </c>
      <c r="Z4350">
        <v>0</v>
      </c>
      <c r="AA4350" s="11" t="s">
        <v>594</v>
      </c>
    </row>
    <row r="4351" spans="2:27" ht="16" x14ac:dyDescent="0.2">
      <c r="B4351" t="s">
        <v>35</v>
      </c>
      <c r="C4351">
        <v>40351322</v>
      </c>
      <c r="D4351" t="s">
        <v>389</v>
      </c>
      <c r="E4351">
        <v>1021992</v>
      </c>
      <c r="F4351" t="s">
        <v>290</v>
      </c>
      <c r="G4351" s="9">
        <v>44965</v>
      </c>
      <c r="H4351" s="7"/>
      <c r="I4351" s="7"/>
      <c r="J4351" s="7"/>
      <c r="K4351" s="7"/>
      <c r="L4351" s="10">
        <v>5.5741092456127026</v>
      </c>
      <c r="M4351" s="9">
        <v>44970</v>
      </c>
      <c r="N4351" s="10">
        <v>5.5</v>
      </c>
      <c r="O4351" s="9">
        <v>44975</v>
      </c>
      <c r="P4351">
        <v>8</v>
      </c>
      <c r="Q4351" s="11" t="s">
        <v>49</v>
      </c>
      <c r="R4351" s="7"/>
      <c r="S4351" s="7"/>
      <c r="T4351" s="7"/>
      <c r="U4351" s="7"/>
      <c r="V4351" s="10">
        <v>7.5741092456127026</v>
      </c>
      <c r="W4351" s="9">
        <v>44972</v>
      </c>
      <c r="X4351" s="10">
        <v>7.5</v>
      </c>
      <c r="Y4351" s="9">
        <v>44975</v>
      </c>
      <c r="Z4351">
        <v>8</v>
      </c>
      <c r="AA4351" s="11" t="s">
        <v>49</v>
      </c>
    </row>
    <row r="4352" spans="2:27" ht="16" x14ac:dyDescent="0.2">
      <c r="B4352" t="s">
        <v>35</v>
      </c>
      <c r="C4352">
        <v>40351321</v>
      </c>
      <c r="D4352" t="s">
        <v>389</v>
      </c>
      <c r="E4352">
        <v>1021992</v>
      </c>
      <c r="F4352" t="s">
        <v>290</v>
      </c>
      <c r="G4352" s="9">
        <v>44965</v>
      </c>
      <c r="H4352" s="7"/>
      <c r="I4352" s="7"/>
      <c r="J4352" s="7"/>
      <c r="K4352" s="7"/>
      <c r="L4352" s="10">
        <v>5.5741092456127026</v>
      </c>
      <c r="M4352" s="9">
        <v>44970</v>
      </c>
      <c r="N4352" s="10">
        <v>5.5</v>
      </c>
      <c r="O4352" s="9">
        <v>44975</v>
      </c>
      <c r="P4352">
        <v>8</v>
      </c>
      <c r="Q4352" s="11" t="s">
        <v>49</v>
      </c>
      <c r="R4352" s="7"/>
      <c r="S4352" s="7"/>
      <c r="T4352" s="7"/>
      <c r="U4352" s="7"/>
      <c r="V4352" s="10">
        <v>7.5741092456127026</v>
      </c>
      <c r="W4352" s="9">
        <v>44972</v>
      </c>
      <c r="X4352" s="10">
        <v>7.5</v>
      </c>
      <c r="Y4352" s="9">
        <v>44975</v>
      </c>
      <c r="Z4352">
        <v>8</v>
      </c>
      <c r="AA4352" s="11" t="s">
        <v>49</v>
      </c>
    </row>
    <row r="4353" spans="2:27" ht="16" x14ac:dyDescent="0.2">
      <c r="B4353" t="s">
        <v>35</v>
      </c>
      <c r="C4353">
        <v>40351320</v>
      </c>
      <c r="D4353" t="s">
        <v>389</v>
      </c>
      <c r="E4353">
        <v>1021992</v>
      </c>
      <c r="F4353" t="s">
        <v>290</v>
      </c>
      <c r="G4353" s="9">
        <v>44968</v>
      </c>
      <c r="H4353" s="7"/>
      <c r="I4353" s="7"/>
      <c r="J4353" s="7"/>
      <c r="K4353" s="7"/>
      <c r="L4353" s="10">
        <v>5.5741092456127026</v>
      </c>
      <c r="M4353" s="9">
        <v>44973</v>
      </c>
      <c r="N4353" s="10">
        <v>5.5</v>
      </c>
      <c r="O4353" s="9">
        <v>44978</v>
      </c>
      <c r="P4353">
        <v>6</v>
      </c>
      <c r="Q4353" s="11" t="s">
        <v>49</v>
      </c>
      <c r="R4353" s="7"/>
      <c r="S4353" s="7"/>
      <c r="T4353" s="7"/>
      <c r="U4353" s="7"/>
      <c r="V4353" s="10">
        <v>7.5741092456127026</v>
      </c>
      <c r="W4353" s="9">
        <v>44975</v>
      </c>
      <c r="X4353" s="10">
        <v>7.5</v>
      </c>
      <c r="Y4353" s="9">
        <v>44978</v>
      </c>
      <c r="Z4353">
        <v>6</v>
      </c>
      <c r="AA4353" s="11" t="s">
        <v>49</v>
      </c>
    </row>
    <row r="4354" spans="2:27" ht="16" x14ac:dyDescent="0.2">
      <c r="B4354" t="s">
        <v>35</v>
      </c>
      <c r="C4354">
        <v>40351320</v>
      </c>
      <c r="D4354" t="s">
        <v>389</v>
      </c>
      <c r="E4354">
        <v>1021992</v>
      </c>
      <c r="F4354" t="s">
        <v>290</v>
      </c>
      <c r="G4354" s="9">
        <v>44968</v>
      </c>
      <c r="H4354" s="7"/>
      <c r="I4354" s="7"/>
      <c r="J4354" s="7"/>
      <c r="K4354" s="7"/>
      <c r="L4354" s="10">
        <v>5.5741092456127026</v>
      </c>
      <c r="M4354" s="9">
        <v>44973</v>
      </c>
      <c r="N4354" s="10">
        <v>5.5</v>
      </c>
      <c r="O4354" s="9">
        <v>44978</v>
      </c>
      <c r="P4354">
        <v>6</v>
      </c>
      <c r="Q4354" s="11" t="s">
        <v>49</v>
      </c>
      <c r="R4354" s="7"/>
      <c r="S4354" s="7"/>
      <c r="T4354" s="7"/>
      <c r="U4354" s="7"/>
      <c r="V4354" s="10">
        <v>7.5741092456127026</v>
      </c>
      <c r="W4354" s="9">
        <v>44975</v>
      </c>
      <c r="X4354" s="10">
        <v>7.5</v>
      </c>
      <c r="Y4354" s="9">
        <v>44978</v>
      </c>
      <c r="Z4354">
        <v>6</v>
      </c>
      <c r="AA4354" s="11" t="s">
        <v>49</v>
      </c>
    </row>
    <row r="4355" spans="2:27" ht="16" x14ac:dyDescent="0.2">
      <c r="B4355" t="s">
        <v>35</v>
      </c>
      <c r="C4355">
        <v>40351313</v>
      </c>
      <c r="D4355" t="s">
        <v>389</v>
      </c>
      <c r="E4355">
        <v>1021767</v>
      </c>
      <c r="F4355" t="s">
        <v>288</v>
      </c>
      <c r="G4355" s="9">
        <v>44968</v>
      </c>
      <c r="H4355" s="7"/>
      <c r="I4355" s="7"/>
      <c r="J4355" s="7"/>
      <c r="K4355" s="7"/>
      <c r="L4355" s="10">
        <v>5.5741092456127026</v>
      </c>
      <c r="M4355" s="9">
        <v>44973</v>
      </c>
      <c r="N4355" s="10">
        <v>5.5</v>
      </c>
      <c r="O4355" s="9">
        <v>44978</v>
      </c>
      <c r="P4355">
        <v>6</v>
      </c>
      <c r="Q4355" s="11" t="s">
        <v>49</v>
      </c>
      <c r="R4355" s="7"/>
      <c r="S4355" s="7"/>
      <c r="T4355" s="7"/>
      <c r="U4355" s="7"/>
      <c r="V4355" s="10">
        <v>7.5741092456127026</v>
      </c>
      <c r="W4355" s="9">
        <v>44975</v>
      </c>
      <c r="X4355" s="10">
        <v>7.5</v>
      </c>
      <c r="Y4355" s="9">
        <v>44978</v>
      </c>
      <c r="Z4355">
        <v>6</v>
      </c>
      <c r="AA4355" s="11" t="s">
        <v>49</v>
      </c>
    </row>
    <row r="4356" spans="2:27" ht="16" x14ac:dyDescent="0.2">
      <c r="B4356" t="s">
        <v>35</v>
      </c>
      <c r="C4356">
        <v>40351312</v>
      </c>
      <c r="D4356" t="s">
        <v>389</v>
      </c>
      <c r="E4356">
        <v>1021767</v>
      </c>
      <c r="F4356" t="s">
        <v>288</v>
      </c>
      <c r="G4356" s="9">
        <v>44968</v>
      </c>
      <c r="H4356" s="7"/>
      <c r="I4356" s="7"/>
      <c r="J4356" s="7"/>
      <c r="K4356" s="7"/>
      <c r="L4356" s="10">
        <v>5.5741092456127026</v>
      </c>
      <c r="M4356" s="9">
        <v>44973</v>
      </c>
      <c r="N4356" s="10">
        <v>5.5</v>
      </c>
      <c r="O4356" s="9">
        <v>44978</v>
      </c>
      <c r="P4356">
        <v>6</v>
      </c>
      <c r="Q4356" s="11" t="s">
        <v>49</v>
      </c>
      <c r="R4356" s="7"/>
      <c r="S4356" s="7"/>
      <c r="T4356" s="7"/>
      <c r="U4356" s="7"/>
      <c r="V4356" s="10">
        <v>7.5741092456127026</v>
      </c>
      <c r="W4356" s="9">
        <v>44975</v>
      </c>
      <c r="X4356" s="10">
        <v>7.5</v>
      </c>
      <c r="Y4356" s="9">
        <v>44978</v>
      </c>
      <c r="Z4356">
        <v>6</v>
      </c>
      <c r="AA4356" s="11" t="s">
        <v>49</v>
      </c>
    </row>
    <row r="4357" spans="2:27" ht="16" x14ac:dyDescent="0.2">
      <c r="B4357" t="s">
        <v>35</v>
      </c>
      <c r="C4357">
        <v>40351311</v>
      </c>
      <c r="D4357" t="s">
        <v>389</v>
      </c>
      <c r="E4357">
        <v>1021767</v>
      </c>
      <c r="F4357" t="s">
        <v>288</v>
      </c>
      <c r="G4357" s="9">
        <v>44968</v>
      </c>
      <c r="H4357" s="7"/>
      <c r="I4357" s="7"/>
      <c r="J4357" s="7"/>
      <c r="K4357" s="7"/>
      <c r="L4357" s="10">
        <v>5.5741092456127026</v>
      </c>
      <c r="M4357" s="9">
        <v>44973</v>
      </c>
      <c r="N4357" s="10">
        <v>5.5</v>
      </c>
      <c r="O4357" s="9">
        <v>44978</v>
      </c>
      <c r="P4357">
        <v>6</v>
      </c>
      <c r="Q4357" s="11" t="s">
        <v>49</v>
      </c>
      <c r="R4357" s="7"/>
      <c r="S4357" s="7"/>
      <c r="T4357" s="7"/>
      <c r="U4357" s="7"/>
      <c r="V4357" s="10">
        <v>7.5741092456127026</v>
      </c>
      <c r="W4357" s="9">
        <v>44975</v>
      </c>
      <c r="X4357" s="10">
        <v>7.5</v>
      </c>
      <c r="Y4357" s="9">
        <v>44978</v>
      </c>
      <c r="Z4357">
        <v>6</v>
      </c>
      <c r="AA4357" s="11" t="s">
        <v>49</v>
      </c>
    </row>
    <row r="4358" spans="2:27" ht="16" x14ac:dyDescent="0.2">
      <c r="B4358" t="s">
        <v>35</v>
      </c>
      <c r="C4358">
        <v>40351311</v>
      </c>
      <c r="D4358" t="s">
        <v>389</v>
      </c>
      <c r="E4358">
        <v>1021767</v>
      </c>
      <c r="F4358" t="s">
        <v>288</v>
      </c>
      <c r="G4358" s="9">
        <v>44968</v>
      </c>
      <c r="H4358" s="7"/>
      <c r="I4358" s="7"/>
      <c r="J4358" s="7"/>
      <c r="K4358" s="7"/>
      <c r="L4358" s="10">
        <v>5.5741092456127026</v>
      </c>
      <c r="M4358" s="9">
        <v>44973</v>
      </c>
      <c r="N4358" s="10">
        <v>5.5</v>
      </c>
      <c r="O4358" s="9">
        <v>44978</v>
      </c>
      <c r="P4358">
        <v>6</v>
      </c>
      <c r="Q4358" s="11" t="s">
        <v>49</v>
      </c>
      <c r="R4358" s="7"/>
      <c r="S4358" s="7"/>
      <c r="T4358" s="7"/>
      <c r="U4358" s="7"/>
      <c r="V4358" s="10">
        <v>7.5741092456127026</v>
      </c>
      <c r="W4358" s="9">
        <v>44975</v>
      </c>
      <c r="X4358" s="10">
        <v>7.5</v>
      </c>
      <c r="Y4358" s="9">
        <v>44978</v>
      </c>
      <c r="Z4358">
        <v>6</v>
      </c>
      <c r="AA4358" s="11" t="s">
        <v>49</v>
      </c>
    </row>
    <row r="4359" spans="2:27" ht="16" x14ac:dyDescent="0.2">
      <c r="B4359" t="s">
        <v>35</v>
      </c>
      <c r="C4359">
        <v>40351310</v>
      </c>
      <c r="D4359" t="s">
        <v>389</v>
      </c>
      <c r="E4359">
        <v>1021767</v>
      </c>
      <c r="F4359" t="s">
        <v>288</v>
      </c>
      <c r="G4359" s="9">
        <v>44969</v>
      </c>
      <c r="H4359" s="7"/>
      <c r="I4359" s="7"/>
      <c r="J4359" s="7"/>
      <c r="K4359" s="7"/>
      <c r="L4359" s="10">
        <v>5.5741092456127026</v>
      </c>
      <c r="M4359" s="9">
        <v>44974</v>
      </c>
      <c r="N4359" s="10">
        <v>5.5</v>
      </c>
      <c r="O4359" s="9">
        <v>44979</v>
      </c>
      <c r="P4359">
        <v>5</v>
      </c>
      <c r="Q4359" s="11" t="s">
        <v>49</v>
      </c>
      <c r="R4359" s="7"/>
      <c r="S4359" s="7"/>
      <c r="T4359" s="7"/>
      <c r="U4359" s="7"/>
      <c r="V4359" s="10">
        <v>7.5741092456127026</v>
      </c>
      <c r="W4359" s="9">
        <v>44976</v>
      </c>
      <c r="X4359" s="10">
        <v>7.5</v>
      </c>
      <c r="Y4359" s="9">
        <v>44979</v>
      </c>
      <c r="Z4359">
        <v>5</v>
      </c>
      <c r="AA4359" s="11" t="s">
        <v>49</v>
      </c>
    </row>
    <row r="4360" spans="2:27" ht="16" x14ac:dyDescent="0.2">
      <c r="B4360" t="s">
        <v>35</v>
      </c>
      <c r="C4360">
        <v>40351309</v>
      </c>
      <c r="D4360" t="s">
        <v>389</v>
      </c>
      <c r="E4360">
        <v>1021767</v>
      </c>
      <c r="F4360" t="s">
        <v>288</v>
      </c>
      <c r="G4360" s="9">
        <v>44969</v>
      </c>
      <c r="H4360" s="7"/>
      <c r="I4360" s="7"/>
      <c r="J4360" s="7"/>
      <c r="K4360" s="7"/>
      <c r="L4360" s="10">
        <v>5.5741092456127026</v>
      </c>
      <c r="M4360" s="9">
        <v>44974</v>
      </c>
      <c r="N4360" s="10">
        <v>5.5</v>
      </c>
      <c r="O4360" s="9">
        <v>44979</v>
      </c>
      <c r="P4360">
        <v>5</v>
      </c>
      <c r="Q4360" s="11" t="s">
        <v>49</v>
      </c>
      <c r="R4360" s="7"/>
      <c r="S4360" s="7"/>
      <c r="T4360" s="7"/>
      <c r="U4360" s="7"/>
      <c r="V4360" s="10">
        <v>7.5741092456127026</v>
      </c>
      <c r="W4360" s="9">
        <v>44976</v>
      </c>
      <c r="X4360" s="10">
        <v>7.5</v>
      </c>
      <c r="Y4360" s="9">
        <v>44979</v>
      </c>
      <c r="Z4360">
        <v>5</v>
      </c>
      <c r="AA4360" s="11" t="s">
        <v>49</v>
      </c>
    </row>
    <row r="4361" spans="2:27" ht="16" x14ac:dyDescent="0.2">
      <c r="B4361" t="s">
        <v>35</v>
      </c>
      <c r="C4361">
        <v>40351308</v>
      </c>
      <c r="D4361" t="s">
        <v>389</v>
      </c>
      <c r="E4361">
        <v>1021767</v>
      </c>
      <c r="F4361" t="s">
        <v>288</v>
      </c>
      <c r="G4361" s="9">
        <v>44969</v>
      </c>
      <c r="H4361" s="7"/>
      <c r="I4361" s="7"/>
      <c r="J4361" s="7"/>
      <c r="K4361" s="7"/>
      <c r="L4361" s="10">
        <v>5.5741092456127026</v>
      </c>
      <c r="M4361" s="9">
        <v>44974</v>
      </c>
      <c r="N4361" s="10">
        <v>5.5</v>
      </c>
      <c r="O4361" s="9">
        <v>44979</v>
      </c>
      <c r="P4361">
        <v>5</v>
      </c>
      <c r="Q4361" s="11" t="s">
        <v>49</v>
      </c>
      <c r="R4361" s="7"/>
      <c r="S4361" s="7"/>
      <c r="T4361" s="7"/>
      <c r="U4361" s="7"/>
      <c r="V4361" s="10">
        <v>7.5741092456127026</v>
      </c>
      <c r="W4361" s="9">
        <v>44976</v>
      </c>
      <c r="X4361" s="10">
        <v>7.5</v>
      </c>
      <c r="Y4361" s="9">
        <v>44979</v>
      </c>
      <c r="Z4361">
        <v>5</v>
      </c>
      <c r="AA4361" s="11" t="s">
        <v>49</v>
      </c>
    </row>
    <row r="4362" spans="2:27" ht="16" x14ac:dyDescent="0.2">
      <c r="B4362" t="s">
        <v>35</v>
      </c>
      <c r="C4362">
        <v>40351307</v>
      </c>
      <c r="D4362" t="s">
        <v>389</v>
      </c>
      <c r="E4362">
        <v>1021767</v>
      </c>
      <c r="F4362" t="s">
        <v>288</v>
      </c>
      <c r="G4362" s="9">
        <v>44940</v>
      </c>
      <c r="H4362" s="7"/>
      <c r="I4362" s="7"/>
      <c r="J4362" s="7"/>
      <c r="K4362" s="7"/>
      <c r="L4362" s="10">
        <v>5.5741092456127026</v>
      </c>
      <c r="M4362" s="9">
        <v>44945</v>
      </c>
      <c r="N4362" s="10">
        <v>5.5</v>
      </c>
      <c r="O4362" s="9">
        <v>44950</v>
      </c>
      <c r="P4362">
        <v>6</v>
      </c>
      <c r="Q4362" s="11" t="s">
        <v>49</v>
      </c>
      <c r="R4362" s="7"/>
      <c r="S4362" s="7"/>
      <c r="T4362" s="7"/>
      <c r="U4362" s="7"/>
      <c r="V4362" s="10">
        <v>7.5741092456127026</v>
      </c>
      <c r="W4362" s="9">
        <v>44947</v>
      </c>
      <c r="X4362" s="10">
        <v>7.5</v>
      </c>
      <c r="Y4362" s="9">
        <v>44950</v>
      </c>
      <c r="Z4362">
        <v>6</v>
      </c>
      <c r="AA4362" s="11" t="s">
        <v>49</v>
      </c>
    </row>
    <row r="4363" spans="2:27" ht="16" x14ac:dyDescent="0.2">
      <c r="B4363" t="s">
        <v>35</v>
      </c>
      <c r="C4363">
        <v>40351305</v>
      </c>
      <c r="D4363" t="s">
        <v>389</v>
      </c>
      <c r="E4363">
        <v>1021767</v>
      </c>
      <c r="F4363" t="s">
        <v>288</v>
      </c>
      <c r="G4363" s="9">
        <v>44941</v>
      </c>
      <c r="H4363" s="7"/>
      <c r="I4363" s="7"/>
      <c r="J4363" s="7"/>
      <c r="K4363" s="7"/>
      <c r="L4363" s="10">
        <v>5.5741092456127026</v>
      </c>
      <c r="M4363" s="9">
        <v>44946</v>
      </c>
      <c r="N4363" s="10">
        <v>5.5</v>
      </c>
      <c r="O4363" s="9">
        <v>44951</v>
      </c>
      <c r="P4363">
        <v>5</v>
      </c>
      <c r="Q4363" s="11" t="s">
        <v>49</v>
      </c>
      <c r="R4363" s="7"/>
      <c r="S4363" s="7"/>
      <c r="T4363" s="7"/>
      <c r="U4363" s="7"/>
      <c r="V4363" s="10">
        <v>7.5741092456127026</v>
      </c>
      <c r="W4363" s="9">
        <v>44948</v>
      </c>
      <c r="X4363" s="10">
        <v>7.5</v>
      </c>
      <c r="Y4363" s="9">
        <v>44951</v>
      </c>
      <c r="Z4363">
        <v>5</v>
      </c>
      <c r="AA4363" s="11" t="s">
        <v>49</v>
      </c>
    </row>
    <row r="4364" spans="2:27" ht="16" x14ac:dyDescent="0.2">
      <c r="B4364" t="s">
        <v>35</v>
      </c>
      <c r="C4364">
        <v>40351304</v>
      </c>
      <c r="D4364" t="s">
        <v>389</v>
      </c>
      <c r="E4364">
        <v>1021767</v>
      </c>
      <c r="F4364" t="s">
        <v>288</v>
      </c>
      <c r="G4364" s="9">
        <v>44935</v>
      </c>
      <c r="H4364" s="7"/>
      <c r="I4364" s="7"/>
      <c r="J4364" s="7"/>
      <c r="K4364" s="7"/>
      <c r="L4364" s="10">
        <v>5.5741092456127026</v>
      </c>
      <c r="M4364" s="9">
        <v>44940</v>
      </c>
      <c r="N4364" s="10">
        <v>5.5</v>
      </c>
      <c r="O4364" s="9">
        <v>44945</v>
      </c>
      <c r="P4364">
        <v>8</v>
      </c>
      <c r="Q4364" s="11" t="s">
        <v>49</v>
      </c>
      <c r="R4364" s="7"/>
      <c r="S4364" s="7"/>
      <c r="T4364" s="7"/>
      <c r="U4364" s="7"/>
      <c r="V4364" s="10">
        <v>7.5741092456127026</v>
      </c>
      <c r="W4364" s="9">
        <v>44942</v>
      </c>
      <c r="X4364" s="10">
        <v>7.5</v>
      </c>
      <c r="Y4364" s="9">
        <v>44945</v>
      </c>
      <c r="Z4364">
        <v>8</v>
      </c>
      <c r="AA4364" s="11" t="s">
        <v>49</v>
      </c>
    </row>
    <row r="4365" spans="2:27" ht="16" x14ac:dyDescent="0.2">
      <c r="B4365" t="s">
        <v>35</v>
      </c>
      <c r="C4365">
        <v>40351301</v>
      </c>
      <c r="D4365" t="s">
        <v>389</v>
      </c>
      <c r="E4365">
        <v>1012448</v>
      </c>
      <c r="F4365" t="s">
        <v>451</v>
      </c>
      <c r="G4365" s="9">
        <v>44958</v>
      </c>
      <c r="H4365" s="7"/>
      <c r="I4365" s="7"/>
      <c r="J4365" s="7"/>
      <c r="K4365" s="7"/>
      <c r="L4365" s="10">
        <v>5.5741092456127026</v>
      </c>
      <c r="M4365" s="9">
        <v>44963</v>
      </c>
      <c r="N4365" s="10">
        <v>5.5</v>
      </c>
      <c r="O4365" s="9">
        <v>44968</v>
      </c>
      <c r="P4365">
        <v>14</v>
      </c>
      <c r="Q4365" s="11" t="s">
        <v>49</v>
      </c>
      <c r="R4365" s="7"/>
      <c r="S4365" s="7"/>
      <c r="T4365" s="7"/>
      <c r="U4365" s="7"/>
      <c r="V4365" s="10">
        <v>7.5741092456127026</v>
      </c>
      <c r="W4365" s="9">
        <v>44965</v>
      </c>
      <c r="X4365" s="10">
        <v>7.5</v>
      </c>
      <c r="Y4365" s="9">
        <v>44968</v>
      </c>
      <c r="Z4365">
        <v>14</v>
      </c>
      <c r="AA4365" s="11" t="s">
        <v>49</v>
      </c>
    </row>
    <row r="4366" spans="2:27" ht="16" x14ac:dyDescent="0.2">
      <c r="B4366" t="s">
        <v>35</v>
      </c>
      <c r="C4366">
        <v>40351300</v>
      </c>
      <c r="D4366" t="s">
        <v>389</v>
      </c>
      <c r="E4366">
        <v>1012448</v>
      </c>
      <c r="F4366" t="s">
        <v>451</v>
      </c>
      <c r="G4366" s="9">
        <v>44958</v>
      </c>
      <c r="H4366" s="7"/>
      <c r="I4366" s="7"/>
      <c r="J4366" s="7"/>
      <c r="K4366" s="7"/>
      <c r="L4366" s="10">
        <v>5.5741092456127026</v>
      </c>
      <c r="M4366" s="9">
        <v>44963</v>
      </c>
      <c r="N4366" s="10">
        <v>5.5</v>
      </c>
      <c r="O4366" s="9">
        <v>44968</v>
      </c>
      <c r="P4366">
        <v>14</v>
      </c>
      <c r="Q4366" s="11" t="s">
        <v>49</v>
      </c>
      <c r="R4366" s="7"/>
      <c r="S4366" s="7"/>
      <c r="T4366" s="7"/>
      <c r="U4366" s="7"/>
      <c r="V4366" s="10">
        <v>7.5741092456127026</v>
      </c>
      <c r="W4366" s="9">
        <v>44965</v>
      </c>
      <c r="X4366" s="10">
        <v>7.5</v>
      </c>
      <c r="Y4366" s="9">
        <v>44968</v>
      </c>
      <c r="Z4366">
        <v>14</v>
      </c>
      <c r="AA4366" s="11" t="s">
        <v>49</v>
      </c>
    </row>
    <row r="4367" spans="2:27" ht="16" x14ac:dyDescent="0.2">
      <c r="B4367" t="s">
        <v>35</v>
      </c>
      <c r="C4367">
        <v>40351299</v>
      </c>
      <c r="D4367" t="s">
        <v>389</v>
      </c>
      <c r="E4367">
        <v>1012448</v>
      </c>
      <c r="F4367" t="s">
        <v>451</v>
      </c>
      <c r="G4367" s="9">
        <v>44941</v>
      </c>
      <c r="H4367" s="7"/>
      <c r="I4367" s="7"/>
      <c r="J4367" s="7"/>
      <c r="K4367" s="7"/>
      <c r="L4367" s="10">
        <v>5.5741092456127026</v>
      </c>
      <c r="M4367" s="9">
        <v>44946</v>
      </c>
      <c r="N4367" s="10">
        <v>5.5</v>
      </c>
      <c r="O4367" s="9">
        <v>44951</v>
      </c>
      <c r="P4367">
        <v>5</v>
      </c>
      <c r="Q4367" s="11" t="s">
        <v>49</v>
      </c>
      <c r="R4367" s="7"/>
      <c r="S4367" s="7"/>
      <c r="T4367" s="7"/>
      <c r="U4367" s="7"/>
      <c r="V4367" s="10">
        <v>7.5741092456127026</v>
      </c>
      <c r="W4367" s="9">
        <v>44948</v>
      </c>
      <c r="X4367" s="10">
        <v>7.5</v>
      </c>
      <c r="Y4367" s="9">
        <v>44951</v>
      </c>
      <c r="Z4367">
        <v>5</v>
      </c>
      <c r="AA4367" s="11" t="s">
        <v>49</v>
      </c>
    </row>
    <row r="4368" spans="2:27" ht="16" x14ac:dyDescent="0.2">
      <c r="B4368" t="s">
        <v>35</v>
      </c>
      <c r="C4368">
        <v>40351298</v>
      </c>
      <c r="D4368" t="s">
        <v>389</v>
      </c>
      <c r="E4368">
        <v>1012448</v>
      </c>
      <c r="F4368" t="s">
        <v>451</v>
      </c>
      <c r="G4368" s="9">
        <v>44952</v>
      </c>
      <c r="H4368" s="7"/>
      <c r="I4368" s="7"/>
      <c r="J4368" s="7"/>
      <c r="K4368" s="7"/>
      <c r="L4368" s="10">
        <v>5.5741092456127026</v>
      </c>
      <c r="M4368" s="9">
        <v>44957</v>
      </c>
      <c r="N4368" s="10">
        <v>5.5</v>
      </c>
      <c r="O4368" s="9">
        <v>44962</v>
      </c>
      <c r="P4368">
        <v>20</v>
      </c>
      <c r="Q4368" s="11" t="s">
        <v>49</v>
      </c>
      <c r="R4368" s="7"/>
      <c r="S4368" s="7"/>
      <c r="T4368" s="7"/>
      <c r="U4368" s="7"/>
      <c r="V4368" s="10">
        <v>7.5741092456127026</v>
      </c>
      <c r="W4368" s="9">
        <v>44959</v>
      </c>
      <c r="X4368" s="10">
        <v>7.5</v>
      </c>
      <c r="Y4368" s="9">
        <v>44962</v>
      </c>
      <c r="Z4368">
        <v>20</v>
      </c>
      <c r="AA4368" s="11" t="s">
        <v>49</v>
      </c>
    </row>
    <row r="4369" spans="2:27" ht="16" x14ac:dyDescent="0.2">
      <c r="B4369" t="s">
        <v>35</v>
      </c>
      <c r="C4369">
        <v>40351297</v>
      </c>
      <c r="D4369" t="s">
        <v>389</v>
      </c>
      <c r="E4369">
        <v>1012448</v>
      </c>
      <c r="F4369" t="s">
        <v>451</v>
      </c>
      <c r="G4369" s="9">
        <v>44952</v>
      </c>
      <c r="H4369" s="7"/>
      <c r="I4369" s="7"/>
      <c r="J4369" s="7"/>
      <c r="K4369" s="7"/>
      <c r="L4369" s="10">
        <v>5.5741092456127026</v>
      </c>
      <c r="M4369" s="9">
        <v>44957</v>
      </c>
      <c r="N4369" s="10">
        <v>5.5</v>
      </c>
      <c r="O4369" s="9">
        <v>44962</v>
      </c>
      <c r="P4369">
        <v>20</v>
      </c>
      <c r="Q4369" s="11" t="s">
        <v>49</v>
      </c>
      <c r="R4369" s="7"/>
      <c r="S4369" s="7"/>
      <c r="T4369" s="7"/>
      <c r="U4369" s="7"/>
      <c r="V4369" s="10">
        <v>7.5741092456127026</v>
      </c>
      <c r="W4369" s="9">
        <v>44959</v>
      </c>
      <c r="X4369" s="10">
        <v>7.5</v>
      </c>
      <c r="Y4369" s="9">
        <v>44962</v>
      </c>
      <c r="Z4369">
        <v>20</v>
      </c>
      <c r="AA4369" s="11" t="s">
        <v>49</v>
      </c>
    </row>
    <row r="4370" spans="2:27" ht="16" x14ac:dyDescent="0.2">
      <c r="B4370" t="s">
        <v>35</v>
      </c>
      <c r="C4370">
        <v>40351296</v>
      </c>
      <c r="D4370" t="s">
        <v>389</v>
      </c>
      <c r="E4370">
        <v>1012448</v>
      </c>
      <c r="F4370" t="s">
        <v>451</v>
      </c>
      <c r="G4370" s="9">
        <v>44936</v>
      </c>
      <c r="H4370" s="7"/>
      <c r="I4370" s="7"/>
      <c r="J4370" s="7"/>
      <c r="K4370" s="7"/>
      <c r="L4370" s="10">
        <v>5.5741092456127026</v>
      </c>
      <c r="M4370" s="9">
        <v>44941</v>
      </c>
      <c r="N4370" s="10">
        <v>5.5</v>
      </c>
      <c r="O4370" s="9">
        <v>44946</v>
      </c>
      <c r="P4370">
        <v>7</v>
      </c>
      <c r="Q4370" s="11" t="s">
        <v>49</v>
      </c>
      <c r="R4370" s="7"/>
      <c r="S4370" s="7"/>
      <c r="T4370" s="7"/>
      <c r="U4370" s="7"/>
      <c r="V4370" s="10">
        <v>7.5741092456127026</v>
      </c>
      <c r="W4370" s="9">
        <v>44943</v>
      </c>
      <c r="X4370" s="10">
        <v>7.5</v>
      </c>
      <c r="Y4370" s="9">
        <v>44946</v>
      </c>
      <c r="Z4370">
        <v>7</v>
      </c>
      <c r="AA4370" s="11" t="s">
        <v>49</v>
      </c>
    </row>
    <row r="4371" spans="2:27" ht="16" x14ac:dyDescent="0.2">
      <c r="B4371" t="s">
        <v>35</v>
      </c>
      <c r="C4371">
        <v>40351278</v>
      </c>
      <c r="D4371" t="s">
        <v>389</v>
      </c>
      <c r="E4371">
        <v>1012504</v>
      </c>
      <c r="F4371" t="s">
        <v>563</v>
      </c>
      <c r="G4371" s="9">
        <v>44958</v>
      </c>
      <c r="H4371" s="7"/>
      <c r="I4371" s="7"/>
      <c r="J4371" s="7"/>
      <c r="K4371" s="7"/>
      <c r="L4371" s="10">
        <v>5.5741092456127026</v>
      </c>
      <c r="M4371" s="9">
        <v>44963</v>
      </c>
      <c r="N4371" s="10">
        <v>5.5</v>
      </c>
      <c r="O4371" s="9">
        <v>44968</v>
      </c>
      <c r="P4371">
        <v>14</v>
      </c>
      <c r="Q4371" s="11" t="s">
        <v>49</v>
      </c>
      <c r="R4371" s="7"/>
      <c r="S4371" s="7"/>
      <c r="T4371" s="7"/>
      <c r="U4371" s="7"/>
      <c r="V4371" s="10">
        <v>7.5741092456127026</v>
      </c>
      <c r="W4371" s="9">
        <v>44965</v>
      </c>
      <c r="X4371" s="10">
        <v>7.5</v>
      </c>
      <c r="Y4371" s="9">
        <v>44968</v>
      </c>
      <c r="Z4371">
        <v>14</v>
      </c>
      <c r="AA4371" s="11" t="s">
        <v>49</v>
      </c>
    </row>
    <row r="4372" spans="2:27" ht="16" x14ac:dyDescent="0.2">
      <c r="B4372" t="s">
        <v>35</v>
      </c>
      <c r="C4372">
        <v>40351278</v>
      </c>
      <c r="D4372" t="s">
        <v>389</v>
      </c>
      <c r="E4372">
        <v>1012504</v>
      </c>
      <c r="F4372" t="s">
        <v>563</v>
      </c>
      <c r="G4372" s="9">
        <v>44958</v>
      </c>
      <c r="H4372" s="7"/>
      <c r="I4372" s="7"/>
      <c r="J4372" s="7"/>
      <c r="K4372" s="7"/>
      <c r="L4372" s="10">
        <v>5.5741092456127026</v>
      </c>
      <c r="M4372" s="9">
        <v>44963</v>
      </c>
      <c r="N4372" s="10">
        <v>5.5</v>
      </c>
      <c r="O4372" s="9">
        <v>44968</v>
      </c>
      <c r="P4372">
        <v>14</v>
      </c>
      <c r="Q4372" s="11" t="s">
        <v>49</v>
      </c>
      <c r="R4372" s="7"/>
      <c r="S4372" s="7"/>
      <c r="T4372" s="7"/>
      <c r="U4372" s="7"/>
      <c r="V4372" s="10">
        <v>7.5741092456127026</v>
      </c>
      <c r="W4372" s="9">
        <v>44965</v>
      </c>
      <c r="X4372" s="10">
        <v>7.5</v>
      </c>
      <c r="Y4372" s="9">
        <v>44968</v>
      </c>
      <c r="Z4372">
        <v>14</v>
      </c>
      <c r="AA4372" s="11" t="s">
        <v>49</v>
      </c>
    </row>
    <row r="4373" spans="2:27" ht="16" x14ac:dyDescent="0.2">
      <c r="B4373" t="s">
        <v>35</v>
      </c>
      <c r="C4373">
        <v>40351277</v>
      </c>
      <c r="D4373" t="s">
        <v>389</v>
      </c>
      <c r="E4373">
        <v>1012504</v>
      </c>
      <c r="F4373" t="s">
        <v>563</v>
      </c>
      <c r="G4373" s="9">
        <v>44936</v>
      </c>
      <c r="H4373" s="7"/>
      <c r="I4373" s="7"/>
      <c r="J4373" s="7"/>
      <c r="K4373" s="7"/>
      <c r="L4373" s="10">
        <v>5.5741092456127026</v>
      </c>
      <c r="M4373" s="9">
        <v>44941</v>
      </c>
      <c r="N4373" s="10">
        <v>5.5</v>
      </c>
      <c r="O4373" s="9">
        <v>44946</v>
      </c>
      <c r="P4373">
        <v>7</v>
      </c>
      <c r="Q4373" s="11" t="s">
        <v>49</v>
      </c>
      <c r="R4373" s="7"/>
      <c r="S4373" s="7"/>
      <c r="T4373" s="7"/>
      <c r="U4373" s="7"/>
      <c r="V4373" s="10">
        <v>7.5741092456127026</v>
      </c>
      <c r="W4373" s="9">
        <v>44943</v>
      </c>
      <c r="X4373" s="10">
        <v>7.5</v>
      </c>
      <c r="Y4373" s="9">
        <v>44946</v>
      </c>
      <c r="Z4373">
        <v>7</v>
      </c>
      <c r="AA4373" s="11" t="s">
        <v>49</v>
      </c>
    </row>
    <row r="4374" spans="2:27" ht="16" x14ac:dyDescent="0.2">
      <c r="B4374" t="s">
        <v>35</v>
      </c>
      <c r="C4374">
        <v>40351276</v>
      </c>
      <c r="D4374" t="s">
        <v>389</v>
      </c>
      <c r="E4374">
        <v>1012504</v>
      </c>
      <c r="F4374" t="s">
        <v>563</v>
      </c>
      <c r="G4374" s="9">
        <v>44952</v>
      </c>
      <c r="H4374" s="7"/>
      <c r="I4374" s="7"/>
      <c r="J4374" s="7"/>
      <c r="K4374" s="7"/>
      <c r="L4374" s="10">
        <v>5.5741092456127026</v>
      </c>
      <c r="M4374" s="9">
        <v>44957</v>
      </c>
      <c r="N4374" s="10">
        <v>5.5</v>
      </c>
      <c r="O4374" s="9">
        <v>44962</v>
      </c>
      <c r="P4374">
        <v>20</v>
      </c>
      <c r="Q4374" s="11" t="s">
        <v>49</v>
      </c>
      <c r="R4374" s="7"/>
      <c r="S4374" s="7"/>
      <c r="T4374" s="7"/>
      <c r="U4374" s="7"/>
      <c r="V4374" s="10">
        <v>7.5741092456127026</v>
      </c>
      <c r="W4374" s="9">
        <v>44959</v>
      </c>
      <c r="X4374" s="10">
        <v>7.5</v>
      </c>
      <c r="Y4374" s="9">
        <v>44962</v>
      </c>
      <c r="Z4374">
        <v>20</v>
      </c>
      <c r="AA4374" s="11" t="s">
        <v>49</v>
      </c>
    </row>
    <row r="4375" spans="2:27" ht="16" x14ac:dyDescent="0.2">
      <c r="B4375" t="s">
        <v>35</v>
      </c>
      <c r="C4375">
        <v>40351275</v>
      </c>
      <c r="D4375" t="s">
        <v>389</v>
      </c>
      <c r="E4375">
        <v>1012681</v>
      </c>
      <c r="F4375" t="s">
        <v>449</v>
      </c>
      <c r="G4375" s="9">
        <v>44952</v>
      </c>
      <c r="H4375" s="7"/>
      <c r="I4375" s="7"/>
      <c r="J4375" s="7"/>
      <c r="K4375" s="7"/>
      <c r="L4375" s="10">
        <v>5.5741092456127026</v>
      </c>
      <c r="M4375" s="9">
        <v>44957</v>
      </c>
      <c r="N4375" s="10">
        <v>5.5</v>
      </c>
      <c r="O4375" s="9">
        <v>44962</v>
      </c>
      <c r="P4375">
        <v>20</v>
      </c>
      <c r="Q4375" s="11" t="s">
        <v>49</v>
      </c>
      <c r="R4375" s="7"/>
      <c r="S4375" s="7"/>
      <c r="T4375" s="7"/>
      <c r="U4375" s="7"/>
      <c r="V4375" s="10">
        <v>7.5741092456127026</v>
      </c>
      <c r="W4375" s="9">
        <v>44959</v>
      </c>
      <c r="X4375" s="10">
        <v>7.5</v>
      </c>
      <c r="Y4375" s="9">
        <v>44962</v>
      </c>
      <c r="Z4375">
        <v>20</v>
      </c>
      <c r="AA4375" s="11" t="s">
        <v>49</v>
      </c>
    </row>
    <row r="4376" spans="2:27" ht="16" x14ac:dyDescent="0.2">
      <c r="B4376" t="s">
        <v>35</v>
      </c>
      <c r="C4376">
        <v>40351274</v>
      </c>
      <c r="D4376" t="s">
        <v>389</v>
      </c>
      <c r="E4376">
        <v>1012434</v>
      </c>
      <c r="F4376" t="s">
        <v>239</v>
      </c>
      <c r="G4376" s="9">
        <v>44936</v>
      </c>
      <c r="H4376" s="7"/>
      <c r="I4376" s="7"/>
      <c r="J4376" s="7"/>
      <c r="K4376" s="7"/>
      <c r="L4376" s="10">
        <v>5.5741092456127026</v>
      </c>
      <c r="M4376" s="9">
        <v>44941</v>
      </c>
      <c r="N4376" s="10">
        <v>5.5</v>
      </c>
      <c r="O4376" s="9">
        <v>44946</v>
      </c>
      <c r="P4376">
        <v>7</v>
      </c>
      <c r="Q4376" s="11" t="s">
        <v>49</v>
      </c>
      <c r="R4376" s="7"/>
      <c r="S4376" s="7"/>
      <c r="T4376" s="7"/>
      <c r="U4376" s="7"/>
      <c r="V4376" s="10">
        <v>7.5741092456127026</v>
      </c>
      <c r="W4376" s="9">
        <v>44943</v>
      </c>
      <c r="X4376" s="10">
        <v>7.5</v>
      </c>
      <c r="Y4376" s="9">
        <v>44946</v>
      </c>
      <c r="Z4376">
        <v>7</v>
      </c>
      <c r="AA4376" s="11" t="s">
        <v>49</v>
      </c>
    </row>
    <row r="4377" spans="2:27" ht="16" x14ac:dyDescent="0.2">
      <c r="B4377" t="s">
        <v>35</v>
      </c>
      <c r="C4377">
        <v>40351264</v>
      </c>
      <c r="D4377" t="s">
        <v>389</v>
      </c>
      <c r="E4377">
        <v>1011586</v>
      </c>
      <c r="F4377" t="s">
        <v>420</v>
      </c>
      <c r="G4377" s="9">
        <v>44955</v>
      </c>
      <c r="H4377" s="7"/>
      <c r="I4377" s="7"/>
      <c r="J4377" s="7"/>
      <c r="K4377" s="7"/>
      <c r="L4377" s="10">
        <v>5.5741092456127026</v>
      </c>
      <c r="M4377" s="9">
        <v>44960</v>
      </c>
      <c r="N4377" s="10">
        <v>5.5</v>
      </c>
      <c r="O4377" s="9">
        <v>44965</v>
      </c>
      <c r="P4377">
        <v>17</v>
      </c>
      <c r="Q4377" s="11" t="s">
        <v>49</v>
      </c>
      <c r="R4377" s="7"/>
      <c r="S4377" s="7"/>
      <c r="T4377" s="7"/>
      <c r="U4377" s="7"/>
      <c r="V4377" s="10">
        <v>7.5741092456127026</v>
      </c>
      <c r="W4377" s="9">
        <v>44962</v>
      </c>
      <c r="X4377" s="10">
        <v>7.5</v>
      </c>
      <c r="Y4377" s="9">
        <v>44965</v>
      </c>
      <c r="Z4377">
        <v>17</v>
      </c>
      <c r="AA4377" s="11" t="s">
        <v>49</v>
      </c>
    </row>
    <row r="4378" spans="2:27" ht="16" x14ac:dyDescent="0.2">
      <c r="B4378" t="s">
        <v>35</v>
      </c>
      <c r="C4378">
        <v>40351263</v>
      </c>
      <c r="D4378" t="s">
        <v>389</v>
      </c>
      <c r="E4378">
        <v>1011586</v>
      </c>
      <c r="F4378" t="s">
        <v>420</v>
      </c>
      <c r="G4378" s="9">
        <v>44956</v>
      </c>
      <c r="H4378" s="7"/>
      <c r="I4378" s="7"/>
      <c r="J4378" s="7"/>
      <c r="K4378" s="7"/>
      <c r="L4378" s="10">
        <v>5.5741092456127026</v>
      </c>
      <c r="M4378" s="9">
        <v>44961</v>
      </c>
      <c r="N4378" s="10">
        <v>5.5</v>
      </c>
      <c r="O4378" s="9">
        <v>44966</v>
      </c>
      <c r="P4378">
        <v>16</v>
      </c>
      <c r="Q4378" s="11" t="s">
        <v>49</v>
      </c>
      <c r="R4378" s="7"/>
      <c r="S4378" s="7"/>
      <c r="T4378" s="7"/>
      <c r="U4378" s="7"/>
      <c r="V4378" s="10">
        <v>7.5741092456127026</v>
      </c>
      <c r="W4378" s="9">
        <v>44963</v>
      </c>
      <c r="X4378" s="10">
        <v>7.5</v>
      </c>
      <c r="Y4378" s="9">
        <v>44966</v>
      </c>
      <c r="Z4378">
        <v>16</v>
      </c>
      <c r="AA4378" s="11" t="s">
        <v>49</v>
      </c>
    </row>
    <row r="4379" spans="2:27" ht="16" x14ac:dyDescent="0.2">
      <c r="B4379" t="s">
        <v>35</v>
      </c>
      <c r="C4379">
        <v>40351262</v>
      </c>
      <c r="D4379" t="s">
        <v>389</v>
      </c>
      <c r="E4379">
        <v>1011586</v>
      </c>
      <c r="F4379" t="s">
        <v>420</v>
      </c>
      <c r="G4379" s="9">
        <v>44945</v>
      </c>
      <c r="H4379" s="7"/>
      <c r="I4379" s="7"/>
      <c r="J4379" s="7"/>
      <c r="K4379" s="7"/>
      <c r="L4379" s="10">
        <v>5.5741092456127026</v>
      </c>
      <c r="M4379" s="9">
        <v>44950</v>
      </c>
      <c r="N4379" s="10">
        <v>5.5</v>
      </c>
      <c r="O4379" s="9">
        <v>44955</v>
      </c>
      <c r="P4379">
        <v>2</v>
      </c>
      <c r="Q4379" s="11" t="s">
        <v>648</v>
      </c>
      <c r="R4379" s="7"/>
      <c r="S4379" s="7"/>
      <c r="T4379" s="7"/>
      <c r="U4379" s="7"/>
      <c r="V4379" s="10">
        <v>7.5741092456127026</v>
      </c>
      <c r="W4379" s="9">
        <v>44952</v>
      </c>
      <c r="X4379" s="10">
        <v>7.5</v>
      </c>
      <c r="Y4379" s="9">
        <v>44955</v>
      </c>
      <c r="Z4379">
        <v>2</v>
      </c>
      <c r="AA4379" s="11" t="s">
        <v>648</v>
      </c>
    </row>
    <row r="4380" spans="2:27" ht="16" x14ac:dyDescent="0.2">
      <c r="B4380" t="s">
        <v>35</v>
      </c>
      <c r="C4380">
        <v>40351257</v>
      </c>
      <c r="D4380" t="s">
        <v>389</v>
      </c>
      <c r="E4380">
        <v>1012455</v>
      </c>
      <c r="F4380" t="s">
        <v>450</v>
      </c>
      <c r="G4380" s="9">
        <v>44947</v>
      </c>
      <c r="H4380" s="7"/>
      <c r="I4380" s="7"/>
      <c r="J4380" s="7"/>
      <c r="K4380" s="7"/>
      <c r="L4380" s="10">
        <v>5.5741092456127026</v>
      </c>
      <c r="M4380" s="9">
        <v>44952</v>
      </c>
      <c r="N4380" s="10">
        <v>5.5</v>
      </c>
      <c r="O4380" s="9">
        <v>44957</v>
      </c>
      <c r="P4380">
        <v>0</v>
      </c>
      <c r="Q4380" s="11" t="s">
        <v>648</v>
      </c>
      <c r="R4380" s="7"/>
      <c r="S4380" s="7"/>
      <c r="T4380" s="7"/>
      <c r="U4380" s="7"/>
      <c r="V4380" s="10">
        <v>7.5741092456127026</v>
      </c>
      <c r="W4380" s="9">
        <v>44954</v>
      </c>
      <c r="X4380" s="10">
        <v>7.5</v>
      </c>
      <c r="Y4380" s="9">
        <v>44957</v>
      </c>
      <c r="Z4380">
        <v>0</v>
      </c>
      <c r="AA4380" s="11" t="s">
        <v>648</v>
      </c>
    </row>
    <row r="4381" spans="2:27" ht="16" x14ac:dyDescent="0.2">
      <c r="B4381" t="s">
        <v>35</v>
      </c>
      <c r="C4381">
        <v>40351256</v>
      </c>
      <c r="D4381" t="s">
        <v>389</v>
      </c>
      <c r="E4381">
        <v>1012455</v>
      </c>
      <c r="F4381" t="s">
        <v>450</v>
      </c>
      <c r="G4381" s="9">
        <v>44940</v>
      </c>
      <c r="H4381" s="7"/>
      <c r="I4381" s="7"/>
      <c r="J4381" s="7"/>
      <c r="K4381" s="7"/>
      <c r="L4381" s="10">
        <v>5.5741092456127026</v>
      </c>
      <c r="M4381" s="9">
        <v>44945</v>
      </c>
      <c r="N4381" s="10">
        <v>5.5</v>
      </c>
      <c r="O4381" s="9">
        <v>44950</v>
      </c>
      <c r="P4381">
        <v>6</v>
      </c>
      <c r="Q4381" s="11" t="s">
        <v>49</v>
      </c>
      <c r="R4381" s="7"/>
      <c r="S4381" s="7"/>
      <c r="T4381" s="7"/>
      <c r="U4381" s="7"/>
      <c r="V4381" s="10">
        <v>7.5741092456127026</v>
      </c>
      <c r="W4381" s="9">
        <v>44947</v>
      </c>
      <c r="X4381" s="10">
        <v>7.5</v>
      </c>
      <c r="Y4381" s="9">
        <v>44950</v>
      </c>
      <c r="Z4381">
        <v>6</v>
      </c>
      <c r="AA4381" s="11" t="s">
        <v>49</v>
      </c>
    </row>
    <row r="4382" spans="2:27" ht="16" x14ac:dyDescent="0.2">
      <c r="B4382" t="s">
        <v>35</v>
      </c>
      <c r="C4382">
        <v>40351226</v>
      </c>
      <c r="D4382" t="s">
        <v>386</v>
      </c>
      <c r="E4382">
        <v>1023386</v>
      </c>
      <c r="F4382" t="s">
        <v>666</v>
      </c>
      <c r="G4382" s="9">
        <v>44966</v>
      </c>
      <c r="H4382" s="7"/>
      <c r="I4382" s="7"/>
      <c r="J4382" s="7"/>
      <c r="K4382" s="7"/>
      <c r="L4382" s="10">
        <v>5.1420118343195256</v>
      </c>
      <c r="M4382" s="9">
        <v>44971</v>
      </c>
      <c r="N4382" s="10">
        <v>7.5</v>
      </c>
      <c r="O4382" s="9">
        <v>44978</v>
      </c>
      <c r="P4382">
        <v>6</v>
      </c>
      <c r="Q4382" s="11" t="s">
        <v>49</v>
      </c>
      <c r="R4382" s="7"/>
      <c r="S4382" s="7"/>
      <c r="T4382" s="7"/>
      <c r="U4382" s="7"/>
      <c r="V4382" s="10">
        <v>7.1420118343195256</v>
      </c>
      <c r="W4382" s="9">
        <v>44973</v>
      </c>
      <c r="X4382" s="10">
        <v>9.5</v>
      </c>
      <c r="Y4382" s="9">
        <v>44978</v>
      </c>
      <c r="Z4382">
        <v>6</v>
      </c>
      <c r="AA4382" s="11" t="s">
        <v>49</v>
      </c>
    </row>
    <row r="4383" spans="2:27" ht="16" x14ac:dyDescent="0.2">
      <c r="B4383" t="s">
        <v>35</v>
      </c>
      <c r="C4383">
        <v>40351226</v>
      </c>
      <c r="D4383" t="s">
        <v>386</v>
      </c>
      <c r="E4383">
        <v>1022097</v>
      </c>
      <c r="F4383" t="s">
        <v>568</v>
      </c>
      <c r="G4383" s="9">
        <v>44966</v>
      </c>
      <c r="H4383" s="7"/>
      <c r="I4383" s="7"/>
      <c r="J4383" s="7"/>
      <c r="K4383" s="7"/>
      <c r="L4383" s="10">
        <v>5.1420118343195256</v>
      </c>
      <c r="M4383" s="9">
        <v>44971</v>
      </c>
      <c r="N4383" s="10">
        <v>7.5</v>
      </c>
      <c r="O4383" s="9">
        <v>44978</v>
      </c>
      <c r="P4383">
        <v>6</v>
      </c>
      <c r="Q4383" s="11" t="s">
        <v>49</v>
      </c>
      <c r="R4383" s="7"/>
      <c r="S4383" s="7"/>
      <c r="T4383" s="7"/>
      <c r="U4383" s="7"/>
      <c r="V4383" s="10">
        <v>7.1420118343195256</v>
      </c>
      <c r="W4383" s="9">
        <v>44973</v>
      </c>
      <c r="X4383" s="10">
        <v>9.5</v>
      </c>
      <c r="Y4383" s="9">
        <v>44978</v>
      </c>
      <c r="Z4383">
        <v>6</v>
      </c>
      <c r="AA4383" s="11" t="s">
        <v>49</v>
      </c>
    </row>
    <row r="4384" spans="2:27" ht="16" x14ac:dyDescent="0.2">
      <c r="B4384" t="s">
        <v>35</v>
      </c>
      <c r="C4384">
        <v>40351225</v>
      </c>
      <c r="D4384" t="s">
        <v>386</v>
      </c>
      <c r="E4384">
        <v>1030279</v>
      </c>
      <c r="F4384" t="s">
        <v>461</v>
      </c>
      <c r="G4384" s="9">
        <v>44944</v>
      </c>
      <c r="H4384" s="7"/>
      <c r="I4384" s="7"/>
      <c r="J4384" s="7"/>
      <c r="K4384" s="7"/>
      <c r="L4384" s="10">
        <v>5.1420118343195256</v>
      </c>
      <c r="M4384" s="9">
        <v>44949</v>
      </c>
      <c r="N4384" s="10">
        <v>7.5</v>
      </c>
      <c r="O4384" s="9">
        <v>44956</v>
      </c>
      <c r="P4384">
        <v>1</v>
      </c>
      <c r="Q4384" s="11" t="s">
        <v>648</v>
      </c>
      <c r="R4384" s="7"/>
      <c r="S4384" s="7"/>
      <c r="T4384" s="7"/>
      <c r="U4384" s="7"/>
      <c r="V4384" s="10">
        <v>7.1420118343195256</v>
      </c>
      <c r="W4384" s="9">
        <v>44951</v>
      </c>
      <c r="X4384" s="10">
        <v>9.5</v>
      </c>
      <c r="Y4384" s="9">
        <v>44956</v>
      </c>
      <c r="Z4384">
        <v>1</v>
      </c>
      <c r="AA4384" s="11" t="s">
        <v>648</v>
      </c>
    </row>
    <row r="4385" spans="2:27" ht="16" x14ac:dyDescent="0.2">
      <c r="B4385" t="s">
        <v>35</v>
      </c>
      <c r="C4385">
        <v>40351224</v>
      </c>
      <c r="D4385" t="s">
        <v>386</v>
      </c>
      <c r="E4385">
        <v>1030265</v>
      </c>
      <c r="F4385" t="s">
        <v>367</v>
      </c>
      <c r="G4385" s="9">
        <v>44944</v>
      </c>
      <c r="H4385" s="7"/>
      <c r="I4385" s="7"/>
      <c r="J4385" s="7"/>
      <c r="K4385" s="7"/>
      <c r="L4385" s="10">
        <v>5.1420118343195256</v>
      </c>
      <c r="M4385" s="9">
        <v>44949</v>
      </c>
      <c r="N4385" s="10">
        <v>7.5</v>
      </c>
      <c r="O4385" s="9">
        <v>44956</v>
      </c>
      <c r="P4385">
        <v>1</v>
      </c>
      <c r="Q4385" s="11" t="s">
        <v>648</v>
      </c>
      <c r="R4385" s="7"/>
      <c r="S4385" s="7"/>
      <c r="T4385" s="7"/>
      <c r="U4385" s="7"/>
      <c r="V4385" s="10">
        <v>7.1420118343195256</v>
      </c>
      <c r="W4385" s="9">
        <v>44951</v>
      </c>
      <c r="X4385" s="10">
        <v>9.5</v>
      </c>
      <c r="Y4385" s="9">
        <v>44956</v>
      </c>
      <c r="Z4385">
        <v>1</v>
      </c>
      <c r="AA4385" s="11" t="s">
        <v>648</v>
      </c>
    </row>
    <row r="4386" spans="2:27" ht="16" x14ac:dyDescent="0.2">
      <c r="B4386" t="s">
        <v>35</v>
      </c>
      <c r="C4386">
        <v>40351222</v>
      </c>
      <c r="D4386" t="s">
        <v>386</v>
      </c>
      <c r="E4386">
        <v>1020853</v>
      </c>
      <c r="F4386" t="s">
        <v>262</v>
      </c>
      <c r="G4386" s="9">
        <v>44939</v>
      </c>
      <c r="H4386" s="7"/>
      <c r="I4386" s="7"/>
      <c r="J4386" s="7"/>
      <c r="K4386" s="7"/>
      <c r="L4386" s="10">
        <v>5.1420118343195256</v>
      </c>
      <c r="M4386" s="9">
        <v>44944</v>
      </c>
      <c r="N4386" s="10">
        <v>7.5</v>
      </c>
      <c r="O4386" s="9">
        <v>44951</v>
      </c>
      <c r="P4386">
        <v>5</v>
      </c>
      <c r="Q4386" s="11" t="s">
        <v>49</v>
      </c>
      <c r="R4386" s="7"/>
      <c r="S4386" s="7"/>
      <c r="T4386" s="7"/>
      <c r="U4386" s="7"/>
      <c r="V4386" s="10">
        <v>7.1420118343195256</v>
      </c>
      <c r="W4386" s="9">
        <v>44946</v>
      </c>
      <c r="X4386" s="10">
        <v>9.5</v>
      </c>
      <c r="Y4386" s="9">
        <v>44951</v>
      </c>
      <c r="Z4386">
        <v>5</v>
      </c>
      <c r="AA4386" s="11" t="s">
        <v>49</v>
      </c>
    </row>
    <row r="4387" spans="2:27" ht="16" x14ac:dyDescent="0.2">
      <c r="B4387" t="s">
        <v>35</v>
      </c>
      <c r="C4387">
        <v>40351222</v>
      </c>
      <c r="D4387" t="s">
        <v>386</v>
      </c>
      <c r="E4387">
        <v>1020853</v>
      </c>
      <c r="F4387" t="s">
        <v>262</v>
      </c>
      <c r="G4387" s="9">
        <v>44939</v>
      </c>
      <c r="H4387" s="7"/>
      <c r="I4387" s="7"/>
      <c r="J4387" s="7"/>
      <c r="K4387" s="7"/>
      <c r="L4387" s="10">
        <v>5.1420118343195256</v>
      </c>
      <c r="M4387" s="9">
        <v>44944</v>
      </c>
      <c r="N4387" s="10">
        <v>7.5</v>
      </c>
      <c r="O4387" s="9">
        <v>44951</v>
      </c>
      <c r="P4387">
        <v>5</v>
      </c>
      <c r="Q4387" s="11" t="s">
        <v>49</v>
      </c>
      <c r="R4387" s="7"/>
      <c r="S4387" s="7"/>
      <c r="T4387" s="7"/>
      <c r="U4387" s="7"/>
      <c r="V4387" s="10">
        <v>7.1420118343195256</v>
      </c>
      <c r="W4387" s="9">
        <v>44946</v>
      </c>
      <c r="X4387" s="10">
        <v>9.5</v>
      </c>
      <c r="Y4387" s="9">
        <v>44951</v>
      </c>
      <c r="Z4387">
        <v>5</v>
      </c>
      <c r="AA4387" s="11" t="s">
        <v>49</v>
      </c>
    </row>
    <row r="4388" spans="2:27" ht="16" x14ac:dyDescent="0.2">
      <c r="B4388" t="s">
        <v>35</v>
      </c>
      <c r="C4388">
        <v>40351221</v>
      </c>
      <c r="D4388" t="s">
        <v>386</v>
      </c>
      <c r="E4388">
        <v>1020853</v>
      </c>
      <c r="F4388" t="s">
        <v>262</v>
      </c>
      <c r="G4388" s="9">
        <v>44934</v>
      </c>
      <c r="H4388" s="7"/>
      <c r="I4388" s="7"/>
      <c r="J4388" s="7"/>
      <c r="K4388" s="7"/>
      <c r="L4388" s="10">
        <v>5.1420118343195256</v>
      </c>
      <c r="M4388" s="9">
        <v>44939</v>
      </c>
      <c r="N4388" s="10">
        <v>7.5</v>
      </c>
      <c r="O4388" s="9">
        <v>44946</v>
      </c>
      <c r="P4388">
        <v>9</v>
      </c>
      <c r="Q4388" s="11" t="s">
        <v>49</v>
      </c>
      <c r="R4388" s="7"/>
      <c r="S4388" s="7"/>
      <c r="T4388" s="7"/>
      <c r="U4388" s="7"/>
      <c r="V4388" s="10">
        <v>7.1420118343195256</v>
      </c>
      <c r="W4388" s="9">
        <v>44941</v>
      </c>
      <c r="X4388" s="10">
        <v>9.5</v>
      </c>
      <c r="Y4388" s="9">
        <v>44946</v>
      </c>
      <c r="Z4388">
        <v>9</v>
      </c>
      <c r="AA4388" s="11" t="s">
        <v>49</v>
      </c>
    </row>
    <row r="4389" spans="2:27" ht="16" x14ac:dyDescent="0.2">
      <c r="B4389" t="s">
        <v>35</v>
      </c>
      <c r="C4389">
        <v>40351221</v>
      </c>
      <c r="D4389" t="s">
        <v>386</v>
      </c>
      <c r="E4389">
        <v>1020853</v>
      </c>
      <c r="F4389" t="s">
        <v>262</v>
      </c>
      <c r="G4389" s="9">
        <v>44934</v>
      </c>
      <c r="H4389" s="7"/>
      <c r="I4389" s="7"/>
      <c r="J4389" s="7"/>
      <c r="K4389" s="7"/>
      <c r="L4389" s="10">
        <v>5.1420118343195256</v>
      </c>
      <c r="M4389" s="9">
        <v>44939</v>
      </c>
      <c r="N4389" s="10">
        <v>7.5</v>
      </c>
      <c r="O4389" s="9">
        <v>44946</v>
      </c>
      <c r="P4389">
        <v>9</v>
      </c>
      <c r="Q4389" s="11" t="s">
        <v>49</v>
      </c>
      <c r="R4389" s="7"/>
      <c r="S4389" s="7"/>
      <c r="T4389" s="7"/>
      <c r="U4389" s="7"/>
      <c r="V4389" s="10">
        <v>7.1420118343195256</v>
      </c>
      <c r="W4389" s="9">
        <v>44941</v>
      </c>
      <c r="X4389" s="10">
        <v>9.5</v>
      </c>
      <c r="Y4389" s="9">
        <v>44946</v>
      </c>
      <c r="Z4389">
        <v>9</v>
      </c>
      <c r="AA4389" s="11" t="s">
        <v>49</v>
      </c>
    </row>
    <row r="4390" spans="2:27" ht="16" x14ac:dyDescent="0.2">
      <c r="B4390" t="s">
        <v>35</v>
      </c>
      <c r="C4390">
        <v>40351220</v>
      </c>
      <c r="D4390" t="s">
        <v>386</v>
      </c>
      <c r="E4390">
        <v>1020853</v>
      </c>
      <c r="F4390" t="s">
        <v>262</v>
      </c>
      <c r="G4390" s="9">
        <v>44933</v>
      </c>
      <c r="H4390" s="7"/>
      <c r="I4390" s="7"/>
      <c r="J4390" s="7"/>
      <c r="K4390" s="7"/>
      <c r="L4390" s="10">
        <v>5.1420118343195256</v>
      </c>
      <c r="M4390" s="9">
        <v>44938</v>
      </c>
      <c r="N4390" s="10">
        <v>7.5</v>
      </c>
      <c r="O4390" s="9">
        <v>44945</v>
      </c>
      <c r="P4390">
        <v>10</v>
      </c>
      <c r="Q4390" s="11" t="s">
        <v>49</v>
      </c>
      <c r="R4390" s="7"/>
      <c r="S4390" s="7"/>
      <c r="T4390" s="7"/>
      <c r="U4390" s="7"/>
      <c r="V4390" s="10">
        <v>7.1420118343195256</v>
      </c>
      <c r="W4390" s="9">
        <v>44940</v>
      </c>
      <c r="X4390" s="10">
        <v>9.5</v>
      </c>
      <c r="Y4390" s="9">
        <v>44945</v>
      </c>
      <c r="Z4390">
        <v>10</v>
      </c>
      <c r="AA4390" s="11" t="s">
        <v>49</v>
      </c>
    </row>
    <row r="4391" spans="2:27" ht="16" x14ac:dyDescent="0.2">
      <c r="B4391" t="s">
        <v>35</v>
      </c>
      <c r="C4391">
        <v>40350756</v>
      </c>
      <c r="D4391" t="s">
        <v>409</v>
      </c>
      <c r="E4391">
        <v>1030683</v>
      </c>
      <c r="F4391" t="s">
        <v>667</v>
      </c>
      <c r="G4391" s="9">
        <v>44935</v>
      </c>
      <c r="H4391" s="7"/>
      <c r="I4391" s="7"/>
      <c r="J4391" s="7"/>
      <c r="K4391" s="7"/>
      <c r="L4391" s="10">
        <v>7.5</v>
      </c>
      <c r="M4391" s="9">
        <v>44942</v>
      </c>
      <c r="N4391" s="10">
        <v>9.5</v>
      </c>
      <c r="O4391" s="9">
        <v>44951</v>
      </c>
      <c r="P4391">
        <v>5</v>
      </c>
      <c r="Q4391" s="11" t="s">
        <v>49</v>
      </c>
      <c r="R4391" s="7"/>
      <c r="S4391" s="7"/>
      <c r="T4391" s="7"/>
      <c r="U4391" s="7"/>
      <c r="V4391" s="10">
        <v>9.5</v>
      </c>
      <c r="W4391" s="9">
        <v>44944</v>
      </c>
      <c r="X4391" s="10">
        <v>11.5</v>
      </c>
      <c r="Y4391" s="9">
        <v>44951</v>
      </c>
      <c r="Z4391">
        <v>5</v>
      </c>
      <c r="AA4391" s="11" t="s">
        <v>49</v>
      </c>
    </row>
    <row r="4392" spans="2:27" ht="16" x14ac:dyDescent="0.2">
      <c r="B4392" t="s">
        <v>35</v>
      </c>
      <c r="C4392">
        <v>40350755</v>
      </c>
      <c r="D4392" t="s">
        <v>409</v>
      </c>
      <c r="E4392">
        <v>1030683</v>
      </c>
      <c r="F4392" t="s">
        <v>667</v>
      </c>
      <c r="G4392" s="9">
        <v>44920</v>
      </c>
      <c r="H4392" s="7"/>
      <c r="I4392" s="7"/>
      <c r="J4392" s="7"/>
      <c r="K4392" s="7"/>
      <c r="L4392" s="10">
        <v>7.5</v>
      </c>
      <c r="M4392" s="9">
        <v>44927</v>
      </c>
      <c r="N4392" s="10">
        <v>9.5</v>
      </c>
      <c r="O4392" s="9">
        <v>44936</v>
      </c>
      <c r="P4392">
        <v>17</v>
      </c>
      <c r="Q4392" s="11" t="s">
        <v>49</v>
      </c>
      <c r="R4392" s="7"/>
      <c r="S4392" s="7"/>
      <c r="T4392" s="7"/>
      <c r="U4392" s="7"/>
      <c r="V4392" s="10">
        <v>9.5</v>
      </c>
      <c r="W4392" s="9">
        <v>44929</v>
      </c>
      <c r="X4392" s="10">
        <v>11.5</v>
      </c>
      <c r="Y4392" s="9">
        <v>44936</v>
      </c>
      <c r="Z4392">
        <v>17</v>
      </c>
      <c r="AA4392" s="11" t="s">
        <v>49</v>
      </c>
    </row>
    <row r="4393" spans="2:27" ht="16" x14ac:dyDescent="0.2">
      <c r="B4393" t="s">
        <v>35</v>
      </c>
      <c r="C4393">
        <v>40350242</v>
      </c>
      <c r="D4393" t="s">
        <v>423</v>
      </c>
      <c r="E4393">
        <v>1030658</v>
      </c>
      <c r="F4393" t="s">
        <v>371</v>
      </c>
      <c r="G4393" s="9">
        <v>44919</v>
      </c>
      <c r="H4393" s="7"/>
      <c r="I4393" s="7"/>
      <c r="J4393" s="7"/>
      <c r="K4393" s="7"/>
      <c r="L4393" s="10">
        <v>5.4496124031007751</v>
      </c>
      <c r="M4393" s="9">
        <v>44924</v>
      </c>
      <c r="N4393" s="10">
        <v>10</v>
      </c>
      <c r="O4393" s="9">
        <v>44934</v>
      </c>
      <c r="P4393">
        <v>20</v>
      </c>
      <c r="Q4393" s="11" t="s">
        <v>49</v>
      </c>
      <c r="R4393" s="7"/>
      <c r="S4393" s="7"/>
      <c r="T4393" s="7"/>
      <c r="U4393" s="7"/>
      <c r="V4393" s="10">
        <v>7.4496124031007751</v>
      </c>
      <c r="W4393" s="9">
        <v>44926</v>
      </c>
      <c r="X4393" s="10">
        <v>12</v>
      </c>
      <c r="Y4393" s="9">
        <v>44934</v>
      </c>
      <c r="Z4393">
        <v>20</v>
      </c>
      <c r="AA4393" s="11" t="s">
        <v>49</v>
      </c>
    </row>
    <row r="4394" spans="2:27" x14ac:dyDescent="0.2">
      <c r="B4394" t="s">
        <v>394</v>
      </c>
      <c r="C4394">
        <v>40350185</v>
      </c>
      <c r="D4394" t="s">
        <v>485</v>
      </c>
      <c r="E4394">
        <v>1022150</v>
      </c>
      <c r="F4394" t="s">
        <v>500</v>
      </c>
      <c r="G4394" s="9">
        <v>44913</v>
      </c>
      <c r="H4394" s="7"/>
      <c r="I4394" s="7"/>
      <c r="J4394" s="7"/>
      <c r="K4394" s="7"/>
      <c r="L4394" s="10"/>
      <c r="N4394" s="10"/>
      <c r="Q4394" s="11"/>
      <c r="R4394" s="7"/>
      <c r="S4394" s="7"/>
      <c r="T4394" s="7"/>
      <c r="U4394" s="7"/>
      <c r="V4394" s="10"/>
      <c r="X4394" s="10"/>
      <c r="AA4394" s="11"/>
    </row>
    <row r="4395" spans="2:27" x14ac:dyDescent="0.2">
      <c r="B4395" t="s">
        <v>394</v>
      </c>
      <c r="C4395">
        <v>40350184</v>
      </c>
      <c r="D4395" t="s">
        <v>485</v>
      </c>
      <c r="E4395">
        <v>1022150</v>
      </c>
      <c r="F4395" t="s">
        <v>500</v>
      </c>
      <c r="G4395" s="9">
        <v>44913</v>
      </c>
      <c r="H4395" s="7"/>
      <c r="I4395" s="7"/>
      <c r="J4395" s="7"/>
      <c r="K4395" s="7"/>
      <c r="L4395" s="10"/>
      <c r="N4395" s="10"/>
      <c r="Q4395" s="11"/>
      <c r="R4395" s="7"/>
      <c r="S4395" s="7"/>
      <c r="T4395" s="7"/>
      <c r="U4395" s="7"/>
      <c r="V4395" s="10"/>
      <c r="X4395" s="10"/>
      <c r="AA4395" s="11"/>
    </row>
    <row r="4396" spans="2:27" x14ac:dyDescent="0.2">
      <c r="B4396" t="s">
        <v>394</v>
      </c>
      <c r="C4396">
        <v>40350182</v>
      </c>
      <c r="D4396" t="s">
        <v>485</v>
      </c>
      <c r="E4396">
        <v>1021385</v>
      </c>
      <c r="F4396" t="s">
        <v>495</v>
      </c>
      <c r="G4396" s="9">
        <v>44921</v>
      </c>
      <c r="H4396" s="7"/>
      <c r="I4396" s="7"/>
      <c r="J4396" s="7"/>
      <c r="K4396" s="7"/>
      <c r="L4396" s="10"/>
      <c r="N4396" s="10"/>
      <c r="Q4396" s="11"/>
      <c r="R4396" s="7"/>
      <c r="S4396" s="7"/>
      <c r="T4396" s="7"/>
      <c r="U4396" s="7"/>
      <c r="V4396" s="10"/>
      <c r="X4396" s="10"/>
      <c r="AA4396" s="11"/>
    </row>
    <row r="4397" spans="2:27" ht="16" x14ac:dyDescent="0.2">
      <c r="B4397" t="s">
        <v>35</v>
      </c>
      <c r="C4397">
        <v>40346421</v>
      </c>
      <c r="D4397" t="s">
        <v>389</v>
      </c>
      <c r="E4397">
        <v>1022636</v>
      </c>
      <c r="F4397" t="s">
        <v>312</v>
      </c>
      <c r="G4397" s="9">
        <v>45279</v>
      </c>
      <c r="H4397" s="7"/>
      <c r="I4397" s="7"/>
      <c r="J4397" s="7"/>
      <c r="K4397" s="7"/>
      <c r="L4397" s="10">
        <v>5.5741092456127026</v>
      </c>
      <c r="M4397" s="9">
        <v>45284</v>
      </c>
      <c r="N4397" s="10">
        <v>5.5</v>
      </c>
      <c r="O4397" s="9">
        <v>45289</v>
      </c>
      <c r="P4397">
        <v>1</v>
      </c>
      <c r="Q4397" s="11" t="s">
        <v>652</v>
      </c>
      <c r="R4397" s="7"/>
      <c r="S4397" s="7"/>
      <c r="T4397" s="7"/>
      <c r="U4397" s="7"/>
      <c r="V4397" s="10">
        <v>7.5741092456127026</v>
      </c>
      <c r="W4397" s="9">
        <v>45286</v>
      </c>
      <c r="X4397" s="10">
        <v>7.5</v>
      </c>
      <c r="Y4397" s="9">
        <v>45289</v>
      </c>
      <c r="Z4397">
        <v>1</v>
      </c>
      <c r="AA4397" s="11" t="s">
        <v>652</v>
      </c>
    </row>
    <row r="4398" spans="2:27" ht="16" x14ac:dyDescent="0.2">
      <c r="B4398" t="s">
        <v>35</v>
      </c>
      <c r="C4398">
        <v>40351409</v>
      </c>
      <c r="D4398" t="s">
        <v>389</v>
      </c>
      <c r="E4398">
        <v>1022183</v>
      </c>
      <c r="F4398" t="s">
        <v>165</v>
      </c>
      <c r="G4398" s="9">
        <v>45278</v>
      </c>
      <c r="H4398" s="7"/>
      <c r="I4398" s="7"/>
      <c r="J4398" s="7"/>
      <c r="K4398" s="7"/>
      <c r="L4398" s="10">
        <v>5.5741092456127026</v>
      </c>
      <c r="M4398" s="9">
        <v>45283</v>
      </c>
      <c r="N4398" s="10">
        <v>5.5</v>
      </c>
      <c r="O4398" s="9">
        <v>45288</v>
      </c>
      <c r="P4398">
        <v>2</v>
      </c>
      <c r="Q4398" s="11" t="s">
        <v>652</v>
      </c>
      <c r="R4398" s="7"/>
      <c r="S4398" s="7"/>
      <c r="T4398" s="7"/>
      <c r="U4398" s="7"/>
      <c r="V4398" s="10">
        <v>7.5741092456127026</v>
      </c>
      <c r="W4398" s="9">
        <v>45285</v>
      </c>
      <c r="X4398" s="10">
        <v>7.5</v>
      </c>
      <c r="Y4398" s="9">
        <v>45288</v>
      </c>
      <c r="Z4398">
        <v>2</v>
      </c>
      <c r="AA4398" s="11" t="s">
        <v>652</v>
      </c>
    </row>
    <row r="4399" spans="2:27" ht="16" x14ac:dyDescent="0.2">
      <c r="B4399" t="s">
        <v>35</v>
      </c>
      <c r="C4399">
        <v>40351634</v>
      </c>
      <c r="D4399" t="s">
        <v>389</v>
      </c>
      <c r="E4399">
        <v>1022851</v>
      </c>
      <c r="F4399" t="s">
        <v>322</v>
      </c>
      <c r="G4399" s="9">
        <v>45277</v>
      </c>
      <c r="H4399" s="7"/>
      <c r="I4399" s="7"/>
      <c r="J4399" s="7"/>
      <c r="K4399" s="7"/>
      <c r="L4399" s="10">
        <v>5.5741092456127026</v>
      </c>
      <c r="M4399" s="9">
        <v>45282</v>
      </c>
      <c r="N4399" s="10">
        <v>5.5</v>
      </c>
      <c r="O4399" s="9">
        <v>45287</v>
      </c>
      <c r="P4399">
        <v>3</v>
      </c>
      <c r="Q4399" s="11" t="s">
        <v>49</v>
      </c>
      <c r="R4399" s="7"/>
      <c r="S4399" s="7"/>
      <c r="T4399" s="7"/>
      <c r="U4399" s="7"/>
      <c r="V4399" s="10">
        <v>7.5741092456127026</v>
      </c>
      <c r="W4399" s="9">
        <v>45284</v>
      </c>
      <c r="X4399" s="10">
        <v>7.5</v>
      </c>
      <c r="Y4399" s="9">
        <v>45287</v>
      </c>
      <c r="Z4399">
        <v>3</v>
      </c>
      <c r="AA4399" s="11" t="s">
        <v>49</v>
      </c>
    </row>
    <row r="4400" spans="2:27" x14ac:dyDescent="0.2">
      <c r="B4400" t="s">
        <v>394</v>
      </c>
      <c r="C4400">
        <v>40349808</v>
      </c>
      <c r="D4400" t="s">
        <v>485</v>
      </c>
      <c r="E4400">
        <v>1020944</v>
      </c>
      <c r="F4400" t="s">
        <v>498</v>
      </c>
      <c r="G4400" s="9">
        <v>44936</v>
      </c>
      <c r="H4400" s="7"/>
      <c r="I4400" s="7"/>
      <c r="J4400" s="7"/>
      <c r="K4400" s="7"/>
      <c r="L4400" s="10"/>
      <c r="N4400" s="10"/>
      <c r="Q4400" s="11"/>
      <c r="R4400" s="7"/>
      <c r="S4400" s="7"/>
      <c r="T4400" s="7"/>
      <c r="U4400" s="7"/>
      <c r="V4400" s="10"/>
      <c r="X4400" s="10"/>
      <c r="AA4400" s="11"/>
    </row>
    <row r="4401" spans="2:27" x14ac:dyDescent="0.2">
      <c r="B4401" t="s">
        <v>394</v>
      </c>
      <c r="C4401">
        <v>40349806</v>
      </c>
      <c r="D4401" t="s">
        <v>485</v>
      </c>
      <c r="E4401">
        <v>1012556</v>
      </c>
      <c r="F4401" t="s">
        <v>489</v>
      </c>
      <c r="G4401" s="9">
        <v>44942</v>
      </c>
      <c r="H4401" s="7"/>
      <c r="I4401" s="7"/>
      <c r="J4401" s="7"/>
      <c r="K4401" s="7"/>
      <c r="L4401" s="10"/>
      <c r="N4401" s="10"/>
      <c r="Q4401" s="11"/>
      <c r="R4401" s="7"/>
      <c r="S4401" s="7"/>
      <c r="T4401" s="7"/>
      <c r="U4401" s="7"/>
      <c r="V4401" s="10"/>
      <c r="X4401" s="10"/>
      <c r="AA4401" s="11"/>
    </row>
    <row r="4402" spans="2:27" x14ac:dyDescent="0.2">
      <c r="B4402" t="s">
        <v>394</v>
      </c>
      <c r="C4402">
        <v>40349724</v>
      </c>
      <c r="D4402" t="s">
        <v>485</v>
      </c>
      <c r="E4402">
        <v>1030817</v>
      </c>
      <c r="F4402" t="s">
        <v>504</v>
      </c>
      <c r="G4402" s="9">
        <v>44911</v>
      </c>
      <c r="H4402" s="7"/>
      <c r="I4402" s="7"/>
      <c r="J4402" s="7"/>
      <c r="K4402" s="7"/>
      <c r="L4402" s="10"/>
      <c r="N4402" s="10"/>
      <c r="Q4402" s="11"/>
      <c r="R4402" s="7"/>
      <c r="S4402" s="7"/>
      <c r="T4402" s="7"/>
      <c r="U4402" s="7"/>
      <c r="V4402" s="10"/>
      <c r="X4402" s="10"/>
      <c r="AA4402" s="11"/>
    </row>
    <row r="4403" spans="2:27" x14ac:dyDescent="0.2">
      <c r="B4403" t="s">
        <v>394</v>
      </c>
      <c r="C4403">
        <v>40349723</v>
      </c>
      <c r="D4403" t="s">
        <v>485</v>
      </c>
      <c r="E4403">
        <v>1030817</v>
      </c>
      <c r="F4403" t="s">
        <v>504</v>
      </c>
      <c r="G4403" s="9">
        <v>44927</v>
      </c>
      <c r="H4403" s="7"/>
      <c r="I4403" s="7"/>
      <c r="J4403" s="7"/>
      <c r="K4403" s="7"/>
      <c r="L4403" s="10"/>
      <c r="N4403" s="10"/>
      <c r="Q4403" s="11"/>
      <c r="R4403" s="7"/>
      <c r="S4403" s="7"/>
      <c r="T4403" s="7"/>
      <c r="U4403" s="7"/>
      <c r="V4403" s="10"/>
      <c r="X4403" s="10"/>
      <c r="AA4403" s="11"/>
    </row>
    <row r="4404" spans="2:27" x14ac:dyDescent="0.2">
      <c r="B4404" t="s">
        <v>394</v>
      </c>
      <c r="C4404">
        <v>40349704</v>
      </c>
      <c r="D4404" t="s">
        <v>485</v>
      </c>
      <c r="E4404">
        <v>1023355</v>
      </c>
      <c r="F4404" t="s">
        <v>549</v>
      </c>
      <c r="G4404" s="9">
        <v>44932</v>
      </c>
      <c r="H4404" s="7"/>
      <c r="I4404" s="7"/>
      <c r="J4404" s="7"/>
      <c r="K4404" s="7"/>
      <c r="L4404" s="10"/>
      <c r="N4404" s="10"/>
      <c r="Q4404" s="11"/>
      <c r="R4404" s="7"/>
      <c r="S4404" s="7"/>
      <c r="T4404" s="7"/>
      <c r="U4404" s="7"/>
      <c r="V4404" s="10"/>
      <c r="X4404" s="10"/>
      <c r="AA4404" s="11"/>
    </row>
    <row r="4405" spans="2:27" ht="16" x14ac:dyDescent="0.2">
      <c r="B4405" t="s">
        <v>35</v>
      </c>
      <c r="C4405">
        <v>40349701</v>
      </c>
      <c r="D4405" t="s">
        <v>386</v>
      </c>
      <c r="E4405">
        <v>1030684</v>
      </c>
      <c r="F4405" t="s">
        <v>566</v>
      </c>
      <c r="G4405" s="9">
        <v>45000</v>
      </c>
      <c r="H4405" s="7">
        <v>24000</v>
      </c>
      <c r="I4405" s="7"/>
      <c r="J4405" s="7"/>
      <c r="K4405" s="7"/>
      <c r="L4405" s="10">
        <v>5.1420118343195256</v>
      </c>
      <c r="M4405" s="9">
        <v>45005</v>
      </c>
      <c r="N4405" s="10">
        <v>7.5</v>
      </c>
      <c r="O4405" s="9">
        <v>45012</v>
      </c>
      <c r="P4405">
        <v>4</v>
      </c>
      <c r="Q4405" s="11" t="s">
        <v>49</v>
      </c>
      <c r="R4405" s="7">
        <v>24000</v>
      </c>
      <c r="S4405" s="7"/>
      <c r="T4405" s="7"/>
      <c r="U4405" s="7"/>
      <c r="V4405" s="10">
        <v>7.1420118343195256</v>
      </c>
      <c r="W4405" s="9">
        <v>45007</v>
      </c>
      <c r="X4405" s="10">
        <v>9.5</v>
      </c>
      <c r="Y4405" s="9">
        <v>45012</v>
      </c>
      <c r="Z4405">
        <v>4</v>
      </c>
      <c r="AA4405" s="11" t="s">
        <v>49</v>
      </c>
    </row>
    <row r="4406" spans="2:27" ht="16" x14ac:dyDescent="0.2">
      <c r="B4406" t="s">
        <v>35</v>
      </c>
      <c r="C4406">
        <v>40349697</v>
      </c>
      <c r="D4406" t="s">
        <v>389</v>
      </c>
      <c r="E4406">
        <v>1022080</v>
      </c>
      <c r="F4406" t="s">
        <v>292</v>
      </c>
      <c r="G4406" s="9">
        <v>44956</v>
      </c>
      <c r="H4406" s="7"/>
      <c r="I4406" s="7"/>
      <c r="J4406" s="7"/>
      <c r="K4406" s="7"/>
      <c r="L4406" s="10">
        <v>5.5741092456127026</v>
      </c>
      <c r="M4406" s="9">
        <v>44961</v>
      </c>
      <c r="N4406" s="10">
        <v>5.5</v>
      </c>
      <c r="O4406" s="9">
        <v>44966</v>
      </c>
      <c r="P4406">
        <v>16</v>
      </c>
      <c r="Q4406" s="11" t="s">
        <v>49</v>
      </c>
      <c r="R4406" s="7"/>
      <c r="S4406" s="7"/>
      <c r="T4406" s="7"/>
      <c r="U4406" s="7"/>
      <c r="V4406" s="10">
        <v>7.5741092456127026</v>
      </c>
      <c r="W4406" s="9">
        <v>44963</v>
      </c>
      <c r="X4406" s="10">
        <v>7.5</v>
      </c>
      <c r="Y4406" s="9">
        <v>44966</v>
      </c>
      <c r="Z4406">
        <v>16</v>
      </c>
      <c r="AA4406" s="11" t="s">
        <v>49</v>
      </c>
    </row>
    <row r="4407" spans="2:27" ht="16" x14ac:dyDescent="0.2">
      <c r="B4407" t="s">
        <v>35</v>
      </c>
      <c r="C4407">
        <v>40349693</v>
      </c>
      <c r="D4407" t="s">
        <v>389</v>
      </c>
      <c r="E4407">
        <v>1022417</v>
      </c>
      <c r="F4407" t="s">
        <v>173</v>
      </c>
      <c r="G4407" s="9">
        <v>44962</v>
      </c>
      <c r="H4407" s="7"/>
      <c r="I4407" s="7"/>
      <c r="J4407" s="7"/>
      <c r="K4407" s="7"/>
      <c r="L4407" s="10">
        <v>5.5741092456127026</v>
      </c>
      <c r="M4407" s="9">
        <v>44967</v>
      </c>
      <c r="N4407" s="10">
        <v>5.5</v>
      </c>
      <c r="O4407" s="9">
        <v>44972</v>
      </c>
      <c r="P4407">
        <v>11</v>
      </c>
      <c r="Q4407" s="11" t="s">
        <v>49</v>
      </c>
      <c r="R4407" s="7"/>
      <c r="S4407" s="7"/>
      <c r="T4407" s="7"/>
      <c r="U4407" s="7"/>
      <c r="V4407" s="10">
        <v>7.5741092456127026</v>
      </c>
      <c r="W4407" s="9">
        <v>44969</v>
      </c>
      <c r="X4407" s="10">
        <v>7.5</v>
      </c>
      <c r="Y4407" s="9">
        <v>44972</v>
      </c>
      <c r="Z4407">
        <v>11</v>
      </c>
      <c r="AA4407" s="11" t="s">
        <v>49</v>
      </c>
    </row>
    <row r="4408" spans="2:27" x14ac:dyDescent="0.2">
      <c r="B4408" t="s">
        <v>394</v>
      </c>
      <c r="C4408">
        <v>40349488</v>
      </c>
      <c r="D4408" t="s">
        <v>485</v>
      </c>
      <c r="E4408">
        <v>1021085</v>
      </c>
      <c r="F4408" t="s">
        <v>511</v>
      </c>
      <c r="G4408" s="9">
        <v>44936</v>
      </c>
      <c r="H4408" s="7"/>
      <c r="I4408" s="7"/>
      <c r="J4408" s="7"/>
      <c r="K4408" s="7"/>
      <c r="L4408" s="10"/>
      <c r="N4408" s="10"/>
      <c r="Q4408" s="11"/>
      <c r="R4408" s="7"/>
      <c r="S4408" s="7"/>
      <c r="T4408" s="7"/>
      <c r="U4408" s="7"/>
      <c r="V4408" s="10"/>
      <c r="X4408" s="10"/>
      <c r="AA4408" s="11"/>
    </row>
    <row r="4409" spans="2:27" x14ac:dyDescent="0.2">
      <c r="B4409" t="s">
        <v>394</v>
      </c>
      <c r="C4409">
        <v>40349435</v>
      </c>
      <c r="D4409" t="s">
        <v>396</v>
      </c>
      <c r="E4409">
        <v>1030535</v>
      </c>
      <c r="F4409" t="s">
        <v>395</v>
      </c>
      <c r="G4409" s="9">
        <v>44958</v>
      </c>
      <c r="H4409" s="7"/>
      <c r="I4409" s="7"/>
      <c r="J4409" s="7"/>
      <c r="K4409" s="7"/>
      <c r="L4409" s="10"/>
      <c r="N4409" s="10"/>
      <c r="Q4409" s="11"/>
      <c r="R4409" s="7"/>
      <c r="S4409" s="7"/>
      <c r="T4409" s="7"/>
      <c r="U4409" s="7"/>
      <c r="V4409" s="10"/>
      <c r="X4409" s="10"/>
      <c r="AA4409" s="11"/>
    </row>
    <row r="4410" spans="2:27" ht="16" x14ac:dyDescent="0.2">
      <c r="B4410" t="s">
        <v>35</v>
      </c>
      <c r="C4410">
        <v>40349138</v>
      </c>
      <c r="D4410" t="s">
        <v>409</v>
      </c>
      <c r="E4410">
        <v>1012160</v>
      </c>
      <c r="F4410" t="s">
        <v>72</v>
      </c>
      <c r="G4410" s="9">
        <v>44937</v>
      </c>
      <c r="H4410" s="7"/>
      <c r="I4410" s="7"/>
      <c r="J4410" s="7"/>
      <c r="K4410" s="7"/>
      <c r="L4410" s="10">
        <v>7.5</v>
      </c>
      <c r="M4410" s="9">
        <v>44944</v>
      </c>
      <c r="N4410" s="10">
        <v>9.5</v>
      </c>
      <c r="O4410" s="9">
        <v>44953</v>
      </c>
      <c r="P4410">
        <v>3</v>
      </c>
      <c r="Q4410" s="11" t="s">
        <v>49</v>
      </c>
      <c r="R4410" s="7"/>
      <c r="S4410" s="7"/>
      <c r="T4410" s="7"/>
      <c r="U4410" s="7"/>
      <c r="V4410" s="10">
        <v>9.5</v>
      </c>
      <c r="W4410" s="9">
        <v>44946</v>
      </c>
      <c r="X4410" s="10">
        <v>11.5</v>
      </c>
      <c r="Y4410" s="9">
        <v>44953</v>
      </c>
      <c r="Z4410">
        <v>3</v>
      </c>
      <c r="AA4410" s="11" t="s">
        <v>49</v>
      </c>
    </row>
    <row r="4411" spans="2:27" x14ac:dyDescent="0.2">
      <c r="B4411" t="s">
        <v>394</v>
      </c>
      <c r="C4411">
        <v>40349036</v>
      </c>
      <c r="D4411" t="s">
        <v>485</v>
      </c>
      <c r="E4411">
        <v>1030515</v>
      </c>
      <c r="F4411" t="s">
        <v>668</v>
      </c>
      <c r="G4411" s="9">
        <v>44927</v>
      </c>
      <c r="H4411" s="7"/>
      <c r="I4411" s="7"/>
      <c r="J4411" s="7"/>
      <c r="K4411" s="7"/>
      <c r="L4411" s="10"/>
      <c r="N4411" s="10"/>
      <c r="Q4411" s="11"/>
      <c r="R4411" s="7"/>
      <c r="S4411" s="7"/>
      <c r="T4411" s="7"/>
      <c r="U4411" s="7"/>
      <c r="V4411" s="10"/>
      <c r="X4411" s="10"/>
      <c r="AA4411" s="11"/>
    </row>
    <row r="4412" spans="2:27" ht="16" x14ac:dyDescent="0.2">
      <c r="B4412" t="s">
        <v>35</v>
      </c>
      <c r="C4412">
        <v>40348980</v>
      </c>
      <c r="D4412" t="s">
        <v>391</v>
      </c>
      <c r="E4412">
        <v>1021931</v>
      </c>
      <c r="F4412" t="s">
        <v>189</v>
      </c>
      <c r="G4412" s="9">
        <v>44962</v>
      </c>
      <c r="H4412" s="7"/>
      <c r="I4412" s="7"/>
      <c r="J4412" s="7"/>
      <c r="K4412" s="7"/>
      <c r="L4412" s="10">
        <v>4.830303030303031</v>
      </c>
      <c r="M4412" s="9">
        <v>44966</v>
      </c>
      <c r="N4412" s="10">
        <v>15</v>
      </c>
      <c r="O4412" s="9">
        <v>44981</v>
      </c>
      <c r="P4412">
        <v>3</v>
      </c>
      <c r="Q4412" s="11" t="s">
        <v>49</v>
      </c>
      <c r="R4412" s="7"/>
      <c r="S4412" s="7"/>
      <c r="T4412" s="7"/>
      <c r="U4412" s="7"/>
      <c r="V4412" s="10">
        <v>6.830303030303031</v>
      </c>
      <c r="W4412" s="9">
        <v>44968</v>
      </c>
      <c r="X4412" s="10">
        <v>17</v>
      </c>
      <c r="Y4412" s="9">
        <v>44981</v>
      </c>
      <c r="Z4412">
        <v>3</v>
      </c>
      <c r="AA4412" s="11" t="s">
        <v>49</v>
      </c>
    </row>
    <row r="4413" spans="2:27" ht="16" x14ac:dyDescent="0.2">
      <c r="B4413" t="s">
        <v>35</v>
      </c>
      <c r="C4413">
        <v>40348979</v>
      </c>
      <c r="D4413" t="s">
        <v>391</v>
      </c>
      <c r="E4413">
        <v>1021925</v>
      </c>
      <c r="F4413" t="s">
        <v>432</v>
      </c>
      <c r="G4413" s="9">
        <v>44962</v>
      </c>
      <c r="H4413" s="7"/>
      <c r="I4413" s="7"/>
      <c r="J4413" s="7"/>
      <c r="K4413" s="7"/>
      <c r="L4413" s="10">
        <v>4.830303030303031</v>
      </c>
      <c r="M4413" s="9">
        <v>44966</v>
      </c>
      <c r="N4413" s="10">
        <v>15</v>
      </c>
      <c r="O4413" s="9">
        <v>44981</v>
      </c>
      <c r="P4413">
        <v>3</v>
      </c>
      <c r="Q4413" s="11" t="s">
        <v>49</v>
      </c>
      <c r="R4413" s="7"/>
      <c r="S4413" s="7"/>
      <c r="T4413" s="7"/>
      <c r="U4413" s="7"/>
      <c r="V4413" s="10">
        <v>6.830303030303031</v>
      </c>
      <c r="W4413" s="9">
        <v>44968</v>
      </c>
      <c r="X4413" s="10">
        <v>17</v>
      </c>
      <c r="Y4413" s="9">
        <v>44981</v>
      </c>
      <c r="Z4413">
        <v>3</v>
      </c>
      <c r="AA4413" s="11" t="s">
        <v>49</v>
      </c>
    </row>
    <row r="4414" spans="2:27" ht="16" x14ac:dyDescent="0.2">
      <c r="B4414" t="s">
        <v>35</v>
      </c>
      <c r="C4414">
        <v>40348979</v>
      </c>
      <c r="D4414" t="s">
        <v>391</v>
      </c>
      <c r="E4414">
        <v>1022515</v>
      </c>
      <c r="F4414" t="s">
        <v>197</v>
      </c>
      <c r="G4414" s="9">
        <v>44962</v>
      </c>
      <c r="H4414" s="7"/>
      <c r="I4414" s="7"/>
      <c r="J4414" s="7"/>
      <c r="K4414" s="7"/>
      <c r="L4414" s="10">
        <v>4.830303030303031</v>
      </c>
      <c r="M4414" s="9">
        <v>44966</v>
      </c>
      <c r="N4414" s="10">
        <v>15</v>
      </c>
      <c r="O4414" s="9">
        <v>44981</v>
      </c>
      <c r="P4414">
        <v>3</v>
      </c>
      <c r="Q4414" s="11" t="s">
        <v>49</v>
      </c>
      <c r="R4414" s="7"/>
      <c r="S4414" s="7"/>
      <c r="T4414" s="7"/>
      <c r="U4414" s="7"/>
      <c r="V4414" s="10">
        <v>6.830303030303031</v>
      </c>
      <c r="W4414" s="9">
        <v>44968</v>
      </c>
      <c r="X4414" s="10">
        <v>17</v>
      </c>
      <c r="Y4414" s="9">
        <v>44981</v>
      </c>
      <c r="Z4414">
        <v>3</v>
      </c>
      <c r="AA4414" s="11" t="s">
        <v>49</v>
      </c>
    </row>
    <row r="4415" spans="2:27" ht="16" x14ac:dyDescent="0.2">
      <c r="B4415" t="s">
        <v>35</v>
      </c>
      <c r="C4415">
        <v>40348979</v>
      </c>
      <c r="D4415" t="s">
        <v>391</v>
      </c>
      <c r="E4415">
        <v>1022863</v>
      </c>
      <c r="F4415" t="s">
        <v>201</v>
      </c>
      <c r="G4415" s="9">
        <v>44962</v>
      </c>
      <c r="H4415" s="7"/>
      <c r="I4415" s="7"/>
      <c r="J4415" s="7"/>
      <c r="K4415" s="7"/>
      <c r="L4415" s="10">
        <v>4.830303030303031</v>
      </c>
      <c r="M4415" s="9">
        <v>44966</v>
      </c>
      <c r="N4415" s="10">
        <v>15</v>
      </c>
      <c r="O4415" s="9">
        <v>44981</v>
      </c>
      <c r="P4415">
        <v>3</v>
      </c>
      <c r="Q4415" s="11" t="s">
        <v>49</v>
      </c>
      <c r="R4415" s="7"/>
      <c r="S4415" s="7"/>
      <c r="T4415" s="7"/>
      <c r="U4415" s="7"/>
      <c r="V4415" s="10">
        <v>6.830303030303031</v>
      </c>
      <c r="W4415" s="9">
        <v>44968</v>
      </c>
      <c r="X4415" s="10">
        <v>17</v>
      </c>
      <c r="Y4415" s="9">
        <v>44981</v>
      </c>
      <c r="Z4415">
        <v>3</v>
      </c>
      <c r="AA4415" s="11" t="s">
        <v>49</v>
      </c>
    </row>
    <row r="4416" spans="2:27" ht="16" x14ac:dyDescent="0.2">
      <c r="B4416" t="s">
        <v>35</v>
      </c>
      <c r="C4416">
        <v>40348979</v>
      </c>
      <c r="D4416" t="s">
        <v>391</v>
      </c>
      <c r="E4416">
        <v>1022864</v>
      </c>
      <c r="F4416" t="s">
        <v>41</v>
      </c>
      <c r="G4416" s="9">
        <v>44962</v>
      </c>
      <c r="H4416" s="7"/>
      <c r="I4416" s="7"/>
      <c r="J4416" s="7"/>
      <c r="K4416" s="7"/>
      <c r="L4416" s="10">
        <v>4.830303030303031</v>
      </c>
      <c r="M4416" s="9">
        <v>44966</v>
      </c>
      <c r="N4416" s="10">
        <v>15</v>
      </c>
      <c r="O4416" s="9">
        <v>44981</v>
      </c>
      <c r="P4416">
        <v>3</v>
      </c>
      <c r="Q4416" s="11" t="s">
        <v>49</v>
      </c>
      <c r="R4416" s="7"/>
      <c r="S4416" s="7"/>
      <c r="T4416" s="7"/>
      <c r="U4416" s="7"/>
      <c r="V4416" s="10">
        <v>6.830303030303031</v>
      </c>
      <c r="W4416" s="9">
        <v>44968</v>
      </c>
      <c r="X4416" s="10">
        <v>17</v>
      </c>
      <c r="Y4416" s="9">
        <v>44981</v>
      </c>
      <c r="Z4416">
        <v>3</v>
      </c>
      <c r="AA4416" s="11" t="s">
        <v>49</v>
      </c>
    </row>
    <row r="4417" spans="2:27" ht="16" x14ac:dyDescent="0.2">
      <c r="B4417" t="s">
        <v>35</v>
      </c>
      <c r="C4417">
        <v>40348979</v>
      </c>
      <c r="D4417" t="s">
        <v>391</v>
      </c>
      <c r="E4417">
        <v>1022865</v>
      </c>
      <c r="F4417" t="s">
        <v>343</v>
      </c>
      <c r="G4417" s="9">
        <v>44962</v>
      </c>
      <c r="H4417" s="7"/>
      <c r="I4417" s="7"/>
      <c r="J4417" s="7"/>
      <c r="K4417" s="7"/>
      <c r="L4417" s="10">
        <v>4.830303030303031</v>
      </c>
      <c r="M4417" s="9">
        <v>44966</v>
      </c>
      <c r="N4417" s="10">
        <v>15</v>
      </c>
      <c r="O4417" s="9">
        <v>44981</v>
      </c>
      <c r="P4417">
        <v>3</v>
      </c>
      <c r="Q4417" s="11" t="s">
        <v>49</v>
      </c>
      <c r="R4417" s="7"/>
      <c r="S4417" s="7"/>
      <c r="T4417" s="7"/>
      <c r="U4417" s="7"/>
      <c r="V4417" s="10">
        <v>6.830303030303031</v>
      </c>
      <c r="W4417" s="9">
        <v>44968</v>
      </c>
      <c r="X4417" s="10">
        <v>17</v>
      </c>
      <c r="Y4417" s="9">
        <v>44981</v>
      </c>
      <c r="Z4417">
        <v>3</v>
      </c>
      <c r="AA4417" s="11" t="s">
        <v>49</v>
      </c>
    </row>
    <row r="4418" spans="2:27" ht="16" x14ac:dyDescent="0.2">
      <c r="B4418" t="s">
        <v>35</v>
      </c>
      <c r="C4418">
        <v>40348978</v>
      </c>
      <c r="D4418" t="s">
        <v>391</v>
      </c>
      <c r="E4418">
        <v>1021931</v>
      </c>
      <c r="F4418" t="s">
        <v>189</v>
      </c>
      <c r="G4418" s="9">
        <v>44962</v>
      </c>
      <c r="H4418" s="7"/>
      <c r="I4418" s="7"/>
      <c r="J4418" s="7"/>
      <c r="K4418" s="7"/>
      <c r="L4418" s="10">
        <v>4.830303030303031</v>
      </c>
      <c r="M4418" s="9">
        <v>44966</v>
      </c>
      <c r="N4418" s="10">
        <v>15</v>
      </c>
      <c r="O4418" s="9">
        <v>44981</v>
      </c>
      <c r="P4418">
        <v>3</v>
      </c>
      <c r="Q4418" s="11" t="s">
        <v>49</v>
      </c>
      <c r="R4418" s="7"/>
      <c r="S4418" s="7"/>
      <c r="T4418" s="7"/>
      <c r="U4418" s="7"/>
      <c r="V4418" s="10">
        <v>6.830303030303031</v>
      </c>
      <c r="W4418" s="9">
        <v>44968</v>
      </c>
      <c r="X4418" s="10">
        <v>17</v>
      </c>
      <c r="Y4418" s="9">
        <v>44981</v>
      </c>
      <c r="Z4418">
        <v>3</v>
      </c>
      <c r="AA4418" s="11" t="s">
        <v>49</v>
      </c>
    </row>
    <row r="4419" spans="2:27" ht="16" x14ac:dyDescent="0.2">
      <c r="B4419" t="s">
        <v>35</v>
      </c>
      <c r="C4419">
        <v>40348977</v>
      </c>
      <c r="D4419" t="s">
        <v>391</v>
      </c>
      <c r="E4419">
        <v>1023123</v>
      </c>
      <c r="F4419" t="s">
        <v>345</v>
      </c>
      <c r="G4419" s="9">
        <v>44962</v>
      </c>
      <c r="H4419" s="7"/>
      <c r="I4419" s="7"/>
      <c r="J4419" s="7"/>
      <c r="K4419" s="7"/>
      <c r="L4419" s="10">
        <v>4.830303030303031</v>
      </c>
      <c r="M4419" s="9">
        <v>44966</v>
      </c>
      <c r="N4419" s="10">
        <v>15</v>
      </c>
      <c r="O4419" s="9">
        <v>44981</v>
      </c>
      <c r="P4419">
        <v>3</v>
      </c>
      <c r="Q4419" s="11" t="s">
        <v>49</v>
      </c>
      <c r="R4419" s="7"/>
      <c r="S4419" s="7"/>
      <c r="T4419" s="7"/>
      <c r="U4419" s="7"/>
      <c r="V4419" s="10">
        <v>6.830303030303031</v>
      </c>
      <c r="W4419" s="9">
        <v>44968</v>
      </c>
      <c r="X4419" s="10">
        <v>17</v>
      </c>
      <c r="Y4419" s="9">
        <v>44981</v>
      </c>
      <c r="Z4419">
        <v>3</v>
      </c>
      <c r="AA4419" s="11" t="s">
        <v>49</v>
      </c>
    </row>
    <row r="4420" spans="2:27" ht="16" x14ac:dyDescent="0.2">
      <c r="B4420" t="s">
        <v>35</v>
      </c>
      <c r="C4420">
        <v>40348977</v>
      </c>
      <c r="D4420" t="s">
        <v>391</v>
      </c>
      <c r="E4420">
        <v>1022866</v>
      </c>
      <c r="F4420" t="s">
        <v>203</v>
      </c>
      <c r="G4420" s="9">
        <v>44962</v>
      </c>
      <c r="H4420" s="7"/>
      <c r="I4420" s="7"/>
      <c r="J4420" s="7"/>
      <c r="K4420" s="7"/>
      <c r="L4420" s="10">
        <v>4.830303030303031</v>
      </c>
      <c r="M4420" s="9">
        <v>44966</v>
      </c>
      <c r="N4420" s="10">
        <v>15</v>
      </c>
      <c r="O4420" s="9">
        <v>44981</v>
      </c>
      <c r="P4420">
        <v>3</v>
      </c>
      <c r="Q4420" s="11" t="s">
        <v>49</v>
      </c>
      <c r="R4420" s="7"/>
      <c r="S4420" s="7"/>
      <c r="T4420" s="7"/>
      <c r="U4420" s="7"/>
      <c r="V4420" s="10">
        <v>6.830303030303031</v>
      </c>
      <c r="W4420" s="9">
        <v>44968</v>
      </c>
      <c r="X4420" s="10">
        <v>17</v>
      </c>
      <c r="Y4420" s="9">
        <v>44981</v>
      </c>
      <c r="Z4420">
        <v>3</v>
      </c>
      <c r="AA4420" s="11" t="s">
        <v>49</v>
      </c>
    </row>
    <row r="4421" spans="2:27" ht="16" x14ac:dyDescent="0.2">
      <c r="B4421" t="s">
        <v>35</v>
      </c>
      <c r="C4421">
        <v>40348977</v>
      </c>
      <c r="D4421" t="s">
        <v>391</v>
      </c>
      <c r="E4421">
        <v>1022864</v>
      </c>
      <c r="F4421" t="s">
        <v>41</v>
      </c>
      <c r="G4421" s="9">
        <v>44962</v>
      </c>
      <c r="H4421" s="7"/>
      <c r="I4421" s="7"/>
      <c r="J4421" s="7"/>
      <c r="K4421" s="7"/>
      <c r="L4421" s="10">
        <v>4.830303030303031</v>
      </c>
      <c r="M4421" s="9">
        <v>44966</v>
      </c>
      <c r="N4421" s="10">
        <v>15</v>
      </c>
      <c r="O4421" s="9">
        <v>44981</v>
      </c>
      <c r="P4421">
        <v>3</v>
      </c>
      <c r="Q4421" s="11" t="s">
        <v>49</v>
      </c>
      <c r="R4421" s="7"/>
      <c r="S4421" s="7"/>
      <c r="T4421" s="7"/>
      <c r="U4421" s="7"/>
      <c r="V4421" s="10">
        <v>6.830303030303031</v>
      </c>
      <c r="W4421" s="9">
        <v>44968</v>
      </c>
      <c r="X4421" s="10">
        <v>17</v>
      </c>
      <c r="Y4421" s="9">
        <v>44981</v>
      </c>
      <c r="Z4421">
        <v>3</v>
      </c>
      <c r="AA4421" s="11" t="s">
        <v>49</v>
      </c>
    </row>
    <row r="4422" spans="2:27" ht="16" x14ac:dyDescent="0.2">
      <c r="B4422" t="s">
        <v>35</v>
      </c>
      <c r="C4422">
        <v>40348977</v>
      </c>
      <c r="D4422" t="s">
        <v>391</v>
      </c>
      <c r="E4422">
        <v>1022863</v>
      </c>
      <c r="F4422" t="s">
        <v>201</v>
      </c>
      <c r="G4422" s="9">
        <v>44962</v>
      </c>
      <c r="H4422" s="7"/>
      <c r="I4422" s="7"/>
      <c r="J4422" s="7"/>
      <c r="K4422" s="7"/>
      <c r="L4422" s="10">
        <v>4.830303030303031</v>
      </c>
      <c r="M4422" s="9">
        <v>44966</v>
      </c>
      <c r="N4422" s="10">
        <v>15</v>
      </c>
      <c r="O4422" s="9">
        <v>44981</v>
      </c>
      <c r="P4422">
        <v>3</v>
      </c>
      <c r="Q4422" s="11" t="s">
        <v>49</v>
      </c>
      <c r="R4422" s="7"/>
      <c r="S4422" s="7"/>
      <c r="T4422" s="7"/>
      <c r="U4422" s="7"/>
      <c r="V4422" s="10">
        <v>6.830303030303031</v>
      </c>
      <c r="W4422" s="9">
        <v>44968</v>
      </c>
      <c r="X4422" s="10">
        <v>17</v>
      </c>
      <c r="Y4422" s="9">
        <v>44981</v>
      </c>
      <c r="Z4422">
        <v>3</v>
      </c>
      <c r="AA4422" s="11" t="s">
        <v>49</v>
      </c>
    </row>
    <row r="4423" spans="2:27" ht="16" x14ac:dyDescent="0.2">
      <c r="B4423" t="s">
        <v>35</v>
      </c>
      <c r="C4423">
        <v>40348977</v>
      </c>
      <c r="D4423" t="s">
        <v>391</v>
      </c>
      <c r="E4423">
        <v>1022621</v>
      </c>
      <c r="F4423" t="s">
        <v>199</v>
      </c>
      <c r="G4423" s="9">
        <v>44962</v>
      </c>
      <c r="H4423" s="7"/>
      <c r="I4423" s="7"/>
      <c r="J4423" s="7"/>
      <c r="K4423" s="7"/>
      <c r="L4423" s="10">
        <v>4.830303030303031</v>
      </c>
      <c r="M4423" s="9">
        <v>44966</v>
      </c>
      <c r="N4423" s="10">
        <v>15</v>
      </c>
      <c r="O4423" s="9">
        <v>44981</v>
      </c>
      <c r="P4423">
        <v>3</v>
      </c>
      <c r="Q4423" s="11" t="s">
        <v>49</v>
      </c>
      <c r="R4423" s="7"/>
      <c r="S4423" s="7"/>
      <c r="T4423" s="7"/>
      <c r="U4423" s="7"/>
      <c r="V4423" s="10">
        <v>6.830303030303031</v>
      </c>
      <c r="W4423" s="9">
        <v>44968</v>
      </c>
      <c r="X4423" s="10">
        <v>17</v>
      </c>
      <c r="Y4423" s="9">
        <v>44981</v>
      </c>
      <c r="Z4423">
        <v>3</v>
      </c>
      <c r="AA4423" s="11" t="s">
        <v>49</v>
      </c>
    </row>
    <row r="4424" spans="2:27" ht="16" x14ac:dyDescent="0.2">
      <c r="B4424" t="s">
        <v>35</v>
      </c>
      <c r="C4424">
        <v>40348976</v>
      </c>
      <c r="D4424" t="s">
        <v>391</v>
      </c>
      <c r="E4424">
        <v>1022767</v>
      </c>
      <c r="F4424" t="s">
        <v>465</v>
      </c>
      <c r="G4424" s="9">
        <v>44956</v>
      </c>
      <c r="H4424" s="7"/>
      <c r="I4424" s="7"/>
      <c r="J4424" s="7"/>
      <c r="K4424" s="7"/>
      <c r="L4424" s="10">
        <v>4.830303030303031</v>
      </c>
      <c r="M4424" s="9">
        <v>44960</v>
      </c>
      <c r="N4424" s="10">
        <v>15</v>
      </c>
      <c r="O4424" s="9">
        <v>44975</v>
      </c>
      <c r="P4424">
        <v>8</v>
      </c>
      <c r="Q4424" s="11" t="s">
        <v>49</v>
      </c>
      <c r="R4424" s="7"/>
      <c r="S4424" s="7"/>
      <c r="T4424" s="7"/>
      <c r="U4424" s="7"/>
      <c r="V4424" s="10">
        <v>6.830303030303031</v>
      </c>
      <c r="W4424" s="9">
        <v>44962</v>
      </c>
      <c r="X4424" s="10">
        <v>17</v>
      </c>
      <c r="Y4424" s="9">
        <v>44975</v>
      </c>
      <c r="Z4424">
        <v>8</v>
      </c>
      <c r="AA4424" s="11" t="s">
        <v>49</v>
      </c>
    </row>
    <row r="4425" spans="2:27" ht="16" x14ac:dyDescent="0.2">
      <c r="B4425" t="s">
        <v>35</v>
      </c>
      <c r="C4425">
        <v>40348535</v>
      </c>
      <c r="D4425" t="s">
        <v>423</v>
      </c>
      <c r="E4425">
        <v>1030802</v>
      </c>
      <c r="F4425" t="s">
        <v>492</v>
      </c>
      <c r="G4425" s="9">
        <v>44941</v>
      </c>
      <c r="H4425" s="7"/>
      <c r="I4425" s="7"/>
      <c r="J4425" s="7"/>
      <c r="K4425" s="7"/>
      <c r="L4425" s="10">
        <v>5.4496124031007751</v>
      </c>
      <c r="M4425" s="9">
        <v>44946</v>
      </c>
      <c r="N4425" s="10">
        <v>10</v>
      </c>
      <c r="O4425" s="9">
        <v>44956</v>
      </c>
      <c r="P4425">
        <v>1</v>
      </c>
      <c r="Q4425" s="11" t="s">
        <v>648</v>
      </c>
      <c r="R4425" s="7"/>
      <c r="S4425" s="7"/>
      <c r="T4425" s="7"/>
      <c r="U4425" s="7"/>
      <c r="V4425" s="10">
        <v>7.4496124031007751</v>
      </c>
      <c r="W4425" s="9">
        <v>44948</v>
      </c>
      <c r="X4425" s="10">
        <v>12</v>
      </c>
      <c r="Y4425" s="9">
        <v>44956</v>
      </c>
      <c r="Z4425">
        <v>1</v>
      </c>
      <c r="AA4425" s="11" t="s">
        <v>648</v>
      </c>
    </row>
    <row r="4426" spans="2:27" ht="16" x14ac:dyDescent="0.2">
      <c r="B4426" t="s">
        <v>35</v>
      </c>
      <c r="C4426">
        <v>40348534</v>
      </c>
      <c r="D4426" t="s">
        <v>423</v>
      </c>
      <c r="E4426">
        <v>1030802</v>
      </c>
      <c r="F4426" t="s">
        <v>492</v>
      </c>
      <c r="G4426" s="9">
        <v>44941</v>
      </c>
      <c r="H4426" s="7"/>
      <c r="I4426" s="7"/>
      <c r="J4426" s="7"/>
      <c r="K4426" s="7"/>
      <c r="L4426" s="10">
        <v>5.4496124031007751</v>
      </c>
      <c r="M4426" s="9">
        <v>44946</v>
      </c>
      <c r="N4426" s="10">
        <v>10</v>
      </c>
      <c r="O4426" s="9">
        <v>44956</v>
      </c>
      <c r="P4426">
        <v>1</v>
      </c>
      <c r="Q4426" s="11" t="s">
        <v>648</v>
      </c>
      <c r="R4426" s="7"/>
      <c r="S4426" s="7"/>
      <c r="T4426" s="7"/>
      <c r="U4426" s="7"/>
      <c r="V4426" s="10">
        <v>7.4496124031007751</v>
      </c>
      <c r="W4426" s="9">
        <v>44948</v>
      </c>
      <c r="X4426" s="10">
        <v>12</v>
      </c>
      <c r="Y4426" s="9">
        <v>44956</v>
      </c>
      <c r="Z4426">
        <v>1</v>
      </c>
      <c r="AA4426" s="11" t="s">
        <v>648</v>
      </c>
    </row>
    <row r="4427" spans="2:27" ht="16" x14ac:dyDescent="0.2">
      <c r="B4427" t="s">
        <v>35</v>
      </c>
      <c r="C4427">
        <v>40348533</v>
      </c>
      <c r="D4427" t="s">
        <v>423</v>
      </c>
      <c r="E4427">
        <v>1030802</v>
      </c>
      <c r="F4427" t="s">
        <v>492</v>
      </c>
      <c r="G4427" s="9">
        <v>44941</v>
      </c>
      <c r="H4427" s="7"/>
      <c r="I4427" s="7"/>
      <c r="J4427" s="7"/>
      <c r="K4427" s="7"/>
      <c r="L4427" s="10">
        <v>5.4496124031007751</v>
      </c>
      <c r="M4427" s="9">
        <v>44946</v>
      </c>
      <c r="N4427" s="10">
        <v>10</v>
      </c>
      <c r="O4427" s="9">
        <v>44956</v>
      </c>
      <c r="P4427">
        <v>1</v>
      </c>
      <c r="Q4427" s="11" t="s">
        <v>648</v>
      </c>
      <c r="R4427" s="7"/>
      <c r="S4427" s="7"/>
      <c r="T4427" s="7"/>
      <c r="U4427" s="7"/>
      <c r="V4427" s="10">
        <v>7.4496124031007751</v>
      </c>
      <c r="W4427" s="9">
        <v>44948</v>
      </c>
      <c r="X4427" s="10">
        <v>12</v>
      </c>
      <c r="Y4427" s="9">
        <v>44956</v>
      </c>
      <c r="Z4427">
        <v>1</v>
      </c>
      <c r="AA4427" s="11" t="s">
        <v>648</v>
      </c>
    </row>
    <row r="4428" spans="2:27" ht="16" x14ac:dyDescent="0.2">
      <c r="B4428" t="s">
        <v>35</v>
      </c>
      <c r="C4428">
        <v>40348482</v>
      </c>
      <c r="D4428" t="s">
        <v>386</v>
      </c>
      <c r="E4428">
        <v>1012805</v>
      </c>
      <c r="F4428" t="s">
        <v>669</v>
      </c>
      <c r="G4428" s="9">
        <v>44944</v>
      </c>
      <c r="H4428" s="7"/>
      <c r="I4428" s="7"/>
      <c r="J4428" s="7"/>
      <c r="K4428" s="7"/>
      <c r="L4428" s="10">
        <v>5.1420118343195256</v>
      </c>
      <c r="M4428" s="9">
        <v>44949</v>
      </c>
      <c r="N4428" s="10">
        <v>7.5</v>
      </c>
      <c r="O4428" s="9">
        <v>44956</v>
      </c>
      <c r="P4428">
        <v>1</v>
      </c>
      <c r="Q4428" s="11" t="s">
        <v>648</v>
      </c>
      <c r="R4428" s="7"/>
      <c r="S4428" s="7"/>
      <c r="T4428" s="7"/>
      <c r="U4428" s="7"/>
      <c r="V4428" s="10">
        <v>7.1420118343195256</v>
      </c>
      <c r="W4428" s="9">
        <v>44951</v>
      </c>
      <c r="X4428" s="10">
        <v>9.5</v>
      </c>
      <c r="Y4428" s="9">
        <v>44956</v>
      </c>
      <c r="Z4428">
        <v>1</v>
      </c>
      <c r="AA4428" s="11" t="s">
        <v>648</v>
      </c>
    </row>
    <row r="4429" spans="2:27" x14ac:dyDescent="0.2">
      <c r="B4429" t="s">
        <v>394</v>
      </c>
      <c r="C4429">
        <v>40348467</v>
      </c>
      <c r="D4429" t="s">
        <v>485</v>
      </c>
      <c r="E4429">
        <v>1012744</v>
      </c>
      <c r="F4429" t="s">
        <v>567</v>
      </c>
      <c r="G4429" s="9">
        <v>44927</v>
      </c>
      <c r="H4429" s="7"/>
      <c r="I4429" s="7"/>
      <c r="J4429" s="7"/>
      <c r="K4429" s="7"/>
      <c r="L4429" s="10"/>
      <c r="N4429" s="10"/>
      <c r="Q4429" s="11"/>
      <c r="R4429" s="7"/>
      <c r="S4429" s="7"/>
      <c r="T4429" s="7"/>
      <c r="U4429" s="7"/>
      <c r="V4429" s="10"/>
      <c r="X4429" s="10"/>
      <c r="AA4429" s="11"/>
    </row>
    <row r="4430" spans="2:27" x14ac:dyDescent="0.2">
      <c r="B4430" t="s">
        <v>394</v>
      </c>
      <c r="C4430">
        <v>40348466</v>
      </c>
      <c r="D4430" t="s">
        <v>485</v>
      </c>
      <c r="E4430">
        <v>1012744</v>
      </c>
      <c r="F4430" t="s">
        <v>567</v>
      </c>
      <c r="G4430" s="9">
        <v>44920</v>
      </c>
      <c r="H4430" s="7"/>
      <c r="I4430" s="7"/>
      <c r="J4430" s="7"/>
      <c r="K4430" s="7"/>
      <c r="L4430" s="10"/>
      <c r="N4430" s="10"/>
      <c r="Q4430" s="11"/>
      <c r="R4430" s="7"/>
      <c r="S4430" s="7"/>
      <c r="T4430" s="7"/>
      <c r="U4430" s="7"/>
      <c r="V4430" s="10"/>
      <c r="X4430" s="10"/>
      <c r="AA4430" s="11"/>
    </row>
    <row r="4431" spans="2:27" x14ac:dyDescent="0.2">
      <c r="B4431" t="s">
        <v>394</v>
      </c>
      <c r="C4431">
        <v>40348462</v>
      </c>
      <c r="D4431" t="s">
        <v>485</v>
      </c>
      <c r="E4431">
        <v>1023126</v>
      </c>
      <c r="F4431" t="s">
        <v>670</v>
      </c>
      <c r="G4431" s="9">
        <v>44933</v>
      </c>
      <c r="H4431" s="7"/>
      <c r="I4431" s="7"/>
      <c r="J4431" s="7"/>
      <c r="K4431" s="7"/>
      <c r="L4431" s="10"/>
      <c r="N4431" s="10"/>
      <c r="Q4431" s="11"/>
      <c r="R4431" s="7"/>
      <c r="S4431" s="7"/>
      <c r="T4431" s="7"/>
      <c r="U4431" s="7"/>
      <c r="V4431" s="10"/>
      <c r="X4431" s="10"/>
      <c r="AA4431" s="11"/>
    </row>
    <row r="4432" spans="2:27" x14ac:dyDescent="0.2">
      <c r="B4432" t="s">
        <v>394</v>
      </c>
      <c r="C4432">
        <v>40348462</v>
      </c>
      <c r="D4432" t="s">
        <v>485</v>
      </c>
      <c r="E4432">
        <v>1021622</v>
      </c>
      <c r="F4432" t="s">
        <v>671</v>
      </c>
      <c r="G4432" s="9">
        <v>44933</v>
      </c>
      <c r="H4432" s="7"/>
      <c r="I4432" s="7"/>
      <c r="J4432" s="7"/>
      <c r="K4432" s="7"/>
      <c r="L4432" s="10"/>
      <c r="N4432" s="10"/>
      <c r="Q4432" s="11"/>
      <c r="R4432" s="7"/>
      <c r="S4432" s="7"/>
      <c r="T4432" s="7"/>
      <c r="U4432" s="7"/>
      <c r="V4432" s="10"/>
      <c r="X4432" s="10"/>
      <c r="AA4432" s="11"/>
    </row>
    <row r="4433" spans="2:27" x14ac:dyDescent="0.2">
      <c r="B4433" t="s">
        <v>394</v>
      </c>
      <c r="C4433">
        <v>40348425</v>
      </c>
      <c r="D4433" t="s">
        <v>485</v>
      </c>
      <c r="E4433">
        <v>1012556</v>
      </c>
      <c r="F4433" t="s">
        <v>489</v>
      </c>
      <c r="G4433" s="9">
        <v>44921</v>
      </c>
      <c r="H4433" s="7"/>
      <c r="I4433" s="7"/>
      <c r="J4433" s="7"/>
      <c r="K4433" s="7"/>
      <c r="L4433" s="10"/>
      <c r="N4433" s="10"/>
      <c r="Q4433" s="11"/>
      <c r="R4433" s="7"/>
      <c r="S4433" s="7"/>
      <c r="T4433" s="7"/>
      <c r="U4433" s="7"/>
      <c r="V4433" s="10"/>
      <c r="X4433" s="10"/>
      <c r="AA4433" s="11"/>
    </row>
    <row r="4434" spans="2:27" ht="16" x14ac:dyDescent="0.2">
      <c r="B4434" t="s">
        <v>35</v>
      </c>
      <c r="C4434">
        <v>40348413</v>
      </c>
      <c r="D4434" t="s">
        <v>386</v>
      </c>
      <c r="E4434">
        <v>1010877</v>
      </c>
      <c r="F4434" t="s">
        <v>387</v>
      </c>
      <c r="G4434" s="9">
        <v>44982</v>
      </c>
      <c r="H4434" s="7">
        <v>24000</v>
      </c>
      <c r="I4434" s="7"/>
      <c r="J4434" s="7"/>
      <c r="K4434" s="7"/>
      <c r="L4434" s="10">
        <v>5.1420118343195256</v>
      </c>
      <c r="M4434" s="9">
        <v>44987</v>
      </c>
      <c r="N4434" s="10">
        <v>7.5</v>
      </c>
      <c r="O4434" s="9">
        <v>44994</v>
      </c>
      <c r="P4434">
        <v>19</v>
      </c>
      <c r="Q4434" s="11" t="s">
        <v>49</v>
      </c>
      <c r="R4434" s="7">
        <v>24000</v>
      </c>
      <c r="S4434" s="7"/>
      <c r="T4434" s="7"/>
      <c r="U4434" s="7"/>
      <c r="V4434" s="10">
        <v>7.1420118343195256</v>
      </c>
      <c r="W4434" s="9">
        <v>44989</v>
      </c>
      <c r="X4434" s="10">
        <v>9.5</v>
      </c>
      <c r="Y4434" s="9">
        <v>44994</v>
      </c>
      <c r="Z4434">
        <v>19</v>
      </c>
      <c r="AA4434" s="11" t="s">
        <v>49</v>
      </c>
    </row>
    <row r="4435" spans="2:27" ht="16" x14ac:dyDescent="0.2">
      <c r="B4435" t="s">
        <v>35</v>
      </c>
      <c r="C4435">
        <v>40348412</v>
      </c>
      <c r="D4435" t="s">
        <v>386</v>
      </c>
      <c r="E4435">
        <v>1010877</v>
      </c>
      <c r="F4435" t="s">
        <v>387</v>
      </c>
      <c r="G4435" s="9">
        <v>44976</v>
      </c>
      <c r="H4435" s="7">
        <v>24000</v>
      </c>
      <c r="I4435" s="7"/>
      <c r="J4435" s="7"/>
      <c r="K4435" s="7"/>
      <c r="L4435" s="10">
        <v>5.1420118343195256</v>
      </c>
      <c r="M4435" s="9">
        <v>44981</v>
      </c>
      <c r="N4435" s="10">
        <v>7.5</v>
      </c>
      <c r="O4435" s="9">
        <v>44988</v>
      </c>
      <c r="P4435">
        <v>24</v>
      </c>
      <c r="Q4435" s="11" t="s">
        <v>49</v>
      </c>
      <c r="R4435" s="7">
        <v>24000</v>
      </c>
      <c r="S4435" s="7"/>
      <c r="T4435" s="7"/>
      <c r="U4435" s="7"/>
      <c r="V4435" s="10">
        <v>7.1420118343195256</v>
      </c>
      <c r="W4435" s="9">
        <v>44983</v>
      </c>
      <c r="X4435" s="10">
        <v>9.5</v>
      </c>
      <c r="Y4435" s="9">
        <v>44988</v>
      </c>
      <c r="Z4435">
        <v>24</v>
      </c>
      <c r="AA4435" s="11" t="s">
        <v>49</v>
      </c>
    </row>
    <row r="4436" spans="2:27" ht="16" x14ac:dyDescent="0.2">
      <c r="B4436" t="s">
        <v>35</v>
      </c>
      <c r="C4436">
        <v>40348410</v>
      </c>
      <c r="D4436" t="s">
        <v>386</v>
      </c>
      <c r="E4436">
        <v>1010877</v>
      </c>
      <c r="F4436" t="s">
        <v>387</v>
      </c>
      <c r="G4436" s="9">
        <v>44976</v>
      </c>
      <c r="H4436" s="7">
        <v>24000</v>
      </c>
      <c r="I4436" s="7"/>
      <c r="J4436" s="7"/>
      <c r="K4436" s="7"/>
      <c r="L4436" s="10">
        <v>5.1420118343195256</v>
      </c>
      <c r="M4436" s="9">
        <v>44981</v>
      </c>
      <c r="N4436" s="10">
        <v>7.5</v>
      </c>
      <c r="O4436" s="9">
        <v>44988</v>
      </c>
      <c r="P4436">
        <v>24</v>
      </c>
      <c r="Q4436" s="11" t="s">
        <v>49</v>
      </c>
      <c r="R4436" s="7">
        <v>24000</v>
      </c>
      <c r="S4436" s="7"/>
      <c r="T4436" s="7"/>
      <c r="U4436" s="7"/>
      <c r="V4436" s="10">
        <v>7.1420118343195256</v>
      </c>
      <c r="W4436" s="9">
        <v>44983</v>
      </c>
      <c r="X4436" s="10">
        <v>9.5</v>
      </c>
      <c r="Y4436" s="9">
        <v>44988</v>
      </c>
      <c r="Z4436">
        <v>24</v>
      </c>
      <c r="AA4436" s="11" t="s">
        <v>49</v>
      </c>
    </row>
    <row r="4437" spans="2:27" ht="16" x14ac:dyDescent="0.2">
      <c r="B4437" t="s">
        <v>35</v>
      </c>
      <c r="C4437">
        <v>40348379</v>
      </c>
      <c r="D4437" t="s">
        <v>423</v>
      </c>
      <c r="E4437">
        <v>1012534</v>
      </c>
      <c r="F4437" t="s">
        <v>232</v>
      </c>
      <c r="G4437" s="9">
        <v>44935</v>
      </c>
      <c r="H4437" s="7"/>
      <c r="I4437" s="7"/>
      <c r="J4437" s="7"/>
      <c r="K4437" s="7"/>
      <c r="L4437" s="10">
        <v>5.4496124031007751</v>
      </c>
      <c r="M4437" s="9">
        <v>44940</v>
      </c>
      <c r="N4437" s="10">
        <v>10</v>
      </c>
      <c r="O4437" s="9">
        <v>44950</v>
      </c>
      <c r="P4437">
        <v>6</v>
      </c>
      <c r="Q4437" s="11" t="s">
        <v>49</v>
      </c>
      <c r="R4437" s="7"/>
      <c r="S4437" s="7"/>
      <c r="T4437" s="7"/>
      <c r="U4437" s="7"/>
      <c r="V4437" s="10">
        <v>7.4496124031007751</v>
      </c>
      <c r="W4437" s="9">
        <v>44942</v>
      </c>
      <c r="X4437" s="10">
        <v>12</v>
      </c>
      <c r="Y4437" s="9">
        <v>44950</v>
      </c>
      <c r="Z4437">
        <v>6</v>
      </c>
      <c r="AA4437" s="11" t="s">
        <v>49</v>
      </c>
    </row>
    <row r="4438" spans="2:27" x14ac:dyDescent="0.2">
      <c r="B4438" t="s">
        <v>394</v>
      </c>
      <c r="C4438">
        <v>40348165</v>
      </c>
      <c r="D4438" t="s">
        <v>485</v>
      </c>
      <c r="E4438">
        <v>1020086</v>
      </c>
      <c r="F4438" t="s">
        <v>526</v>
      </c>
      <c r="G4438" s="9">
        <v>44920</v>
      </c>
      <c r="H4438" s="7"/>
      <c r="I4438" s="7"/>
      <c r="J4438" s="7"/>
      <c r="K4438" s="7"/>
      <c r="L4438" s="10"/>
      <c r="N4438" s="10"/>
      <c r="Q4438" s="11"/>
      <c r="R4438" s="7"/>
      <c r="S4438" s="7"/>
      <c r="T4438" s="7"/>
      <c r="U4438" s="7"/>
      <c r="V4438" s="10"/>
      <c r="X4438" s="10"/>
      <c r="AA4438" s="11"/>
    </row>
    <row r="4439" spans="2:27" x14ac:dyDescent="0.2">
      <c r="B4439" t="s">
        <v>394</v>
      </c>
      <c r="C4439">
        <v>40347979</v>
      </c>
      <c r="D4439" t="s">
        <v>485</v>
      </c>
      <c r="E4439">
        <v>1021078</v>
      </c>
      <c r="F4439" t="s">
        <v>536</v>
      </c>
      <c r="G4439" s="9">
        <v>44927</v>
      </c>
      <c r="H4439" s="7"/>
      <c r="I4439" s="7"/>
      <c r="J4439" s="7"/>
      <c r="K4439" s="7"/>
      <c r="L4439" s="10"/>
      <c r="N4439" s="10"/>
      <c r="Q4439" s="11"/>
      <c r="R4439" s="7"/>
      <c r="S4439" s="7"/>
      <c r="T4439" s="7"/>
      <c r="U4439" s="7"/>
      <c r="V4439" s="10"/>
      <c r="X4439" s="10"/>
      <c r="AA4439" s="11"/>
    </row>
    <row r="4440" spans="2:27" x14ac:dyDescent="0.2">
      <c r="B4440" t="s">
        <v>394</v>
      </c>
      <c r="C4440">
        <v>40347979</v>
      </c>
      <c r="D4440" t="s">
        <v>485</v>
      </c>
      <c r="E4440">
        <v>1021078</v>
      </c>
      <c r="F4440" t="s">
        <v>536</v>
      </c>
      <c r="G4440" s="9">
        <v>44927</v>
      </c>
      <c r="H4440" s="7"/>
      <c r="I4440" s="7"/>
      <c r="J4440" s="7"/>
      <c r="K4440" s="7"/>
      <c r="L4440" s="10"/>
      <c r="N4440" s="10"/>
      <c r="Q4440" s="11"/>
      <c r="R4440" s="7"/>
      <c r="S4440" s="7"/>
      <c r="T4440" s="7"/>
      <c r="U4440" s="7"/>
      <c r="V4440" s="10"/>
      <c r="X4440" s="10"/>
      <c r="AA4440" s="11"/>
    </row>
    <row r="4441" spans="2:27" x14ac:dyDescent="0.2">
      <c r="B4441" t="s">
        <v>394</v>
      </c>
      <c r="C4441">
        <v>40347913</v>
      </c>
      <c r="D4441" t="s">
        <v>485</v>
      </c>
      <c r="E4441">
        <v>1022150</v>
      </c>
      <c r="F4441" t="s">
        <v>500</v>
      </c>
      <c r="G4441" s="9">
        <v>44929</v>
      </c>
      <c r="H4441" s="7"/>
      <c r="I4441" s="7"/>
      <c r="J4441" s="7"/>
      <c r="K4441" s="7"/>
      <c r="L4441" s="10"/>
      <c r="N4441" s="10"/>
      <c r="Q4441" s="11"/>
      <c r="R4441" s="7"/>
      <c r="S4441" s="7"/>
      <c r="T4441" s="7"/>
      <c r="U4441" s="7"/>
      <c r="V4441" s="10"/>
      <c r="X4441" s="10"/>
      <c r="AA4441" s="11"/>
    </row>
    <row r="4442" spans="2:27" x14ac:dyDescent="0.2">
      <c r="B4442" t="s">
        <v>394</v>
      </c>
      <c r="C4442">
        <v>40347899</v>
      </c>
      <c r="D4442" t="s">
        <v>485</v>
      </c>
      <c r="E4442">
        <v>1020017</v>
      </c>
      <c r="F4442" t="s">
        <v>524</v>
      </c>
      <c r="G4442" s="9">
        <v>44925</v>
      </c>
      <c r="H4442" s="7"/>
      <c r="I4442" s="7"/>
      <c r="J4442" s="7"/>
      <c r="K4442" s="7"/>
      <c r="L4442" s="10"/>
      <c r="N4442" s="10"/>
      <c r="Q4442" s="11"/>
      <c r="R4442" s="7"/>
      <c r="S4442" s="7"/>
      <c r="T4442" s="7"/>
      <c r="U4442" s="7"/>
      <c r="V4442" s="10"/>
      <c r="X4442" s="10"/>
      <c r="AA4442" s="11"/>
    </row>
    <row r="4443" spans="2:27" x14ac:dyDescent="0.2">
      <c r="B4443" t="s">
        <v>394</v>
      </c>
      <c r="C4443">
        <v>40347898</v>
      </c>
      <c r="D4443" t="s">
        <v>485</v>
      </c>
      <c r="E4443">
        <v>1020848</v>
      </c>
      <c r="F4443" t="s">
        <v>503</v>
      </c>
      <c r="G4443" s="9">
        <v>44927</v>
      </c>
      <c r="H4443" s="7"/>
      <c r="I4443" s="7"/>
      <c r="J4443" s="7"/>
      <c r="K4443" s="7"/>
      <c r="L4443" s="10"/>
      <c r="N4443" s="10"/>
      <c r="Q4443" s="11"/>
      <c r="R4443" s="7"/>
      <c r="S4443" s="7"/>
      <c r="T4443" s="7"/>
      <c r="U4443" s="7"/>
      <c r="V4443" s="10"/>
      <c r="X4443" s="10"/>
      <c r="AA4443" s="11"/>
    </row>
    <row r="4444" spans="2:27" x14ac:dyDescent="0.2">
      <c r="B4444" t="s">
        <v>394</v>
      </c>
      <c r="C4444">
        <v>40347898</v>
      </c>
      <c r="D4444" t="s">
        <v>485</v>
      </c>
      <c r="E4444">
        <v>1020848</v>
      </c>
      <c r="F4444" t="s">
        <v>503</v>
      </c>
      <c r="G4444" s="9">
        <v>44927</v>
      </c>
      <c r="H4444" s="7"/>
      <c r="I4444" s="7"/>
      <c r="J4444" s="7"/>
      <c r="K4444" s="7"/>
      <c r="L4444" s="10"/>
      <c r="N4444" s="10"/>
      <c r="Q4444" s="11"/>
      <c r="R4444" s="7"/>
      <c r="S4444" s="7"/>
      <c r="T4444" s="7"/>
      <c r="U4444" s="7"/>
      <c r="V4444" s="10"/>
      <c r="X4444" s="10"/>
      <c r="AA4444" s="11"/>
    </row>
    <row r="4445" spans="2:27" x14ac:dyDescent="0.2">
      <c r="B4445" t="s">
        <v>394</v>
      </c>
      <c r="C4445">
        <v>40347842</v>
      </c>
      <c r="D4445" t="s">
        <v>485</v>
      </c>
      <c r="E4445">
        <v>1021187</v>
      </c>
      <c r="F4445" t="s">
        <v>617</v>
      </c>
      <c r="G4445" s="9">
        <v>44921</v>
      </c>
      <c r="H4445" s="7"/>
      <c r="I4445" s="7"/>
      <c r="J4445" s="7"/>
      <c r="K4445" s="7"/>
      <c r="L4445" s="10"/>
      <c r="N4445" s="10"/>
      <c r="Q4445" s="11"/>
      <c r="R4445" s="7"/>
      <c r="S4445" s="7"/>
      <c r="T4445" s="7"/>
      <c r="U4445" s="7"/>
      <c r="V4445" s="10"/>
      <c r="X4445" s="10"/>
      <c r="AA4445" s="11"/>
    </row>
    <row r="4446" spans="2:27" ht="16" x14ac:dyDescent="0.2">
      <c r="B4446" t="s">
        <v>35</v>
      </c>
      <c r="C4446">
        <v>40347810</v>
      </c>
      <c r="D4446" t="s">
        <v>409</v>
      </c>
      <c r="E4446">
        <v>1012532</v>
      </c>
      <c r="F4446" t="s">
        <v>558</v>
      </c>
      <c r="G4446" s="9">
        <v>44928</v>
      </c>
      <c r="H4446" s="7"/>
      <c r="I4446" s="7"/>
      <c r="J4446" s="7"/>
      <c r="K4446" s="7"/>
      <c r="L4446" s="10">
        <v>7.5</v>
      </c>
      <c r="M4446" s="9">
        <v>44935</v>
      </c>
      <c r="N4446" s="10">
        <v>9.5</v>
      </c>
      <c r="O4446" s="9">
        <v>44944</v>
      </c>
      <c r="P4446">
        <v>11</v>
      </c>
      <c r="Q4446" s="11" t="s">
        <v>49</v>
      </c>
      <c r="R4446" s="7"/>
      <c r="S4446" s="7"/>
      <c r="T4446" s="7"/>
      <c r="U4446" s="7"/>
      <c r="V4446" s="10">
        <v>9.5</v>
      </c>
      <c r="W4446" s="9">
        <v>44937</v>
      </c>
      <c r="X4446" s="10">
        <v>11.5</v>
      </c>
      <c r="Y4446" s="9">
        <v>44944</v>
      </c>
      <c r="Z4446">
        <v>11</v>
      </c>
      <c r="AA4446" s="11" t="s">
        <v>49</v>
      </c>
    </row>
    <row r="4447" spans="2:27" x14ac:dyDescent="0.2">
      <c r="B4447" t="s">
        <v>394</v>
      </c>
      <c r="C4447">
        <v>40347783</v>
      </c>
      <c r="D4447" t="s">
        <v>485</v>
      </c>
      <c r="E4447">
        <v>1011421</v>
      </c>
      <c r="F4447" t="s">
        <v>484</v>
      </c>
      <c r="G4447" s="9">
        <v>44927</v>
      </c>
      <c r="H4447" s="7"/>
      <c r="I4447" s="7"/>
      <c r="J4447" s="7"/>
      <c r="K4447" s="7"/>
      <c r="L4447" s="10"/>
      <c r="N4447" s="10"/>
      <c r="Q4447" s="11"/>
      <c r="R4447" s="7"/>
      <c r="S4447" s="7"/>
      <c r="T4447" s="7"/>
      <c r="U4447" s="7"/>
      <c r="V4447" s="10"/>
      <c r="X4447" s="10"/>
      <c r="AA4447" s="11"/>
    </row>
    <row r="4448" spans="2:27" x14ac:dyDescent="0.2">
      <c r="B4448" t="s">
        <v>394</v>
      </c>
      <c r="C4448">
        <v>40347782</v>
      </c>
      <c r="D4448" t="s">
        <v>485</v>
      </c>
      <c r="E4448">
        <v>1011421</v>
      </c>
      <c r="F4448" t="s">
        <v>484</v>
      </c>
      <c r="G4448" s="9">
        <v>44927</v>
      </c>
      <c r="H4448" s="7"/>
      <c r="I4448" s="7"/>
      <c r="J4448" s="7"/>
      <c r="K4448" s="7"/>
      <c r="L4448" s="10"/>
      <c r="N4448" s="10"/>
      <c r="Q4448" s="11"/>
      <c r="R4448" s="7"/>
      <c r="S4448" s="7"/>
      <c r="T4448" s="7"/>
      <c r="U4448" s="7"/>
      <c r="V4448" s="10"/>
      <c r="X4448" s="10"/>
      <c r="AA4448" s="11"/>
    </row>
    <row r="4449" spans="2:27" ht="16" x14ac:dyDescent="0.2">
      <c r="B4449" t="s">
        <v>35</v>
      </c>
      <c r="C4449">
        <v>40347759</v>
      </c>
      <c r="D4449" t="s">
        <v>409</v>
      </c>
      <c r="E4449">
        <v>1012521</v>
      </c>
      <c r="F4449" t="s">
        <v>114</v>
      </c>
      <c r="G4449" s="9">
        <v>44943</v>
      </c>
      <c r="H4449" s="7"/>
      <c r="I4449" s="7"/>
      <c r="J4449" s="7"/>
      <c r="K4449" s="7"/>
      <c r="L4449" s="10">
        <v>7.5</v>
      </c>
      <c r="M4449" s="9">
        <v>44950</v>
      </c>
      <c r="N4449" s="10">
        <v>9.5</v>
      </c>
      <c r="O4449" s="9">
        <v>44959</v>
      </c>
      <c r="P4449">
        <v>21</v>
      </c>
      <c r="Q4449" s="11" t="s">
        <v>49</v>
      </c>
      <c r="R4449" s="7"/>
      <c r="S4449" s="7"/>
      <c r="T4449" s="7"/>
      <c r="U4449" s="7"/>
      <c r="V4449" s="10">
        <v>9.5</v>
      </c>
      <c r="W4449" s="9">
        <v>44952</v>
      </c>
      <c r="X4449" s="10">
        <v>11.5</v>
      </c>
      <c r="Y4449" s="9">
        <v>44959</v>
      </c>
      <c r="Z4449">
        <v>21</v>
      </c>
      <c r="AA4449" s="11" t="s">
        <v>49</v>
      </c>
    </row>
    <row r="4450" spans="2:27" ht="16" x14ac:dyDescent="0.2">
      <c r="B4450" t="s">
        <v>35</v>
      </c>
      <c r="C4450">
        <v>40347758</v>
      </c>
      <c r="D4450" t="s">
        <v>409</v>
      </c>
      <c r="E4450">
        <v>1012521</v>
      </c>
      <c r="F4450" t="s">
        <v>114</v>
      </c>
      <c r="G4450" s="9">
        <v>44937</v>
      </c>
      <c r="H4450" s="7"/>
      <c r="I4450" s="7"/>
      <c r="J4450" s="7"/>
      <c r="K4450" s="7"/>
      <c r="L4450" s="10">
        <v>7.5</v>
      </c>
      <c r="M4450" s="9">
        <v>44944</v>
      </c>
      <c r="N4450" s="10">
        <v>9.5</v>
      </c>
      <c r="O4450" s="9">
        <v>44953</v>
      </c>
      <c r="P4450">
        <v>3</v>
      </c>
      <c r="Q4450" s="11" t="s">
        <v>49</v>
      </c>
      <c r="R4450" s="7"/>
      <c r="S4450" s="7"/>
      <c r="T4450" s="7"/>
      <c r="U4450" s="7"/>
      <c r="V4450" s="10">
        <v>9.5</v>
      </c>
      <c r="W4450" s="9">
        <v>44946</v>
      </c>
      <c r="X4450" s="10">
        <v>11.5</v>
      </c>
      <c r="Y4450" s="9">
        <v>44953</v>
      </c>
      <c r="Z4450">
        <v>3</v>
      </c>
      <c r="AA4450" s="11" t="s">
        <v>49</v>
      </c>
    </row>
    <row r="4451" spans="2:27" ht="16" x14ac:dyDescent="0.2">
      <c r="B4451" t="s">
        <v>35</v>
      </c>
      <c r="C4451">
        <v>40347757</v>
      </c>
      <c r="D4451" t="s">
        <v>409</v>
      </c>
      <c r="E4451">
        <v>1012521</v>
      </c>
      <c r="F4451" t="s">
        <v>114</v>
      </c>
      <c r="G4451" s="9">
        <v>44935</v>
      </c>
      <c r="H4451" s="7"/>
      <c r="I4451" s="7"/>
      <c r="J4451" s="7"/>
      <c r="K4451" s="7"/>
      <c r="L4451" s="10">
        <v>7.5</v>
      </c>
      <c r="M4451" s="9">
        <v>44942</v>
      </c>
      <c r="N4451" s="10">
        <v>9.5</v>
      </c>
      <c r="O4451" s="9">
        <v>44951</v>
      </c>
      <c r="P4451">
        <v>5</v>
      </c>
      <c r="Q4451" s="11" t="s">
        <v>49</v>
      </c>
      <c r="R4451" s="7"/>
      <c r="S4451" s="7"/>
      <c r="T4451" s="7"/>
      <c r="U4451" s="7"/>
      <c r="V4451" s="10">
        <v>9.5</v>
      </c>
      <c r="W4451" s="9">
        <v>44944</v>
      </c>
      <c r="X4451" s="10">
        <v>11.5</v>
      </c>
      <c r="Y4451" s="9">
        <v>44951</v>
      </c>
      <c r="Z4451">
        <v>5</v>
      </c>
      <c r="AA4451" s="11" t="s">
        <v>49</v>
      </c>
    </row>
    <row r="4452" spans="2:27" ht="16" x14ac:dyDescent="0.2">
      <c r="B4452" t="s">
        <v>35</v>
      </c>
      <c r="C4452">
        <v>40347751</v>
      </c>
      <c r="D4452" t="s">
        <v>409</v>
      </c>
      <c r="E4452">
        <v>1012108</v>
      </c>
      <c r="F4452" t="s">
        <v>57</v>
      </c>
      <c r="G4452" s="9">
        <v>44949</v>
      </c>
      <c r="H4452" s="7"/>
      <c r="I4452" s="7"/>
      <c r="J4452" s="7"/>
      <c r="K4452" s="7"/>
      <c r="L4452" s="10">
        <v>7.5</v>
      </c>
      <c r="M4452" s="9">
        <v>44956</v>
      </c>
      <c r="N4452" s="10">
        <v>9.5</v>
      </c>
      <c r="O4452" s="9">
        <v>44965</v>
      </c>
      <c r="P4452">
        <v>16</v>
      </c>
      <c r="Q4452" s="11" t="s">
        <v>49</v>
      </c>
      <c r="R4452" s="7"/>
      <c r="S4452" s="7"/>
      <c r="T4452" s="7"/>
      <c r="U4452" s="7"/>
      <c r="V4452" s="10">
        <v>9.5</v>
      </c>
      <c r="W4452" s="9">
        <v>44958</v>
      </c>
      <c r="X4452" s="10">
        <v>11.5</v>
      </c>
      <c r="Y4452" s="9">
        <v>44965</v>
      </c>
      <c r="Z4452">
        <v>16</v>
      </c>
      <c r="AA4452" s="11" t="s">
        <v>49</v>
      </c>
    </row>
    <row r="4453" spans="2:27" ht="16" x14ac:dyDescent="0.2">
      <c r="B4453" t="s">
        <v>35</v>
      </c>
      <c r="C4453">
        <v>40347750</v>
      </c>
      <c r="D4453" t="s">
        <v>409</v>
      </c>
      <c r="E4453">
        <v>1012520</v>
      </c>
      <c r="F4453" t="s">
        <v>113</v>
      </c>
      <c r="G4453" s="9">
        <v>44956</v>
      </c>
      <c r="H4453" s="7"/>
      <c r="I4453" s="7"/>
      <c r="J4453" s="7"/>
      <c r="K4453" s="7"/>
      <c r="L4453" s="10">
        <v>7.5</v>
      </c>
      <c r="M4453" s="9">
        <v>44963</v>
      </c>
      <c r="N4453" s="10">
        <v>9.5</v>
      </c>
      <c r="O4453" s="9">
        <v>44972</v>
      </c>
      <c r="P4453">
        <v>10</v>
      </c>
      <c r="Q4453" s="11" t="s">
        <v>49</v>
      </c>
      <c r="R4453" s="7"/>
      <c r="S4453" s="7"/>
      <c r="T4453" s="7"/>
      <c r="U4453" s="7"/>
      <c r="V4453" s="10">
        <v>9.5</v>
      </c>
      <c r="W4453" s="9">
        <v>44965</v>
      </c>
      <c r="X4453" s="10">
        <v>11.5</v>
      </c>
      <c r="Y4453" s="9">
        <v>44972</v>
      </c>
      <c r="Z4453">
        <v>10</v>
      </c>
      <c r="AA4453" s="11" t="s">
        <v>49</v>
      </c>
    </row>
    <row r="4454" spans="2:27" ht="16" x14ac:dyDescent="0.2">
      <c r="B4454" t="s">
        <v>35</v>
      </c>
      <c r="C4454">
        <v>40347745</v>
      </c>
      <c r="D4454" t="s">
        <v>409</v>
      </c>
      <c r="E4454">
        <v>1012108</v>
      </c>
      <c r="F4454" t="s">
        <v>57</v>
      </c>
      <c r="G4454" s="9">
        <v>44942</v>
      </c>
      <c r="H4454" s="7"/>
      <c r="I4454" s="7"/>
      <c r="J4454" s="7"/>
      <c r="K4454" s="7"/>
      <c r="L4454" s="10">
        <v>7.5</v>
      </c>
      <c r="M4454" s="9">
        <v>44949</v>
      </c>
      <c r="N4454" s="10">
        <v>9.5</v>
      </c>
      <c r="O4454" s="9">
        <v>44958</v>
      </c>
      <c r="P4454">
        <v>22</v>
      </c>
      <c r="Q4454" s="11" t="s">
        <v>49</v>
      </c>
      <c r="R4454" s="7"/>
      <c r="S4454" s="7"/>
      <c r="T4454" s="7"/>
      <c r="U4454" s="7"/>
      <c r="V4454" s="10">
        <v>9.5</v>
      </c>
      <c r="W4454" s="9">
        <v>44951</v>
      </c>
      <c r="X4454" s="10">
        <v>11.5</v>
      </c>
      <c r="Y4454" s="9">
        <v>44958</v>
      </c>
      <c r="Z4454">
        <v>22</v>
      </c>
      <c r="AA4454" s="11" t="s">
        <v>49</v>
      </c>
    </row>
    <row r="4455" spans="2:27" x14ac:dyDescent="0.2">
      <c r="B4455" t="s">
        <v>394</v>
      </c>
      <c r="C4455">
        <v>40347735</v>
      </c>
      <c r="D4455" t="s">
        <v>485</v>
      </c>
      <c r="E4455">
        <v>1023433</v>
      </c>
      <c r="F4455" t="s">
        <v>490</v>
      </c>
      <c r="G4455" s="9">
        <v>44927</v>
      </c>
      <c r="H4455" s="7"/>
      <c r="I4455" s="7"/>
      <c r="J4455" s="7"/>
      <c r="K4455" s="7"/>
      <c r="L4455" s="10"/>
      <c r="N4455" s="10"/>
      <c r="Q4455" s="11"/>
      <c r="R4455" s="7"/>
      <c r="S4455" s="7"/>
      <c r="T4455" s="7"/>
      <c r="U4455" s="7"/>
      <c r="V4455" s="10"/>
      <c r="X4455" s="10"/>
      <c r="AA4455" s="11"/>
    </row>
    <row r="4456" spans="2:27" x14ac:dyDescent="0.2">
      <c r="B4456" t="s">
        <v>394</v>
      </c>
      <c r="C4456">
        <v>40347734</v>
      </c>
      <c r="D4456" t="s">
        <v>485</v>
      </c>
      <c r="E4456">
        <v>1023433</v>
      </c>
      <c r="F4456" t="s">
        <v>490</v>
      </c>
      <c r="G4456" s="9">
        <v>44927</v>
      </c>
      <c r="H4456" s="7"/>
      <c r="I4456" s="7"/>
      <c r="J4456" s="7"/>
      <c r="K4456" s="7"/>
      <c r="L4456" s="10"/>
      <c r="N4456" s="10"/>
      <c r="Q4456" s="11"/>
      <c r="R4456" s="7"/>
      <c r="S4456" s="7"/>
      <c r="T4456" s="7"/>
      <c r="U4456" s="7"/>
      <c r="V4456" s="10"/>
      <c r="X4456" s="10"/>
      <c r="AA4456" s="11"/>
    </row>
    <row r="4457" spans="2:27" ht="16" x14ac:dyDescent="0.2">
      <c r="B4457" t="s">
        <v>35</v>
      </c>
      <c r="C4457">
        <v>40347698</v>
      </c>
      <c r="D4457" t="s">
        <v>409</v>
      </c>
      <c r="E4457">
        <v>1012109</v>
      </c>
      <c r="F4457" t="s">
        <v>68</v>
      </c>
      <c r="G4457" s="9">
        <v>44957</v>
      </c>
      <c r="H4457" s="7"/>
      <c r="I4457" s="7"/>
      <c r="J4457" s="7"/>
      <c r="K4457" s="7"/>
      <c r="L4457" s="10">
        <v>7.5</v>
      </c>
      <c r="M4457" s="9">
        <v>44964</v>
      </c>
      <c r="N4457" s="10">
        <v>9.5</v>
      </c>
      <c r="O4457" s="9">
        <v>44973</v>
      </c>
      <c r="P4457">
        <v>9</v>
      </c>
      <c r="Q4457" s="11" t="s">
        <v>49</v>
      </c>
      <c r="R4457" s="7"/>
      <c r="S4457" s="7"/>
      <c r="T4457" s="7"/>
      <c r="U4457" s="7"/>
      <c r="V4457" s="10">
        <v>9.5</v>
      </c>
      <c r="W4457" s="9">
        <v>44966</v>
      </c>
      <c r="X4457" s="10">
        <v>11.5</v>
      </c>
      <c r="Y4457" s="9">
        <v>44973</v>
      </c>
      <c r="Z4457">
        <v>9</v>
      </c>
      <c r="AA4457" s="11" t="s">
        <v>49</v>
      </c>
    </row>
    <row r="4458" spans="2:27" ht="16" x14ac:dyDescent="0.2">
      <c r="B4458" t="s">
        <v>35</v>
      </c>
      <c r="C4458">
        <v>40347698</v>
      </c>
      <c r="D4458" t="s">
        <v>409</v>
      </c>
      <c r="E4458">
        <v>1012108</v>
      </c>
      <c r="F4458" t="s">
        <v>57</v>
      </c>
      <c r="G4458" s="9">
        <v>44957</v>
      </c>
      <c r="H4458" s="7"/>
      <c r="I4458" s="7"/>
      <c r="J4458" s="7"/>
      <c r="K4458" s="7"/>
      <c r="L4458" s="10">
        <v>7.5</v>
      </c>
      <c r="M4458" s="9">
        <v>44964</v>
      </c>
      <c r="N4458" s="10">
        <v>9.5</v>
      </c>
      <c r="O4458" s="9">
        <v>44973</v>
      </c>
      <c r="P4458">
        <v>9</v>
      </c>
      <c r="Q4458" s="11" t="s">
        <v>49</v>
      </c>
      <c r="R4458" s="7"/>
      <c r="S4458" s="7"/>
      <c r="T4458" s="7"/>
      <c r="U4458" s="7"/>
      <c r="V4458" s="10">
        <v>9.5</v>
      </c>
      <c r="W4458" s="9">
        <v>44966</v>
      </c>
      <c r="X4458" s="10">
        <v>11.5</v>
      </c>
      <c r="Y4458" s="9">
        <v>44973</v>
      </c>
      <c r="Z4458">
        <v>9</v>
      </c>
      <c r="AA4458" s="11" t="s">
        <v>49</v>
      </c>
    </row>
    <row r="4459" spans="2:27" x14ac:dyDescent="0.2">
      <c r="B4459" t="s">
        <v>394</v>
      </c>
      <c r="C4459">
        <v>40347557</v>
      </c>
      <c r="D4459" t="s">
        <v>396</v>
      </c>
      <c r="E4459">
        <v>1023283</v>
      </c>
      <c r="F4459" t="s">
        <v>468</v>
      </c>
      <c r="G4459" s="9">
        <v>44982</v>
      </c>
      <c r="H4459" s="7"/>
      <c r="I4459" s="7"/>
      <c r="J4459" s="7"/>
      <c r="K4459" s="7"/>
      <c r="L4459" s="10"/>
      <c r="N4459" s="10"/>
      <c r="Q4459" s="11"/>
      <c r="R4459" s="7"/>
      <c r="S4459" s="7"/>
      <c r="T4459" s="7"/>
      <c r="U4459" s="7"/>
      <c r="V4459" s="10"/>
      <c r="X4459" s="10"/>
      <c r="AA4459" s="11"/>
    </row>
    <row r="4460" spans="2:27" x14ac:dyDescent="0.2">
      <c r="B4460" t="s">
        <v>394</v>
      </c>
      <c r="C4460">
        <v>40347557</v>
      </c>
      <c r="D4460" t="s">
        <v>396</v>
      </c>
      <c r="E4460">
        <v>1023283</v>
      </c>
      <c r="F4460" t="s">
        <v>468</v>
      </c>
      <c r="G4460" s="9">
        <v>44982</v>
      </c>
      <c r="H4460" s="7"/>
      <c r="I4460" s="7"/>
      <c r="J4460" s="7"/>
      <c r="K4460" s="7"/>
      <c r="L4460" s="10"/>
      <c r="N4460" s="10"/>
      <c r="Q4460" s="11"/>
      <c r="R4460" s="7"/>
      <c r="S4460" s="7"/>
      <c r="T4460" s="7"/>
      <c r="U4460" s="7"/>
      <c r="V4460" s="10"/>
      <c r="X4460" s="10"/>
      <c r="AA4460" s="11"/>
    </row>
    <row r="4461" spans="2:27" ht="16" x14ac:dyDescent="0.2">
      <c r="B4461" t="s">
        <v>35</v>
      </c>
      <c r="C4461">
        <v>40347270</v>
      </c>
      <c r="D4461" t="s">
        <v>409</v>
      </c>
      <c r="E4461">
        <v>1022619</v>
      </c>
      <c r="F4461" t="s">
        <v>158</v>
      </c>
      <c r="G4461" s="9">
        <v>44936</v>
      </c>
      <c r="H4461" s="7"/>
      <c r="I4461" s="7"/>
      <c r="J4461" s="7"/>
      <c r="K4461" s="7"/>
      <c r="L4461" s="10">
        <v>7.5</v>
      </c>
      <c r="M4461" s="9">
        <v>44943</v>
      </c>
      <c r="N4461" s="10">
        <v>9.5</v>
      </c>
      <c r="O4461" s="9">
        <v>44952</v>
      </c>
      <c r="P4461">
        <v>4</v>
      </c>
      <c r="Q4461" s="11" t="s">
        <v>49</v>
      </c>
      <c r="R4461" s="7"/>
      <c r="S4461" s="7"/>
      <c r="T4461" s="7"/>
      <c r="U4461" s="7"/>
      <c r="V4461" s="10">
        <v>9.5</v>
      </c>
      <c r="W4461" s="9">
        <v>44945</v>
      </c>
      <c r="X4461" s="10">
        <v>11.5</v>
      </c>
      <c r="Y4461" s="9">
        <v>44952</v>
      </c>
      <c r="Z4461">
        <v>4</v>
      </c>
      <c r="AA4461" s="11" t="s">
        <v>49</v>
      </c>
    </row>
    <row r="4462" spans="2:27" ht="16" x14ac:dyDescent="0.2">
      <c r="B4462" t="s">
        <v>35</v>
      </c>
      <c r="C4462">
        <v>40347270</v>
      </c>
      <c r="D4462" t="s">
        <v>409</v>
      </c>
      <c r="E4462">
        <v>1021398</v>
      </c>
      <c r="F4462" t="s">
        <v>118</v>
      </c>
      <c r="G4462" s="9">
        <v>44936</v>
      </c>
      <c r="H4462" s="7"/>
      <c r="I4462" s="7"/>
      <c r="J4462" s="7"/>
      <c r="K4462" s="7"/>
      <c r="L4462" s="10">
        <v>7.5</v>
      </c>
      <c r="M4462" s="9">
        <v>44943</v>
      </c>
      <c r="N4462" s="10">
        <v>9.5</v>
      </c>
      <c r="O4462" s="9">
        <v>44952</v>
      </c>
      <c r="P4462">
        <v>4</v>
      </c>
      <c r="Q4462" s="11" t="s">
        <v>49</v>
      </c>
      <c r="R4462" s="7"/>
      <c r="S4462" s="7"/>
      <c r="T4462" s="7"/>
      <c r="U4462" s="7"/>
      <c r="V4462" s="10">
        <v>9.5</v>
      </c>
      <c r="W4462" s="9">
        <v>44945</v>
      </c>
      <c r="X4462" s="10">
        <v>11.5</v>
      </c>
      <c r="Y4462" s="9">
        <v>44952</v>
      </c>
      <c r="Z4462">
        <v>4</v>
      </c>
      <c r="AA4462" s="11" t="s">
        <v>49</v>
      </c>
    </row>
    <row r="4463" spans="2:27" ht="16" x14ac:dyDescent="0.2">
      <c r="B4463" t="s">
        <v>35</v>
      </c>
      <c r="C4463">
        <v>40347248</v>
      </c>
      <c r="D4463" t="s">
        <v>386</v>
      </c>
      <c r="E4463">
        <v>1030711</v>
      </c>
      <c r="F4463" t="s">
        <v>544</v>
      </c>
      <c r="G4463" s="9">
        <v>44953</v>
      </c>
      <c r="H4463" s="7"/>
      <c r="I4463" s="7"/>
      <c r="J4463" s="7"/>
      <c r="K4463" s="7"/>
      <c r="L4463" s="10">
        <v>5.1420118343195256</v>
      </c>
      <c r="M4463" s="9">
        <v>44958</v>
      </c>
      <c r="N4463" s="10">
        <v>7.5</v>
      </c>
      <c r="O4463" s="9">
        <v>44965</v>
      </c>
      <c r="P4463">
        <v>17</v>
      </c>
      <c r="Q4463" s="11" t="s">
        <v>49</v>
      </c>
      <c r="R4463" s="7"/>
      <c r="S4463" s="7"/>
      <c r="T4463" s="7"/>
      <c r="U4463" s="7"/>
      <c r="V4463" s="10">
        <v>7.1420118343195256</v>
      </c>
      <c r="W4463" s="9">
        <v>44960</v>
      </c>
      <c r="X4463" s="10">
        <v>9.5</v>
      </c>
      <c r="Y4463" s="9">
        <v>44965</v>
      </c>
      <c r="Z4463">
        <v>17</v>
      </c>
      <c r="AA4463" s="11" t="s">
        <v>49</v>
      </c>
    </row>
    <row r="4464" spans="2:27" ht="16" x14ac:dyDescent="0.2">
      <c r="B4464" t="s">
        <v>35</v>
      </c>
      <c r="C4464">
        <v>40347248</v>
      </c>
      <c r="D4464" t="s">
        <v>386</v>
      </c>
      <c r="E4464">
        <v>1030710</v>
      </c>
      <c r="F4464" t="s">
        <v>672</v>
      </c>
      <c r="G4464" s="9">
        <v>44953</v>
      </c>
      <c r="H4464" s="7"/>
      <c r="I4464" s="7"/>
      <c r="J4464" s="7"/>
      <c r="K4464" s="7"/>
      <c r="L4464" s="10">
        <v>5.1420118343195256</v>
      </c>
      <c r="M4464" s="9">
        <v>44958</v>
      </c>
      <c r="N4464" s="10">
        <v>7.5</v>
      </c>
      <c r="O4464" s="9">
        <v>44965</v>
      </c>
      <c r="P4464">
        <v>17</v>
      </c>
      <c r="Q4464" s="11" t="s">
        <v>49</v>
      </c>
      <c r="R4464" s="7"/>
      <c r="S4464" s="7"/>
      <c r="T4464" s="7"/>
      <c r="U4464" s="7"/>
      <c r="V4464" s="10">
        <v>7.1420118343195256</v>
      </c>
      <c r="W4464" s="9">
        <v>44960</v>
      </c>
      <c r="X4464" s="10">
        <v>9.5</v>
      </c>
      <c r="Y4464" s="9">
        <v>44965</v>
      </c>
      <c r="Z4464">
        <v>17</v>
      </c>
      <c r="AA4464" s="11" t="s">
        <v>49</v>
      </c>
    </row>
    <row r="4465" spans="2:27" ht="16" x14ac:dyDescent="0.2">
      <c r="B4465" t="s">
        <v>35</v>
      </c>
      <c r="C4465">
        <v>40347229</v>
      </c>
      <c r="D4465" t="s">
        <v>409</v>
      </c>
      <c r="E4465">
        <v>1020828</v>
      </c>
      <c r="F4465" t="s">
        <v>74</v>
      </c>
      <c r="G4465" s="9">
        <v>44957</v>
      </c>
      <c r="H4465" s="7"/>
      <c r="I4465" s="7"/>
      <c r="J4465" s="7"/>
      <c r="K4465" s="7"/>
      <c r="L4465" s="10">
        <v>7.5</v>
      </c>
      <c r="M4465" s="9">
        <v>44964</v>
      </c>
      <c r="N4465" s="10">
        <v>9.5</v>
      </c>
      <c r="O4465" s="9">
        <v>44973</v>
      </c>
      <c r="P4465">
        <v>9</v>
      </c>
      <c r="Q4465" s="11" t="s">
        <v>49</v>
      </c>
      <c r="R4465" s="7"/>
      <c r="S4465" s="7"/>
      <c r="T4465" s="7"/>
      <c r="U4465" s="7"/>
      <c r="V4465" s="10">
        <v>9.5</v>
      </c>
      <c r="W4465" s="9">
        <v>44966</v>
      </c>
      <c r="X4465" s="10">
        <v>11.5</v>
      </c>
      <c r="Y4465" s="9">
        <v>44973</v>
      </c>
      <c r="Z4465">
        <v>9</v>
      </c>
      <c r="AA4465" s="11" t="s">
        <v>49</v>
      </c>
    </row>
    <row r="4466" spans="2:27" ht="16" x14ac:dyDescent="0.2">
      <c r="B4466" t="s">
        <v>35</v>
      </c>
      <c r="C4466">
        <v>40347229</v>
      </c>
      <c r="D4466" t="s">
        <v>409</v>
      </c>
      <c r="E4466">
        <v>1021538</v>
      </c>
      <c r="F4466" t="s">
        <v>256</v>
      </c>
      <c r="G4466" s="9">
        <v>44957</v>
      </c>
      <c r="H4466" s="7"/>
      <c r="I4466" s="7"/>
      <c r="J4466" s="7"/>
      <c r="K4466" s="7"/>
      <c r="L4466" s="10">
        <v>7.5</v>
      </c>
      <c r="M4466" s="9">
        <v>44964</v>
      </c>
      <c r="N4466" s="10">
        <v>9.5</v>
      </c>
      <c r="O4466" s="9">
        <v>44973</v>
      </c>
      <c r="P4466">
        <v>9</v>
      </c>
      <c r="Q4466" s="11" t="s">
        <v>49</v>
      </c>
      <c r="R4466" s="7"/>
      <c r="S4466" s="7"/>
      <c r="T4466" s="7"/>
      <c r="U4466" s="7"/>
      <c r="V4466" s="10">
        <v>9.5</v>
      </c>
      <c r="W4466" s="9">
        <v>44966</v>
      </c>
      <c r="X4466" s="10">
        <v>11.5</v>
      </c>
      <c r="Y4466" s="9">
        <v>44973</v>
      </c>
      <c r="Z4466">
        <v>9</v>
      </c>
      <c r="AA4466" s="11" t="s">
        <v>49</v>
      </c>
    </row>
    <row r="4467" spans="2:27" ht="16" x14ac:dyDescent="0.2">
      <c r="B4467" t="s">
        <v>35</v>
      </c>
      <c r="C4467">
        <v>40347211</v>
      </c>
      <c r="D4467" t="s">
        <v>409</v>
      </c>
      <c r="E4467">
        <v>1012108</v>
      </c>
      <c r="F4467" t="s">
        <v>57</v>
      </c>
      <c r="G4467" s="9">
        <v>44942</v>
      </c>
      <c r="H4467" s="7"/>
      <c r="I4467" s="7"/>
      <c r="J4467" s="7"/>
      <c r="K4467" s="7"/>
      <c r="L4467" s="10">
        <v>7.5</v>
      </c>
      <c r="M4467" s="9">
        <v>44949</v>
      </c>
      <c r="N4467" s="10">
        <v>9.5</v>
      </c>
      <c r="O4467" s="9">
        <v>44958</v>
      </c>
      <c r="P4467">
        <v>22</v>
      </c>
      <c r="Q4467" s="11" t="s">
        <v>49</v>
      </c>
      <c r="R4467" s="7"/>
      <c r="S4467" s="7"/>
      <c r="T4467" s="7"/>
      <c r="U4467" s="7"/>
      <c r="V4467" s="10">
        <v>9.5</v>
      </c>
      <c r="W4467" s="9">
        <v>44951</v>
      </c>
      <c r="X4467" s="10">
        <v>11.5</v>
      </c>
      <c r="Y4467" s="9">
        <v>44958</v>
      </c>
      <c r="Z4467">
        <v>22</v>
      </c>
      <c r="AA4467" s="11" t="s">
        <v>49</v>
      </c>
    </row>
    <row r="4468" spans="2:27" ht="16" x14ac:dyDescent="0.2">
      <c r="B4468" t="s">
        <v>35</v>
      </c>
      <c r="C4468">
        <v>40347209</v>
      </c>
      <c r="D4468" t="s">
        <v>409</v>
      </c>
      <c r="E4468">
        <v>1012110</v>
      </c>
      <c r="F4468" t="s">
        <v>109</v>
      </c>
      <c r="G4468" s="9">
        <v>44943</v>
      </c>
      <c r="H4468" s="7"/>
      <c r="I4468" s="7"/>
      <c r="J4468" s="7"/>
      <c r="K4468" s="7"/>
      <c r="L4468" s="10">
        <v>7.5</v>
      </c>
      <c r="M4468" s="9">
        <v>44950</v>
      </c>
      <c r="N4468" s="10">
        <v>9.5</v>
      </c>
      <c r="O4468" s="9">
        <v>44959</v>
      </c>
      <c r="P4468">
        <v>21</v>
      </c>
      <c r="Q4468" s="11" t="s">
        <v>49</v>
      </c>
      <c r="R4468" s="7"/>
      <c r="S4468" s="7"/>
      <c r="T4468" s="7"/>
      <c r="U4468" s="7"/>
      <c r="V4468" s="10">
        <v>9.5</v>
      </c>
      <c r="W4468" s="9">
        <v>44952</v>
      </c>
      <c r="X4468" s="10">
        <v>11.5</v>
      </c>
      <c r="Y4468" s="9">
        <v>44959</v>
      </c>
      <c r="Z4468">
        <v>21</v>
      </c>
      <c r="AA4468" s="11" t="s">
        <v>49</v>
      </c>
    </row>
    <row r="4469" spans="2:27" ht="16" x14ac:dyDescent="0.2">
      <c r="B4469" t="s">
        <v>35</v>
      </c>
      <c r="C4469">
        <v>40347209</v>
      </c>
      <c r="D4469" t="s">
        <v>409</v>
      </c>
      <c r="E4469">
        <v>1012519</v>
      </c>
      <c r="F4469" t="s">
        <v>221</v>
      </c>
      <c r="G4469" s="9">
        <v>44943</v>
      </c>
      <c r="H4469" s="7"/>
      <c r="I4469" s="7"/>
      <c r="J4469" s="7"/>
      <c r="K4469" s="7"/>
      <c r="L4469" s="10">
        <v>7.5</v>
      </c>
      <c r="M4469" s="9">
        <v>44950</v>
      </c>
      <c r="N4469" s="10">
        <v>9.5</v>
      </c>
      <c r="O4469" s="9">
        <v>44959</v>
      </c>
      <c r="P4469">
        <v>21</v>
      </c>
      <c r="Q4469" s="11" t="s">
        <v>49</v>
      </c>
      <c r="R4469" s="7"/>
      <c r="S4469" s="7"/>
      <c r="T4469" s="7"/>
      <c r="U4469" s="7"/>
      <c r="V4469" s="10">
        <v>9.5</v>
      </c>
      <c r="W4469" s="9">
        <v>44952</v>
      </c>
      <c r="X4469" s="10">
        <v>11.5</v>
      </c>
      <c r="Y4469" s="9">
        <v>44959</v>
      </c>
      <c r="Z4469">
        <v>21</v>
      </c>
      <c r="AA4469" s="11" t="s">
        <v>49</v>
      </c>
    </row>
    <row r="4470" spans="2:27" ht="16" x14ac:dyDescent="0.2">
      <c r="B4470" t="s">
        <v>35</v>
      </c>
      <c r="C4470">
        <v>40347209</v>
      </c>
      <c r="D4470" t="s">
        <v>409</v>
      </c>
      <c r="E4470">
        <v>1012107</v>
      </c>
      <c r="F4470" t="s">
        <v>215</v>
      </c>
      <c r="G4470" s="9">
        <v>44943</v>
      </c>
      <c r="H4470" s="7"/>
      <c r="I4470" s="7"/>
      <c r="J4470" s="7"/>
      <c r="K4470" s="7"/>
      <c r="L4470" s="10">
        <v>7.5</v>
      </c>
      <c r="M4470" s="9">
        <v>44950</v>
      </c>
      <c r="N4470" s="10">
        <v>9.5</v>
      </c>
      <c r="O4470" s="9">
        <v>44959</v>
      </c>
      <c r="P4470">
        <v>21</v>
      </c>
      <c r="Q4470" s="11" t="s">
        <v>49</v>
      </c>
      <c r="R4470" s="7"/>
      <c r="S4470" s="7"/>
      <c r="T4470" s="7"/>
      <c r="U4470" s="7"/>
      <c r="V4470" s="10">
        <v>9.5</v>
      </c>
      <c r="W4470" s="9">
        <v>44952</v>
      </c>
      <c r="X4470" s="10">
        <v>11.5</v>
      </c>
      <c r="Y4470" s="9">
        <v>44959</v>
      </c>
      <c r="Z4470">
        <v>21</v>
      </c>
      <c r="AA4470" s="11" t="s">
        <v>49</v>
      </c>
    </row>
    <row r="4471" spans="2:27" x14ac:dyDescent="0.2">
      <c r="B4471" t="s">
        <v>394</v>
      </c>
      <c r="C4471">
        <v>40347176</v>
      </c>
      <c r="D4471" t="s">
        <v>485</v>
      </c>
      <c r="E4471">
        <v>1021092</v>
      </c>
      <c r="F4471" t="s">
        <v>525</v>
      </c>
      <c r="G4471" s="9">
        <v>44927</v>
      </c>
      <c r="H4471" s="7"/>
      <c r="I4471" s="7"/>
      <c r="J4471" s="7"/>
      <c r="K4471" s="7"/>
      <c r="L4471" s="10"/>
      <c r="N4471" s="10"/>
      <c r="Q4471" s="11"/>
      <c r="R4471" s="7"/>
      <c r="S4471" s="7"/>
      <c r="T4471" s="7"/>
      <c r="U4471" s="7"/>
      <c r="V4471" s="10"/>
      <c r="X4471" s="10"/>
      <c r="AA4471" s="11"/>
    </row>
    <row r="4472" spans="2:27" ht="16" x14ac:dyDescent="0.2">
      <c r="B4472" t="s">
        <v>35</v>
      </c>
      <c r="C4472">
        <v>40347112</v>
      </c>
      <c r="D4472" t="s">
        <v>423</v>
      </c>
      <c r="E4472">
        <v>1023319</v>
      </c>
      <c r="F4472" t="s">
        <v>559</v>
      </c>
      <c r="G4472" s="9">
        <v>44935</v>
      </c>
      <c r="H4472" s="7"/>
      <c r="I4472" s="7"/>
      <c r="J4472" s="7"/>
      <c r="K4472" s="7"/>
      <c r="L4472" s="10">
        <v>5.4496124031007751</v>
      </c>
      <c r="M4472" s="9">
        <v>44940</v>
      </c>
      <c r="N4472" s="10">
        <v>10</v>
      </c>
      <c r="O4472" s="9">
        <v>44950</v>
      </c>
      <c r="P4472">
        <v>6</v>
      </c>
      <c r="Q4472" s="11" t="s">
        <v>49</v>
      </c>
      <c r="R4472" s="7"/>
      <c r="S4472" s="7"/>
      <c r="T4472" s="7"/>
      <c r="U4472" s="7"/>
      <c r="V4472" s="10">
        <v>7.4496124031007751</v>
      </c>
      <c r="W4472" s="9">
        <v>44942</v>
      </c>
      <c r="X4472" s="10">
        <v>12</v>
      </c>
      <c r="Y4472" s="9">
        <v>44950</v>
      </c>
      <c r="Z4472">
        <v>6</v>
      </c>
      <c r="AA4472" s="11" t="s">
        <v>49</v>
      </c>
    </row>
    <row r="4473" spans="2:27" ht="16" x14ac:dyDescent="0.2">
      <c r="B4473" t="s">
        <v>35</v>
      </c>
      <c r="C4473">
        <v>40347112</v>
      </c>
      <c r="D4473" t="s">
        <v>423</v>
      </c>
      <c r="E4473">
        <v>1023319</v>
      </c>
      <c r="F4473" t="s">
        <v>559</v>
      </c>
      <c r="G4473" s="9">
        <v>44935</v>
      </c>
      <c r="H4473" s="7"/>
      <c r="I4473" s="7"/>
      <c r="J4473" s="7"/>
      <c r="K4473" s="7"/>
      <c r="L4473" s="10">
        <v>5.4496124031007751</v>
      </c>
      <c r="M4473" s="9">
        <v>44940</v>
      </c>
      <c r="N4473" s="10">
        <v>10</v>
      </c>
      <c r="O4473" s="9">
        <v>44950</v>
      </c>
      <c r="P4473">
        <v>6</v>
      </c>
      <c r="Q4473" s="11" t="s">
        <v>49</v>
      </c>
      <c r="R4473" s="7"/>
      <c r="S4473" s="7"/>
      <c r="T4473" s="7"/>
      <c r="U4473" s="7"/>
      <c r="V4473" s="10">
        <v>7.4496124031007751</v>
      </c>
      <c r="W4473" s="9">
        <v>44942</v>
      </c>
      <c r="X4473" s="10">
        <v>12</v>
      </c>
      <c r="Y4473" s="9">
        <v>44950</v>
      </c>
      <c r="Z4473">
        <v>6</v>
      </c>
      <c r="AA4473" s="11" t="s">
        <v>49</v>
      </c>
    </row>
    <row r="4474" spans="2:27" ht="16" x14ac:dyDescent="0.2">
      <c r="B4474" t="s">
        <v>35</v>
      </c>
      <c r="C4474">
        <v>40347106</v>
      </c>
      <c r="D4474" t="s">
        <v>423</v>
      </c>
      <c r="E4474">
        <v>1021874</v>
      </c>
      <c r="F4474" t="s">
        <v>514</v>
      </c>
      <c r="G4474" s="9">
        <v>44941</v>
      </c>
      <c r="H4474" s="7"/>
      <c r="I4474" s="7"/>
      <c r="J4474" s="7"/>
      <c r="K4474" s="7"/>
      <c r="L4474" s="10">
        <v>5.4496124031007751</v>
      </c>
      <c r="M4474" s="9">
        <v>44946</v>
      </c>
      <c r="N4474" s="10">
        <v>10</v>
      </c>
      <c r="O4474" s="9">
        <v>44956</v>
      </c>
      <c r="P4474">
        <v>1</v>
      </c>
      <c r="Q4474" s="11" t="s">
        <v>648</v>
      </c>
      <c r="R4474" s="7"/>
      <c r="S4474" s="7"/>
      <c r="T4474" s="7"/>
      <c r="U4474" s="7"/>
      <c r="V4474" s="10">
        <v>7.4496124031007751</v>
      </c>
      <c r="W4474" s="9">
        <v>44948</v>
      </c>
      <c r="X4474" s="10">
        <v>12</v>
      </c>
      <c r="Y4474" s="9">
        <v>44956</v>
      </c>
      <c r="Z4474">
        <v>1</v>
      </c>
      <c r="AA4474" s="11" t="s">
        <v>648</v>
      </c>
    </row>
    <row r="4475" spans="2:27" ht="16" x14ac:dyDescent="0.2">
      <c r="B4475" t="s">
        <v>35</v>
      </c>
      <c r="C4475">
        <v>40347102</v>
      </c>
      <c r="D4475" t="s">
        <v>423</v>
      </c>
      <c r="E4475">
        <v>1021874</v>
      </c>
      <c r="F4475" t="s">
        <v>514</v>
      </c>
      <c r="G4475" s="9">
        <v>44935</v>
      </c>
      <c r="H4475" s="7"/>
      <c r="I4475" s="7"/>
      <c r="J4475" s="7"/>
      <c r="K4475" s="7"/>
      <c r="L4475" s="10">
        <v>5.4496124031007751</v>
      </c>
      <c r="M4475" s="9">
        <v>44940</v>
      </c>
      <c r="N4475" s="10">
        <v>10</v>
      </c>
      <c r="O4475" s="9">
        <v>44950</v>
      </c>
      <c r="P4475">
        <v>6</v>
      </c>
      <c r="Q4475" s="11" t="s">
        <v>49</v>
      </c>
      <c r="R4475" s="7"/>
      <c r="S4475" s="7"/>
      <c r="T4475" s="7"/>
      <c r="U4475" s="7"/>
      <c r="V4475" s="10">
        <v>7.4496124031007751</v>
      </c>
      <c r="W4475" s="9">
        <v>44942</v>
      </c>
      <c r="X4475" s="10">
        <v>12</v>
      </c>
      <c r="Y4475" s="9">
        <v>44950</v>
      </c>
      <c r="Z4475">
        <v>6</v>
      </c>
      <c r="AA4475" s="11" t="s">
        <v>49</v>
      </c>
    </row>
    <row r="4476" spans="2:27" ht="16" x14ac:dyDescent="0.2">
      <c r="B4476" t="s">
        <v>35</v>
      </c>
      <c r="C4476">
        <v>40347101</v>
      </c>
      <c r="D4476" t="s">
        <v>423</v>
      </c>
      <c r="E4476">
        <v>1021874</v>
      </c>
      <c r="F4476" t="s">
        <v>514</v>
      </c>
      <c r="G4476" s="9">
        <v>44935</v>
      </c>
      <c r="H4476" s="7"/>
      <c r="I4476" s="7"/>
      <c r="J4476" s="7"/>
      <c r="K4476" s="7"/>
      <c r="L4476" s="10">
        <v>5.4496124031007751</v>
      </c>
      <c r="M4476" s="9">
        <v>44940</v>
      </c>
      <c r="N4476" s="10">
        <v>10</v>
      </c>
      <c r="O4476" s="9">
        <v>44950</v>
      </c>
      <c r="P4476">
        <v>6</v>
      </c>
      <c r="Q4476" s="11" t="s">
        <v>49</v>
      </c>
      <c r="R4476" s="7"/>
      <c r="S4476" s="7"/>
      <c r="T4476" s="7"/>
      <c r="U4476" s="7"/>
      <c r="V4476" s="10">
        <v>7.4496124031007751</v>
      </c>
      <c r="W4476" s="9">
        <v>44942</v>
      </c>
      <c r="X4476" s="10">
        <v>12</v>
      </c>
      <c r="Y4476" s="9">
        <v>44950</v>
      </c>
      <c r="Z4476">
        <v>6</v>
      </c>
      <c r="AA4476" s="11" t="s">
        <v>49</v>
      </c>
    </row>
    <row r="4477" spans="2:27" ht="16" x14ac:dyDescent="0.2">
      <c r="B4477" t="s">
        <v>35</v>
      </c>
      <c r="C4477">
        <v>40347087</v>
      </c>
      <c r="D4477" t="s">
        <v>423</v>
      </c>
      <c r="E4477">
        <v>1021026</v>
      </c>
      <c r="F4477" t="s">
        <v>673</v>
      </c>
      <c r="G4477" s="9">
        <v>44935</v>
      </c>
      <c r="H4477" s="7"/>
      <c r="I4477" s="7"/>
      <c r="J4477" s="7"/>
      <c r="K4477" s="7"/>
      <c r="L4477" s="10">
        <v>5.4496124031007751</v>
      </c>
      <c r="M4477" s="9">
        <v>44940</v>
      </c>
      <c r="N4477" s="10">
        <v>10</v>
      </c>
      <c r="O4477" s="9">
        <v>44950</v>
      </c>
      <c r="P4477">
        <v>6</v>
      </c>
      <c r="Q4477" s="11" t="s">
        <v>49</v>
      </c>
      <c r="R4477" s="7"/>
      <c r="S4477" s="7"/>
      <c r="T4477" s="7"/>
      <c r="U4477" s="7"/>
      <c r="V4477" s="10">
        <v>7.4496124031007751</v>
      </c>
      <c r="W4477" s="9">
        <v>44942</v>
      </c>
      <c r="X4477" s="10">
        <v>12</v>
      </c>
      <c r="Y4477" s="9">
        <v>44950</v>
      </c>
      <c r="Z4477">
        <v>6</v>
      </c>
      <c r="AA4477" s="11" t="s">
        <v>49</v>
      </c>
    </row>
    <row r="4478" spans="2:27" ht="16" x14ac:dyDescent="0.2">
      <c r="B4478" t="s">
        <v>35</v>
      </c>
      <c r="C4478">
        <v>40347086</v>
      </c>
      <c r="D4478" t="s">
        <v>423</v>
      </c>
      <c r="E4478">
        <v>1021596</v>
      </c>
      <c r="F4478" t="s">
        <v>674</v>
      </c>
      <c r="G4478" s="9">
        <v>44935</v>
      </c>
      <c r="H4478" s="7"/>
      <c r="I4478" s="7"/>
      <c r="J4478" s="7"/>
      <c r="K4478" s="7"/>
      <c r="L4478" s="10">
        <v>5.4496124031007751</v>
      </c>
      <c r="M4478" s="9">
        <v>44940</v>
      </c>
      <c r="N4478" s="10">
        <v>10</v>
      </c>
      <c r="O4478" s="9">
        <v>44950</v>
      </c>
      <c r="P4478">
        <v>6</v>
      </c>
      <c r="Q4478" s="11" t="s">
        <v>49</v>
      </c>
      <c r="R4478" s="7"/>
      <c r="S4478" s="7"/>
      <c r="T4478" s="7"/>
      <c r="U4478" s="7"/>
      <c r="V4478" s="10">
        <v>7.4496124031007751</v>
      </c>
      <c r="W4478" s="9">
        <v>44942</v>
      </c>
      <c r="X4478" s="10">
        <v>12</v>
      </c>
      <c r="Y4478" s="9">
        <v>44950</v>
      </c>
      <c r="Z4478">
        <v>6</v>
      </c>
      <c r="AA4478" s="11" t="s">
        <v>49</v>
      </c>
    </row>
    <row r="4479" spans="2:27" x14ac:dyDescent="0.2">
      <c r="B4479" t="s">
        <v>394</v>
      </c>
      <c r="C4479">
        <v>40346995</v>
      </c>
      <c r="D4479" t="s">
        <v>485</v>
      </c>
      <c r="E4479">
        <v>1020848</v>
      </c>
      <c r="F4479" t="s">
        <v>503</v>
      </c>
      <c r="G4479" s="9">
        <v>44927</v>
      </c>
      <c r="H4479" s="7"/>
      <c r="I4479" s="7"/>
      <c r="J4479" s="7"/>
      <c r="K4479" s="7"/>
      <c r="L4479" s="10"/>
      <c r="N4479" s="10"/>
      <c r="Q4479" s="11"/>
      <c r="R4479" s="7"/>
      <c r="S4479" s="7"/>
      <c r="T4479" s="7"/>
      <c r="U4479" s="7"/>
      <c r="V4479" s="10"/>
      <c r="X4479" s="10"/>
      <c r="AA4479" s="11"/>
    </row>
    <row r="4480" spans="2:27" ht="16" x14ac:dyDescent="0.2">
      <c r="B4480" t="s">
        <v>35</v>
      </c>
      <c r="C4480">
        <v>40346810</v>
      </c>
      <c r="D4480" t="s">
        <v>391</v>
      </c>
      <c r="E4480">
        <v>1022914</v>
      </c>
      <c r="F4480" t="s">
        <v>460</v>
      </c>
      <c r="G4480" s="9">
        <v>44962</v>
      </c>
      <c r="H4480" s="7"/>
      <c r="I4480" s="7"/>
      <c r="J4480" s="7"/>
      <c r="K4480" s="7"/>
      <c r="L4480" s="10">
        <v>4.830303030303031</v>
      </c>
      <c r="M4480" s="9">
        <v>44966</v>
      </c>
      <c r="N4480" s="10">
        <v>15</v>
      </c>
      <c r="O4480" s="9">
        <v>44981</v>
      </c>
      <c r="P4480">
        <v>3</v>
      </c>
      <c r="Q4480" s="11" t="s">
        <v>49</v>
      </c>
      <c r="R4480" s="7"/>
      <c r="S4480" s="7"/>
      <c r="T4480" s="7"/>
      <c r="U4480" s="7"/>
      <c r="V4480" s="10">
        <v>6.830303030303031</v>
      </c>
      <c r="W4480" s="9">
        <v>44968</v>
      </c>
      <c r="X4480" s="10">
        <v>17</v>
      </c>
      <c r="Y4480" s="9">
        <v>44981</v>
      </c>
      <c r="Z4480">
        <v>3</v>
      </c>
      <c r="AA4480" s="11" t="s">
        <v>49</v>
      </c>
    </row>
    <row r="4481" spans="2:27" x14ac:dyDescent="0.2">
      <c r="B4481" t="s">
        <v>394</v>
      </c>
      <c r="C4481">
        <v>40346724</v>
      </c>
      <c r="D4481" t="s">
        <v>485</v>
      </c>
      <c r="E4481">
        <v>1020412</v>
      </c>
      <c r="F4481" t="s">
        <v>486</v>
      </c>
      <c r="G4481" s="9">
        <v>44935</v>
      </c>
      <c r="H4481" s="7"/>
      <c r="I4481" s="7"/>
      <c r="J4481" s="7"/>
      <c r="K4481" s="7"/>
      <c r="L4481" s="10"/>
      <c r="N4481" s="10"/>
      <c r="Q4481" s="11"/>
      <c r="R4481" s="7"/>
      <c r="S4481" s="7"/>
      <c r="T4481" s="7"/>
      <c r="U4481" s="7"/>
      <c r="V4481" s="10"/>
      <c r="X4481" s="10"/>
      <c r="AA4481" s="11"/>
    </row>
    <row r="4482" spans="2:27" x14ac:dyDescent="0.2">
      <c r="B4482" t="s">
        <v>394</v>
      </c>
      <c r="C4482">
        <v>40346724</v>
      </c>
      <c r="D4482" t="s">
        <v>485</v>
      </c>
      <c r="E4482">
        <v>1020412</v>
      </c>
      <c r="F4482" t="s">
        <v>486</v>
      </c>
      <c r="G4482" s="9">
        <v>44935</v>
      </c>
      <c r="H4482" s="7"/>
      <c r="I4482" s="7"/>
      <c r="J4482" s="7"/>
      <c r="K4482" s="7"/>
      <c r="L4482" s="10"/>
      <c r="N4482" s="10"/>
      <c r="Q4482" s="11"/>
      <c r="R4482" s="7"/>
      <c r="S4482" s="7"/>
      <c r="T4482" s="7"/>
      <c r="U4482" s="7"/>
      <c r="V4482" s="10"/>
      <c r="X4482" s="10"/>
      <c r="AA4482" s="11"/>
    </row>
    <row r="4483" spans="2:27" x14ac:dyDescent="0.2">
      <c r="B4483" t="s">
        <v>394</v>
      </c>
      <c r="C4483">
        <v>40346723</v>
      </c>
      <c r="D4483" t="s">
        <v>485</v>
      </c>
      <c r="E4483">
        <v>1020412</v>
      </c>
      <c r="F4483" t="s">
        <v>486</v>
      </c>
      <c r="G4483" s="9">
        <v>44919</v>
      </c>
      <c r="H4483" s="7"/>
      <c r="I4483" s="7"/>
      <c r="J4483" s="7"/>
      <c r="K4483" s="7"/>
      <c r="L4483" s="10"/>
      <c r="N4483" s="10"/>
      <c r="Q4483" s="11"/>
      <c r="R4483" s="7"/>
      <c r="S4483" s="7"/>
      <c r="T4483" s="7"/>
      <c r="U4483" s="7"/>
      <c r="V4483" s="10"/>
      <c r="X4483" s="10"/>
      <c r="AA4483" s="11"/>
    </row>
    <row r="4484" spans="2:27" x14ac:dyDescent="0.2">
      <c r="B4484" t="s">
        <v>394</v>
      </c>
      <c r="C4484">
        <v>40346723</v>
      </c>
      <c r="D4484" t="s">
        <v>485</v>
      </c>
      <c r="E4484">
        <v>1020412</v>
      </c>
      <c r="F4484" t="s">
        <v>486</v>
      </c>
      <c r="G4484" s="9">
        <v>44919</v>
      </c>
      <c r="H4484" s="7"/>
      <c r="I4484" s="7"/>
      <c r="J4484" s="7"/>
      <c r="K4484" s="7"/>
      <c r="L4484" s="10"/>
      <c r="N4484" s="10"/>
      <c r="Q4484" s="11"/>
      <c r="R4484" s="7"/>
      <c r="S4484" s="7"/>
      <c r="T4484" s="7"/>
      <c r="U4484" s="7"/>
      <c r="V4484" s="10"/>
      <c r="X4484" s="10"/>
      <c r="AA4484" s="11"/>
    </row>
    <row r="4485" spans="2:27" x14ac:dyDescent="0.2">
      <c r="B4485" t="s">
        <v>394</v>
      </c>
      <c r="C4485">
        <v>40346608</v>
      </c>
      <c r="D4485" t="s">
        <v>485</v>
      </c>
      <c r="E4485">
        <v>1020086</v>
      </c>
      <c r="F4485" t="s">
        <v>526</v>
      </c>
      <c r="G4485" s="9">
        <v>44940</v>
      </c>
      <c r="H4485" s="7"/>
      <c r="I4485" s="7"/>
      <c r="J4485" s="7"/>
      <c r="K4485" s="7"/>
      <c r="L4485" s="10"/>
      <c r="N4485" s="10"/>
      <c r="Q4485" s="11"/>
      <c r="R4485" s="7"/>
      <c r="S4485" s="7"/>
      <c r="T4485" s="7"/>
      <c r="U4485" s="7"/>
      <c r="V4485" s="10"/>
      <c r="X4485" s="10"/>
      <c r="AA4485" s="11"/>
    </row>
    <row r="4486" spans="2:27" x14ac:dyDescent="0.2">
      <c r="B4486" t="s">
        <v>394</v>
      </c>
      <c r="C4486">
        <v>40346607</v>
      </c>
      <c r="D4486" t="s">
        <v>485</v>
      </c>
      <c r="E4486">
        <v>1020848</v>
      </c>
      <c r="F4486" t="s">
        <v>503</v>
      </c>
      <c r="G4486" s="9">
        <v>44940</v>
      </c>
      <c r="H4486" s="7"/>
      <c r="I4486" s="7"/>
      <c r="J4486" s="7"/>
      <c r="K4486" s="7"/>
      <c r="L4486" s="10"/>
      <c r="N4486" s="10"/>
      <c r="Q4486" s="11"/>
      <c r="R4486" s="7"/>
      <c r="S4486" s="7"/>
      <c r="T4486" s="7"/>
      <c r="U4486" s="7"/>
      <c r="V4486" s="10"/>
      <c r="X4486" s="10"/>
      <c r="AA4486" s="11"/>
    </row>
    <row r="4487" spans="2:27" ht="16" x14ac:dyDescent="0.2">
      <c r="B4487" t="s">
        <v>35</v>
      </c>
      <c r="C4487">
        <v>40346560</v>
      </c>
      <c r="D4487" t="s">
        <v>389</v>
      </c>
      <c r="E4487">
        <v>1030683</v>
      </c>
      <c r="F4487" t="s">
        <v>379</v>
      </c>
      <c r="G4487" s="9">
        <v>44961</v>
      </c>
      <c r="H4487" s="7"/>
      <c r="I4487" s="7"/>
      <c r="J4487" s="7"/>
      <c r="K4487" s="7"/>
      <c r="L4487" s="10">
        <v>5.5741092456127026</v>
      </c>
      <c r="M4487" s="9">
        <v>44966</v>
      </c>
      <c r="N4487" s="10">
        <v>5.5</v>
      </c>
      <c r="O4487" s="9">
        <v>44971</v>
      </c>
      <c r="P4487">
        <v>12</v>
      </c>
      <c r="Q4487" s="11" t="s">
        <v>49</v>
      </c>
      <c r="R4487" s="7"/>
      <c r="S4487" s="7"/>
      <c r="T4487" s="7"/>
      <c r="U4487" s="7"/>
      <c r="V4487" s="10">
        <v>7.5741092456127026</v>
      </c>
      <c r="W4487" s="9">
        <v>44968</v>
      </c>
      <c r="X4487" s="10">
        <v>7.5</v>
      </c>
      <c r="Y4487" s="9">
        <v>44971</v>
      </c>
      <c r="Z4487">
        <v>12</v>
      </c>
      <c r="AA4487" s="11" t="s">
        <v>49</v>
      </c>
    </row>
    <row r="4488" spans="2:27" ht="16" x14ac:dyDescent="0.2">
      <c r="B4488" t="s">
        <v>35</v>
      </c>
      <c r="C4488">
        <v>40346558</v>
      </c>
      <c r="D4488" t="s">
        <v>389</v>
      </c>
      <c r="E4488">
        <v>1030683</v>
      </c>
      <c r="F4488" t="s">
        <v>379</v>
      </c>
      <c r="G4488" s="9">
        <v>44962</v>
      </c>
      <c r="H4488" s="7"/>
      <c r="I4488" s="7"/>
      <c r="J4488" s="7"/>
      <c r="K4488" s="7"/>
      <c r="L4488" s="10">
        <v>5.5741092456127026</v>
      </c>
      <c r="M4488" s="9">
        <v>44967</v>
      </c>
      <c r="N4488" s="10">
        <v>5.5</v>
      </c>
      <c r="O4488" s="9">
        <v>44972</v>
      </c>
      <c r="P4488">
        <v>11</v>
      </c>
      <c r="Q4488" s="11" t="s">
        <v>49</v>
      </c>
      <c r="R4488" s="7"/>
      <c r="S4488" s="7"/>
      <c r="T4488" s="7"/>
      <c r="U4488" s="7"/>
      <c r="V4488" s="10">
        <v>7.5741092456127026</v>
      </c>
      <c r="W4488" s="9">
        <v>44969</v>
      </c>
      <c r="X4488" s="10">
        <v>7.5</v>
      </c>
      <c r="Y4488" s="9">
        <v>44972</v>
      </c>
      <c r="Z4488">
        <v>11</v>
      </c>
      <c r="AA4488" s="11" t="s">
        <v>49</v>
      </c>
    </row>
    <row r="4489" spans="2:27" ht="16" x14ac:dyDescent="0.2">
      <c r="B4489" t="s">
        <v>35</v>
      </c>
      <c r="C4489">
        <v>40346557</v>
      </c>
      <c r="D4489" t="s">
        <v>389</v>
      </c>
      <c r="E4489">
        <v>1030683</v>
      </c>
      <c r="F4489" t="s">
        <v>379</v>
      </c>
      <c r="G4489" s="9">
        <v>44955</v>
      </c>
      <c r="H4489" s="7"/>
      <c r="I4489" s="7"/>
      <c r="J4489" s="7"/>
      <c r="K4489" s="7"/>
      <c r="L4489" s="10">
        <v>5.5741092456127026</v>
      </c>
      <c r="M4489" s="9">
        <v>44960</v>
      </c>
      <c r="N4489" s="10">
        <v>5.5</v>
      </c>
      <c r="O4489" s="9">
        <v>44965</v>
      </c>
      <c r="P4489">
        <v>17</v>
      </c>
      <c r="Q4489" s="11" t="s">
        <v>49</v>
      </c>
      <c r="R4489" s="7"/>
      <c r="S4489" s="7"/>
      <c r="T4489" s="7"/>
      <c r="U4489" s="7"/>
      <c r="V4489" s="10">
        <v>7.5741092456127026</v>
      </c>
      <c r="W4489" s="9">
        <v>44962</v>
      </c>
      <c r="X4489" s="10">
        <v>7.5</v>
      </c>
      <c r="Y4489" s="9">
        <v>44965</v>
      </c>
      <c r="Z4489">
        <v>17</v>
      </c>
      <c r="AA4489" s="11" t="s">
        <v>49</v>
      </c>
    </row>
    <row r="4490" spans="2:27" ht="16" x14ac:dyDescent="0.2">
      <c r="B4490" t="s">
        <v>35</v>
      </c>
      <c r="C4490">
        <v>40346537</v>
      </c>
      <c r="D4490" t="s">
        <v>389</v>
      </c>
      <c r="E4490">
        <v>1022186</v>
      </c>
      <c r="F4490" t="s">
        <v>388</v>
      </c>
      <c r="G4490" s="9">
        <v>44953</v>
      </c>
      <c r="H4490" s="7"/>
      <c r="I4490" s="7"/>
      <c r="J4490" s="7"/>
      <c r="K4490" s="7"/>
      <c r="L4490" s="10">
        <v>5.5741092456127026</v>
      </c>
      <c r="M4490" s="9">
        <v>44958</v>
      </c>
      <c r="N4490" s="10">
        <v>5.5</v>
      </c>
      <c r="O4490" s="9">
        <v>44963</v>
      </c>
      <c r="P4490">
        <v>19</v>
      </c>
      <c r="Q4490" s="11" t="s">
        <v>49</v>
      </c>
      <c r="R4490" s="7"/>
      <c r="S4490" s="7"/>
      <c r="T4490" s="7"/>
      <c r="U4490" s="7"/>
      <c r="V4490" s="10">
        <v>7.5741092456127026</v>
      </c>
      <c r="W4490" s="9">
        <v>44960</v>
      </c>
      <c r="X4490" s="10">
        <v>7.5</v>
      </c>
      <c r="Y4490" s="9">
        <v>44963</v>
      </c>
      <c r="Z4490">
        <v>19</v>
      </c>
      <c r="AA4490" s="11" t="s">
        <v>49</v>
      </c>
    </row>
    <row r="4491" spans="2:27" ht="16" x14ac:dyDescent="0.2">
      <c r="B4491" t="s">
        <v>35</v>
      </c>
      <c r="C4491">
        <v>40346532</v>
      </c>
      <c r="D4491" t="s">
        <v>389</v>
      </c>
      <c r="E4491">
        <v>1022291</v>
      </c>
      <c r="F4491" t="s">
        <v>414</v>
      </c>
      <c r="G4491" s="9">
        <v>44962</v>
      </c>
      <c r="H4491" s="7"/>
      <c r="I4491" s="7"/>
      <c r="J4491" s="7"/>
      <c r="K4491" s="7"/>
      <c r="L4491" s="10">
        <v>5.5741092456127026</v>
      </c>
      <c r="M4491" s="9">
        <v>44967</v>
      </c>
      <c r="N4491" s="10">
        <v>5.5</v>
      </c>
      <c r="O4491" s="9">
        <v>44972</v>
      </c>
      <c r="P4491">
        <v>11</v>
      </c>
      <c r="Q4491" s="11" t="s">
        <v>49</v>
      </c>
      <c r="R4491" s="7"/>
      <c r="S4491" s="7"/>
      <c r="T4491" s="7"/>
      <c r="U4491" s="7"/>
      <c r="V4491" s="10">
        <v>7.5741092456127026</v>
      </c>
      <c r="W4491" s="9">
        <v>44969</v>
      </c>
      <c r="X4491" s="10">
        <v>7.5</v>
      </c>
      <c r="Y4491" s="9">
        <v>44972</v>
      </c>
      <c r="Z4491">
        <v>11</v>
      </c>
      <c r="AA4491" s="11" t="s">
        <v>49</v>
      </c>
    </row>
    <row r="4492" spans="2:27" ht="16" x14ac:dyDescent="0.2">
      <c r="B4492" t="s">
        <v>35</v>
      </c>
      <c r="C4492">
        <v>40346489</v>
      </c>
      <c r="D4492" t="s">
        <v>389</v>
      </c>
      <c r="E4492">
        <v>1022033</v>
      </c>
      <c r="F4492" t="s">
        <v>415</v>
      </c>
      <c r="G4492" s="9">
        <v>44955</v>
      </c>
      <c r="H4492" s="7"/>
      <c r="I4492" s="7"/>
      <c r="J4492" s="7"/>
      <c r="K4492" s="7"/>
      <c r="L4492" s="10">
        <v>5.5741092456127026</v>
      </c>
      <c r="M4492" s="9">
        <v>44960</v>
      </c>
      <c r="N4492" s="10">
        <v>5.5</v>
      </c>
      <c r="O4492" s="9">
        <v>44965</v>
      </c>
      <c r="P4492">
        <v>17</v>
      </c>
      <c r="Q4492" s="11" t="s">
        <v>49</v>
      </c>
      <c r="R4492" s="7"/>
      <c r="S4492" s="7"/>
      <c r="T4492" s="7"/>
      <c r="U4492" s="7"/>
      <c r="V4492" s="10">
        <v>7.5741092456127026</v>
      </c>
      <c r="W4492" s="9">
        <v>44962</v>
      </c>
      <c r="X4492" s="10">
        <v>7.5</v>
      </c>
      <c r="Y4492" s="9">
        <v>44965</v>
      </c>
      <c r="Z4492">
        <v>17</v>
      </c>
      <c r="AA4492" s="11" t="s">
        <v>49</v>
      </c>
    </row>
    <row r="4493" spans="2:27" ht="16" x14ac:dyDescent="0.2">
      <c r="B4493" t="s">
        <v>35</v>
      </c>
      <c r="C4493">
        <v>40346441</v>
      </c>
      <c r="D4493" t="s">
        <v>389</v>
      </c>
      <c r="E4493">
        <v>1021740</v>
      </c>
      <c r="F4493" t="s">
        <v>284</v>
      </c>
      <c r="G4493" s="9">
        <v>44973</v>
      </c>
      <c r="H4493" s="7"/>
      <c r="I4493" s="7"/>
      <c r="J4493" s="7"/>
      <c r="K4493" s="7"/>
      <c r="L4493" s="10">
        <v>5.5741092456127026</v>
      </c>
      <c r="M4493" s="9">
        <v>44978</v>
      </c>
      <c r="N4493" s="10">
        <v>5.5</v>
      </c>
      <c r="O4493" s="9">
        <v>44983</v>
      </c>
      <c r="P4493">
        <v>2</v>
      </c>
      <c r="Q4493" s="11" t="s">
        <v>594</v>
      </c>
      <c r="R4493" s="7"/>
      <c r="S4493" s="7"/>
      <c r="T4493" s="7"/>
      <c r="U4493" s="7"/>
      <c r="V4493" s="10">
        <v>7.5741092456127026</v>
      </c>
      <c r="W4493" s="9">
        <v>44980</v>
      </c>
      <c r="X4493" s="10">
        <v>7.5</v>
      </c>
      <c r="Y4493" s="9">
        <v>44983</v>
      </c>
      <c r="Z4493">
        <v>2</v>
      </c>
      <c r="AA4493" s="11" t="s">
        <v>594</v>
      </c>
    </row>
    <row r="4494" spans="2:27" ht="16" x14ac:dyDescent="0.2">
      <c r="B4494" t="s">
        <v>35</v>
      </c>
      <c r="C4494">
        <v>40346437</v>
      </c>
      <c r="D4494" t="s">
        <v>389</v>
      </c>
      <c r="E4494">
        <v>1023411</v>
      </c>
      <c r="F4494" t="s">
        <v>331</v>
      </c>
      <c r="G4494" s="9">
        <v>44940</v>
      </c>
      <c r="H4494" s="7"/>
      <c r="I4494" s="7"/>
      <c r="J4494" s="7"/>
      <c r="K4494" s="7"/>
      <c r="L4494" s="10">
        <v>5.5741092456127026</v>
      </c>
      <c r="M4494" s="9">
        <v>44945</v>
      </c>
      <c r="N4494" s="10">
        <v>5.5</v>
      </c>
      <c r="O4494" s="9">
        <v>44950</v>
      </c>
      <c r="P4494">
        <v>6</v>
      </c>
      <c r="Q4494" s="11" t="s">
        <v>49</v>
      </c>
      <c r="R4494" s="7"/>
      <c r="S4494" s="7"/>
      <c r="T4494" s="7"/>
      <c r="U4494" s="7"/>
      <c r="V4494" s="10">
        <v>7.5741092456127026</v>
      </c>
      <c r="W4494" s="9">
        <v>44947</v>
      </c>
      <c r="X4494" s="10">
        <v>7.5</v>
      </c>
      <c r="Y4494" s="9">
        <v>44950</v>
      </c>
      <c r="Z4494">
        <v>6</v>
      </c>
      <c r="AA4494" s="11" t="s">
        <v>49</v>
      </c>
    </row>
    <row r="4495" spans="2:27" ht="16" x14ac:dyDescent="0.2">
      <c r="B4495" t="s">
        <v>35</v>
      </c>
      <c r="C4495">
        <v>40346393</v>
      </c>
      <c r="D4495" t="s">
        <v>389</v>
      </c>
      <c r="E4495">
        <v>1021735</v>
      </c>
      <c r="F4495" t="s">
        <v>278</v>
      </c>
      <c r="G4495" s="9">
        <v>44940</v>
      </c>
      <c r="H4495" s="7"/>
      <c r="I4495" s="7"/>
      <c r="J4495" s="7"/>
      <c r="K4495" s="7"/>
      <c r="L4495" s="10">
        <v>5.5741092456127026</v>
      </c>
      <c r="M4495" s="9">
        <v>44945</v>
      </c>
      <c r="N4495" s="10">
        <v>5.5</v>
      </c>
      <c r="O4495" s="9">
        <v>44950</v>
      </c>
      <c r="P4495">
        <v>6</v>
      </c>
      <c r="Q4495" s="11" t="s">
        <v>49</v>
      </c>
      <c r="R4495" s="7"/>
      <c r="S4495" s="7"/>
      <c r="T4495" s="7"/>
      <c r="U4495" s="7"/>
      <c r="V4495" s="10">
        <v>7.5741092456127026</v>
      </c>
      <c r="W4495" s="9">
        <v>44947</v>
      </c>
      <c r="X4495" s="10">
        <v>7.5</v>
      </c>
      <c r="Y4495" s="9">
        <v>44950</v>
      </c>
      <c r="Z4495">
        <v>6</v>
      </c>
      <c r="AA4495" s="11" t="s">
        <v>49</v>
      </c>
    </row>
    <row r="4496" spans="2:27" x14ac:dyDescent="0.2">
      <c r="B4496" t="s">
        <v>394</v>
      </c>
      <c r="C4496">
        <v>40346298</v>
      </c>
      <c r="D4496" t="s">
        <v>396</v>
      </c>
      <c r="E4496">
        <v>1023144</v>
      </c>
      <c r="F4496" t="s">
        <v>407</v>
      </c>
      <c r="G4496" s="9">
        <v>44976</v>
      </c>
      <c r="H4496" s="7"/>
      <c r="I4496" s="7"/>
      <c r="J4496" s="7"/>
      <c r="K4496" s="7"/>
      <c r="L4496" s="10"/>
      <c r="N4496" s="10"/>
      <c r="Q4496" s="11"/>
      <c r="R4496" s="7"/>
      <c r="S4496" s="7"/>
      <c r="T4496" s="7"/>
      <c r="U4496" s="7"/>
      <c r="V4496" s="10"/>
      <c r="X4496" s="10"/>
      <c r="AA4496" s="11"/>
    </row>
    <row r="4497" spans="2:27" x14ac:dyDescent="0.2">
      <c r="B4497" t="s">
        <v>394</v>
      </c>
      <c r="C4497">
        <v>40346288</v>
      </c>
      <c r="D4497" t="s">
        <v>396</v>
      </c>
      <c r="E4497">
        <v>1023283</v>
      </c>
      <c r="F4497" t="s">
        <v>468</v>
      </c>
      <c r="G4497" s="9">
        <v>44976</v>
      </c>
      <c r="H4497" s="7"/>
      <c r="I4497" s="7"/>
      <c r="J4497" s="7"/>
      <c r="K4497" s="7"/>
      <c r="L4497" s="10"/>
      <c r="N4497" s="10"/>
      <c r="Q4497" s="11"/>
      <c r="R4497" s="7"/>
      <c r="S4497" s="7"/>
      <c r="T4497" s="7"/>
      <c r="U4497" s="7"/>
      <c r="V4497" s="10"/>
      <c r="X4497" s="10"/>
      <c r="AA4497" s="11"/>
    </row>
    <row r="4498" spans="2:27" x14ac:dyDescent="0.2">
      <c r="B4498" t="s">
        <v>394</v>
      </c>
      <c r="C4498">
        <v>40346284</v>
      </c>
      <c r="D4498" t="s">
        <v>396</v>
      </c>
      <c r="E4498">
        <v>1022607</v>
      </c>
      <c r="F4498" t="s">
        <v>405</v>
      </c>
      <c r="G4498" s="9">
        <v>44959</v>
      </c>
      <c r="H4498" s="7"/>
      <c r="I4498" s="7"/>
      <c r="J4498" s="7"/>
      <c r="K4498" s="7"/>
      <c r="L4498" s="10"/>
      <c r="N4498" s="10"/>
      <c r="Q4498" s="11"/>
      <c r="R4498" s="7"/>
      <c r="S4498" s="7"/>
      <c r="T4498" s="7"/>
      <c r="U4498" s="7"/>
      <c r="V4498" s="10"/>
      <c r="X4498" s="10"/>
      <c r="AA4498" s="11"/>
    </row>
    <row r="4499" spans="2:27" x14ac:dyDescent="0.2">
      <c r="B4499" t="s">
        <v>394</v>
      </c>
      <c r="C4499">
        <v>40346253</v>
      </c>
      <c r="D4499" t="s">
        <v>396</v>
      </c>
      <c r="E4499">
        <v>1022930</v>
      </c>
      <c r="F4499" t="s">
        <v>456</v>
      </c>
      <c r="G4499" s="9">
        <v>44959</v>
      </c>
      <c r="H4499" s="7"/>
      <c r="I4499" s="7"/>
      <c r="J4499" s="7"/>
      <c r="K4499" s="7"/>
      <c r="L4499" s="10"/>
      <c r="N4499" s="10"/>
      <c r="Q4499" s="11"/>
      <c r="R4499" s="7"/>
      <c r="S4499" s="7"/>
      <c r="T4499" s="7"/>
      <c r="U4499" s="7"/>
      <c r="V4499" s="10"/>
      <c r="X4499" s="10"/>
      <c r="AA4499" s="11"/>
    </row>
    <row r="4500" spans="2:27" x14ac:dyDescent="0.2">
      <c r="B4500" t="s">
        <v>394</v>
      </c>
      <c r="C4500">
        <v>40346215</v>
      </c>
      <c r="D4500" t="s">
        <v>396</v>
      </c>
      <c r="E4500">
        <v>1021046</v>
      </c>
      <c r="F4500" t="s">
        <v>611</v>
      </c>
      <c r="G4500" s="9">
        <v>44965</v>
      </c>
      <c r="H4500" s="7"/>
      <c r="I4500" s="7"/>
      <c r="J4500" s="7"/>
      <c r="K4500" s="7"/>
      <c r="L4500" s="10"/>
      <c r="N4500" s="10"/>
      <c r="Q4500" s="11"/>
      <c r="R4500" s="7"/>
      <c r="S4500" s="7"/>
      <c r="T4500" s="7"/>
      <c r="U4500" s="7"/>
      <c r="V4500" s="10"/>
      <c r="X4500" s="10"/>
      <c r="AA4500" s="11"/>
    </row>
    <row r="4501" spans="2:27" x14ac:dyDescent="0.2">
      <c r="B4501" t="s">
        <v>394</v>
      </c>
      <c r="C4501">
        <v>40346215</v>
      </c>
      <c r="D4501" t="s">
        <v>396</v>
      </c>
      <c r="E4501">
        <v>1021046</v>
      </c>
      <c r="F4501" t="s">
        <v>611</v>
      </c>
      <c r="G4501" s="9">
        <v>44965</v>
      </c>
      <c r="H4501" s="7"/>
      <c r="I4501" s="7"/>
      <c r="J4501" s="7"/>
      <c r="K4501" s="7"/>
      <c r="L4501" s="10"/>
      <c r="N4501" s="10"/>
      <c r="Q4501" s="11"/>
      <c r="R4501" s="7"/>
      <c r="S4501" s="7"/>
      <c r="T4501" s="7"/>
      <c r="U4501" s="7"/>
      <c r="V4501" s="10"/>
      <c r="X4501" s="10"/>
      <c r="AA4501" s="11"/>
    </row>
    <row r="4502" spans="2:27" x14ac:dyDescent="0.2">
      <c r="B4502" t="s">
        <v>394</v>
      </c>
      <c r="C4502">
        <v>40346204</v>
      </c>
      <c r="D4502" t="s">
        <v>485</v>
      </c>
      <c r="E4502">
        <v>1021105</v>
      </c>
      <c r="F4502" t="s">
        <v>499</v>
      </c>
      <c r="G4502" s="9">
        <v>44929</v>
      </c>
      <c r="H4502" s="7"/>
      <c r="I4502" s="7"/>
      <c r="J4502" s="7"/>
      <c r="K4502" s="7"/>
      <c r="L4502" s="10"/>
      <c r="N4502" s="10"/>
      <c r="Q4502" s="11"/>
      <c r="R4502" s="7"/>
      <c r="S4502" s="7"/>
      <c r="T4502" s="7"/>
      <c r="U4502" s="7"/>
      <c r="V4502" s="10"/>
      <c r="X4502" s="10"/>
      <c r="AA4502" s="11"/>
    </row>
    <row r="4503" spans="2:27" x14ac:dyDescent="0.2">
      <c r="B4503" t="s">
        <v>394</v>
      </c>
      <c r="C4503">
        <v>40346200</v>
      </c>
      <c r="D4503" t="s">
        <v>485</v>
      </c>
      <c r="E4503">
        <v>1020944</v>
      </c>
      <c r="F4503" t="s">
        <v>498</v>
      </c>
      <c r="G4503" s="9">
        <v>44926</v>
      </c>
      <c r="H4503" s="7"/>
      <c r="I4503" s="7"/>
      <c r="J4503" s="7"/>
      <c r="K4503" s="7"/>
      <c r="L4503" s="10"/>
      <c r="N4503" s="10"/>
      <c r="Q4503" s="11"/>
      <c r="R4503" s="7"/>
      <c r="S4503" s="7"/>
      <c r="T4503" s="7"/>
      <c r="U4503" s="7"/>
      <c r="V4503" s="10"/>
      <c r="X4503" s="10"/>
      <c r="AA4503" s="11"/>
    </row>
    <row r="4504" spans="2:27" ht="16" x14ac:dyDescent="0.2">
      <c r="B4504" t="s">
        <v>35</v>
      </c>
      <c r="C4504">
        <v>40346179</v>
      </c>
      <c r="D4504" t="s">
        <v>409</v>
      </c>
      <c r="E4504">
        <v>1012165</v>
      </c>
      <c r="F4504" t="s">
        <v>61</v>
      </c>
      <c r="G4504" s="9">
        <v>44945</v>
      </c>
      <c r="H4504" s="7"/>
      <c r="I4504" s="7"/>
      <c r="J4504" s="7"/>
      <c r="K4504" s="7"/>
      <c r="L4504" s="10">
        <v>7.5</v>
      </c>
      <c r="M4504" s="9">
        <v>44952</v>
      </c>
      <c r="N4504" s="10">
        <v>9.5</v>
      </c>
      <c r="O4504" s="9">
        <v>44961</v>
      </c>
      <c r="P4504">
        <v>19</v>
      </c>
      <c r="Q4504" s="11" t="s">
        <v>49</v>
      </c>
      <c r="R4504" s="7"/>
      <c r="S4504" s="7"/>
      <c r="T4504" s="7"/>
      <c r="U4504" s="7"/>
      <c r="V4504" s="10">
        <v>9.5</v>
      </c>
      <c r="W4504" s="9">
        <v>44954</v>
      </c>
      <c r="X4504" s="10">
        <v>11.5</v>
      </c>
      <c r="Y4504" s="9">
        <v>44961</v>
      </c>
      <c r="Z4504">
        <v>19</v>
      </c>
      <c r="AA4504" s="11" t="s">
        <v>49</v>
      </c>
    </row>
    <row r="4505" spans="2:27" ht="16" x14ac:dyDescent="0.2">
      <c r="B4505" t="s">
        <v>35</v>
      </c>
      <c r="C4505">
        <v>40346178</v>
      </c>
      <c r="D4505" t="s">
        <v>409</v>
      </c>
      <c r="E4505">
        <v>1012165</v>
      </c>
      <c r="F4505" t="s">
        <v>61</v>
      </c>
      <c r="G4505" s="9">
        <v>44945</v>
      </c>
      <c r="H4505" s="7"/>
      <c r="I4505" s="7"/>
      <c r="J4505" s="7"/>
      <c r="K4505" s="7"/>
      <c r="L4505" s="10">
        <v>7.5</v>
      </c>
      <c r="M4505" s="9">
        <v>44952</v>
      </c>
      <c r="N4505" s="10">
        <v>9.5</v>
      </c>
      <c r="O4505" s="9">
        <v>44961</v>
      </c>
      <c r="P4505">
        <v>19</v>
      </c>
      <c r="Q4505" s="11" t="s">
        <v>49</v>
      </c>
      <c r="R4505" s="7"/>
      <c r="S4505" s="7"/>
      <c r="T4505" s="7"/>
      <c r="U4505" s="7"/>
      <c r="V4505" s="10">
        <v>9.5</v>
      </c>
      <c r="W4505" s="9">
        <v>44954</v>
      </c>
      <c r="X4505" s="10">
        <v>11.5</v>
      </c>
      <c r="Y4505" s="9">
        <v>44961</v>
      </c>
      <c r="Z4505">
        <v>19</v>
      </c>
      <c r="AA4505" s="11" t="s">
        <v>49</v>
      </c>
    </row>
    <row r="4506" spans="2:27" ht="16" x14ac:dyDescent="0.2">
      <c r="B4506" t="s">
        <v>35</v>
      </c>
      <c r="C4506">
        <v>40346177</v>
      </c>
      <c r="D4506" t="s">
        <v>409</v>
      </c>
      <c r="E4506">
        <v>1012165</v>
      </c>
      <c r="F4506" t="s">
        <v>61</v>
      </c>
      <c r="G4506" s="9">
        <v>44937</v>
      </c>
      <c r="H4506" s="7"/>
      <c r="I4506" s="7"/>
      <c r="J4506" s="7"/>
      <c r="K4506" s="7"/>
      <c r="L4506" s="10">
        <v>7.5</v>
      </c>
      <c r="M4506" s="9">
        <v>44944</v>
      </c>
      <c r="N4506" s="10">
        <v>9.5</v>
      </c>
      <c r="O4506" s="9">
        <v>44953</v>
      </c>
      <c r="P4506">
        <v>3</v>
      </c>
      <c r="Q4506" s="11" t="s">
        <v>49</v>
      </c>
      <c r="R4506" s="7"/>
      <c r="S4506" s="7"/>
      <c r="T4506" s="7"/>
      <c r="U4506" s="7"/>
      <c r="V4506" s="10">
        <v>9.5</v>
      </c>
      <c r="W4506" s="9">
        <v>44946</v>
      </c>
      <c r="X4506" s="10">
        <v>11.5</v>
      </c>
      <c r="Y4506" s="9">
        <v>44953</v>
      </c>
      <c r="Z4506">
        <v>3</v>
      </c>
      <c r="AA4506" s="11" t="s">
        <v>49</v>
      </c>
    </row>
    <row r="4507" spans="2:27" ht="16" x14ac:dyDescent="0.2">
      <c r="B4507" t="s">
        <v>35</v>
      </c>
      <c r="C4507">
        <v>40346175</v>
      </c>
      <c r="D4507" t="s">
        <v>409</v>
      </c>
      <c r="E4507">
        <v>1012165</v>
      </c>
      <c r="F4507" t="s">
        <v>61</v>
      </c>
      <c r="G4507" s="9">
        <v>44936</v>
      </c>
      <c r="H4507" s="7"/>
      <c r="I4507" s="7"/>
      <c r="J4507" s="7"/>
      <c r="K4507" s="7"/>
      <c r="L4507" s="10">
        <v>7.5</v>
      </c>
      <c r="M4507" s="9">
        <v>44943</v>
      </c>
      <c r="N4507" s="10">
        <v>9.5</v>
      </c>
      <c r="O4507" s="9">
        <v>44952</v>
      </c>
      <c r="P4507">
        <v>4</v>
      </c>
      <c r="Q4507" s="11" t="s">
        <v>49</v>
      </c>
      <c r="R4507" s="7"/>
      <c r="S4507" s="7"/>
      <c r="T4507" s="7"/>
      <c r="U4507" s="7"/>
      <c r="V4507" s="10">
        <v>9.5</v>
      </c>
      <c r="W4507" s="9">
        <v>44945</v>
      </c>
      <c r="X4507" s="10">
        <v>11.5</v>
      </c>
      <c r="Y4507" s="9">
        <v>44952</v>
      </c>
      <c r="Z4507">
        <v>4</v>
      </c>
      <c r="AA4507" s="11" t="s">
        <v>49</v>
      </c>
    </row>
    <row r="4508" spans="2:27" ht="16" x14ac:dyDescent="0.2">
      <c r="B4508" t="s">
        <v>35</v>
      </c>
      <c r="C4508">
        <v>40346174</v>
      </c>
      <c r="D4508" t="s">
        <v>409</v>
      </c>
      <c r="E4508">
        <v>1012165</v>
      </c>
      <c r="F4508" t="s">
        <v>61</v>
      </c>
      <c r="G4508" s="9">
        <v>44937</v>
      </c>
      <c r="H4508" s="7"/>
      <c r="I4508" s="7"/>
      <c r="J4508" s="7"/>
      <c r="K4508" s="7"/>
      <c r="L4508" s="10">
        <v>7.5</v>
      </c>
      <c r="M4508" s="9">
        <v>44944</v>
      </c>
      <c r="N4508" s="10">
        <v>9.5</v>
      </c>
      <c r="O4508" s="9">
        <v>44953</v>
      </c>
      <c r="P4508">
        <v>3</v>
      </c>
      <c r="Q4508" s="11" t="s">
        <v>49</v>
      </c>
      <c r="R4508" s="7"/>
      <c r="S4508" s="7"/>
      <c r="T4508" s="7"/>
      <c r="U4508" s="7"/>
      <c r="V4508" s="10">
        <v>9.5</v>
      </c>
      <c r="W4508" s="9">
        <v>44946</v>
      </c>
      <c r="X4508" s="10">
        <v>11.5</v>
      </c>
      <c r="Y4508" s="9">
        <v>44953</v>
      </c>
      <c r="Z4508">
        <v>3</v>
      </c>
      <c r="AA4508" s="11" t="s">
        <v>49</v>
      </c>
    </row>
    <row r="4509" spans="2:27" ht="16" x14ac:dyDescent="0.2">
      <c r="B4509" t="s">
        <v>35</v>
      </c>
      <c r="C4509">
        <v>40346169</v>
      </c>
      <c r="D4509" t="s">
        <v>409</v>
      </c>
      <c r="E4509">
        <v>1012165</v>
      </c>
      <c r="F4509" t="s">
        <v>61</v>
      </c>
      <c r="G4509" s="9">
        <v>44936</v>
      </c>
      <c r="H4509" s="7"/>
      <c r="I4509" s="7"/>
      <c r="J4509" s="7"/>
      <c r="K4509" s="7"/>
      <c r="L4509" s="10">
        <v>7.5</v>
      </c>
      <c r="M4509" s="9">
        <v>44943</v>
      </c>
      <c r="N4509" s="10">
        <v>9.5</v>
      </c>
      <c r="O4509" s="9">
        <v>44952</v>
      </c>
      <c r="P4509">
        <v>4</v>
      </c>
      <c r="Q4509" s="11" t="s">
        <v>49</v>
      </c>
      <c r="R4509" s="7"/>
      <c r="S4509" s="7"/>
      <c r="T4509" s="7"/>
      <c r="U4509" s="7"/>
      <c r="V4509" s="10">
        <v>9.5</v>
      </c>
      <c r="W4509" s="9">
        <v>44945</v>
      </c>
      <c r="X4509" s="10">
        <v>11.5</v>
      </c>
      <c r="Y4509" s="9">
        <v>44952</v>
      </c>
      <c r="Z4509">
        <v>4</v>
      </c>
      <c r="AA4509" s="11" t="s">
        <v>49</v>
      </c>
    </row>
    <row r="4510" spans="2:27" ht="16" x14ac:dyDescent="0.2">
      <c r="B4510" t="s">
        <v>35</v>
      </c>
      <c r="C4510">
        <v>40346141</v>
      </c>
      <c r="D4510" t="s">
        <v>409</v>
      </c>
      <c r="E4510">
        <v>1012167</v>
      </c>
      <c r="F4510" t="s">
        <v>70</v>
      </c>
      <c r="G4510" s="9">
        <v>44928</v>
      </c>
      <c r="H4510" s="7"/>
      <c r="I4510" s="7"/>
      <c r="J4510" s="7"/>
      <c r="K4510" s="7"/>
      <c r="L4510" s="10">
        <v>7.5</v>
      </c>
      <c r="M4510" s="9">
        <v>44935</v>
      </c>
      <c r="N4510" s="10">
        <v>9.5</v>
      </c>
      <c r="O4510" s="9">
        <v>44944</v>
      </c>
      <c r="P4510">
        <v>11</v>
      </c>
      <c r="Q4510" s="11" t="s">
        <v>49</v>
      </c>
      <c r="R4510" s="7"/>
      <c r="S4510" s="7"/>
      <c r="T4510" s="7"/>
      <c r="U4510" s="7"/>
      <c r="V4510" s="10">
        <v>9.5</v>
      </c>
      <c r="W4510" s="9">
        <v>44937</v>
      </c>
      <c r="X4510" s="10">
        <v>11.5</v>
      </c>
      <c r="Y4510" s="9">
        <v>44944</v>
      </c>
      <c r="Z4510">
        <v>11</v>
      </c>
      <c r="AA4510" s="11" t="s">
        <v>49</v>
      </c>
    </row>
    <row r="4511" spans="2:27" x14ac:dyDescent="0.2">
      <c r="B4511" t="s">
        <v>394</v>
      </c>
      <c r="C4511">
        <v>40346127</v>
      </c>
      <c r="D4511" t="s">
        <v>485</v>
      </c>
      <c r="E4511">
        <v>1020944</v>
      </c>
      <c r="F4511" t="s">
        <v>498</v>
      </c>
      <c r="G4511" s="9">
        <v>44922</v>
      </c>
      <c r="H4511" s="7"/>
      <c r="I4511" s="7"/>
      <c r="J4511" s="7"/>
      <c r="K4511" s="7"/>
      <c r="L4511" s="10"/>
      <c r="N4511" s="10"/>
      <c r="Q4511" s="11"/>
      <c r="R4511" s="7"/>
      <c r="S4511" s="7"/>
      <c r="T4511" s="7"/>
      <c r="U4511" s="7"/>
      <c r="V4511" s="10"/>
      <c r="X4511" s="10"/>
      <c r="AA4511" s="11"/>
    </row>
    <row r="4512" spans="2:27" x14ac:dyDescent="0.2">
      <c r="B4512" t="s">
        <v>394</v>
      </c>
      <c r="C4512">
        <v>40346124</v>
      </c>
      <c r="D4512" t="s">
        <v>485</v>
      </c>
      <c r="E4512">
        <v>1021976</v>
      </c>
      <c r="F4512" t="s">
        <v>512</v>
      </c>
      <c r="G4512" s="9">
        <v>44919</v>
      </c>
      <c r="H4512" s="7"/>
      <c r="I4512" s="7"/>
      <c r="J4512" s="7"/>
      <c r="K4512" s="7"/>
      <c r="L4512" s="10"/>
      <c r="N4512" s="10"/>
      <c r="Q4512" s="11"/>
      <c r="R4512" s="7"/>
      <c r="S4512" s="7"/>
      <c r="T4512" s="7"/>
      <c r="U4512" s="7"/>
      <c r="V4512" s="10"/>
      <c r="X4512" s="10"/>
      <c r="AA4512" s="11"/>
    </row>
    <row r="4513" spans="2:27" x14ac:dyDescent="0.2">
      <c r="B4513" t="s">
        <v>394</v>
      </c>
      <c r="C4513">
        <v>40346123</v>
      </c>
      <c r="D4513" t="s">
        <v>485</v>
      </c>
      <c r="E4513">
        <v>1023454</v>
      </c>
      <c r="F4513" t="s">
        <v>675</v>
      </c>
      <c r="G4513" s="9">
        <v>44920</v>
      </c>
      <c r="H4513" s="7"/>
      <c r="I4513" s="7"/>
      <c r="J4513" s="7"/>
      <c r="K4513" s="7"/>
      <c r="L4513" s="10"/>
      <c r="N4513" s="10"/>
      <c r="Q4513" s="11"/>
      <c r="R4513" s="7"/>
      <c r="S4513" s="7"/>
      <c r="T4513" s="7"/>
      <c r="U4513" s="7"/>
      <c r="V4513" s="10"/>
      <c r="X4513" s="10"/>
      <c r="AA4513" s="11"/>
    </row>
    <row r="4514" spans="2:27" x14ac:dyDescent="0.2">
      <c r="B4514" t="s">
        <v>394</v>
      </c>
      <c r="C4514">
        <v>40346123</v>
      </c>
      <c r="D4514" t="s">
        <v>485</v>
      </c>
      <c r="E4514">
        <v>1021078</v>
      </c>
      <c r="F4514" t="s">
        <v>536</v>
      </c>
      <c r="G4514" s="9">
        <v>44920</v>
      </c>
      <c r="H4514" s="7"/>
      <c r="I4514" s="7"/>
      <c r="J4514" s="7"/>
      <c r="K4514" s="7"/>
      <c r="L4514" s="10"/>
      <c r="N4514" s="10"/>
      <c r="Q4514" s="11"/>
      <c r="R4514" s="7"/>
      <c r="S4514" s="7"/>
      <c r="T4514" s="7"/>
      <c r="U4514" s="7"/>
      <c r="V4514" s="10"/>
      <c r="X4514" s="10"/>
      <c r="AA4514" s="11"/>
    </row>
    <row r="4515" spans="2:27" ht="16" x14ac:dyDescent="0.2">
      <c r="B4515" t="s">
        <v>35</v>
      </c>
      <c r="C4515">
        <v>40346117</v>
      </c>
      <c r="D4515" t="s">
        <v>423</v>
      </c>
      <c r="E4515">
        <v>1023324</v>
      </c>
      <c r="F4515" t="s">
        <v>269</v>
      </c>
      <c r="G4515" s="9">
        <v>44919</v>
      </c>
      <c r="H4515" s="7"/>
      <c r="I4515" s="7"/>
      <c r="J4515" s="7"/>
      <c r="K4515" s="7"/>
      <c r="L4515" s="10">
        <v>5.4496124031007751</v>
      </c>
      <c r="M4515" s="9">
        <v>44924</v>
      </c>
      <c r="N4515" s="10">
        <v>10</v>
      </c>
      <c r="O4515" s="9">
        <v>44934</v>
      </c>
      <c r="P4515">
        <v>20</v>
      </c>
      <c r="Q4515" s="11" t="s">
        <v>49</v>
      </c>
      <c r="R4515" s="7"/>
      <c r="S4515" s="7"/>
      <c r="T4515" s="7"/>
      <c r="U4515" s="7"/>
      <c r="V4515" s="10">
        <v>7.4496124031007751</v>
      </c>
      <c r="W4515" s="9">
        <v>44926</v>
      </c>
      <c r="X4515" s="10">
        <v>12</v>
      </c>
      <c r="Y4515" s="9">
        <v>44934</v>
      </c>
      <c r="Z4515">
        <v>20</v>
      </c>
      <c r="AA4515" s="11" t="s">
        <v>49</v>
      </c>
    </row>
    <row r="4516" spans="2:27" ht="16" x14ac:dyDescent="0.2">
      <c r="B4516" t="s">
        <v>35</v>
      </c>
      <c r="C4516">
        <v>40346058</v>
      </c>
      <c r="D4516" t="s">
        <v>386</v>
      </c>
      <c r="E4516">
        <v>1022304</v>
      </c>
      <c r="F4516" t="s">
        <v>538</v>
      </c>
      <c r="G4516" s="9">
        <v>44946</v>
      </c>
      <c r="H4516" s="7"/>
      <c r="I4516" s="7"/>
      <c r="J4516" s="7"/>
      <c r="K4516" s="7"/>
      <c r="L4516" s="10">
        <v>5.1420118343195256</v>
      </c>
      <c r="M4516" s="9">
        <v>44951</v>
      </c>
      <c r="N4516" s="10">
        <v>7.5</v>
      </c>
      <c r="O4516" s="9">
        <v>44958</v>
      </c>
      <c r="P4516">
        <v>23</v>
      </c>
      <c r="Q4516" s="11" t="s">
        <v>49</v>
      </c>
      <c r="R4516" s="7"/>
      <c r="S4516" s="7"/>
      <c r="T4516" s="7"/>
      <c r="U4516" s="7"/>
      <c r="V4516" s="10">
        <v>7.1420118343195256</v>
      </c>
      <c r="W4516" s="9">
        <v>44953</v>
      </c>
      <c r="X4516" s="10">
        <v>9.5</v>
      </c>
      <c r="Y4516" s="9">
        <v>44958</v>
      </c>
      <c r="Z4516">
        <v>23</v>
      </c>
      <c r="AA4516" s="11" t="s">
        <v>49</v>
      </c>
    </row>
    <row r="4517" spans="2:27" ht="16" x14ac:dyDescent="0.2">
      <c r="B4517" t="s">
        <v>35</v>
      </c>
      <c r="C4517">
        <v>40346058</v>
      </c>
      <c r="D4517" t="s">
        <v>386</v>
      </c>
      <c r="E4517">
        <v>1022304</v>
      </c>
      <c r="F4517" t="s">
        <v>538</v>
      </c>
      <c r="G4517" s="9">
        <v>44946</v>
      </c>
      <c r="H4517" s="7"/>
      <c r="I4517" s="7"/>
      <c r="J4517" s="7"/>
      <c r="K4517" s="7"/>
      <c r="L4517" s="10">
        <v>5.1420118343195256</v>
      </c>
      <c r="M4517" s="9">
        <v>44951</v>
      </c>
      <c r="N4517" s="10">
        <v>7.5</v>
      </c>
      <c r="O4517" s="9">
        <v>44958</v>
      </c>
      <c r="P4517">
        <v>23</v>
      </c>
      <c r="Q4517" s="11" t="s">
        <v>49</v>
      </c>
      <c r="R4517" s="7"/>
      <c r="S4517" s="7"/>
      <c r="T4517" s="7"/>
      <c r="U4517" s="7"/>
      <c r="V4517" s="10">
        <v>7.1420118343195256</v>
      </c>
      <c r="W4517" s="9">
        <v>44953</v>
      </c>
      <c r="X4517" s="10">
        <v>9.5</v>
      </c>
      <c r="Y4517" s="9">
        <v>44958</v>
      </c>
      <c r="Z4517">
        <v>23</v>
      </c>
      <c r="AA4517" s="11" t="s">
        <v>49</v>
      </c>
    </row>
    <row r="4518" spans="2:27" ht="16" x14ac:dyDescent="0.2">
      <c r="B4518" t="s">
        <v>35</v>
      </c>
      <c r="C4518">
        <v>40346056</v>
      </c>
      <c r="D4518" t="s">
        <v>386</v>
      </c>
      <c r="E4518">
        <v>1030279</v>
      </c>
      <c r="F4518" t="s">
        <v>461</v>
      </c>
      <c r="G4518" s="9">
        <v>44937</v>
      </c>
      <c r="H4518" s="7"/>
      <c r="I4518" s="7"/>
      <c r="J4518" s="7"/>
      <c r="K4518" s="7"/>
      <c r="L4518" s="10">
        <v>5.1420118343195256</v>
      </c>
      <c r="M4518" s="9">
        <v>44942</v>
      </c>
      <c r="N4518" s="10">
        <v>7.5</v>
      </c>
      <c r="O4518" s="9">
        <v>44949</v>
      </c>
      <c r="P4518">
        <v>7</v>
      </c>
      <c r="Q4518" s="11" t="s">
        <v>49</v>
      </c>
      <c r="R4518" s="7"/>
      <c r="S4518" s="7"/>
      <c r="T4518" s="7"/>
      <c r="U4518" s="7"/>
      <c r="V4518" s="10">
        <v>7.1420118343195256</v>
      </c>
      <c r="W4518" s="9">
        <v>44944</v>
      </c>
      <c r="X4518" s="10">
        <v>9.5</v>
      </c>
      <c r="Y4518" s="9">
        <v>44949</v>
      </c>
      <c r="Z4518">
        <v>7</v>
      </c>
      <c r="AA4518" s="11" t="s">
        <v>49</v>
      </c>
    </row>
    <row r="4519" spans="2:27" ht="16" x14ac:dyDescent="0.2">
      <c r="B4519" t="s">
        <v>35</v>
      </c>
      <c r="C4519">
        <v>40346055</v>
      </c>
      <c r="D4519" t="s">
        <v>386</v>
      </c>
      <c r="E4519">
        <v>1030265</v>
      </c>
      <c r="F4519" t="s">
        <v>367</v>
      </c>
      <c r="G4519" s="9">
        <v>44946</v>
      </c>
      <c r="H4519" s="7"/>
      <c r="I4519" s="7"/>
      <c r="J4519" s="7"/>
      <c r="K4519" s="7"/>
      <c r="L4519" s="10">
        <v>5.1420118343195256</v>
      </c>
      <c r="M4519" s="9">
        <v>44951</v>
      </c>
      <c r="N4519" s="10">
        <v>7.5</v>
      </c>
      <c r="O4519" s="9">
        <v>44958</v>
      </c>
      <c r="P4519">
        <v>23</v>
      </c>
      <c r="Q4519" s="11" t="s">
        <v>49</v>
      </c>
      <c r="R4519" s="7"/>
      <c r="S4519" s="7"/>
      <c r="T4519" s="7"/>
      <c r="U4519" s="7"/>
      <c r="V4519" s="10">
        <v>7.1420118343195256</v>
      </c>
      <c r="W4519" s="9">
        <v>44953</v>
      </c>
      <c r="X4519" s="10">
        <v>9.5</v>
      </c>
      <c r="Y4519" s="9">
        <v>44958</v>
      </c>
      <c r="Z4519">
        <v>23</v>
      </c>
      <c r="AA4519" s="11" t="s">
        <v>49</v>
      </c>
    </row>
    <row r="4520" spans="2:27" x14ac:dyDescent="0.2">
      <c r="B4520" t="s">
        <v>394</v>
      </c>
      <c r="C4520">
        <v>40345901</v>
      </c>
      <c r="D4520" t="s">
        <v>485</v>
      </c>
      <c r="E4520">
        <v>1022150</v>
      </c>
      <c r="F4520" t="s">
        <v>500</v>
      </c>
      <c r="G4520" s="9">
        <v>44929</v>
      </c>
      <c r="H4520" s="7"/>
      <c r="I4520" s="7"/>
      <c r="J4520" s="7"/>
      <c r="K4520" s="7"/>
      <c r="L4520" s="10"/>
      <c r="N4520" s="10"/>
      <c r="Q4520" s="11"/>
      <c r="R4520" s="7"/>
      <c r="S4520" s="7"/>
      <c r="T4520" s="7"/>
      <c r="U4520" s="7"/>
      <c r="V4520" s="10"/>
      <c r="X4520" s="10"/>
      <c r="AA4520" s="11"/>
    </row>
    <row r="4521" spans="2:27" x14ac:dyDescent="0.2">
      <c r="B4521" t="s">
        <v>394</v>
      </c>
      <c r="C4521">
        <v>40345878</v>
      </c>
      <c r="D4521" t="s">
        <v>485</v>
      </c>
      <c r="E4521">
        <v>1021023</v>
      </c>
      <c r="F4521" t="s">
        <v>508</v>
      </c>
      <c r="G4521" s="9">
        <v>44934</v>
      </c>
      <c r="H4521" s="7"/>
      <c r="I4521" s="7"/>
      <c r="J4521" s="7"/>
      <c r="K4521" s="7"/>
      <c r="L4521" s="10"/>
      <c r="N4521" s="10"/>
      <c r="Q4521" s="11"/>
      <c r="R4521" s="7"/>
      <c r="S4521" s="7"/>
      <c r="T4521" s="7"/>
      <c r="U4521" s="7"/>
      <c r="V4521" s="10"/>
      <c r="X4521" s="10"/>
      <c r="AA4521" s="11"/>
    </row>
    <row r="4522" spans="2:27" x14ac:dyDescent="0.2">
      <c r="B4522" t="s">
        <v>394</v>
      </c>
      <c r="C4522">
        <v>40345877</v>
      </c>
      <c r="D4522" t="s">
        <v>485</v>
      </c>
      <c r="E4522">
        <v>1021023</v>
      </c>
      <c r="F4522" t="s">
        <v>508</v>
      </c>
      <c r="G4522" s="9">
        <v>44927</v>
      </c>
      <c r="H4522" s="7"/>
      <c r="I4522" s="7"/>
      <c r="J4522" s="7"/>
      <c r="K4522" s="7"/>
      <c r="L4522" s="10"/>
      <c r="N4522" s="10"/>
      <c r="Q4522" s="11"/>
      <c r="R4522" s="7"/>
      <c r="S4522" s="7"/>
      <c r="T4522" s="7"/>
      <c r="U4522" s="7"/>
      <c r="V4522" s="10"/>
      <c r="X4522" s="10"/>
      <c r="AA4522" s="11"/>
    </row>
    <row r="4523" spans="2:27" x14ac:dyDescent="0.2">
      <c r="B4523" t="s">
        <v>394</v>
      </c>
      <c r="C4523">
        <v>40345876</v>
      </c>
      <c r="D4523" t="s">
        <v>485</v>
      </c>
      <c r="E4523">
        <v>1021023</v>
      </c>
      <c r="F4523" t="s">
        <v>508</v>
      </c>
      <c r="G4523" s="9">
        <v>44919</v>
      </c>
      <c r="H4523" s="7"/>
      <c r="I4523" s="7"/>
      <c r="J4523" s="7"/>
      <c r="K4523" s="7"/>
      <c r="L4523" s="10"/>
      <c r="N4523" s="10"/>
      <c r="Q4523" s="11"/>
      <c r="R4523" s="7"/>
      <c r="S4523" s="7"/>
      <c r="T4523" s="7"/>
      <c r="U4523" s="7"/>
      <c r="V4523" s="10"/>
      <c r="X4523" s="10"/>
      <c r="AA4523" s="11"/>
    </row>
    <row r="4524" spans="2:27" x14ac:dyDescent="0.2">
      <c r="B4524" t="s">
        <v>394</v>
      </c>
      <c r="C4524">
        <v>40345875</v>
      </c>
      <c r="D4524" t="s">
        <v>485</v>
      </c>
      <c r="E4524">
        <v>1021023</v>
      </c>
      <c r="F4524" t="s">
        <v>508</v>
      </c>
      <c r="G4524" s="9">
        <v>44925</v>
      </c>
      <c r="H4524" s="7"/>
      <c r="I4524" s="7"/>
      <c r="J4524" s="7"/>
      <c r="K4524" s="7"/>
      <c r="L4524" s="10"/>
      <c r="N4524" s="10"/>
      <c r="Q4524" s="11"/>
      <c r="R4524" s="7"/>
      <c r="S4524" s="7"/>
      <c r="T4524" s="7"/>
      <c r="U4524" s="7"/>
      <c r="V4524" s="10"/>
      <c r="X4524" s="10"/>
      <c r="AA4524" s="11"/>
    </row>
    <row r="4525" spans="2:27" x14ac:dyDescent="0.2">
      <c r="B4525" t="s">
        <v>394</v>
      </c>
      <c r="C4525">
        <v>40345863</v>
      </c>
      <c r="D4525" t="s">
        <v>485</v>
      </c>
      <c r="E4525">
        <v>1020367</v>
      </c>
      <c r="F4525" t="s">
        <v>596</v>
      </c>
      <c r="G4525" s="9">
        <v>44913</v>
      </c>
      <c r="H4525" s="7"/>
      <c r="I4525" s="7"/>
      <c r="J4525" s="7"/>
      <c r="K4525" s="7"/>
      <c r="L4525" s="10"/>
      <c r="N4525" s="10"/>
      <c r="Q4525" s="11"/>
      <c r="R4525" s="7"/>
      <c r="S4525" s="7"/>
      <c r="T4525" s="7"/>
      <c r="U4525" s="7"/>
      <c r="V4525" s="10"/>
      <c r="X4525" s="10"/>
      <c r="AA4525" s="11"/>
    </row>
    <row r="4526" spans="2:27" x14ac:dyDescent="0.2">
      <c r="B4526" t="s">
        <v>394</v>
      </c>
      <c r="C4526">
        <v>40345859</v>
      </c>
      <c r="D4526" t="s">
        <v>485</v>
      </c>
      <c r="E4526">
        <v>1022196</v>
      </c>
      <c r="F4526" t="s">
        <v>604</v>
      </c>
      <c r="G4526" s="9">
        <v>44921</v>
      </c>
      <c r="H4526" s="7"/>
      <c r="I4526" s="7"/>
      <c r="J4526" s="7"/>
      <c r="K4526" s="7"/>
      <c r="L4526" s="10"/>
      <c r="N4526" s="10"/>
      <c r="Q4526" s="11"/>
      <c r="R4526" s="7"/>
      <c r="S4526" s="7"/>
      <c r="T4526" s="7"/>
      <c r="U4526" s="7"/>
      <c r="V4526" s="10"/>
      <c r="X4526" s="10"/>
      <c r="AA4526" s="11"/>
    </row>
    <row r="4527" spans="2:27" ht="16" x14ac:dyDescent="0.2">
      <c r="B4527" t="s">
        <v>35</v>
      </c>
      <c r="C4527">
        <v>40345854</v>
      </c>
      <c r="D4527" t="s">
        <v>389</v>
      </c>
      <c r="E4527">
        <v>1022939</v>
      </c>
      <c r="F4527" t="s">
        <v>505</v>
      </c>
      <c r="G4527" s="9">
        <v>44956</v>
      </c>
      <c r="H4527" s="7"/>
      <c r="I4527" s="7"/>
      <c r="J4527" s="7"/>
      <c r="K4527" s="7"/>
      <c r="L4527" s="10">
        <v>5.5741092456127026</v>
      </c>
      <c r="M4527" s="9">
        <v>44961</v>
      </c>
      <c r="N4527" s="10">
        <v>5.5</v>
      </c>
      <c r="O4527" s="9">
        <v>44966</v>
      </c>
      <c r="P4527">
        <v>16</v>
      </c>
      <c r="Q4527" s="11" t="s">
        <v>49</v>
      </c>
      <c r="R4527" s="7"/>
      <c r="S4527" s="7"/>
      <c r="T4527" s="7"/>
      <c r="U4527" s="7"/>
      <c r="V4527" s="10">
        <v>7.5741092456127026</v>
      </c>
      <c r="W4527" s="9">
        <v>44963</v>
      </c>
      <c r="X4527" s="10">
        <v>7.5</v>
      </c>
      <c r="Y4527" s="9">
        <v>44966</v>
      </c>
      <c r="Z4527">
        <v>16</v>
      </c>
      <c r="AA4527" s="11" t="s">
        <v>49</v>
      </c>
    </row>
    <row r="4528" spans="2:27" ht="16" x14ac:dyDescent="0.2">
      <c r="B4528" t="s">
        <v>35</v>
      </c>
      <c r="C4528">
        <v>40345854</v>
      </c>
      <c r="D4528" t="s">
        <v>389</v>
      </c>
      <c r="E4528">
        <v>1022939</v>
      </c>
      <c r="F4528" t="s">
        <v>505</v>
      </c>
      <c r="G4528" s="9">
        <v>44956</v>
      </c>
      <c r="H4528" s="7"/>
      <c r="I4528" s="7"/>
      <c r="J4528" s="7"/>
      <c r="K4528" s="7"/>
      <c r="L4528" s="10">
        <v>5.5741092456127026</v>
      </c>
      <c r="M4528" s="9">
        <v>44961</v>
      </c>
      <c r="N4528" s="10">
        <v>5.5</v>
      </c>
      <c r="O4528" s="9">
        <v>44966</v>
      </c>
      <c r="P4528">
        <v>16</v>
      </c>
      <c r="Q4528" s="11" t="s">
        <v>49</v>
      </c>
      <c r="R4528" s="7"/>
      <c r="S4528" s="7"/>
      <c r="T4528" s="7"/>
      <c r="U4528" s="7"/>
      <c r="V4528" s="10">
        <v>7.5741092456127026</v>
      </c>
      <c r="W4528" s="9">
        <v>44963</v>
      </c>
      <c r="X4528" s="10">
        <v>7.5</v>
      </c>
      <c r="Y4528" s="9">
        <v>44966</v>
      </c>
      <c r="Z4528">
        <v>16</v>
      </c>
      <c r="AA4528" s="11" t="s">
        <v>49</v>
      </c>
    </row>
    <row r="4529" spans="2:27" x14ac:dyDescent="0.2">
      <c r="B4529" t="s">
        <v>394</v>
      </c>
      <c r="C4529">
        <v>40345624</v>
      </c>
      <c r="D4529" t="s">
        <v>485</v>
      </c>
      <c r="E4529">
        <v>1022409</v>
      </c>
      <c r="F4529" t="s">
        <v>646</v>
      </c>
      <c r="G4529" s="9">
        <v>44929</v>
      </c>
      <c r="H4529" s="7"/>
      <c r="I4529" s="7"/>
      <c r="J4529" s="7"/>
      <c r="K4529" s="7"/>
      <c r="L4529" s="10"/>
      <c r="N4529" s="10"/>
      <c r="Q4529" s="11"/>
      <c r="R4529" s="7"/>
      <c r="S4529" s="7"/>
      <c r="T4529" s="7"/>
      <c r="U4529" s="7"/>
      <c r="V4529" s="10"/>
      <c r="X4529" s="10"/>
      <c r="AA4529" s="11"/>
    </row>
    <row r="4530" spans="2:27" ht="16" x14ac:dyDescent="0.2">
      <c r="B4530" t="s">
        <v>35</v>
      </c>
      <c r="C4530">
        <v>40345482</v>
      </c>
      <c r="D4530" t="s">
        <v>389</v>
      </c>
      <c r="E4530">
        <v>1022939</v>
      </c>
      <c r="F4530" t="s">
        <v>505</v>
      </c>
      <c r="G4530" s="9">
        <v>44954</v>
      </c>
      <c r="H4530" s="7"/>
      <c r="I4530" s="7"/>
      <c r="J4530" s="7"/>
      <c r="K4530" s="7"/>
      <c r="L4530" s="10">
        <v>5.5741092456127026</v>
      </c>
      <c r="M4530" s="9">
        <v>44959</v>
      </c>
      <c r="N4530" s="10">
        <v>5.5</v>
      </c>
      <c r="O4530" s="9">
        <v>44964</v>
      </c>
      <c r="P4530">
        <v>18</v>
      </c>
      <c r="Q4530" s="11" t="s">
        <v>49</v>
      </c>
      <c r="R4530" s="7"/>
      <c r="S4530" s="7"/>
      <c r="T4530" s="7"/>
      <c r="U4530" s="7"/>
      <c r="V4530" s="10">
        <v>7.5741092456127026</v>
      </c>
      <c r="W4530" s="9">
        <v>44961</v>
      </c>
      <c r="X4530" s="10">
        <v>7.5</v>
      </c>
      <c r="Y4530" s="9">
        <v>44964</v>
      </c>
      <c r="Z4530">
        <v>18</v>
      </c>
      <c r="AA4530" s="11" t="s">
        <v>49</v>
      </c>
    </row>
    <row r="4531" spans="2:27" x14ac:dyDescent="0.2">
      <c r="B4531" t="s">
        <v>394</v>
      </c>
      <c r="C4531">
        <v>40344726</v>
      </c>
      <c r="D4531" t="s">
        <v>485</v>
      </c>
      <c r="E4531">
        <v>1021039</v>
      </c>
      <c r="F4531" t="s">
        <v>635</v>
      </c>
      <c r="G4531" s="9">
        <v>44921</v>
      </c>
      <c r="H4531" s="7"/>
      <c r="I4531" s="7"/>
      <c r="J4531" s="7"/>
      <c r="K4531" s="7"/>
      <c r="L4531" s="10"/>
      <c r="N4531" s="10"/>
      <c r="Q4531" s="11"/>
      <c r="R4531" s="7"/>
      <c r="S4531" s="7"/>
      <c r="T4531" s="7"/>
      <c r="U4531" s="7"/>
      <c r="V4531" s="10"/>
      <c r="X4531" s="10"/>
      <c r="AA4531" s="11"/>
    </row>
    <row r="4532" spans="2:27" x14ac:dyDescent="0.2">
      <c r="B4532" t="s">
        <v>394</v>
      </c>
      <c r="C4532">
        <v>40344429</v>
      </c>
      <c r="D4532" t="s">
        <v>485</v>
      </c>
      <c r="E4532">
        <v>1022709</v>
      </c>
      <c r="F4532" t="s">
        <v>493</v>
      </c>
      <c r="G4532" s="9">
        <v>44941</v>
      </c>
      <c r="H4532" s="7"/>
      <c r="I4532" s="7"/>
      <c r="J4532" s="7"/>
      <c r="K4532" s="7"/>
      <c r="L4532" s="10"/>
      <c r="N4532" s="10"/>
      <c r="Q4532" s="11"/>
      <c r="R4532" s="7"/>
      <c r="S4532" s="7"/>
      <c r="T4532" s="7"/>
      <c r="U4532" s="7"/>
      <c r="V4532" s="10"/>
      <c r="X4532" s="10"/>
      <c r="AA4532" s="11"/>
    </row>
    <row r="4533" spans="2:27" x14ac:dyDescent="0.2">
      <c r="B4533" t="s">
        <v>394</v>
      </c>
      <c r="C4533">
        <v>40344428</v>
      </c>
      <c r="D4533" t="s">
        <v>485</v>
      </c>
      <c r="E4533">
        <v>1022709</v>
      </c>
      <c r="F4533" t="s">
        <v>493</v>
      </c>
      <c r="G4533" s="9">
        <v>44925</v>
      </c>
      <c r="H4533" s="7"/>
      <c r="I4533" s="7"/>
      <c r="J4533" s="7"/>
      <c r="K4533" s="7"/>
      <c r="L4533" s="10"/>
      <c r="N4533" s="10"/>
      <c r="Q4533" s="11"/>
      <c r="R4533" s="7"/>
      <c r="S4533" s="7"/>
      <c r="T4533" s="7"/>
      <c r="U4533" s="7"/>
      <c r="V4533" s="10"/>
      <c r="X4533" s="10"/>
      <c r="AA4533" s="11"/>
    </row>
    <row r="4534" spans="2:27" x14ac:dyDescent="0.2">
      <c r="B4534" t="s">
        <v>394</v>
      </c>
      <c r="C4534">
        <v>40344427</v>
      </c>
      <c r="D4534" t="s">
        <v>485</v>
      </c>
      <c r="E4534">
        <v>1022709</v>
      </c>
      <c r="F4534" t="s">
        <v>493</v>
      </c>
      <c r="G4534" s="9">
        <v>44925</v>
      </c>
      <c r="H4534" s="7"/>
      <c r="I4534" s="7"/>
      <c r="J4534" s="7"/>
      <c r="K4534" s="7"/>
      <c r="L4534" s="10"/>
      <c r="N4534" s="10"/>
      <c r="Q4534" s="11"/>
      <c r="R4534" s="7"/>
      <c r="S4534" s="7"/>
      <c r="T4534" s="7"/>
      <c r="U4534" s="7"/>
      <c r="V4534" s="10"/>
      <c r="X4534" s="10"/>
      <c r="AA4534" s="11"/>
    </row>
    <row r="4535" spans="2:27" x14ac:dyDescent="0.2">
      <c r="B4535" t="s">
        <v>394</v>
      </c>
      <c r="C4535">
        <v>40344427</v>
      </c>
      <c r="D4535" t="s">
        <v>485</v>
      </c>
      <c r="E4535">
        <v>1022709</v>
      </c>
      <c r="F4535" t="s">
        <v>493</v>
      </c>
      <c r="G4535" s="9">
        <v>44925</v>
      </c>
      <c r="H4535" s="7"/>
      <c r="I4535" s="7"/>
      <c r="J4535" s="7"/>
      <c r="K4535" s="7"/>
      <c r="L4535" s="10"/>
      <c r="N4535" s="10"/>
      <c r="Q4535" s="11"/>
      <c r="R4535" s="7"/>
      <c r="S4535" s="7"/>
      <c r="T4535" s="7"/>
      <c r="U4535" s="7"/>
      <c r="V4535" s="10"/>
      <c r="X4535" s="10"/>
      <c r="AA4535" s="11"/>
    </row>
    <row r="4536" spans="2:27" x14ac:dyDescent="0.2">
      <c r="B4536" t="s">
        <v>394</v>
      </c>
      <c r="C4536">
        <v>40344426</v>
      </c>
      <c r="D4536" t="s">
        <v>485</v>
      </c>
      <c r="E4536">
        <v>1022709</v>
      </c>
      <c r="F4536" t="s">
        <v>493</v>
      </c>
      <c r="G4536" s="9">
        <v>44925</v>
      </c>
      <c r="H4536" s="7"/>
      <c r="I4536" s="7"/>
      <c r="J4536" s="7"/>
      <c r="K4536" s="7"/>
      <c r="L4536" s="10"/>
      <c r="N4536" s="10"/>
      <c r="Q4536" s="11"/>
      <c r="R4536" s="7"/>
      <c r="S4536" s="7"/>
      <c r="T4536" s="7"/>
      <c r="U4536" s="7"/>
      <c r="V4536" s="10"/>
      <c r="X4536" s="10"/>
      <c r="AA4536" s="11"/>
    </row>
    <row r="4537" spans="2:27" x14ac:dyDescent="0.2">
      <c r="B4537" t="s">
        <v>394</v>
      </c>
      <c r="C4537">
        <v>40344425</v>
      </c>
      <c r="D4537" t="s">
        <v>485</v>
      </c>
      <c r="E4537">
        <v>1022709</v>
      </c>
      <c r="F4537" t="s">
        <v>493</v>
      </c>
      <c r="G4537" s="9">
        <v>44925</v>
      </c>
      <c r="H4537" s="7"/>
      <c r="I4537" s="7"/>
      <c r="J4537" s="7"/>
      <c r="K4537" s="7"/>
      <c r="L4537" s="10"/>
      <c r="N4537" s="10"/>
      <c r="Q4537" s="11"/>
      <c r="R4537" s="7"/>
      <c r="S4537" s="7"/>
      <c r="T4537" s="7"/>
      <c r="U4537" s="7"/>
      <c r="V4537" s="10"/>
      <c r="X4537" s="10"/>
      <c r="AA4537" s="11"/>
    </row>
    <row r="4538" spans="2:27" x14ac:dyDescent="0.2">
      <c r="B4538" t="s">
        <v>394</v>
      </c>
      <c r="C4538">
        <v>40344424</v>
      </c>
      <c r="D4538" t="s">
        <v>485</v>
      </c>
      <c r="E4538">
        <v>1022709</v>
      </c>
      <c r="F4538" t="s">
        <v>493</v>
      </c>
      <c r="G4538" s="9">
        <v>44925</v>
      </c>
      <c r="H4538" s="7"/>
      <c r="I4538" s="7"/>
      <c r="J4538" s="7"/>
      <c r="K4538" s="7"/>
      <c r="L4538" s="10"/>
      <c r="N4538" s="10"/>
      <c r="Q4538" s="11"/>
      <c r="R4538" s="7"/>
      <c r="S4538" s="7"/>
      <c r="T4538" s="7"/>
      <c r="U4538" s="7"/>
      <c r="V4538" s="10"/>
      <c r="X4538" s="10"/>
      <c r="AA4538" s="11"/>
    </row>
    <row r="4539" spans="2:27" x14ac:dyDescent="0.2">
      <c r="B4539" t="s">
        <v>394</v>
      </c>
      <c r="C4539">
        <v>40344422</v>
      </c>
      <c r="D4539" t="s">
        <v>485</v>
      </c>
      <c r="E4539">
        <v>1022709</v>
      </c>
      <c r="F4539" t="s">
        <v>493</v>
      </c>
      <c r="G4539" s="9">
        <v>44938</v>
      </c>
      <c r="H4539" s="7"/>
      <c r="I4539" s="7"/>
      <c r="J4539" s="7"/>
      <c r="K4539" s="7"/>
      <c r="L4539" s="10"/>
      <c r="N4539" s="10"/>
      <c r="Q4539" s="11"/>
      <c r="R4539" s="7"/>
      <c r="S4539" s="7"/>
      <c r="T4539" s="7"/>
      <c r="U4539" s="7"/>
      <c r="V4539" s="10"/>
      <c r="X4539" s="10"/>
      <c r="AA4539" s="11"/>
    </row>
    <row r="4540" spans="2:27" ht="16" x14ac:dyDescent="0.2">
      <c r="B4540" t="s">
        <v>35</v>
      </c>
      <c r="C4540">
        <v>40344334</v>
      </c>
      <c r="D4540" t="s">
        <v>389</v>
      </c>
      <c r="E4540">
        <v>1022646</v>
      </c>
      <c r="F4540" t="s">
        <v>176</v>
      </c>
      <c r="G4540" s="9">
        <v>44945</v>
      </c>
      <c r="H4540" s="7"/>
      <c r="I4540" s="7"/>
      <c r="J4540" s="7"/>
      <c r="K4540" s="7"/>
      <c r="L4540" s="10">
        <v>5.5741092456127026</v>
      </c>
      <c r="M4540" s="9">
        <v>44950</v>
      </c>
      <c r="N4540" s="10">
        <v>5.5</v>
      </c>
      <c r="O4540" s="9">
        <v>44955</v>
      </c>
      <c r="P4540">
        <v>2</v>
      </c>
      <c r="Q4540" s="11" t="s">
        <v>648</v>
      </c>
      <c r="R4540" s="7"/>
      <c r="S4540" s="7"/>
      <c r="T4540" s="7"/>
      <c r="U4540" s="7"/>
      <c r="V4540" s="10">
        <v>7.5741092456127026</v>
      </c>
      <c r="W4540" s="9">
        <v>44952</v>
      </c>
      <c r="X4540" s="10">
        <v>7.5</v>
      </c>
      <c r="Y4540" s="9">
        <v>44955</v>
      </c>
      <c r="Z4540">
        <v>2</v>
      </c>
      <c r="AA4540" s="11" t="s">
        <v>648</v>
      </c>
    </row>
    <row r="4541" spans="2:27" ht="16" x14ac:dyDescent="0.2">
      <c r="B4541" t="s">
        <v>35</v>
      </c>
      <c r="C4541">
        <v>40344334</v>
      </c>
      <c r="D4541" t="s">
        <v>389</v>
      </c>
      <c r="E4541">
        <v>1022936</v>
      </c>
      <c r="F4541" t="s">
        <v>676</v>
      </c>
      <c r="G4541" s="9">
        <v>44945</v>
      </c>
      <c r="H4541" s="7"/>
      <c r="I4541" s="7"/>
      <c r="J4541" s="7"/>
      <c r="K4541" s="7"/>
      <c r="L4541" s="10">
        <v>5.5741092456127026</v>
      </c>
      <c r="M4541" s="9">
        <v>44950</v>
      </c>
      <c r="N4541" s="10">
        <v>5.5</v>
      </c>
      <c r="O4541" s="9">
        <v>44955</v>
      </c>
      <c r="P4541">
        <v>2</v>
      </c>
      <c r="Q4541" s="11" t="s">
        <v>648</v>
      </c>
      <c r="R4541" s="7"/>
      <c r="S4541" s="7"/>
      <c r="T4541" s="7"/>
      <c r="U4541" s="7"/>
      <c r="V4541" s="10">
        <v>7.5741092456127026</v>
      </c>
      <c r="W4541" s="9">
        <v>44952</v>
      </c>
      <c r="X4541" s="10">
        <v>7.5</v>
      </c>
      <c r="Y4541" s="9">
        <v>44955</v>
      </c>
      <c r="Z4541">
        <v>2</v>
      </c>
      <c r="AA4541" s="11" t="s">
        <v>648</v>
      </c>
    </row>
    <row r="4542" spans="2:27" ht="16" x14ac:dyDescent="0.2">
      <c r="B4542" t="s">
        <v>35</v>
      </c>
      <c r="C4542">
        <v>40344334</v>
      </c>
      <c r="D4542" t="s">
        <v>389</v>
      </c>
      <c r="E4542">
        <v>1023066</v>
      </c>
      <c r="F4542" t="s">
        <v>529</v>
      </c>
      <c r="G4542" s="9">
        <v>44945</v>
      </c>
      <c r="H4542" s="7"/>
      <c r="I4542" s="7"/>
      <c r="J4542" s="7"/>
      <c r="K4542" s="7"/>
      <c r="L4542" s="10">
        <v>5.5741092456127026</v>
      </c>
      <c r="M4542" s="9">
        <v>44950</v>
      </c>
      <c r="N4542" s="10">
        <v>5.5</v>
      </c>
      <c r="O4542" s="9">
        <v>44955</v>
      </c>
      <c r="P4542">
        <v>2</v>
      </c>
      <c r="Q4542" s="11" t="s">
        <v>648</v>
      </c>
      <c r="R4542" s="7"/>
      <c r="S4542" s="7"/>
      <c r="T4542" s="7"/>
      <c r="U4542" s="7"/>
      <c r="V4542" s="10">
        <v>7.5741092456127026</v>
      </c>
      <c r="W4542" s="9">
        <v>44952</v>
      </c>
      <c r="X4542" s="10">
        <v>7.5</v>
      </c>
      <c r="Y4542" s="9">
        <v>44955</v>
      </c>
      <c r="Z4542">
        <v>2</v>
      </c>
      <c r="AA4542" s="11" t="s">
        <v>648</v>
      </c>
    </row>
    <row r="4543" spans="2:27" x14ac:dyDescent="0.2">
      <c r="B4543" t="s">
        <v>394</v>
      </c>
      <c r="C4543">
        <v>40343955</v>
      </c>
      <c r="D4543" t="s">
        <v>485</v>
      </c>
      <c r="E4543">
        <v>1023355</v>
      </c>
      <c r="F4543" t="s">
        <v>549</v>
      </c>
      <c r="G4543" s="9">
        <v>44941</v>
      </c>
      <c r="H4543" s="7"/>
      <c r="I4543" s="7"/>
      <c r="J4543" s="7"/>
      <c r="K4543" s="7"/>
      <c r="L4543" s="10"/>
      <c r="N4543" s="10"/>
      <c r="Q4543" s="11"/>
      <c r="R4543" s="7"/>
      <c r="S4543" s="7"/>
      <c r="T4543" s="7"/>
      <c r="U4543" s="7"/>
      <c r="V4543" s="10"/>
      <c r="X4543" s="10"/>
      <c r="AA4543" s="11"/>
    </row>
    <row r="4544" spans="2:27" x14ac:dyDescent="0.2">
      <c r="B4544" t="s">
        <v>394</v>
      </c>
      <c r="C4544">
        <v>40343955</v>
      </c>
      <c r="D4544" t="s">
        <v>485</v>
      </c>
      <c r="E4544">
        <v>1022047</v>
      </c>
      <c r="F4544" t="s">
        <v>548</v>
      </c>
      <c r="G4544" s="9">
        <v>44941</v>
      </c>
      <c r="H4544" s="7"/>
      <c r="I4544" s="7"/>
      <c r="J4544" s="7"/>
      <c r="K4544" s="7"/>
      <c r="L4544" s="10"/>
      <c r="N4544" s="10"/>
      <c r="Q4544" s="11"/>
      <c r="R4544" s="7"/>
      <c r="S4544" s="7"/>
      <c r="T4544" s="7"/>
      <c r="U4544" s="7"/>
      <c r="V4544" s="10"/>
      <c r="X4544" s="10"/>
      <c r="AA4544" s="11"/>
    </row>
    <row r="4545" spans="2:27" ht="16" x14ac:dyDescent="0.2">
      <c r="B4545" t="s">
        <v>35</v>
      </c>
      <c r="C4545">
        <v>40343944</v>
      </c>
      <c r="D4545" t="s">
        <v>409</v>
      </c>
      <c r="E4545">
        <v>1030379</v>
      </c>
      <c r="F4545" t="s">
        <v>97</v>
      </c>
      <c r="G4545" s="9">
        <v>44937</v>
      </c>
      <c r="H4545" s="7"/>
      <c r="I4545" s="7"/>
      <c r="J4545" s="7"/>
      <c r="K4545" s="7"/>
      <c r="L4545" s="10">
        <v>7.5</v>
      </c>
      <c r="M4545" s="9">
        <v>44944</v>
      </c>
      <c r="N4545" s="10">
        <v>9.5</v>
      </c>
      <c r="O4545" s="9">
        <v>44953</v>
      </c>
      <c r="P4545">
        <v>3</v>
      </c>
      <c r="Q4545" s="11" t="s">
        <v>49</v>
      </c>
      <c r="R4545" s="7"/>
      <c r="S4545" s="7"/>
      <c r="T4545" s="7"/>
      <c r="U4545" s="7"/>
      <c r="V4545" s="10">
        <v>9.5</v>
      </c>
      <c r="W4545" s="9">
        <v>44946</v>
      </c>
      <c r="X4545" s="10">
        <v>11.5</v>
      </c>
      <c r="Y4545" s="9">
        <v>44953</v>
      </c>
      <c r="Z4545">
        <v>3</v>
      </c>
      <c r="AA4545" s="11" t="s">
        <v>49</v>
      </c>
    </row>
    <row r="4546" spans="2:27" ht="16" x14ac:dyDescent="0.2">
      <c r="B4546" t="s">
        <v>35</v>
      </c>
      <c r="C4546">
        <v>40343944</v>
      </c>
      <c r="D4546" t="s">
        <v>409</v>
      </c>
      <c r="E4546">
        <v>1030370</v>
      </c>
      <c r="F4546" t="s">
        <v>355</v>
      </c>
      <c r="G4546" s="9">
        <v>44937</v>
      </c>
      <c r="H4546" s="7"/>
      <c r="I4546" s="7"/>
      <c r="J4546" s="7"/>
      <c r="K4546" s="7"/>
      <c r="L4546" s="10">
        <v>7.5</v>
      </c>
      <c r="M4546" s="9">
        <v>44944</v>
      </c>
      <c r="N4546" s="10">
        <v>9.5</v>
      </c>
      <c r="O4546" s="9">
        <v>44953</v>
      </c>
      <c r="P4546">
        <v>3</v>
      </c>
      <c r="Q4546" s="11" t="s">
        <v>49</v>
      </c>
      <c r="R4546" s="7"/>
      <c r="S4546" s="7"/>
      <c r="T4546" s="7"/>
      <c r="U4546" s="7"/>
      <c r="V4546" s="10">
        <v>9.5</v>
      </c>
      <c r="W4546" s="9">
        <v>44946</v>
      </c>
      <c r="X4546" s="10">
        <v>11.5</v>
      </c>
      <c r="Y4546" s="9">
        <v>44953</v>
      </c>
      <c r="Z4546">
        <v>3</v>
      </c>
      <c r="AA4546" s="11" t="s">
        <v>49</v>
      </c>
    </row>
    <row r="4547" spans="2:27" x14ac:dyDescent="0.2">
      <c r="B4547" t="s">
        <v>394</v>
      </c>
      <c r="C4547">
        <v>40343898</v>
      </c>
      <c r="D4547" t="s">
        <v>485</v>
      </c>
      <c r="E4547">
        <v>1020367</v>
      </c>
      <c r="F4547" t="s">
        <v>596</v>
      </c>
      <c r="G4547" s="9">
        <v>44911</v>
      </c>
      <c r="H4547" s="7"/>
      <c r="I4547" s="7"/>
      <c r="J4547" s="7"/>
      <c r="K4547" s="7"/>
      <c r="L4547" s="10"/>
      <c r="N4547" s="10"/>
      <c r="Q4547" s="11"/>
      <c r="R4547" s="7"/>
      <c r="S4547" s="7"/>
      <c r="T4547" s="7"/>
      <c r="U4547" s="7"/>
      <c r="V4547" s="10"/>
      <c r="X4547" s="10"/>
      <c r="AA4547" s="11"/>
    </row>
    <row r="4548" spans="2:27" x14ac:dyDescent="0.2">
      <c r="B4548" t="s">
        <v>394</v>
      </c>
      <c r="C4548">
        <v>40343864</v>
      </c>
      <c r="D4548" t="s">
        <v>396</v>
      </c>
      <c r="E4548">
        <v>1012612</v>
      </c>
      <c r="F4548" t="s">
        <v>429</v>
      </c>
      <c r="G4548" s="9">
        <v>44976</v>
      </c>
      <c r="H4548" s="7"/>
      <c r="I4548" s="7"/>
      <c r="J4548" s="7"/>
      <c r="K4548" s="7"/>
      <c r="L4548" s="10"/>
      <c r="N4548" s="10"/>
      <c r="Q4548" s="11"/>
      <c r="R4548" s="7"/>
      <c r="S4548" s="7"/>
      <c r="T4548" s="7"/>
      <c r="U4548" s="7"/>
      <c r="V4548" s="10"/>
      <c r="X4548" s="10"/>
      <c r="AA4548" s="11"/>
    </row>
    <row r="4549" spans="2:27" x14ac:dyDescent="0.2">
      <c r="B4549" t="s">
        <v>394</v>
      </c>
      <c r="C4549">
        <v>40343842</v>
      </c>
      <c r="D4549" t="s">
        <v>396</v>
      </c>
      <c r="E4549">
        <v>1023144</v>
      </c>
      <c r="F4549" t="s">
        <v>407</v>
      </c>
      <c r="G4549" s="9">
        <v>44982</v>
      </c>
      <c r="H4549" s="7"/>
      <c r="I4549" s="7"/>
      <c r="J4549" s="7"/>
      <c r="K4549" s="7"/>
      <c r="L4549" s="10"/>
      <c r="N4549" s="10"/>
      <c r="Q4549" s="11"/>
      <c r="R4549" s="7"/>
      <c r="S4549" s="7"/>
      <c r="T4549" s="7"/>
      <c r="U4549" s="7"/>
      <c r="V4549" s="10"/>
      <c r="X4549" s="10"/>
      <c r="AA4549" s="11"/>
    </row>
    <row r="4550" spans="2:27" x14ac:dyDescent="0.2">
      <c r="B4550" t="s">
        <v>394</v>
      </c>
      <c r="C4550">
        <v>40343493</v>
      </c>
      <c r="D4550" t="s">
        <v>396</v>
      </c>
      <c r="E4550">
        <v>1020904</v>
      </c>
      <c r="F4550" t="s">
        <v>474</v>
      </c>
      <c r="G4550" s="9">
        <v>44965</v>
      </c>
      <c r="H4550" s="7"/>
      <c r="I4550" s="7"/>
      <c r="J4550" s="7"/>
      <c r="K4550" s="7"/>
      <c r="L4550" s="10"/>
      <c r="N4550" s="10"/>
      <c r="Q4550" s="11"/>
      <c r="R4550" s="7"/>
      <c r="S4550" s="7"/>
      <c r="T4550" s="7"/>
      <c r="U4550" s="7"/>
      <c r="V4550" s="10"/>
      <c r="X4550" s="10"/>
      <c r="AA4550" s="11"/>
    </row>
    <row r="4551" spans="2:27" x14ac:dyDescent="0.2">
      <c r="B4551" t="s">
        <v>394</v>
      </c>
      <c r="C4551">
        <v>40343492</v>
      </c>
      <c r="D4551" t="s">
        <v>396</v>
      </c>
      <c r="E4551">
        <v>1020904</v>
      </c>
      <c r="F4551" t="s">
        <v>474</v>
      </c>
      <c r="G4551" s="9">
        <v>44965</v>
      </c>
      <c r="H4551" s="7"/>
      <c r="I4551" s="7"/>
      <c r="J4551" s="7"/>
      <c r="K4551" s="7"/>
      <c r="L4551" s="10"/>
      <c r="N4551" s="10"/>
      <c r="Q4551" s="11"/>
      <c r="R4551" s="7"/>
      <c r="S4551" s="7"/>
      <c r="T4551" s="7"/>
      <c r="U4551" s="7"/>
      <c r="V4551" s="10"/>
      <c r="X4551" s="10"/>
      <c r="AA4551" s="11"/>
    </row>
    <row r="4552" spans="2:27" ht="16" x14ac:dyDescent="0.2">
      <c r="B4552" t="s">
        <v>35</v>
      </c>
      <c r="C4552">
        <v>40343416</v>
      </c>
      <c r="D4552" t="s">
        <v>391</v>
      </c>
      <c r="E4552">
        <v>1021931</v>
      </c>
      <c r="F4552" t="s">
        <v>189</v>
      </c>
      <c r="G4552" s="9">
        <v>44962</v>
      </c>
      <c r="H4552" s="7"/>
      <c r="I4552" s="7"/>
      <c r="J4552" s="7"/>
      <c r="K4552" s="7"/>
      <c r="L4552" s="10">
        <v>4.830303030303031</v>
      </c>
      <c r="M4552" s="9">
        <v>44966</v>
      </c>
      <c r="N4552" s="10">
        <v>15</v>
      </c>
      <c r="O4552" s="9">
        <v>44981</v>
      </c>
      <c r="P4552">
        <v>3</v>
      </c>
      <c r="Q4552" s="11" t="s">
        <v>49</v>
      </c>
      <c r="R4552" s="7"/>
      <c r="S4552" s="7"/>
      <c r="T4552" s="7"/>
      <c r="U4552" s="7"/>
      <c r="V4552" s="10">
        <v>6.830303030303031</v>
      </c>
      <c r="W4552" s="9">
        <v>44968</v>
      </c>
      <c r="X4552" s="10">
        <v>17</v>
      </c>
      <c r="Y4552" s="9">
        <v>44981</v>
      </c>
      <c r="Z4552">
        <v>3</v>
      </c>
      <c r="AA4552" s="11" t="s">
        <v>49</v>
      </c>
    </row>
    <row r="4553" spans="2:27" ht="16" x14ac:dyDescent="0.2">
      <c r="B4553" t="s">
        <v>35</v>
      </c>
      <c r="C4553">
        <v>40343415</v>
      </c>
      <c r="D4553" t="s">
        <v>391</v>
      </c>
      <c r="E4553">
        <v>1021987</v>
      </c>
      <c r="F4553" t="s">
        <v>435</v>
      </c>
      <c r="G4553" s="9">
        <v>44962</v>
      </c>
      <c r="H4553" s="7"/>
      <c r="I4553" s="7"/>
      <c r="J4553" s="7"/>
      <c r="K4553" s="7"/>
      <c r="L4553" s="10">
        <v>4.830303030303031</v>
      </c>
      <c r="M4553" s="9">
        <v>44966</v>
      </c>
      <c r="N4553" s="10">
        <v>15</v>
      </c>
      <c r="O4553" s="9">
        <v>44981</v>
      </c>
      <c r="P4553">
        <v>3</v>
      </c>
      <c r="Q4553" s="11" t="s">
        <v>49</v>
      </c>
      <c r="R4553" s="7"/>
      <c r="S4553" s="7"/>
      <c r="T4553" s="7"/>
      <c r="U4553" s="7"/>
      <c r="V4553" s="10">
        <v>6.830303030303031</v>
      </c>
      <c r="W4553" s="9">
        <v>44968</v>
      </c>
      <c r="X4553" s="10">
        <v>17</v>
      </c>
      <c r="Y4553" s="9">
        <v>44981</v>
      </c>
      <c r="Z4553">
        <v>3</v>
      </c>
      <c r="AA4553" s="11" t="s">
        <v>49</v>
      </c>
    </row>
    <row r="4554" spans="2:27" ht="16" x14ac:dyDescent="0.2">
      <c r="B4554" t="s">
        <v>35</v>
      </c>
      <c r="C4554">
        <v>40343414</v>
      </c>
      <c r="D4554" t="s">
        <v>391</v>
      </c>
      <c r="E4554">
        <v>1023123</v>
      </c>
      <c r="F4554" t="s">
        <v>345</v>
      </c>
      <c r="G4554" s="9">
        <v>44962</v>
      </c>
      <c r="H4554" s="7"/>
      <c r="I4554" s="7"/>
      <c r="J4554" s="7"/>
      <c r="K4554" s="7"/>
      <c r="L4554" s="10">
        <v>4.830303030303031</v>
      </c>
      <c r="M4554" s="9">
        <v>44966</v>
      </c>
      <c r="N4554" s="10">
        <v>15</v>
      </c>
      <c r="O4554" s="9">
        <v>44981</v>
      </c>
      <c r="P4554">
        <v>3</v>
      </c>
      <c r="Q4554" s="11" t="s">
        <v>49</v>
      </c>
      <c r="R4554" s="7"/>
      <c r="S4554" s="7"/>
      <c r="T4554" s="7"/>
      <c r="U4554" s="7"/>
      <c r="V4554" s="10">
        <v>6.830303030303031</v>
      </c>
      <c r="W4554" s="9">
        <v>44968</v>
      </c>
      <c r="X4554" s="10">
        <v>17</v>
      </c>
      <c r="Y4554" s="9">
        <v>44981</v>
      </c>
      <c r="Z4554">
        <v>3</v>
      </c>
      <c r="AA4554" s="11" t="s">
        <v>49</v>
      </c>
    </row>
    <row r="4555" spans="2:27" ht="16" x14ac:dyDescent="0.2">
      <c r="B4555" t="s">
        <v>35</v>
      </c>
      <c r="C4555">
        <v>40343414</v>
      </c>
      <c r="D4555" t="s">
        <v>391</v>
      </c>
      <c r="E4555">
        <v>1022863</v>
      </c>
      <c r="F4555" t="s">
        <v>201</v>
      </c>
      <c r="G4555" s="9">
        <v>44962</v>
      </c>
      <c r="H4555" s="7"/>
      <c r="I4555" s="7"/>
      <c r="J4555" s="7"/>
      <c r="K4555" s="7"/>
      <c r="L4555" s="10">
        <v>4.830303030303031</v>
      </c>
      <c r="M4555" s="9">
        <v>44966</v>
      </c>
      <c r="N4555" s="10">
        <v>15</v>
      </c>
      <c r="O4555" s="9">
        <v>44981</v>
      </c>
      <c r="P4555">
        <v>3</v>
      </c>
      <c r="Q4555" s="11" t="s">
        <v>49</v>
      </c>
      <c r="R4555" s="7"/>
      <c r="S4555" s="7"/>
      <c r="T4555" s="7"/>
      <c r="U4555" s="7"/>
      <c r="V4555" s="10">
        <v>6.830303030303031</v>
      </c>
      <c r="W4555" s="9">
        <v>44968</v>
      </c>
      <c r="X4555" s="10">
        <v>17</v>
      </c>
      <c r="Y4555" s="9">
        <v>44981</v>
      </c>
      <c r="Z4555">
        <v>3</v>
      </c>
      <c r="AA4555" s="11" t="s">
        <v>49</v>
      </c>
    </row>
    <row r="4556" spans="2:27" ht="16" x14ac:dyDescent="0.2">
      <c r="B4556" t="s">
        <v>35</v>
      </c>
      <c r="C4556">
        <v>40343414</v>
      </c>
      <c r="D4556" t="s">
        <v>391</v>
      </c>
      <c r="E4556">
        <v>1022398</v>
      </c>
      <c r="F4556" t="s">
        <v>431</v>
      </c>
      <c r="G4556" s="9">
        <v>44962</v>
      </c>
      <c r="H4556" s="7"/>
      <c r="I4556" s="7"/>
      <c r="J4556" s="7"/>
      <c r="K4556" s="7"/>
      <c r="L4556" s="10">
        <v>4.830303030303031</v>
      </c>
      <c r="M4556" s="9">
        <v>44966</v>
      </c>
      <c r="N4556" s="10">
        <v>15</v>
      </c>
      <c r="O4556" s="9">
        <v>44981</v>
      </c>
      <c r="P4556">
        <v>3</v>
      </c>
      <c r="Q4556" s="11" t="s">
        <v>49</v>
      </c>
      <c r="R4556" s="7"/>
      <c r="S4556" s="7"/>
      <c r="T4556" s="7"/>
      <c r="U4556" s="7"/>
      <c r="V4556" s="10">
        <v>6.830303030303031</v>
      </c>
      <c r="W4556" s="9">
        <v>44968</v>
      </c>
      <c r="X4556" s="10">
        <v>17</v>
      </c>
      <c r="Y4556" s="9">
        <v>44981</v>
      </c>
      <c r="Z4556">
        <v>3</v>
      </c>
      <c r="AA4556" s="11" t="s">
        <v>49</v>
      </c>
    </row>
    <row r="4557" spans="2:27" ht="16" x14ac:dyDescent="0.2">
      <c r="B4557" t="s">
        <v>35</v>
      </c>
      <c r="C4557">
        <v>40342754</v>
      </c>
      <c r="D4557" t="s">
        <v>409</v>
      </c>
      <c r="E4557">
        <v>1012806</v>
      </c>
      <c r="F4557" t="s">
        <v>222</v>
      </c>
      <c r="G4557" s="9">
        <v>44948</v>
      </c>
      <c r="H4557" s="7"/>
      <c r="I4557" s="7"/>
      <c r="J4557" s="7"/>
      <c r="K4557" s="7"/>
      <c r="L4557" s="10">
        <v>7.5</v>
      </c>
      <c r="M4557" s="9">
        <v>44955</v>
      </c>
      <c r="N4557" s="10">
        <v>9.5</v>
      </c>
      <c r="O4557" s="9">
        <v>44964</v>
      </c>
      <c r="P4557">
        <v>17</v>
      </c>
      <c r="Q4557" s="11" t="s">
        <v>49</v>
      </c>
      <c r="R4557" s="7"/>
      <c r="S4557" s="7"/>
      <c r="T4557" s="7"/>
      <c r="U4557" s="7"/>
      <c r="V4557" s="10">
        <v>9.5</v>
      </c>
      <c r="W4557" s="9">
        <v>44957</v>
      </c>
      <c r="X4557" s="10">
        <v>11.5</v>
      </c>
      <c r="Y4557" s="9">
        <v>44964</v>
      </c>
      <c r="Z4557">
        <v>17</v>
      </c>
      <c r="AA4557" s="11" t="s">
        <v>49</v>
      </c>
    </row>
    <row r="4558" spans="2:27" ht="16" x14ac:dyDescent="0.2">
      <c r="B4558" t="s">
        <v>35</v>
      </c>
      <c r="C4558">
        <v>40342754</v>
      </c>
      <c r="D4558" t="s">
        <v>409</v>
      </c>
      <c r="E4558">
        <v>1012167</v>
      </c>
      <c r="F4558" t="s">
        <v>70</v>
      </c>
      <c r="G4558" s="9">
        <v>44948</v>
      </c>
      <c r="H4558" s="7"/>
      <c r="I4558" s="7"/>
      <c r="J4558" s="7"/>
      <c r="K4558" s="7"/>
      <c r="L4558" s="10">
        <v>7.5</v>
      </c>
      <c r="M4558" s="9">
        <v>44955</v>
      </c>
      <c r="N4558" s="10">
        <v>9.5</v>
      </c>
      <c r="O4558" s="9">
        <v>44964</v>
      </c>
      <c r="P4558">
        <v>17</v>
      </c>
      <c r="Q4558" s="11" t="s">
        <v>49</v>
      </c>
      <c r="R4558" s="7"/>
      <c r="S4558" s="7"/>
      <c r="T4558" s="7"/>
      <c r="U4558" s="7"/>
      <c r="V4558" s="10">
        <v>9.5</v>
      </c>
      <c r="W4558" s="9">
        <v>44957</v>
      </c>
      <c r="X4558" s="10">
        <v>11.5</v>
      </c>
      <c r="Y4558" s="9">
        <v>44964</v>
      </c>
      <c r="Z4558">
        <v>17</v>
      </c>
      <c r="AA4558" s="11" t="s">
        <v>49</v>
      </c>
    </row>
    <row r="4559" spans="2:27" ht="16" x14ac:dyDescent="0.2">
      <c r="B4559" t="s">
        <v>35</v>
      </c>
      <c r="C4559">
        <v>40342754</v>
      </c>
      <c r="D4559" t="s">
        <v>409</v>
      </c>
      <c r="E4559">
        <v>1012158</v>
      </c>
      <c r="F4559" t="s">
        <v>86</v>
      </c>
      <c r="G4559" s="9">
        <v>44948</v>
      </c>
      <c r="H4559" s="7"/>
      <c r="I4559" s="7"/>
      <c r="J4559" s="7"/>
      <c r="K4559" s="7"/>
      <c r="L4559" s="10">
        <v>7.5</v>
      </c>
      <c r="M4559" s="9">
        <v>44955</v>
      </c>
      <c r="N4559" s="10">
        <v>9.5</v>
      </c>
      <c r="O4559" s="9">
        <v>44964</v>
      </c>
      <c r="P4559">
        <v>17</v>
      </c>
      <c r="Q4559" s="11" t="s">
        <v>49</v>
      </c>
      <c r="R4559" s="7"/>
      <c r="S4559" s="7"/>
      <c r="T4559" s="7"/>
      <c r="U4559" s="7"/>
      <c r="V4559" s="10">
        <v>9.5</v>
      </c>
      <c r="W4559" s="9">
        <v>44957</v>
      </c>
      <c r="X4559" s="10">
        <v>11.5</v>
      </c>
      <c r="Y4559" s="9">
        <v>44964</v>
      </c>
      <c r="Z4559">
        <v>17</v>
      </c>
      <c r="AA4559" s="11" t="s">
        <v>49</v>
      </c>
    </row>
    <row r="4560" spans="2:27" x14ac:dyDescent="0.2">
      <c r="B4560" t="s">
        <v>394</v>
      </c>
      <c r="C4560">
        <v>40342742</v>
      </c>
      <c r="D4560" t="s">
        <v>485</v>
      </c>
      <c r="E4560">
        <v>1023436</v>
      </c>
      <c r="F4560" t="s">
        <v>677</v>
      </c>
      <c r="G4560" s="9">
        <v>44921</v>
      </c>
      <c r="H4560" s="7"/>
      <c r="I4560" s="7"/>
      <c r="J4560" s="7"/>
      <c r="K4560" s="7"/>
      <c r="L4560" s="10"/>
      <c r="N4560" s="10"/>
      <c r="Q4560" s="11"/>
      <c r="R4560" s="7"/>
      <c r="S4560" s="7"/>
      <c r="T4560" s="7"/>
      <c r="U4560" s="7"/>
      <c r="V4560" s="10"/>
      <c r="X4560" s="10"/>
      <c r="AA4560" s="11"/>
    </row>
    <row r="4561" spans="2:27" ht="16" x14ac:dyDescent="0.2">
      <c r="B4561" t="s">
        <v>35</v>
      </c>
      <c r="C4561">
        <v>40342463</v>
      </c>
      <c r="D4561" t="s">
        <v>409</v>
      </c>
      <c r="E4561">
        <v>1012165</v>
      </c>
      <c r="F4561" t="s">
        <v>61</v>
      </c>
      <c r="G4561" s="9">
        <v>44942</v>
      </c>
      <c r="H4561" s="7"/>
      <c r="I4561" s="7"/>
      <c r="J4561" s="7"/>
      <c r="K4561" s="7"/>
      <c r="L4561" s="10">
        <v>7.5</v>
      </c>
      <c r="M4561" s="9">
        <v>44949</v>
      </c>
      <c r="N4561" s="10">
        <v>9.5</v>
      </c>
      <c r="O4561" s="9">
        <v>44958</v>
      </c>
      <c r="P4561">
        <v>22</v>
      </c>
      <c r="Q4561" s="11" t="s">
        <v>49</v>
      </c>
      <c r="R4561" s="7"/>
      <c r="S4561" s="7"/>
      <c r="T4561" s="7"/>
      <c r="U4561" s="7"/>
      <c r="V4561" s="10">
        <v>9.5</v>
      </c>
      <c r="W4561" s="9">
        <v>44951</v>
      </c>
      <c r="X4561" s="10">
        <v>11.5</v>
      </c>
      <c r="Y4561" s="9">
        <v>44958</v>
      </c>
      <c r="Z4561">
        <v>22</v>
      </c>
      <c r="AA4561" s="11" t="s">
        <v>49</v>
      </c>
    </row>
    <row r="4562" spans="2:27" ht="16" x14ac:dyDescent="0.2">
      <c r="B4562" t="s">
        <v>35</v>
      </c>
      <c r="C4562">
        <v>40342462</v>
      </c>
      <c r="D4562" t="s">
        <v>409</v>
      </c>
      <c r="E4562">
        <v>1012165</v>
      </c>
      <c r="F4562" t="s">
        <v>61</v>
      </c>
      <c r="G4562" s="9">
        <v>44936</v>
      </c>
      <c r="H4562" s="7"/>
      <c r="I4562" s="7"/>
      <c r="J4562" s="7"/>
      <c r="K4562" s="7"/>
      <c r="L4562" s="10">
        <v>7.5</v>
      </c>
      <c r="M4562" s="9">
        <v>44943</v>
      </c>
      <c r="N4562" s="10">
        <v>9.5</v>
      </c>
      <c r="O4562" s="9">
        <v>44952</v>
      </c>
      <c r="P4562">
        <v>4</v>
      </c>
      <c r="Q4562" s="11" t="s">
        <v>49</v>
      </c>
      <c r="R4562" s="7"/>
      <c r="S4562" s="7"/>
      <c r="T4562" s="7"/>
      <c r="U4562" s="7"/>
      <c r="V4562" s="10">
        <v>9.5</v>
      </c>
      <c r="W4562" s="9">
        <v>44945</v>
      </c>
      <c r="X4562" s="10">
        <v>11.5</v>
      </c>
      <c r="Y4562" s="9">
        <v>44952</v>
      </c>
      <c r="Z4562">
        <v>4</v>
      </c>
      <c r="AA4562" s="11" t="s">
        <v>49</v>
      </c>
    </row>
    <row r="4563" spans="2:27" ht="16" x14ac:dyDescent="0.2">
      <c r="B4563" t="s">
        <v>35</v>
      </c>
      <c r="C4563">
        <v>40342461</v>
      </c>
      <c r="D4563" t="s">
        <v>409</v>
      </c>
      <c r="E4563">
        <v>1012165</v>
      </c>
      <c r="F4563" t="s">
        <v>61</v>
      </c>
      <c r="G4563" s="9">
        <v>44935</v>
      </c>
      <c r="H4563" s="7"/>
      <c r="I4563" s="7"/>
      <c r="J4563" s="7"/>
      <c r="K4563" s="7"/>
      <c r="L4563" s="10">
        <v>7.5</v>
      </c>
      <c r="M4563" s="9">
        <v>44942</v>
      </c>
      <c r="N4563" s="10">
        <v>9.5</v>
      </c>
      <c r="O4563" s="9">
        <v>44951</v>
      </c>
      <c r="P4563">
        <v>5</v>
      </c>
      <c r="Q4563" s="11" t="s">
        <v>49</v>
      </c>
      <c r="R4563" s="7"/>
      <c r="S4563" s="7"/>
      <c r="T4563" s="7"/>
      <c r="U4563" s="7"/>
      <c r="V4563" s="10">
        <v>9.5</v>
      </c>
      <c r="W4563" s="9">
        <v>44944</v>
      </c>
      <c r="X4563" s="10">
        <v>11.5</v>
      </c>
      <c r="Y4563" s="9">
        <v>44951</v>
      </c>
      <c r="Z4563">
        <v>5</v>
      </c>
      <c r="AA4563" s="11" t="s">
        <v>49</v>
      </c>
    </row>
    <row r="4564" spans="2:27" ht="16" x14ac:dyDescent="0.2">
      <c r="B4564" t="s">
        <v>35</v>
      </c>
      <c r="C4564">
        <v>40342302</v>
      </c>
      <c r="D4564" t="s">
        <v>409</v>
      </c>
      <c r="E4564">
        <v>1012520</v>
      </c>
      <c r="F4564" t="s">
        <v>113</v>
      </c>
      <c r="G4564" s="9">
        <v>44950</v>
      </c>
      <c r="H4564" s="7"/>
      <c r="I4564" s="7"/>
      <c r="J4564" s="7"/>
      <c r="K4564" s="7"/>
      <c r="L4564" s="10">
        <v>7.5</v>
      </c>
      <c r="M4564" s="9">
        <v>44957</v>
      </c>
      <c r="N4564" s="10">
        <v>9.5</v>
      </c>
      <c r="O4564" s="9">
        <v>44966</v>
      </c>
      <c r="P4564">
        <v>15</v>
      </c>
      <c r="Q4564" s="11" t="s">
        <v>49</v>
      </c>
      <c r="R4564" s="7"/>
      <c r="S4564" s="7"/>
      <c r="T4564" s="7"/>
      <c r="U4564" s="7"/>
      <c r="V4564" s="10">
        <v>9.5</v>
      </c>
      <c r="W4564" s="9">
        <v>44959</v>
      </c>
      <c r="X4564" s="10">
        <v>11.5</v>
      </c>
      <c r="Y4564" s="9">
        <v>44966</v>
      </c>
      <c r="Z4564">
        <v>15</v>
      </c>
      <c r="AA4564" s="11" t="s">
        <v>49</v>
      </c>
    </row>
    <row r="4565" spans="2:27" ht="16" x14ac:dyDescent="0.2">
      <c r="B4565" t="s">
        <v>35</v>
      </c>
      <c r="C4565">
        <v>40341919</v>
      </c>
      <c r="D4565" t="s">
        <v>389</v>
      </c>
      <c r="E4565">
        <v>1022939</v>
      </c>
      <c r="F4565" t="s">
        <v>505</v>
      </c>
      <c r="G4565" s="9">
        <v>44955</v>
      </c>
      <c r="H4565" s="7"/>
      <c r="I4565" s="7"/>
      <c r="J4565" s="7"/>
      <c r="K4565" s="7"/>
      <c r="L4565" s="10">
        <v>5.5741092456127026</v>
      </c>
      <c r="M4565" s="9">
        <v>44960</v>
      </c>
      <c r="N4565" s="10">
        <v>5.5</v>
      </c>
      <c r="O4565" s="9">
        <v>44965</v>
      </c>
      <c r="P4565">
        <v>17</v>
      </c>
      <c r="Q4565" s="11" t="s">
        <v>49</v>
      </c>
      <c r="R4565" s="7"/>
      <c r="S4565" s="7"/>
      <c r="T4565" s="7"/>
      <c r="U4565" s="7"/>
      <c r="V4565" s="10">
        <v>7.5741092456127026</v>
      </c>
      <c r="W4565" s="9">
        <v>44962</v>
      </c>
      <c r="X4565" s="10">
        <v>7.5</v>
      </c>
      <c r="Y4565" s="9">
        <v>44965</v>
      </c>
      <c r="Z4565">
        <v>17</v>
      </c>
      <c r="AA4565" s="11" t="s">
        <v>49</v>
      </c>
    </row>
    <row r="4566" spans="2:27" ht="16" x14ac:dyDescent="0.2">
      <c r="B4566" t="s">
        <v>35</v>
      </c>
      <c r="C4566">
        <v>40341892</v>
      </c>
      <c r="D4566" t="s">
        <v>389</v>
      </c>
      <c r="E4566">
        <v>1023143</v>
      </c>
      <c r="F4566" t="s">
        <v>182</v>
      </c>
      <c r="G4566" s="9">
        <v>44945</v>
      </c>
      <c r="H4566" s="7"/>
      <c r="I4566" s="7"/>
      <c r="J4566" s="7"/>
      <c r="K4566" s="7"/>
      <c r="L4566" s="10">
        <v>5.5741092456127026</v>
      </c>
      <c r="M4566" s="9">
        <v>44950</v>
      </c>
      <c r="N4566" s="10">
        <v>5.5</v>
      </c>
      <c r="O4566" s="9">
        <v>44955</v>
      </c>
      <c r="P4566">
        <v>2</v>
      </c>
      <c r="Q4566" s="11" t="s">
        <v>648</v>
      </c>
      <c r="R4566" s="7"/>
      <c r="S4566" s="7"/>
      <c r="T4566" s="7"/>
      <c r="U4566" s="7"/>
      <c r="V4566" s="10">
        <v>7.5741092456127026</v>
      </c>
      <c r="W4566" s="9">
        <v>44952</v>
      </c>
      <c r="X4566" s="10">
        <v>7.5</v>
      </c>
      <c r="Y4566" s="9">
        <v>44955</v>
      </c>
      <c r="Z4566">
        <v>2</v>
      </c>
      <c r="AA4566" s="11" t="s">
        <v>648</v>
      </c>
    </row>
    <row r="4567" spans="2:27" ht="16" x14ac:dyDescent="0.2">
      <c r="B4567" t="s">
        <v>35</v>
      </c>
      <c r="C4567">
        <v>40341892</v>
      </c>
      <c r="D4567" t="s">
        <v>389</v>
      </c>
      <c r="E4567">
        <v>1023093</v>
      </c>
      <c r="F4567" t="s">
        <v>179</v>
      </c>
      <c r="G4567" s="9">
        <v>44945</v>
      </c>
      <c r="H4567" s="7"/>
      <c r="I4567" s="7"/>
      <c r="J4567" s="7"/>
      <c r="K4567" s="7"/>
      <c r="L4567" s="10">
        <v>5.5741092456127026</v>
      </c>
      <c r="M4567" s="9">
        <v>44950</v>
      </c>
      <c r="N4567" s="10">
        <v>5.5</v>
      </c>
      <c r="O4567" s="9">
        <v>44955</v>
      </c>
      <c r="P4567">
        <v>2</v>
      </c>
      <c r="Q4567" s="11" t="s">
        <v>648</v>
      </c>
      <c r="R4567" s="7"/>
      <c r="S4567" s="7"/>
      <c r="T4567" s="7"/>
      <c r="U4567" s="7"/>
      <c r="V4567" s="10">
        <v>7.5741092456127026</v>
      </c>
      <c r="W4567" s="9">
        <v>44952</v>
      </c>
      <c r="X4567" s="10">
        <v>7.5</v>
      </c>
      <c r="Y4567" s="9">
        <v>44955</v>
      </c>
      <c r="Z4567">
        <v>2</v>
      </c>
      <c r="AA4567" s="11" t="s">
        <v>648</v>
      </c>
    </row>
    <row r="4568" spans="2:27" x14ac:dyDescent="0.2">
      <c r="B4568" t="s">
        <v>394</v>
      </c>
      <c r="C4568">
        <v>40341058</v>
      </c>
      <c r="D4568" t="s">
        <v>396</v>
      </c>
      <c r="E4568">
        <v>1023435</v>
      </c>
      <c r="F4568" t="s">
        <v>475</v>
      </c>
      <c r="G4568" s="9">
        <v>44982</v>
      </c>
      <c r="H4568" s="7"/>
      <c r="I4568" s="7"/>
      <c r="J4568" s="7"/>
      <c r="K4568" s="7"/>
      <c r="L4568" s="10"/>
      <c r="N4568" s="10"/>
      <c r="Q4568" s="11"/>
      <c r="R4568" s="7"/>
      <c r="S4568" s="7"/>
      <c r="T4568" s="7"/>
      <c r="U4568" s="7"/>
      <c r="V4568" s="10"/>
      <c r="X4568" s="10"/>
      <c r="AA4568" s="11"/>
    </row>
    <row r="4569" spans="2:27" x14ac:dyDescent="0.2">
      <c r="B4569" t="s">
        <v>394</v>
      </c>
      <c r="C4569">
        <v>40341034</v>
      </c>
      <c r="D4569" t="s">
        <v>485</v>
      </c>
      <c r="E4569">
        <v>1011421</v>
      </c>
      <c r="F4569" t="s">
        <v>484</v>
      </c>
      <c r="G4569" s="9">
        <v>44921</v>
      </c>
      <c r="H4569" s="7"/>
      <c r="I4569" s="7"/>
      <c r="J4569" s="7"/>
      <c r="K4569" s="7"/>
      <c r="L4569" s="10"/>
      <c r="N4569" s="10"/>
      <c r="Q4569" s="11"/>
      <c r="R4569" s="7"/>
      <c r="S4569" s="7"/>
      <c r="T4569" s="7"/>
      <c r="U4569" s="7"/>
      <c r="V4569" s="10"/>
      <c r="X4569" s="10"/>
      <c r="AA4569" s="11"/>
    </row>
    <row r="4570" spans="2:27" x14ac:dyDescent="0.2">
      <c r="B4570" t="s">
        <v>394</v>
      </c>
      <c r="C4570">
        <v>40340902</v>
      </c>
      <c r="D4570" t="s">
        <v>485</v>
      </c>
      <c r="E4570">
        <v>1021976</v>
      </c>
      <c r="F4570" t="s">
        <v>512</v>
      </c>
      <c r="G4570" s="9">
        <v>44935</v>
      </c>
      <c r="H4570" s="7"/>
      <c r="I4570" s="7"/>
      <c r="J4570" s="7"/>
      <c r="K4570" s="7"/>
      <c r="L4570" s="10"/>
      <c r="N4570" s="10"/>
      <c r="Q4570" s="11"/>
      <c r="R4570" s="7"/>
      <c r="S4570" s="7"/>
      <c r="T4570" s="7"/>
      <c r="U4570" s="7"/>
      <c r="V4570" s="10"/>
      <c r="X4570" s="10"/>
      <c r="AA4570" s="11"/>
    </row>
    <row r="4571" spans="2:27" x14ac:dyDescent="0.2">
      <c r="B4571" t="s">
        <v>394</v>
      </c>
      <c r="C4571">
        <v>40339971</v>
      </c>
      <c r="D4571" t="s">
        <v>485</v>
      </c>
      <c r="E4571">
        <v>1022781</v>
      </c>
      <c r="F4571" t="s">
        <v>678</v>
      </c>
      <c r="G4571" s="9">
        <v>44929</v>
      </c>
      <c r="H4571" s="7"/>
      <c r="I4571" s="7"/>
      <c r="J4571" s="7"/>
      <c r="K4571" s="7"/>
      <c r="L4571" s="10"/>
      <c r="N4571" s="10"/>
      <c r="Q4571" s="11"/>
      <c r="R4571" s="7"/>
      <c r="S4571" s="7"/>
      <c r="T4571" s="7"/>
      <c r="U4571" s="7"/>
      <c r="V4571" s="10"/>
      <c r="X4571" s="10"/>
      <c r="AA4571" s="11"/>
    </row>
    <row r="4572" spans="2:27" ht="16" x14ac:dyDescent="0.2">
      <c r="B4572" t="s">
        <v>35</v>
      </c>
      <c r="C4572">
        <v>40339672</v>
      </c>
      <c r="D4572" t="s">
        <v>389</v>
      </c>
      <c r="E4572">
        <v>1022193</v>
      </c>
      <c r="F4572" t="s">
        <v>168</v>
      </c>
      <c r="G4572" s="9">
        <v>44954</v>
      </c>
      <c r="H4572" s="7"/>
      <c r="I4572" s="7"/>
      <c r="J4572" s="7"/>
      <c r="K4572" s="7"/>
      <c r="L4572" s="10">
        <v>5.5741092456127026</v>
      </c>
      <c r="M4572" s="9">
        <v>44959</v>
      </c>
      <c r="N4572" s="10">
        <v>5.5</v>
      </c>
      <c r="O4572" s="9">
        <v>44964</v>
      </c>
      <c r="P4572">
        <v>18</v>
      </c>
      <c r="Q4572" s="11" t="s">
        <v>49</v>
      </c>
      <c r="R4572" s="7"/>
      <c r="S4572" s="7"/>
      <c r="T4572" s="7"/>
      <c r="U4572" s="7"/>
      <c r="V4572" s="10">
        <v>7.5741092456127026</v>
      </c>
      <c r="W4572" s="9">
        <v>44961</v>
      </c>
      <c r="X4572" s="10">
        <v>7.5</v>
      </c>
      <c r="Y4572" s="9">
        <v>44964</v>
      </c>
      <c r="Z4572">
        <v>18</v>
      </c>
      <c r="AA4572" s="11" t="s">
        <v>49</v>
      </c>
    </row>
    <row r="4573" spans="2:27" ht="16" x14ac:dyDescent="0.2">
      <c r="B4573" t="s">
        <v>35</v>
      </c>
      <c r="C4573">
        <v>40339668</v>
      </c>
      <c r="D4573" t="s">
        <v>389</v>
      </c>
      <c r="E4573">
        <v>1023034</v>
      </c>
      <c r="F4573" t="s">
        <v>441</v>
      </c>
      <c r="G4573" s="9">
        <v>44958</v>
      </c>
      <c r="H4573" s="7"/>
      <c r="I4573" s="7"/>
      <c r="J4573" s="7"/>
      <c r="K4573" s="7"/>
      <c r="L4573" s="10">
        <v>5.5741092456127026</v>
      </c>
      <c r="M4573" s="9">
        <v>44963</v>
      </c>
      <c r="N4573" s="10">
        <v>5.5</v>
      </c>
      <c r="O4573" s="9">
        <v>44968</v>
      </c>
      <c r="P4573">
        <v>14</v>
      </c>
      <c r="Q4573" s="11" t="s">
        <v>49</v>
      </c>
      <c r="R4573" s="7"/>
      <c r="S4573" s="7"/>
      <c r="T4573" s="7"/>
      <c r="U4573" s="7"/>
      <c r="V4573" s="10">
        <v>7.5741092456127026</v>
      </c>
      <c r="W4573" s="9">
        <v>44965</v>
      </c>
      <c r="X4573" s="10">
        <v>7.5</v>
      </c>
      <c r="Y4573" s="9">
        <v>44968</v>
      </c>
      <c r="Z4573">
        <v>14</v>
      </c>
      <c r="AA4573" s="11" t="s">
        <v>49</v>
      </c>
    </row>
    <row r="4574" spans="2:27" ht="16" x14ac:dyDescent="0.2">
      <c r="B4574" t="s">
        <v>35</v>
      </c>
      <c r="C4574">
        <v>40339668</v>
      </c>
      <c r="D4574" t="s">
        <v>389</v>
      </c>
      <c r="E4574">
        <v>1021971</v>
      </c>
      <c r="F4574" t="s">
        <v>556</v>
      </c>
      <c r="G4574" s="9">
        <v>44958</v>
      </c>
      <c r="H4574" s="7"/>
      <c r="I4574" s="7"/>
      <c r="J4574" s="7"/>
      <c r="K4574" s="7"/>
      <c r="L4574" s="10">
        <v>5.5741092456127026</v>
      </c>
      <c r="M4574" s="9">
        <v>44963</v>
      </c>
      <c r="N4574" s="10">
        <v>5.5</v>
      </c>
      <c r="O4574" s="9">
        <v>44968</v>
      </c>
      <c r="P4574">
        <v>14</v>
      </c>
      <c r="Q4574" s="11" t="s">
        <v>49</v>
      </c>
      <c r="R4574" s="7"/>
      <c r="S4574" s="7"/>
      <c r="T4574" s="7"/>
      <c r="U4574" s="7"/>
      <c r="V4574" s="10">
        <v>7.5741092456127026</v>
      </c>
      <c r="W4574" s="9">
        <v>44965</v>
      </c>
      <c r="X4574" s="10">
        <v>7.5</v>
      </c>
      <c r="Y4574" s="9">
        <v>44968</v>
      </c>
      <c r="Z4574">
        <v>14</v>
      </c>
      <c r="AA4574" s="11" t="s">
        <v>49</v>
      </c>
    </row>
    <row r="4575" spans="2:27" ht="16" x14ac:dyDescent="0.2">
      <c r="B4575" t="s">
        <v>35</v>
      </c>
      <c r="C4575">
        <v>40339188</v>
      </c>
      <c r="D4575" t="s">
        <v>391</v>
      </c>
      <c r="E4575">
        <v>1023102</v>
      </c>
      <c r="F4575" t="s">
        <v>679</v>
      </c>
      <c r="G4575" s="9">
        <v>44962</v>
      </c>
      <c r="H4575" s="7"/>
      <c r="I4575" s="7"/>
      <c r="J4575" s="7"/>
      <c r="K4575" s="7"/>
      <c r="L4575" s="10">
        <v>4.830303030303031</v>
      </c>
      <c r="M4575" s="9">
        <v>44966</v>
      </c>
      <c r="N4575" s="10">
        <v>15</v>
      </c>
      <c r="O4575" s="9">
        <v>44981</v>
      </c>
      <c r="P4575">
        <v>3</v>
      </c>
      <c r="Q4575" s="11" t="s">
        <v>49</v>
      </c>
      <c r="R4575" s="7"/>
      <c r="S4575" s="7"/>
      <c r="T4575" s="7"/>
      <c r="U4575" s="7"/>
      <c r="V4575" s="10">
        <v>6.830303030303031</v>
      </c>
      <c r="W4575" s="9">
        <v>44968</v>
      </c>
      <c r="X4575" s="10">
        <v>17</v>
      </c>
      <c r="Y4575" s="9">
        <v>44981</v>
      </c>
      <c r="Z4575">
        <v>3</v>
      </c>
      <c r="AA4575" s="11" t="s">
        <v>49</v>
      </c>
    </row>
    <row r="4576" spans="2:27" ht="16" x14ac:dyDescent="0.2">
      <c r="B4576" t="s">
        <v>35</v>
      </c>
      <c r="C4576">
        <v>40339188</v>
      </c>
      <c r="D4576" t="s">
        <v>391</v>
      </c>
      <c r="E4576">
        <v>1022293</v>
      </c>
      <c r="F4576" t="s">
        <v>339</v>
      </c>
      <c r="G4576" s="9">
        <v>44962</v>
      </c>
      <c r="H4576" s="7"/>
      <c r="I4576" s="7"/>
      <c r="J4576" s="7"/>
      <c r="K4576" s="7"/>
      <c r="L4576" s="10">
        <v>4.830303030303031</v>
      </c>
      <c r="M4576" s="9">
        <v>44966</v>
      </c>
      <c r="N4576" s="10">
        <v>15</v>
      </c>
      <c r="O4576" s="9">
        <v>44981</v>
      </c>
      <c r="P4576">
        <v>3</v>
      </c>
      <c r="Q4576" s="11" t="s">
        <v>49</v>
      </c>
      <c r="R4576" s="7"/>
      <c r="S4576" s="7"/>
      <c r="T4576" s="7"/>
      <c r="U4576" s="7"/>
      <c r="V4576" s="10">
        <v>6.830303030303031</v>
      </c>
      <c r="W4576" s="9">
        <v>44968</v>
      </c>
      <c r="X4576" s="10">
        <v>17</v>
      </c>
      <c r="Y4576" s="9">
        <v>44981</v>
      </c>
      <c r="Z4576">
        <v>3</v>
      </c>
      <c r="AA4576" s="11" t="s">
        <v>49</v>
      </c>
    </row>
    <row r="4577" spans="2:27" ht="16" x14ac:dyDescent="0.2">
      <c r="B4577" t="s">
        <v>35</v>
      </c>
      <c r="C4577">
        <v>40339188</v>
      </c>
      <c r="D4577" t="s">
        <v>391</v>
      </c>
      <c r="E4577">
        <v>1022142</v>
      </c>
      <c r="F4577" t="s">
        <v>390</v>
      </c>
      <c r="G4577" s="9">
        <v>44962</v>
      </c>
      <c r="H4577" s="7"/>
      <c r="I4577" s="7"/>
      <c r="J4577" s="7"/>
      <c r="K4577" s="7"/>
      <c r="L4577" s="10">
        <v>4.830303030303031</v>
      </c>
      <c r="M4577" s="9">
        <v>44966</v>
      </c>
      <c r="N4577" s="10">
        <v>15</v>
      </c>
      <c r="O4577" s="9">
        <v>44981</v>
      </c>
      <c r="P4577">
        <v>3</v>
      </c>
      <c r="Q4577" s="11" t="s">
        <v>49</v>
      </c>
      <c r="R4577" s="7"/>
      <c r="S4577" s="7"/>
      <c r="T4577" s="7"/>
      <c r="U4577" s="7"/>
      <c r="V4577" s="10">
        <v>6.830303030303031</v>
      </c>
      <c r="W4577" s="9">
        <v>44968</v>
      </c>
      <c r="X4577" s="10">
        <v>17</v>
      </c>
      <c r="Y4577" s="9">
        <v>44981</v>
      </c>
      <c r="Z4577">
        <v>3</v>
      </c>
      <c r="AA4577" s="11" t="s">
        <v>49</v>
      </c>
    </row>
    <row r="4578" spans="2:27" ht="16" x14ac:dyDescent="0.2">
      <c r="B4578" t="s">
        <v>35</v>
      </c>
      <c r="C4578">
        <v>40339188</v>
      </c>
      <c r="D4578" t="s">
        <v>391</v>
      </c>
      <c r="E4578">
        <v>1022141</v>
      </c>
      <c r="F4578" t="s">
        <v>126</v>
      </c>
      <c r="G4578" s="9">
        <v>44962</v>
      </c>
      <c r="H4578" s="7"/>
      <c r="I4578" s="7"/>
      <c r="J4578" s="7"/>
      <c r="K4578" s="7"/>
      <c r="L4578" s="10">
        <v>4.830303030303031</v>
      </c>
      <c r="M4578" s="9">
        <v>44966</v>
      </c>
      <c r="N4578" s="10">
        <v>15</v>
      </c>
      <c r="O4578" s="9">
        <v>44981</v>
      </c>
      <c r="P4578">
        <v>3</v>
      </c>
      <c r="Q4578" s="11" t="s">
        <v>49</v>
      </c>
      <c r="R4578" s="7"/>
      <c r="S4578" s="7"/>
      <c r="T4578" s="7"/>
      <c r="U4578" s="7"/>
      <c r="V4578" s="10">
        <v>6.830303030303031</v>
      </c>
      <c r="W4578" s="9">
        <v>44968</v>
      </c>
      <c r="X4578" s="10">
        <v>17</v>
      </c>
      <c r="Y4578" s="9">
        <v>44981</v>
      </c>
      <c r="Z4578">
        <v>3</v>
      </c>
      <c r="AA4578" s="11" t="s">
        <v>49</v>
      </c>
    </row>
    <row r="4579" spans="2:27" ht="16" x14ac:dyDescent="0.2">
      <c r="B4579" t="s">
        <v>35</v>
      </c>
      <c r="C4579">
        <v>40339171</v>
      </c>
      <c r="D4579" t="s">
        <v>391</v>
      </c>
      <c r="E4579">
        <v>1023265</v>
      </c>
      <c r="F4579" t="s">
        <v>347</v>
      </c>
      <c r="G4579" s="9">
        <v>44940</v>
      </c>
      <c r="H4579" s="7"/>
      <c r="I4579" s="7"/>
      <c r="J4579" s="7"/>
      <c r="K4579" s="7"/>
      <c r="L4579" s="10">
        <v>4.830303030303031</v>
      </c>
      <c r="M4579" s="9">
        <v>44944</v>
      </c>
      <c r="N4579" s="10">
        <v>15</v>
      </c>
      <c r="O4579" s="9">
        <v>44959</v>
      </c>
      <c r="P4579">
        <v>22</v>
      </c>
      <c r="Q4579" s="11" t="s">
        <v>49</v>
      </c>
      <c r="R4579" s="7"/>
      <c r="S4579" s="7"/>
      <c r="T4579" s="7"/>
      <c r="U4579" s="7"/>
      <c r="V4579" s="10">
        <v>6.830303030303031</v>
      </c>
      <c r="W4579" s="9">
        <v>44946</v>
      </c>
      <c r="X4579" s="10">
        <v>17</v>
      </c>
      <c r="Y4579" s="9">
        <v>44959</v>
      </c>
      <c r="Z4579">
        <v>22</v>
      </c>
      <c r="AA4579" s="11" t="s">
        <v>49</v>
      </c>
    </row>
    <row r="4580" spans="2:27" ht="16" x14ac:dyDescent="0.2">
      <c r="B4580" t="s">
        <v>35</v>
      </c>
      <c r="C4580">
        <v>40339170</v>
      </c>
      <c r="D4580" t="s">
        <v>391</v>
      </c>
      <c r="E4580">
        <v>1022863</v>
      </c>
      <c r="F4580" t="s">
        <v>201</v>
      </c>
      <c r="G4580" s="9">
        <v>44940</v>
      </c>
      <c r="H4580" s="7"/>
      <c r="I4580" s="7"/>
      <c r="J4580" s="7"/>
      <c r="K4580" s="7"/>
      <c r="L4580" s="10">
        <v>4.830303030303031</v>
      </c>
      <c r="M4580" s="9">
        <v>44944</v>
      </c>
      <c r="N4580" s="10">
        <v>15</v>
      </c>
      <c r="O4580" s="9">
        <v>44959</v>
      </c>
      <c r="P4580">
        <v>22</v>
      </c>
      <c r="Q4580" s="11" t="s">
        <v>49</v>
      </c>
      <c r="R4580" s="7"/>
      <c r="S4580" s="7"/>
      <c r="T4580" s="7"/>
      <c r="U4580" s="7"/>
      <c r="V4580" s="10">
        <v>6.830303030303031</v>
      </c>
      <c r="W4580" s="9">
        <v>44946</v>
      </c>
      <c r="X4580" s="10">
        <v>17</v>
      </c>
      <c r="Y4580" s="9">
        <v>44959</v>
      </c>
      <c r="Z4580">
        <v>22</v>
      </c>
      <c r="AA4580" s="11" t="s">
        <v>49</v>
      </c>
    </row>
    <row r="4581" spans="2:27" ht="16" x14ac:dyDescent="0.2">
      <c r="B4581" t="s">
        <v>35</v>
      </c>
      <c r="C4581">
        <v>40339170</v>
      </c>
      <c r="D4581" t="s">
        <v>391</v>
      </c>
      <c r="E4581">
        <v>1022751</v>
      </c>
      <c r="F4581" t="s">
        <v>36</v>
      </c>
      <c r="G4581" s="9">
        <v>44940</v>
      </c>
      <c r="H4581" s="7"/>
      <c r="I4581" s="7"/>
      <c r="J4581" s="7"/>
      <c r="K4581" s="7"/>
      <c r="L4581" s="10">
        <v>4.830303030303031</v>
      </c>
      <c r="M4581" s="9">
        <v>44944</v>
      </c>
      <c r="N4581" s="10">
        <v>15</v>
      </c>
      <c r="O4581" s="9">
        <v>44959</v>
      </c>
      <c r="P4581">
        <v>22</v>
      </c>
      <c r="Q4581" s="11" t="s">
        <v>49</v>
      </c>
      <c r="R4581" s="7"/>
      <c r="S4581" s="7"/>
      <c r="T4581" s="7"/>
      <c r="U4581" s="7"/>
      <c r="V4581" s="10">
        <v>6.830303030303031</v>
      </c>
      <c r="W4581" s="9">
        <v>44946</v>
      </c>
      <c r="X4581" s="10">
        <v>17</v>
      </c>
      <c r="Y4581" s="9">
        <v>44959</v>
      </c>
      <c r="Z4581">
        <v>22</v>
      </c>
      <c r="AA4581" s="11" t="s">
        <v>49</v>
      </c>
    </row>
    <row r="4582" spans="2:27" ht="16" x14ac:dyDescent="0.2">
      <c r="B4582" t="s">
        <v>35</v>
      </c>
      <c r="C4582">
        <v>40339170</v>
      </c>
      <c r="D4582" t="s">
        <v>391</v>
      </c>
      <c r="E4582">
        <v>1022141</v>
      </c>
      <c r="F4582" t="s">
        <v>126</v>
      </c>
      <c r="G4582" s="9">
        <v>44940</v>
      </c>
      <c r="H4582" s="7"/>
      <c r="I4582" s="7"/>
      <c r="J4582" s="7"/>
      <c r="K4582" s="7"/>
      <c r="L4582" s="10">
        <v>4.830303030303031</v>
      </c>
      <c r="M4582" s="9">
        <v>44944</v>
      </c>
      <c r="N4582" s="10">
        <v>15</v>
      </c>
      <c r="O4582" s="9">
        <v>44959</v>
      </c>
      <c r="P4582">
        <v>22</v>
      </c>
      <c r="Q4582" s="11" t="s">
        <v>49</v>
      </c>
      <c r="R4582" s="7"/>
      <c r="S4582" s="7"/>
      <c r="T4582" s="7"/>
      <c r="U4582" s="7"/>
      <c r="V4582" s="10">
        <v>6.830303030303031</v>
      </c>
      <c r="W4582" s="9">
        <v>44946</v>
      </c>
      <c r="X4582" s="10">
        <v>17</v>
      </c>
      <c r="Y4582" s="9">
        <v>44959</v>
      </c>
      <c r="Z4582">
        <v>22</v>
      </c>
      <c r="AA4582" s="11" t="s">
        <v>49</v>
      </c>
    </row>
    <row r="4583" spans="2:27" ht="16" x14ac:dyDescent="0.2">
      <c r="B4583" t="s">
        <v>35</v>
      </c>
      <c r="C4583">
        <v>40339170</v>
      </c>
      <c r="D4583" t="s">
        <v>391</v>
      </c>
      <c r="E4583">
        <v>1021952</v>
      </c>
      <c r="F4583" t="s">
        <v>125</v>
      </c>
      <c r="G4583" s="9">
        <v>44940</v>
      </c>
      <c r="H4583" s="7"/>
      <c r="I4583" s="7"/>
      <c r="J4583" s="7"/>
      <c r="K4583" s="7"/>
      <c r="L4583" s="10">
        <v>4.830303030303031</v>
      </c>
      <c r="M4583" s="9">
        <v>44944</v>
      </c>
      <c r="N4583" s="10">
        <v>15</v>
      </c>
      <c r="O4583" s="9">
        <v>44959</v>
      </c>
      <c r="P4583">
        <v>22</v>
      </c>
      <c r="Q4583" s="11" t="s">
        <v>49</v>
      </c>
      <c r="R4583" s="7"/>
      <c r="S4583" s="7"/>
      <c r="T4583" s="7"/>
      <c r="U4583" s="7"/>
      <c r="V4583" s="10">
        <v>6.830303030303031</v>
      </c>
      <c r="W4583" s="9">
        <v>44946</v>
      </c>
      <c r="X4583" s="10">
        <v>17</v>
      </c>
      <c r="Y4583" s="9">
        <v>44959</v>
      </c>
      <c r="Z4583">
        <v>22</v>
      </c>
      <c r="AA4583" s="11" t="s">
        <v>49</v>
      </c>
    </row>
    <row r="4584" spans="2:27" ht="16" x14ac:dyDescent="0.2">
      <c r="B4584" t="s">
        <v>35</v>
      </c>
      <c r="C4584">
        <v>40337855</v>
      </c>
      <c r="D4584" t="s">
        <v>389</v>
      </c>
      <c r="E4584">
        <v>1021905</v>
      </c>
      <c r="F4584" t="s">
        <v>554</v>
      </c>
      <c r="G4584" s="9">
        <v>44940</v>
      </c>
      <c r="H4584" s="7"/>
      <c r="I4584" s="7"/>
      <c r="J4584" s="7"/>
      <c r="K4584" s="7"/>
      <c r="L4584" s="10">
        <v>5.5741092456127026</v>
      </c>
      <c r="M4584" s="9">
        <v>44945</v>
      </c>
      <c r="N4584" s="10">
        <v>5.5</v>
      </c>
      <c r="O4584" s="9">
        <v>44950</v>
      </c>
      <c r="P4584">
        <v>6</v>
      </c>
      <c r="Q4584" s="11" t="s">
        <v>49</v>
      </c>
      <c r="R4584" s="7"/>
      <c r="S4584" s="7"/>
      <c r="T4584" s="7"/>
      <c r="U4584" s="7"/>
      <c r="V4584" s="10">
        <v>7.5741092456127026</v>
      </c>
      <c r="W4584" s="9">
        <v>44947</v>
      </c>
      <c r="X4584" s="10">
        <v>7.5</v>
      </c>
      <c r="Y4584" s="9">
        <v>44950</v>
      </c>
      <c r="Z4584">
        <v>6</v>
      </c>
      <c r="AA4584" s="11" t="s">
        <v>49</v>
      </c>
    </row>
    <row r="4585" spans="2:27" ht="16" x14ac:dyDescent="0.2">
      <c r="B4585" t="s">
        <v>35</v>
      </c>
      <c r="C4585">
        <v>40337855</v>
      </c>
      <c r="D4585" t="s">
        <v>389</v>
      </c>
      <c r="E4585">
        <v>1021905</v>
      </c>
      <c r="F4585" t="s">
        <v>554</v>
      </c>
      <c r="G4585" s="9">
        <v>44940</v>
      </c>
      <c r="H4585" s="7"/>
      <c r="I4585" s="7"/>
      <c r="J4585" s="7"/>
      <c r="K4585" s="7"/>
      <c r="L4585" s="10">
        <v>5.5741092456127026</v>
      </c>
      <c r="M4585" s="9">
        <v>44945</v>
      </c>
      <c r="N4585" s="10">
        <v>5.5</v>
      </c>
      <c r="O4585" s="9">
        <v>44950</v>
      </c>
      <c r="P4585">
        <v>6</v>
      </c>
      <c r="Q4585" s="11" t="s">
        <v>49</v>
      </c>
      <c r="R4585" s="7"/>
      <c r="S4585" s="7"/>
      <c r="T4585" s="7"/>
      <c r="U4585" s="7"/>
      <c r="V4585" s="10">
        <v>7.5741092456127026</v>
      </c>
      <c r="W4585" s="9">
        <v>44947</v>
      </c>
      <c r="X4585" s="10">
        <v>7.5</v>
      </c>
      <c r="Y4585" s="9">
        <v>44950</v>
      </c>
      <c r="Z4585">
        <v>6</v>
      </c>
      <c r="AA4585" s="11" t="s">
        <v>49</v>
      </c>
    </row>
    <row r="4586" spans="2:27" ht="16" x14ac:dyDescent="0.2">
      <c r="B4586" t="s">
        <v>35</v>
      </c>
      <c r="C4586">
        <v>40337854</v>
      </c>
      <c r="D4586" t="s">
        <v>389</v>
      </c>
      <c r="E4586">
        <v>1021905</v>
      </c>
      <c r="F4586" t="s">
        <v>554</v>
      </c>
      <c r="G4586" s="9">
        <v>44952</v>
      </c>
      <c r="H4586" s="7"/>
      <c r="I4586" s="7"/>
      <c r="J4586" s="7"/>
      <c r="K4586" s="7"/>
      <c r="L4586" s="10">
        <v>5.5741092456127026</v>
      </c>
      <c r="M4586" s="9">
        <v>44957</v>
      </c>
      <c r="N4586" s="10">
        <v>5.5</v>
      </c>
      <c r="O4586" s="9">
        <v>44962</v>
      </c>
      <c r="P4586">
        <v>20</v>
      </c>
      <c r="Q4586" s="11" t="s">
        <v>49</v>
      </c>
      <c r="R4586" s="7"/>
      <c r="S4586" s="7"/>
      <c r="T4586" s="7"/>
      <c r="U4586" s="7"/>
      <c r="V4586" s="10">
        <v>7.5741092456127026</v>
      </c>
      <c r="W4586" s="9">
        <v>44959</v>
      </c>
      <c r="X4586" s="10">
        <v>7.5</v>
      </c>
      <c r="Y4586" s="9">
        <v>44962</v>
      </c>
      <c r="Z4586">
        <v>20</v>
      </c>
      <c r="AA4586" s="11" t="s">
        <v>49</v>
      </c>
    </row>
    <row r="4587" spans="2:27" ht="16" x14ac:dyDescent="0.2">
      <c r="B4587" t="s">
        <v>35</v>
      </c>
      <c r="C4587">
        <v>40337853</v>
      </c>
      <c r="D4587" t="s">
        <v>389</v>
      </c>
      <c r="E4587">
        <v>1021905</v>
      </c>
      <c r="F4587" t="s">
        <v>554</v>
      </c>
      <c r="G4587" s="9">
        <v>44955</v>
      </c>
      <c r="H4587" s="7"/>
      <c r="I4587" s="7"/>
      <c r="J4587" s="7"/>
      <c r="K4587" s="7"/>
      <c r="L4587" s="10">
        <v>5.5741092456127026</v>
      </c>
      <c r="M4587" s="9">
        <v>44960</v>
      </c>
      <c r="N4587" s="10">
        <v>5.5</v>
      </c>
      <c r="O4587" s="9">
        <v>44965</v>
      </c>
      <c r="P4587">
        <v>17</v>
      </c>
      <c r="Q4587" s="11" t="s">
        <v>49</v>
      </c>
      <c r="R4587" s="7"/>
      <c r="S4587" s="7"/>
      <c r="T4587" s="7"/>
      <c r="U4587" s="7"/>
      <c r="V4587" s="10">
        <v>7.5741092456127026</v>
      </c>
      <c r="W4587" s="9">
        <v>44962</v>
      </c>
      <c r="X4587" s="10">
        <v>7.5</v>
      </c>
      <c r="Y4587" s="9">
        <v>44965</v>
      </c>
      <c r="Z4587">
        <v>17</v>
      </c>
      <c r="AA4587" s="11" t="s">
        <v>49</v>
      </c>
    </row>
    <row r="4588" spans="2:27" ht="16" x14ac:dyDescent="0.2">
      <c r="B4588" t="s">
        <v>35</v>
      </c>
      <c r="C4588">
        <v>40337666</v>
      </c>
      <c r="D4588" t="s">
        <v>389</v>
      </c>
      <c r="E4588">
        <v>1021737</v>
      </c>
      <c r="F4588" t="s">
        <v>280</v>
      </c>
      <c r="G4588" s="9">
        <v>44965</v>
      </c>
      <c r="H4588" s="7"/>
      <c r="I4588" s="7"/>
      <c r="J4588" s="7"/>
      <c r="K4588" s="7"/>
      <c r="L4588" s="10">
        <v>5.5741092456127026</v>
      </c>
      <c r="M4588" s="9">
        <v>44970</v>
      </c>
      <c r="N4588" s="10">
        <v>5.5</v>
      </c>
      <c r="O4588" s="9">
        <v>44975</v>
      </c>
      <c r="P4588">
        <v>8</v>
      </c>
      <c r="Q4588" s="11" t="s">
        <v>49</v>
      </c>
      <c r="R4588" s="7"/>
      <c r="S4588" s="7"/>
      <c r="T4588" s="7"/>
      <c r="U4588" s="7"/>
      <c r="V4588" s="10">
        <v>7.5741092456127026</v>
      </c>
      <c r="W4588" s="9">
        <v>44972</v>
      </c>
      <c r="X4588" s="10">
        <v>7.5</v>
      </c>
      <c r="Y4588" s="9">
        <v>44975</v>
      </c>
      <c r="Z4588">
        <v>8</v>
      </c>
      <c r="AA4588" s="11" t="s">
        <v>49</v>
      </c>
    </row>
    <row r="4589" spans="2:27" ht="16" x14ac:dyDescent="0.2">
      <c r="B4589" t="s">
        <v>35</v>
      </c>
      <c r="C4589">
        <v>40337665</v>
      </c>
      <c r="D4589" t="s">
        <v>389</v>
      </c>
      <c r="E4589">
        <v>1021737</v>
      </c>
      <c r="F4589" t="s">
        <v>280</v>
      </c>
      <c r="G4589" s="9">
        <v>44960</v>
      </c>
      <c r="H4589" s="7"/>
      <c r="I4589" s="7"/>
      <c r="J4589" s="7"/>
      <c r="K4589" s="7"/>
      <c r="L4589" s="10">
        <v>5.5741092456127026</v>
      </c>
      <c r="M4589" s="9">
        <v>44965</v>
      </c>
      <c r="N4589" s="10">
        <v>5.5</v>
      </c>
      <c r="O4589" s="9">
        <v>44970</v>
      </c>
      <c r="P4589">
        <v>13</v>
      </c>
      <c r="Q4589" s="11" t="s">
        <v>49</v>
      </c>
      <c r="R4589" s="7"/>
      <c r="S4589" s="7"/>
      <c r="T4589" s="7"/>
      <c r="U4589" s="7"/>
      <c r="V4589" s="10">
        <v>7.5741092456127026</v>
      </c>
      <c r="W4589" s="9">
        <v>44967</v>
      </c>
      <c r="X4589" s="10">
        <v>7.5</v>
      </c>
      <c r="Y4589" s="9">
        <v>44970</v>
      </c>
      <c r="Z4589">
        <v>13</v>
      </c>
      <c r="AA4589" s="11" t="s">
        <v>49</v>
      </c>
    </row>
    <row r="4590" spans="2:27" ht="16" x14ac:dyDescent="0.2">
      <c r="B4590" t="s">
        <v>35</v>
      </c>
      <c r="C4590">
        <v>40337573</v>
      </c>
      <c r="D4590" t="s">
        <v>389</v>
      </c>
      <c r="E4590">
        <v>1022379</v>
      </c>
      <c r="F4590" t="s">
        <v>306</v>
      </c>
      <c r="G4590" s="9">
        <v>44941</v>
      </c>
      <c r="H4590" s="7"/>
      <c r="I4590" s="7"/>
      <c r="J4590" s="7"/>
      <c r="K4590" s="7"/>
      <c r="L4590" s="10">
        <v>5.5741092456127026</v>
      </c>
      <c r="M4590" s="9">
        <v>44946</v>
      </c>
      <c r="N4590" s="10">
        <v>5.5</v>
      </c>
      <c r="O4590" s="9">
        <v>44951</v>
      </c>
      <c r="P4590">
        <v>5</v>
      </c>
      <c r="Q4590" s="11" t="s">
        <v>49</v>
      </c>
      <c r="R4590" s="7"/>
      <c r="S4590" s="7"/>
      <c r="T4590" s="7"/>
      <c r="U4590" s="7"/>
      <c r="V4590" s="10">
        <v>7.5741092456127026</v>
      </c>
      <c r="W4590" s="9">
        <v>44948</v>
      </c>
      <c r="X4590" s="10">
        <v>7.5</v>
      </c>
      <c r="Y4590" s="9">
        <v>44951</v>
      </c>
      <c r="Z4590">
        <v>5</v>
      </c>
      <c r="AA4590" s="11" t="s">
        <v>49</v>
      </c>
    </row>
    <row r="4591" spans="2:27" ht="16" x14ac:dyDescent="0.2">
      <c r="B4591" t="s">
        <v>35</v>
      </c>
      <c r="C4591">
        <v>40337542</v>
      </c>
      <c r="D4591" t="s">
        <v>389</v>
      </c>
      <c r="E4591">
        <v>1012503</v>
      </c>
      <c r="F4591" t="s">
        <v>448</v>
      </c>
      <c r="G4591" s="9">
        <v>44958</v>
      </c>
      <c r="H4591" s="7"/>
      <c r="I4591" s="7"/>
      <c r="J4591" s="7"/>
      <c r="K4591" s="7"/>
      <c r="L4591" s="10">
        <v>5.5741092456127026</v>
      </c>
      <c r="M4591" s="9">
        <v>44963</v>
      </c>
      <c r="N4591" s="10">
        <v>5.5</v>
      </c>
      <c r="O4591" s="9">
        <v>44968</v>
      </c>
      <c r="P4591">
        <v>14</v>
      </c>
      <c r="Q4591" s="11" t="s">
        <v>49</v>
      </c>
      <c r="R4591" s="7"/>
      <c r="S4591" s="7"/>
      <c r="T4591" s="7"/>
      <c r="U4591" s="7"/>
      <c r="V4591" s="10">
        <v>7.5741092456127026</v>
      </c>
      <c r="W4591" s="9">
        <v>44965</v>
      </c>
      <c r="X4591" s="10">
        <v>7.5</v>
      </c>
      <c r="Y4591" s="9">
        <v>44968</v>
      </c>
      <c r="Z4591">
        <v>14</v>
      </c>
      <c r="AA4591" s="11" t="s">
        <v>49</v>
      </c>
    </row>
    <row r="4592" spans="2:27" ht="16" x14ac:dyDescent="0.2">
      <c r="B4592" t="s">
        <v>35</v>
      </c>
      <c r="C4592">
        <v>40337541</v>
      </c>
      <c r="D4592" t="s">
        <v>389</v>
      </c>
      <c r="E4592">
        <v>1012503</v>
      </c>
      <c r="F4592" t="s">
        <v>448</v>
      </c>
      <c r="G4592" s="9">
        <v>44956</v>
      </c>
      <c r="H4592" s="7"/>
      <c r="I4592" s="7"/>
      <c r="J4592" s="7"/>
      <c r="K4592" s="7"/>
      <c r="L4592" s="10">
        <v>5.5741092456127026</v>
      </c>
      <c r="M4592" s="9">
        <v>44961</v>
      </c>
      <c r="N4592" s="10">
        <v>5.5</v>
      </c>
      <c r="O4592" s="9">
        <v>44966</v>
      </c>
      <c r="P4592">
        <v>16</v>
      </c>
      <c r="Q4592" s="11" t="s">
        <v>49</v>
      </c>
      <c r="R4592" s="7"/>
      <c r="S4592" s="7"/>
      <c r="T4592" s="7"/>
      <c r="U4592" s="7"/>
      <c r="V4592" s="10">
        <v>7.5741092456127026</v>
      </c>
      <c r="W4592" s="9">
        <v>44963</v>
      </c>
      <c r="X4592" s="10">
        <v>7.5</v>
      </c>
      <c r="Y4592" s="9">
        <v>44966</v>
      </c>
      <c r="Z4592">
        <v>16</v>
      </c>
      <c r="AA4592" s="11" t="s">
        <v>49</v>
      </c>
    </row>
    <row r="4593" spans="2:27" ht="16" x14ac:dyDescent="0.2">
      <c r="B4593" t="s">
        <v>35</v>
      </c>
      <c r="C4593">
        <v>40337540</v>
      </c>
      <c r="D4593" t="s">
        <v>389</v>
      </c>
      <c r="E4593">
        <v>1012503</v>
      </c>
      <c r="F4593" t="s">
        <v>448</v>
      </c>
      <c r="G4593" s="9">
        <v>44958</v>
      </c>
      <c r="H4593" s="7"/>
      <c r="I4593" s="7"/>
      <c r="J4593" s="7"/>
      <c r="K4593" s="7"/>
      <c r="L4593" s="10">
        <v>5.5741092456127026</v>
      </c>
      <c r="M4593" s="9">
        <v>44963</v>
      </c>
      <c r="N4593" s="10">
        <v>5.5</v>
      </c>
      <c r="O4593" s="9">
        <v>44968</v>
      </c>
      <c r="P4593">
        <v>14</v>
      </c>
      <c r="Q4593" s="11" t="s">
        <v>49</v>
      </c>
      <c r="R4593" s="7"/>
      <c r="S4593" s="7"/>
      <c r="T4593" s="7"/>
      <c r="U4593" s="7"/>
      <c r="V4593" s="10">
        <v>7.5741092456127026</v>
      </c>
      <c r="W4593" s="9">
        <v>44965</v>
      </c>
      <c r="X4593" s="10">
        <v>7.5</v>
      </c>
      <c r="Y4593" s="9">
        <v>44968</v>
      </c>
      <c r="Z4593">
        <v>14</v>
      </c>
      <c r="AA4593" s="11" t="s">
        <v>49</v>
      </c>
    </row>
    <row r="4594" spans="2:27" ht="16" x14ac:dyDescent="0.2">
      <c r="B4594" t="s">
        <v>35</v>
      </c>
      <c r="C4594">
        <v>40337539</v>
      </c>
      <c r="D4594" t="s">
        <v>389</v>
      </c>
      <c r="E4594">
        <v>1012503</v>
      </c>
      <c r="F4594" t="s">
        <v>448</v>
      </c>
      <c r="G4594" s="9">
        <v>44958</v>
      </c>
      <c r="H4594" s="7"/>
      <c r="I4594" s="7"/>
      <c r="J4594" s="7"/>
      <c r="K4594" s="7"/>
      <c r="L4594" s="10">
        <v>5.5741092456127026</v>
      </c>
      <c r="M4594" s="9">
        <v>44963</v>
      </c>
      <c r="N4594" s="10">
        <v>5.5</v>
      </c>
      <c r="O4594" s="9">
        <v>44968</v>
      </c>
      <c r="P4594">
        <v>14</v>
      </c>
      <c r="Q4594" s="11" t="s">
        <v>49</v>
      </c>
      <c r="R4594" s="7"/>
      <c r="S4594" s="7"/>
      <c r="T4594" s="7"/>
      <c r="U4594" s="7"/>
      <c r="V4594" s="10">
        <v>7.5741092456127026</v>
      </c>
      <c r="W4594" s="9">
        <v>44965</v>
      </c>
      <c r="X4594" s="10">
        <v>7.5</v>
      </c>
      <c r="Y4594" s="9">
        <v>44968</v>
      </c>
      <c r="Z4594">
        <v>14</v>
      </c>
      <c r="AA4594" s="11" t="s">
        <v>49</v>
      </c>
    </row>
    <row r="4595" spans="2:27" ht="16" x14ac:dyDescent="0.2">
      <c r="B4595" t="s">
        <v>35</v>
      </c>
      <c r="C4595">
        <v>40337538</v>
      </c>
      <c r="D4595" t="s">
        <v>389</v>
      </c>
      <c r="E4595">
        <v>1012503</v>
      </c>
      <c r="F4595" t="s">
        <v>448</v>
      </c>
      <c r="G4595" s="9">
        <v>44952</v>
      </c>
      <c r="H4595" s="7"/>
      <c r="I4595" s="7"/>
      <c r="J4595" s="7"/>
      <c r="K4595" s="7"/>
      <c r="L4595" s="10">
        <v>5.5741092456127026</v>
      </c>
      <c r="M4595" s="9">
        <v>44957</v>
      </c>
      <c r="N4595" s="10">
        <v>5.5</v>
      </c>
      <c r="O4595" s="9">
        <v>44962</v>
      </c>
      <c r="P4595">
        <v>20</v>
      </c>
      <c r="Q4595" s="11" t="s">
        <v>49</v>
      </c>
      <c r="R4595" s="7"/>
      <c r="S4595" s="7"/>
      <c r="T4595" s="7"/>
      <c r="U4595" s="7"/>
      <c r="V4595" s="10">
        <v>7.5741092456127026</v>
      </c>
      <c r="W4595" s="9">
        <v>44959</v>
      </c>
      <c r="X4595" s="10">
        <v>7.5</v>
      </c>
      <c r="Y4595" s="9">
        <v>44962</v>
      </c>
      <c r="Z4595">
        <v>20</v>
      </c>
      <c r="AA4595" s="11" t="s">
        <v>49</v>
      </c>
    </row>
    <row r="4596" spans="2:27" ht="16" x14ac:dyDescent="0.2">
      <c r="B4596" t="s">
        <v>35</v>
      </c>
      <c r="C4596">
        <v>40337537</v>
      </c>
      <c r="D4596" t="s">
        <v>389</v>
      </c>
      <c r="E4596">
        <v>1012503</v>
      </c>
      <c r="F4596" t="s">
        <v>448</v>
      </c>
      <c r="G4596" s="9">
        <v>44956</v>
      </c>
      <c r="H4596" s="7"/>
      <c r="I4596" s="7"/>
      <c r="J4596" s="7"/>
      <c r="K4596" s="7"/>
      <c r="L4596" s="10">
        <v>5.5741092456127026</v>
      </c>
      <c r="M4596" s="9">
        <v>44961</v>
      </c>
      <c r="N4596" s="10">
        <v>5.5</v>
      </c>
      <c r="O4596" s="9">
        <v>44966</v>
      </c>
      <c r="P4596">
        <v>16</v>
      </c>
      <c r="Q4596" s="11" t="s">
        <v>49</v>
      </c>
      <c r="R4596" s="7"/>
      <c r="S4596" s="7"/>
      <c r="T4596" s="7"/>
      <c r="U4596" s="7"/>
      <c r="V4596" s="10">
        <v>7.5741092456127026</v>
      </c>
      <c r="W4596" s="9">
        <v>44963</v>
      </c>
      <c r="X4596" s="10">
        <v>7.5</v>
      </c>
      <c r="Y4596" s="9">
        <v>44966</v>
      </c>
      <c r="Z4596">
        <v>16</v>
      </c>
      <c r="AA4596" s="11" t="s">
        <v>49</v>
      </c>
    </row>
    <row r="4597" spans="2:27" ht="16" x14ac:dyDescent="0.2">
      <c r="B4597" t="s">
        <v>35</v>
      </c>
      <c r="C4597">
        <v>40337536</v>
      </c>
      <c r="D4597" t="s">
        <v>389</v>
      </c>
      <c r="E4597">
        <v>1012503</v>
      </c>
      <c r="F4597" t="s">
        <v>448</v>
      </c>
      <c r="G4597" s="9">
        <v>44941</v>
      </c>
      <c r="H4597" s="7"/>
      <c r="I4597" s="7"/>
      <c r="J4597" s="7"/>
      <c r="K4597" s="7"/>
      <c r="L4597" s="10">
        <v>5.5741092456127026</v>
      </c>
      <c r="M4597" s="9">
        <v>44946</v>
      </c>
      <c r="N4597" s="10">
        <v>5.5</v>
      </c>
      <c r="O4597" s="9">
        <v>44951</v>
      </c>
      <c r="P4597">
        <v>5</v>
      </c>
      <c r="Q4597" s="11" t="s">
        <v>49</v>
      </c>
      <c r="R4597" s="7"/>
      <c r="S4597" s="7"/>
      <c r="T4597" s="7"/>
      <c r="U4597" s="7"/>
      <c r="V4597" s="10">
        <v>7.5741092456127026</v>
      </c>
      <c r="W4597" s="9">
        <v>44948</v>
      </c>
      <c r="X4597" s="10">
        <v>7.5</v>
      </c>
      <c r="Y4597" s="9">
        <v>44951</v>
      </c>
      <c r="Z4597">
        <v>5</v>
      </c>
      <c r="AA4597" s="11" t="s">
        <v>49</v>
      </c>
    </row>
    <row r="4598" spans="2:27" ht="16" x14ac:dyDescent="0.2">
      <c r="B4598" t="s">
        <v>35</v>
      </c>
      <c r="C4598">
        <v>40337535</v>
      </c>
      <c r="D4598" t="s">
        <v>389</v>
      </c>
      <c r="E4598">
        <v>1012503</v>
      </c>
      <c r="F4598" t="s">
        <v>448</v>
      </c>
      <c r="G4598" s="9">
        <v>44952</v>
      </c>
      <c r="H4598" s="7"/>
      <c r="I4598" s="7"/>
      <c r="J4598" s="7"/>
      <c r="K4598" s="7"/>
      <c r="L4598" s="10">
        <v>5.5741092456127026</v>
      </c>
      <c r="M4598" s="9">
        <v>44957</v>
      </c>
      <c r="N4598" s="10">
        <v>5.5</v>
      </c>
      <c r="O4598" s="9">
        <v>44962</v>
      </c>
      <c r="P4598">
        <v>20</v>
      </c>
      <c r="Q4598" s="11" t="s">
        <v>49</v>
      </c>
      <c r="R4598" s="7"/>
      <c r="S4598" s="7"/>
      <c r="T4598" s="7"/>
      <c r="U4598" s="7"/>
      <c r="V4598" s="10">
        <v>7.5741092456127026</v>
      </c>
      <c r="W4598" s="9">
        <v>44959</v>
      </c>
      <c r="X4598" s="10">
        <v>7.5</v>
      </c>
      <c r="Y4598" s="9">
        <v>44962</v>
      </c>
      <c r="Z4598">
        <v>20</v>
      </c>
      <c r="AA4598" s="11" t="s">
        <v>49</v>
      </c>
    </row>
    <row r="4599" spans="2:27" ht="16" x14ac:dyDescent="0.2">
      <c r="B4599" t="s">
        <v>35</v>
      </c>
      <c r="C4599">
        <v>40337534</v>
      </c>
      <c r="D4599" t="s">
        <v>389</v>
      </c>
      <c r="E4599">
        <v>1012527</v>
      </c>
      <c r="F4599" t="s">
        <v>557</v>
      </c>
      <c r="G4599" s="9">
        <v>44952</v>
      </c>
      <c r="H4599" s="7"/>
      <c r="I4599" s="7"/>
      <c r="J4599" s="7"/>
      <c r="K4599" s="7"/>
      <c r="L4599" s="10">
        <v>5.5741092456127026</v>
      </c>
      <c r="M4599" s="9">
        <v>44957</v>
      </c>
      <c r="N4599" s="10">
        <v>5.5</v>
      </c>
      <c r="O4599" s="9">
        <v>44962</v>
      </c>
      <c r="P4599">
        <v>20</v>
      </c>
      <c r="Q4599" s="11" t="s">
        <v>49</v>
      </c>
      <c r="R4599" s="7"/>
      <c r="S4599" s="7"/>
      <c r="T4599" s="7"/>
      <c r="U4599" s="7"/>
      <c r="V4599" s="10">
        <v>7.5741092456127026</v>
      </c>
      <c r="W4599" s="9">
        <v>44959</v>
      </c>
      <c r="X4599" s="10">
        <v>7.5</v>
      </c>
      <c r="Y4599" s="9">
        <v>44962</v>
      </c>
      <c r="Z4599">
        <v>20</v>
      </c>
      <c r="AA4599" s="11" t="s">
        <v>49</v>
      </c>
    </row>
    <row r="4600" spans="2:27" x14ac:dyDescent="0.2">
      <c r="B4600" t="s">
        <v>394</v>
      </c>
      <c r="C4600">
        <v>40334132</v>
      </c>
      <c r="D4600" t="s">
        <v>396</v>
      </c>
      <c r="E4600">
        <v>1023397</v>
      </c>
      <c r="F4600" t="s">
        <v>463</v>
      </c>
      <c r="G4600" s="9">
        <v>44976</v>
      </c>
      <c r="H4600" s="7"/>
      <c r="I4600" s="7"/>
      <c r="J4600" s="7"/>
      <c r="K4600" s="7"/>
      <c r="L4600" s="10"/>
      <c r="N4600" s="10"/>
      <c r="Q4600" s="11"/>
      <c r="R4600" s="7"/>
      <c r="S4600" s="7"/>
      <c r="T4600" s="7"/>
      <c r="U4600" s="7"/>
      <c r="V4600" s="10"/>
      <c r="X4600" s="10"/>
      <c r="AA4600" s="11"/>
    </row>
    <row r="4601" spans="2:27" x14ac:dyDescent="0.2">
      <c r="B4601" t="s">
        <v>394</v>
      </c>
      <c r="C4601">
        <v>40333356</v>
      </c>
      <c r="D4601" t="s">
        <v>485</v>
      </c>
      <c r="E4601">
        <v>1020848</v>
      </c>
      <c r="F4601" t="s">
        <v>503</v>
      </c>
      <c r="G4601" s="9">
        <v>44920</v>
      </c>
      <c r="H4601" s="7"/>
      <c r="I4601" s="7"/>
      <c r="J4601" s="7"/>
      <c r="K4601" s="7"/>
      <c r="L4601" s="10"/>
      <c r="N4601" s="10"/>
      <c r="Q4601" s="11"/>
      <c r="R4601" s="7"/>
      <c r="S4601" s="7"/>
      <c r="T4601" s="7"/>
      <c r="U4601" s="7"/>
      <c r="V4601" s="10"/>
      <c r="X4601" s="10"/>
      <c r="AA4601" s="11"/>
    </row>
    <row r="4602" spans="2:27" ht="16" x14ac:dyDescent="0.2">
      <c r="B4602" t="s">
        <v>35</v>
      </c>
      <c r="C4602">
        <v>40332321</v>
      </c>
      <c r="D4602" t="s">
        <v>389</v>
      </c>
      <c r="E4602">
        <v>1012503</v>
      </c>
      <c r="F4602" t="s">
        <v>448</v>
      </c>
      <c r="G4602" s="9">
        <v>44936</v>
      </c>
      <c r="H4602" s="7"/>
      <c r="I4602" s="7"/>
      <c r="J4602" s="7"/>
      <c r="K4602" s="7"/>
      <c r="L4602" s="10">
        <v>5.5741092456127026</v>
      </c>
      <c r="M4602" s="9">
        <v>44941</v>
      </c>
      <c r="N4602" s="10">
        <v>5.5</v>
      </c>
      <c r="O4602" s="9">
        <v>44946</v>
      </c>
      <c r="P4602">
        <v>7</v>
      </c>
      <c r="Q4602" s="11" t="s">
        <v>49</v>
      </c>
      <c r="R4602" s="7"/>
      <c r="S4602" s="7"/>
      <c r="T4602" s="7"/>
      <c r="U4602" s="7"/>
      <c r="V4602" s="10">
        <v>7.5741092456127026</v>
      </c>
      <c r="W4602" s="9">
        <v>44943</v>
      </c>
      <c r="X4602" s="10">
        <v>7.5</v>
      </c>
      <c r="Y4602" s="9">
        <v>44946</v>
      </c>
      <c r="Z4602">
        <v>7</v>
      </c>
      <c r="AA4602" s="11" t="s">
        <v>49</v>
      </c>
    </row>
    <row r="4603" spans="2:27" ht="16" x14ac:dyDescent="0.2">
      <c r="B4603" t="s">
        <v>35</v>
      </c>
      <c r="C4603">
        <v>40332319</v>
      </c>
      <c r="D4603" t="s">
        <v>389</v>
      </c>
      <c r="E4603">
        <v>1012503</v>
      </c>
      <c r="F4603" t="s">
        <v>448</v>
      </c>
      <c r="G4603" s="9">
        <v>44952</v>
      </c>
      <c r="H4603" s="7"/>
      <c r="I4603" s="7"/>
      <c r="J4603" s="7"/>
      <c r="K4603" s="7"/>
      <c r="L4603" s="10">
        <v>5.5741092456127026</v>
      </c>
      <c r="M4603" s="9">
        <v>44957</v>
      </c>
      <c r="N4603" s="10">
        <v>5.5</v>
      </c>
      <c r="O4603" s="9">
        <v>44962</v>
      </c>
      <c r="P4603">
        <v>20</v>
      </c>
      <c r="Q4603" s="11" t="s">
        <v>49</v>
      </c>
      <c r="R4603" s="7"/>
      <c r="S4603" s="7"/>
      <c r="T4603" s="7"/>
      <c r="U4603" s="7"/>
      <c r="V4603" s="10">
        <v>7.5741092456127026</v>
      </c>
      <c r="W4603" s="9">
        <v>44959</v>
      </c>
      <c r="X4603" s="10">
        <v>7.5</v>
      </c>
      <c r="Y4603" s="9">
        <v>44962</v>
      </c>
      <c r="Z4603">
        <v>20</v>
      </c>
      <c r="AA4603" s="11" t="s">
        <v>49</v>
      </c>
    </row>
    <row r="4604" spans="2:27" ht="16" x14ac:dyDescent="0.2">
      <c r="B4604" t="s">
        <v>35</v>
      </c>
      <c r="C4604">
        <v>40327231</v>
      </c>
      <c r="D4604" t="s">
        <v>389</v>
      </c>
      <c r="E4604">
        <v>1012005</v>
      </c>
      <c r="F4604" t="s">
        <v>531</v>
      </c>
      <c r="G4604" s="9">
        <v>44955</v>
      </c>
      <c r="H4604" s="7"/>
      <c r="I4604" s="7"/>
      <c r="J4604" s="7"/>
      <c r="K4604" s="7"/>
      <c r="L4604" s="10">
        <v>5.5741092456127026</v>
      </c>
      <c r="M4604" s="9">
        <v>44960</v>
      </c>
      <c r="N4604" s="10">
        <v>5.5</v>
      </c>
      <c r="O4604" s="9">
        <v>44965</v>
      </c>
      <c r="P4604">
        <v>17</v>
      </c>
      <c r="Q4604" s="11" t="s">
        <v>49</v>
      </c>
      <c r="R4604" s="7"/>
      <c r="S4604" s="7"/>
      <c r="T4604" s="7"/>
      <c r="U4604" s="7"/>
      <c r="V4604" s="10">
        <v>7.5741092456127026</v>
      </c>
      <c r="W4604" s="9">
        <v>44962</v>
      </c>
      <c r="X4604" s="10">
        <v>7.5</v>
      </c>
      <c r="Y4604" s="9">
        <v>44965</v>
      </c>
      <c r="Z4604">
        <v>17</v>
      </c>
      <c r="AA4604" s="11" t="s">
        <v>49</v>
      </c>
    </row>
    <row r="4605" spans="2:27" ht="16" x14ac:dyDescent="0.2">
      <c r="B4605" t="s">
        <v>35</v>
      </c>
      <c r="C4605">
        <v>40327231</v>
      </c>
      <c r="D4605" t="s">
        <v>389</v>
      </c>
      <c r="E4605">
        <v>1011967</v>
      </c>
      <c r="F4605" t="s">
        <v>418</v>
      </c>
      <c r="G4605" s="9">
        <v>44955</v>
      </c>
      <c r="H4605" s="7"/>
      <c r="I4605" s="7"/>
      <c r="J4605" s="7"/>
      <c r="K4605" s="7"/>
      <c r="L4605" s="10">
        <v>5.5741092456127026</v>
      </c>
      <c r="M4605" s="9">
        <v>44960</v>
      </c>
      <c r="N4605" s="10">
        <v>5.5</v>
      </c>
      <c r="O4605" s="9">
        <v>44965</v>
      </c>
      <c r="P4605">
        <v>17</v>
      </c>
      <c r="Q4605" s="11" t="s">
        <v>49</v>
      </c>
      <c r="R4605" s="7"/>
      <c r="S4605" s="7"/>
      <c r="T4605" s="7"/>
      <c r="U4605" s="7"/>
      <c r="V4605" s="10">
        <v>7.5741092456127026</v>
      </c>
      <c r="W4605" s="9">
        <v>44962</v>
      </c>
      <c r="X4605" s="10">
        <v>7.5</v>
      </c>
      <c r="Y4605" s="9">
        <v>44965</v>
      </c>
      <c r="Z4605">
        <v>17</v>
      </c>
      <c r="AA4605" s="11" t="s">
        <v>49</v>
      </c>
    </row>
    <row r="4606" spans="2:27" ht="16" x14ac:dyDescent="0.2">
      <c r="B4606" t="s">
        <v>35</v>
      </c>
      <c r="C4606">
        <v>40321431</v>
      </c>
      <c r="D4606" t="s">
        <v>386</v>
      </c>
      <c r="E4606">
        <v>1030804</v>
      </c>
      <c r="F4606" t="s">
        <v>623</v>
      </c>
      <c r="G4606" s="9">
        <v>44946</v>
      </c>
      <c r="H4606" s="7"/>
      <c r="I4606" s="7"/>
      <c r="J4606" s="7"/>
      <c r="K4606" s="7"/>
      <c r="L4606" s="10">
        <v>5.1420118343195256</v>
      </c>
      <c r="M4606" s="9">
        <v>44951</v>
      </c>
      <c r="N4606" s="10">
        <v>7.5</v>
      </c>
      <c r="O4606" s="9">
        <v>44958</v>
      </c>
      <c r="P4606">
        <v>23</v>
      </c>
      <c r="Q4606" s="11" t="s">
        <v>49</v>
      </c>
      <c r="R4606" s="7"/>
      <c r="S4606" s="7"/>
      <c r="T4606" s="7"/>
      <c r="U4606" s="7"/>
      <c r="V4606" s="10">
        <v>7.1420118343195256</v>
      </c>
      <c r="W4606" s="9">
        <v>44953</v>
      </c>
      <c r="X4606" s="10">
        <v>9.5</v>
      </c>
      <c r="Y4606" s="9">
        <v>44958</v>
      </c>
      <c r="Z4606">
        <v>23</v>
      </c>
      <c r="AA4606" s="11" t="s">
        <v>49</v>
      </c>
    </row>
    <row r="4607" spans="2:27" ht="16" x14ac:dyDescent="0.2">
      <c r="B4607" t="s">
        <v>35</v>
      </c>
      <c r="C4607">
        <v>40321431</v>
      </c>
      <c r="D4607" t="s">
        <v>386</v>
      </c>
      <c r="E4607">
        <v>1030710</v>
      </c>
      <c r="F4607" t="s">
        <v>672</v>
      </c>
      <c r="G4607" s="9">
        <v>44946</v>
      </c>
      <c r="H4607" s="7"/>
      <c r="I4607" s="7"/>
      <c r="J4607" s="7"/>
      <c r="K4607" s="7"/>
      <c r="L4607" s="10">
        <v>5.1420118343195256</v>
      </c>
      <c r="M4607" s="9">
        <v>44951</v>
      </c>
      <c r="N4607" s="10">
        <v>7.5</v>
      </c>
      <c r="O4607" s="9">
        <v>44958</v>
      </c>
      <c r="P4607">
        <v>23</v>
      </c>
      <c r="Q4607" s="11" t="s">
        <v>49</v>
      </c>
      <c r="R4607" s="7"/>
      <c r="S4607" s="7"/>
      <c r="T4607" s="7"/>
      <c r="U4607" s="7"/>
      <c r="V4607" s="10">
        <v>7.1420118343195256</v>
      </c>
      <c r="W4607" s="9">
        <v>44953</v>
      </c>
      <c r="X4607" s="10">
        <v>9.5</v>
      </c>
      <c r="Y4607" s="9">
        <v>44958</v>
      </c>
      <c r="Z4607">
        <v>23</v>
      </c>
      <c r="AA4607" s="11" t="s">
        <v>49</v>
      </c>
    </row>
    <row r="4608" spans="2:27" ht="16" x14ac:dyDescent="0.2">
      <c r="B4608" t="s">
        <v>35</v>
      </c>
      <c r="C4608">
        <v>40311573</v>
      </c>
      <c r="D4608" t="s">
        <v>391</v>
      </c>
      <c r="E4608">
        <v>1021931</v>
      </c>
      <c r="F4608" t="s">
        <v>189</v>
      </c>
      <c r="G4608" s="9">
        <v>44962</v>
      </c>
      <c r="H4608" s="7"/>
      <c r="I4608" s="7"/>
      <c r="J4608" s="7"/>
      <c r="K4608" s="7"/>
      <c r="L4608" s="10">
        <v>4.830303030303031</v>
      </c>
      <c r="M4608" s="9">
        <v>44966</v>
      </c>
      <c r="N4608" s="10">
        <v>15</v>
      </c>
      <c r="O4608" s="9">
        <v>44981</v>
      </c>
      <c r="P4608">
        <v>3</v>
      </c>
      <c r="Q4608" s="11" t="s">
        <v>49</v>
      </c>
      <c r="R4608" s="7"/>
      <c r="S4608" s="7"/>
      <c r="T4608" s="7"/>
      <c r="U4608" s="7"/>
      <c r="V4608" s="10">
        <v>6.830303030303031</v>
      </c>
      <c r="W4608" s="9">
        <v>44968</v>
      </c>
      <c r="X4608" s="10">
        <v>17</v>
      </c>
      <c r="Y4608" s="9">
        <v>44981</v>
      </c>
      <c r="Z4608">
        <v>3</v>
      </c>
      <c r="AA4608" s="11" t="s">
        <v>49</v>
      </c>
    </row>
    <row r="4609" spans="2:27" ht="16" x14ac:dyDescent="0.2">
      <c r="B4609" t="s">
        <v>35</v>
      </c>
      <c r="C4609">
        <v>40311572</v>
      </c>
      <c r="D4609" t="s">
        <v>391</v>
      </c>
      <c r="E4609">
        <v>1021945</v>
      </c>
      <c r="F4609" t="s">
        <v>194</v>
      </c>
      <c r="G4609" s="9">
        <v>44962</v>
      </c>
      <c r="H4609" s="7"/>
      <c r="I4609" s="7"/>
      <c r="J4609" s="7"/>
      <c r="K4609" s="7"/>
      <c r="L4609" s="10">
        <v>4.830303030303031</v>
      </c>
      <c r="M4609" s="9">
        <v>44966</v>
      </c>
      <c r="N4609" s="10">
        <v>15</v>
      </c>
      <c r="O4609" s="9">
        <v>44981</v>
      </c>
      <c r="P4609">
        <v>3</v>
      </c>
      <c r="Q4609" s="11" t="s">
        <v>49</v>
      </c>
      <c r="R4609" s="7"/>
      <c r="S4609" s="7"/>
      <c r="T4609" s="7"/>
      <c r="U4609" s="7"/>
      <c r="V4609" s="10">
        <v>6.830303030303031</v>
      </c>
      <c r="W4609" s="9">
        <v>44968</v>
      </c>
      <c r="X4609" s="10">
        <v>17</v>
      </c>
      <c r="Y4609" s="9">
        <v>44981</v>
      </c>
      <c r="Z4609">
        <v>3</v>
      </c>
      <c r="AA4609" s="11" t="s">
        <v>49</v>
      </c>
    </row>
    <row r="4610" spans="2:27" ht="16" x14ac:dyDescent="0.2">
      <c r="B4610" t="s">
        <v>35</v>
      </c>
      <c r="C4610">
        <v>40311572</v>
      </c>
      <c r="D4610" t="s">
        <v>391</v>
      </c>
      <c r="E4610">
        <v>1021944</v>
      </c>
      <c r="F4610" t="s">
        <v>192</v>
      </c>
      <c r="G4610" s="9">
        <v>44962</v>
      </c>
      <c r="H4610" s="7"/>
      <c r="I4610" s="7"/>
      <c r="J4610" s="7"/>
      <c r="K4610" s="7"/>
      <c r="L4610" s="10">
        <v>4.830303030303031</v>
      </c>
      <c r="M4610" s="9">
        <v>44966</v>
      </c>
      <c r="N4610" s="10">
        <v>15</v>
      </c>
      <c r="O4610" s="9">
        <v>44981</v>
      </c>
      <c r="P4610">
        <v>3</v>
      </c>
      <c r="Q4610" s="11" t="s">
        <v>49</v>
      </c>
      <c r="R4610" s="7"/>
      <c r="S4610" s="7"/>
      <c r="T4610" s="7"/>
      <c r="U4610" s="7"/>
      <c r="V4610" s="10">
        <v>6.830303030303031</v>
      </c>
      <c r="W4610" s="9">
        <v>44968</v>
      </c>
      <c r="X4610" s="10">
        <v>17</v>
      </c>
      <c r="Y4610" s="9">
        <v>44981</v>
      </c>
      <c r="Z4610">
        <v>3</v>
      </c>
      <c r="AA4610" s="11" t="s">
        <v>49</v>
      </c>
    </row>
    <row r="4611" spans="2:27" ht="16" x14ac:dyDescent="0.2">
      <c r="B4611" t="s">
        <v>35</v>
      </c>
      <c r="C4611">
        <v>40311571</v>
      </c>
      <c r="D4611" t="s">
        <v>391</v>
      </c>
      <c r="E4611">
        <v>1022863</v>
      </c>
      <c r="F4611" t="s">
        <v>201</v>
      </c>
      <c r="G4611" s="9">
        <v>44962</v>
      </c>
      <c r="H4611" s="7"/>
      <c r="I4611" s="7"/>
      <c r="J4611" s="7"/>
      <c r="K4611" s="7"/>
      <c r="L4611" s="10">
        <v>4.830303030303031</v>
      </c>
      <c r="M4611" s="9">
        <v>44966</v>
      </c>
      <c r="N4611" s="10">
        <v>15</v>
      </c>
      <c r="O4611" s="9">
        <v>44981</v>
      </c>
      <c r="P4611">
        <v>3</v>
      </c>
      <c r="Q4611" s="11" t="s">
        <v>49</v>
      </c>
      <c r="R4611" s="7"/>
      <c r="S4611" s="7"/>
      <c r="T4611" s="7"/>
      <c r="U4611" s="7"/>
      <c r="V4611" s="10">
        <v>6.830303030303031</v>
      </c>
      <c r="W4611" s="9">
        <v>44968</v>
      </c>
      <c r="X4611" s="10">
        <v>17</v>
      </c>
      <c r="Y4611" s="9">
        <v>44981</v>
      </c>
      <c r="Z4611">
        <v>3</v>
      </c>
      <c r="AA4611" s="11" t="s">
        <v>49</v>
      </c>
    </row>
    <row r="4612" spans="2:27" ht="16" x14ac:dyDescent="0.2">
      <c r="B4612" t="s">
        <v>35</v>
      </c>
      <c r="C4612">
        <v>40311571</v>
      </c>
      <c r="D4612" t="s">
        <v>391</v>
      </c>
      <c r="E4612">
        <v>1022865</v>
      </c>
      <c r="F4612" t="s">
        <v>343</v>
      </c>
      <c r="G4612" s="9">
        <v>44962</v>
      </c>
      <c r="H4612" s="7"/>
      <c r="I4612" s="7"/>
      <c r="J4612" s="7"/>
      <c r="K4612" s="7"/>
      <c r="L4612" s="10">
        <v>4.830303030303031</v>
      </c>
      <c r="M4612" s="9">
        <v>44966</v>
      </c>
      <c r="N4612" s="10">
        <v>15</v>
      </c>
      <c r="O4612" s="9">
        <v>44981</v>
      </c>
      <c r="P4612">
        <v>3</v>
      </c>
      <c r="Q4612" s="11" t="s">
        <v>49</v>
      </c>
      <c r="R4612" s="7"/>
      <c r="S4612" s="7"/>
      <c r="T4612" s="7"/>
      <c r="U4612" s="7"/>
      <c r="V4612" s="10">
        <v>6.830303030303031</v>
      </c>
      <c r="W4612" s="9">
        <v>44968</v>
      </c>
      <c r="X4612" s="10">
        <v>17</v>
      </c>
      <c r="Y4612" s="9">
        <v>44981</v>
      </c>
      <c r="Z4612">
        <v>3</v>
      </c>
      <c r="AA4612" s="11" t="s">
        <v>49</v>
      </c>
    </row>
    <row r="4613" spans="2:27" ht="16" x14ac:dyDescent="0.2">
      <c r="B4613" t="s">
        <v>35</v>
      </c>
      <c r="C4613">
        <v>40311571</v>
      </c>
      <c r="D4613" t="s">
        <v>391</v>
      </c>
      <c r="E4613">
        <v>1022863</v>
      </c>
      <c r="F4613" t="s">
        <v>201</v>
      </c>
      <c r="G4613" s="9">
        <v>44962</v>
      </c>
      <c r="H4613" s="7"/>
      <c r="I4613" s="7"/>
      <c r="J4613" s="7"/>
      <c r="K4613" s="7"/>
      <c r="L4613" s="10">
        <v>4.830303030303031</v>
      </c>
      <c r="M4613" s="9">
        <v>44966</v>
      </c>
      <c r="N4613" s="10">
        <v>15</v>
      </c>
      <c r="O4613" s="9">
        <v>44981</v>
      </c>
      <c r="P4613">
        <v>3</v>
      </c>
      <c r="Q4613" s="11" t="s">
        <v>49</v>
      </c>
      <c r="R4613" s="7"/>
      <c r="S4613" s="7"/>
      <c r="T4613" s="7"/>
      <c r="U4613" s="7"/>
      <c r="V4613" s="10">
        <v>6.830303030303031</v>
      </c>
      <c r="W4613" s="9">
        <v>44968</v>
      </c>
      <c r="X4613" s="10">
        <v>17</v>
      </c>
      <c r="Y4613" s="9">
        <v>44981</v>
      </c>
      <c r="Z4613">
        <v>3</v>
      </c>
      <c r="AA4613" s="11" t="s">
        <v>49</v>
      </c>
    </row>
    <row r="4614" spans="2:27" ht="16" x14ac:dyDescent="0.2">
      <c r="B4614" t="s">
        <v>35</v>
      </c>
      <c r="C4614">
        <v>40311571</v>
      </c>
      <c r="D4614" t="s">
        <v>391</v>
      </c>
      <c r="E4614">
        <v>1021929</v>
      </c>
      <c r="F4614" t="s">
        <v>335</v>
      </c>
      <c r="G4614" s="9">
        <v>44962</v>
      </c>
      <c r="H4614" s="7"/>
      <c r="I4614" s="7"/>
      <c r="J4614" s="7"/>
      <c r="K4614" s="7"/>
      <c r="L4614" s="10">
        <v>4.830303030303031</v>
      </c>
      <c r="M4614" s="9">
        <v>44966</v>
      </c>
      <c r="N4614" s="10">
        <v>15</v>
      </c>
      <c r="O4614" s="9">
        <v>44981</v>
      </c>
      <c r="P4614">
        <v>3</v>
      </c>
      <c r="Q4614" s="11" t="s">
        <v>49</v>
      </c>
      <c r="R4614" s="7"/>
      <c r="S4614" s="7"/>
      <c r="T4614" s="7"/>
      <c r="U4614" s="7"/>
      <c r="V4614" s="10">
        <v>6.830303030303031</v>
      </c>
      <c r="W4614" s="9">
        <v>44968</v>
      </c>
      <c r="X4614" s="10">
        <v>17</v>
      </c>
      <c r="Y4614" s="9">
        <v>44981</v>
      </c>
      <c r="Z4614">
        <v>3</v>
      </c>
      <c r="AA4614" s="11" t="s">
        <v>49</v>
      </c>
    </row>
    <row r="4615" spans="2:27" x14ac:dyDescent="0.2">
      <c r="B4615" t="s">
        <v>394</v>
      </c>
      <c r="C4615">
        <v>40304584</v>
      </c>
      <c r="D4615" t="s">
        <v>396</v>
      </c>
      <c r="E4615">
        <v>1020905</v>
      </c>
      <c r="F4615" t="s">
        <v>631</v>
      </c>
      <c r="G4615" s="9">
        <v>44965</v>
      </c>
      <c r="H4615" s="7"/>
      <c r="I4615" s="7"/>
      <c r="J4615" s="7"/>
      <c r="K4615" s="7"/>
      <c r="L4615" s="10"/>
      <c r="N4615" s="10"/>
      <c r="Q4615" s="11"/>
      <c r="R4615" s="7"/>
      <c r="S4615" s="7"/>
      <c r="T4615" s="7"/>
      <c r="U4615" s="7"/>
      <c r="V4615" s="10"/>
      <c r="X4615" s="10"/>
      <c r="AA4615" s="11"/>
    </row>
    <row r="4616" spans="2:27" ht="16" x14ac:dyDescent="0.2">
      <c r="B4616" t="s">
        <v>35</v>
      </c>
      <c r="C4616">
        <v>40353617</v>
      </c>
      <c r="D4616" t="s">
        <v>391</v>
      </c>
      <c r="E4616">
        <v>1021936</v>
      </c>
      <c r="F4616" t="s">
        <v>411</v>
      </c>
      <c r="G4616" s="9">
        <v>44940</v>
      </c>
      <c r="H4616" s="7"/>
      <c r="I4616" s="7"/>
      <c r="J4616" s="7"/>
      <c r="K4616" s="7"/>
      <c r="L4616" s="10">
        <v>4.830303030303031</v>
      </c>
      <c r="M4616" s="9">
        <v>44944</v>
      </c>
      <c r="N4616" s="10">
        <v>15</v>
      </c>
      <c r="O4616" s="9">
        <v>44959</v>
      </c>
      <c r="P4616">
        <v>22</v>
      </c>
      <c r="Q4616" s="11" t="s">
        <v>49</v>
      </c>
      <c r="R4616" s="7"/>
      <c r="S4616" s="7"/>
      <c r="T4616" s="7"/>
      <c r="U4616" s="7"/>
      <c r="V4616" s="10">
        <v>6.830303030303031</v>
      </c>
      <c r="W4616" s="9">
        <v>44946</v>
      </c>
      <c r="X4616" s="10">
        <v>17</v>
      </c>
      <c r="Y4616" s="9">
        <v>44959</v>
      </c>
      <c r="Z4616">
        <v>22</v>
      </c>
      <c r="AA4616" s="11" t="s">
        <v>49</v>
      </c>
    </row>
    <row r="4617" spans="2:27" x14ac:dyDescent="0.2">
      <c r="B4617" t="s">
        <v>394</v>
      </c>
      <c r="C4617">
        <v>40353067</v>
      </c>
      <c r="D4617" t="s">
        <v>485</v>
      </c>
      <c r="E4617">
        <v>1021976</v>
      </c>
      <c r="F4617" t="s">
        <v>512</v>
      </c>
      <c r="G4617" s="9">
        <v>44906</v>
      </c>
      <c r="H4617" s="7"/>
      <c r="I4617" s="7"/>
      <c r="J4617" s="7"/>
      <c r="K4617" s="7"/>
      <c r="L4617" s="10"/>
      <c r="N4617" s="10"/>
      <c r="Q4617" s="11"/>
      <c r="R4617" s="7"/>
      <c r="S4617" s="7"/>
      <c r="T4617" s="7"/>
      <c r="U4617" s="7"/>
      <c r="V4617" s="10"/>
      <c r="X4617" s="10"/>
      <c r="AA4617" s="11"/>
    </row>
    <row r="4618" spans="2:27" x14ac:dyDescent="0.2">
      <c r="B4618" t="s">
        <v>394</v>
      </c>
      <c r="C4618">
        <v>40353067</v>
      </c>
      <c r="D4618" t="s">
        <v>485</v>
      </c>
      <c r="E4618">
        <v>1021976</v>
      </c>
      <c r="F4618" t="s">
        <v>512</v>
      </c>
      <c r="G4618" s="9">
        <v>44906</v>
      </c>
      <c r="H4618" s="7"/>
      <c r="I4618" s="7"/>
      <c r="J4618" s="7"/>
      <c r="K4618" s="7"/>
      <c r="L4618" s="10"/>
      <c r="N4618" s="10"/>
      <c r="Q4618" s="11"/>
      <c r="R4618" s="7"/>
      <c r="S4618" s="7"/>
      <c r="T4618" s="7"/>
      <c r="U4618" s="7"/>
      <c r="V4618" s="10"/>
      <c r="X4618" s="10"/>
      <c r="AA4618" s="11"/>
    </row>
    <row r="4619" spans="2:27" ht="16" x14ac:dyDescent="0.2">
      <c r="B4619" t="s">
        <v>35</v>
      </c>
      <c r="C4619">
        <v>40356197</v>
      </c>
      <c r="D4619" t="s">
        <v>423</v>
      </c>
      <c r="E4619">
        <v>1011127</v>
      </c>
      <c r="F4619" t="s">
        <v>228</v>
      </c>
      <c r="G4619" s="9">
        <v>44919</v>
      </c>
      <c r="H4619" s="7"/>
      <c r="I4619" s="7"/>
      <c r="J4619" s="7"/>
      <c r="K4619" s="7"/>
      <c r="L4619" s="10">
        <v>5.4496124031007751</v>
      </c>
      <c r="M4619" s="9">
        <v>44924</v>
      </c>
      <c r="N4619" s="10">
        <v>10</v>
      </c>
      <c r="O4619" s="9">
        <v>44934</v>
      </c>
      <c r="P4619">
        <v>20</v>
      </c>
      <c r="Q4619" s="11" t="s">
        <v>49</v>
      </c>
      <c r="R4619" s="7"/>
      <c r="S4619" s="7"/>
      <c r="T4619" s="7"/>
      <c r="U4619" s="7"/>
      <c r="V4619" s="10">
        <v>7.4496124031007751</v>
      </c>
      <c r="W4619" s="9">
        <v>44926</v>
      </c>
      <c r="X4619" s="10">
        <v>12</v>
      </c>
      <c r="Y4619" s="9">
        <v>44934</v>
      </c>
      <c r="Z4619">
        <v>20</v>
      </c>
      <c r="AA4619" s="11" t="s">
        <v>49</v>
      </c>
    </row>
    <row r="4620" spans="2:27" ht="16" x14ac:dyDescent="0.2">
      <c r="B4620" t="s">
        <v>35</v>
      </c>
      <c r="C4620">
        <v>40356196</v>
      </c>
      <c r="D4620" t="s">
        <v>423</v>
      </c>
      <c r="E4620">
        <v>1011127</v>
      </c>
      <c r="F4620" t="s">
        <v>228</v>
      </c>
      <c r="G4620" s="9">
        <v>44919</v>
      </c>
      <c r="H4620" s="7"/>
      <c r="I4620" s="7"/>
      <c r="J4620" s="7"/>
      <c r="K4620" s="7"/>
      <c r="L4620" s="10">
        <v>5.4496124031007751</v>
      </c>
      <c r="M4620" s="9">
        <v>44924</v>
      </c>
      <c r="N4620" s="10">
        <v>10</v>
      </c>
      <c r="O4620" s="9">
        <v>44934</v>
      </c>
      <c r="P4620">
        <v>20</v>
      </c>
      <c r="Q4620" s="11" t="s">
        <v>49</v>
      </c>
      <c r="R4620" s="7"/>
      <c r="S4620" s="7"/>
      <c r="T4620" s="7"/>
      <c r="U4620" s="7"/>
      <c r="V4620" s="10">
        <v>7.4496124031007751</v>
      </c>
      <c r="W4620" s="9">
        <v>44926</v>
      </c>
      <c r="X4620" s="10">
        <v>12</v>
      </c>
      <c r="Y4620" s="9">
        <v>44934</v>
      </c>
      <c r="Z4620">
        <v>20</v>
      </c>
      <c r="AA4620" s="11" t="s">
        <v>49</v>
      </c>
    </row>
    <row r="4621" spans="2:27" ht="16" x14ac:dyDescent="0.2">
      <c r="B4621" t="s">
        <v>35</v>
      </c>
      <c r="C4621">
        <v>40356195</v>
      </c>
      <c r="D4621" t="s">
        <v>423</v>
      </c>
      <c r="E4621">
        <v>1011127</v>
      </c>
      <c r="F4621" t="s">
        <v>228</v>
      </c>
      <c r="G4621" s="9">
        <v>44919</v>
      </c>
      <c r="H4621" s="7"/>
      <c r="I4621" s="7"/>
      <c r="J4621" s="7"/>
      <c r="K4621" s="7"/>
      <c r="L4621" s="10">
        <v>5.4496124031007751</v>
      </c>
      <c r="M4621" s="9">
        <v>44924</v>
      </c>
      <c r="N4621" s="10">
        <v>10</v>
      </c>
      <c r="O4621" s="9">
        <v>44934</v>
      </c>
      <c r="P4621">
        <v>20</v>
      </c>
      <c r="Q4621" s="11" t="s">
        <v>49</v>
      </c>
      <c r="R4621" s="7"/>
      <c r="S4621" s="7"/>
      <c r="T4621" s="7"/>
      <c r="U4621" s="7"/>
      <c r="V4621" s="10">
        <v>7.4496124031007751</v>
      </c>
      <c r="W4621" s="9">
        <v>44926</v>
      </c>
      <c r="X4621" s="10">
        <v>12</v>
      </c>
      <c r="Y4621" s="9">
        <v>44934</v>
      </c>
      <c r="Z4621">
        <v>20</v>
      </c>
      <c r="AA4621" s="11" t="s">
        <v>49</v>
      </c>
    </row>
    <row r="4622" spans="2:27" ht="16" x14ac:dyDescent="0.2">
      <c r="B4622" t="s">
        <v>35</v>
      </c>
      <c r="C4622">
        <v>40356192</v>
      </c>
      <c r="D4622" t="s">
        <v>423</v>
      </c>
      <c r="E4622">
        <v>1012278</v>
      </c>
      <c r="F4622" t="s">
        <v>230</v>
      </c>
      <c r="G4622" s="9">
        <v>44919</v>
      </c>
      <c r="H4622" s="7"/>
      <c r="I4622" s="7"/>
      <c r="J4622" s="7"/>
      <c r="K4622" s="7"/>
      <c r="L4622" s="10">
        <v>5.4496124031007751</v>
      </c>
      <c r="M4622" s="9">
        <v>44924</v>
      </c>
      <c r="N4622" s="10">
        <v>10</v>
      </c>
      <c r="O4622" s="9">
        <v>44934</v>
      </c>
      <c r="P4622">
        <v>20</v>
      </c>
      <c r="Q4622" s="11" t="s">
        <v>49</v>
      </c>
      <c r="R4622" s="7"/>
      <c r="S4622" s="7"/>
      <c r="T4622" s="7"/>
      <c r="U4622" s="7"/>
      <c r="V4622" s="10">
        <v>7.4496124031007751</v>
      </c>
      <c r="W4622" s="9">
        <v>44926</v>
      </c>
      <c r="X4622" s="10">
        <v>12</v>
      </c>
      <c r="Y4622" s="9">
        <v>44934</v>
      </c>
      <c r="Z4622">
        <v>20</v>
      </c>
      <c r="AA4622" s="11" t="s">
        <v>49</v>
      </c>
    </row>
    <row r="4623" spans="2:27" ht="16" x14ac:dyDescent="0.2">
      <c r="B4623" t="s">
        <v>35</v>
      </c>
      <c r="C4623">
        <v>40356025</v>
      </c>
      <c r="D4623" t="s">
        <v>423</v>
      </c>
      <c r="E4623">
        <v>1011127</v>
      </c>
      <c r="F4623" t="s">
        <v>228</v>
      </c>
      <c r="G4623" s="9">
        <v>44912</v>
      </c>
      <c r="H4623" s="7"/>
      <c r="I4623" s="7"/>
      <c r="J4623" s="7"/>
      <c r="K4623" s="7"/>
      <c r="L4623" s="10">
        <v>5.4496124031007751</v>
      </c>
      <c r="M4623" s="9">
        <v>44917</v>
      </c>
      <c r="N4623" s="10">
        <v>10</v>
      </c>
      <c r="O4623" s="9">
        <v>44927</v>
      </c>
      <c r="P4623">
        <v>25</v>
      </c>
      <c r="Q4623" s="11" t="s">
        <v>49</v>
      </c>
      <c r="R4623" s="7"/>
      <c r="S4623" s="7"/>
      <c r="T4623" s="7"/>
      <c r="U4623" s="7"/>
      <c r="V4623" s="10">
        <v>7.4496124031007751</v>
      </c>
      <c r="W4623" s="9">
        <v>44919</v>
      </c>
      <c r="X4623" s="10">
        <v>12</v>
      </c>
      <c r="Y4623" s="9">
        <v>44927</v>
      </c>
      <c r="Z4623">
        <v>25</v>
      </c>
      <c r="AA4623" s="11" t="s">
        <v>49</v>
      </c>
    </row>
    <row r="4624" spans="2:27" x14ac:dyDescent="0.2">
      <c r="B4624" t="s">
        <v>394</v>
      </c>
      <c r="C4624">
        <v>40355775</v>
      </c>
      <c r="D4624" t="s">
        <v>485</v>
      </c>
      <c r="E4624">
        <v>1011042</v>
      </c>
      <c r="F4624" t="s">
        <v>510</v>
      </c>
      <c r="G4624" s="9">
        <v>44912</v>
      </c>
      <c r="H4624" s="7"/>
      <c r="I4624" s="7"/>
      <c r="J4624" s="7"/>
      <c r="K4624" s="7"/>
      <c r="L4624" s="10"/>
      <c r="N4624" s="10"/>
      <c r="Q4624" s="11"/>
      <c r="R4624" s="7"/>
      <c r="S4624" s="7"/>
      <c r="T4624" s="7"/>
      <c r="U4624" s="7"/>
      <c r="V4624" s="10"/>
      <c r="X4624" s="10"/>
      <c r="AA4624" s="11"/>
    </row>
    <row r="4625" spans="2:27" x14ac:dyDescent="0.2">
      <c r="B4625" t="s">
        <v>394</v>
      </c>
      <c r="C4625">
        <v>40355240</v>
      </c>
      <c r="D4625" t="s">
        <v>485</v>
      </c>
      <c r="E4625">
        <v>1021385</v>
      </c>
      <c r="F4625" t="s">
        <v>495</v>
      </c>
      <c r="G4625" s="9">
        <v>44906</v>
      </c>
      <c r="H4625" s="7"/>
      <c r="I4625" s="7"/>
      <c r="J4625" s="7"/>
      <c r="K4625" s="7"/>
      <c r="L4625" s="10"/>
      <c r="N4625" s="10"/>
      <c r="Q4625" s="11"/>
      <c r="R4625" s="7"/>
      <c r="S4625" s="7"/>
      <c r="T4625" s="7"/>
      <c r="U4625" s="7"/>
      <c r="V4625" s="10"/>
      <c r="X4625" s="10"/>
      <c r="AA4625" s="11"/>
    </row>
    <row r="4626" spans="2:27" x14ac:dyDescent="0.2">
      <c r="B4626" t="s">
        <v>394</v>
      </c>
      <c r="C4626">
        <v>40355240</v>
      </c>
      <c r="D4626" t="s">
        <v>485</v>
      </c>
      <c r="E4626">
        <v>1021385</v>
      </c>
      <c r="F4626" t="s">
        <v>495</v>
      </c>
      <c r="G4626" s="9">
        <v>44906</v>
      </c>
      <c r="H4626" s="7"/>
      <c r="I4626" s="7"/>
      <c r="J4626" s="7"/>
      <c r="K4626" s="7"/>
      <c r="L4626" s="10"/>
      <c r="N4626" s="10"/>
      <c r="Q4626" s="11"/>
      <c r="R4626" s="7"/>
      <c r="S4626" s="7"/>
      <c r="T4626" s="7"/>
      <c r="U4626" s="7"/>
      <c r="V4626" s="10"/>
      <c r="X4626" s="10"/>
      <c r="AA4626" s="11"/>
    </row>
    <row r="4627" spans="2:27" ht="16" x14ac:dyDescent="0.2">
      <c r="B4627" t="s">
        <v>35</v>
      </c>
      <c r="C4627">
        <v>40354657</v>
      </c>
      <c r="D4627" t="s">
        <v>389</v>
      </c>
      <c r="E4627">
        <v>1012218</v>
      </c>
      <c r="F4627" t="s">
        <v>235</v>
      </c>
      <c r="G4627" s="9">
        <v>44956</v>
      </c>
      <c r="H4627" s="7"/>
      <c r="I4627" s="7"/>
      <c r="J4627" s="7"/>
      <c r="K4627" s="7"/>
      <c r="L4627" s="10">
        <v>5.5741092456127026</v>
      </c>
      <c r="M4627" s="9">
        <v>44961</v>
      </c>
      <c r="N4627" s="10">
        <v>5.5</v>
      </c>
      <c r="O4627" s="9">
        <v>44966</v>
      </c>
      <c r="P4627">
        <v>16</v>
      </c>
      <c r="Q4627" s="11" t="s">
        <v>49</v>
      </c>
      <c r="R4627" s="7"/>
      <c r="S4627" s="7"/>
      <c r="T4627" s="7"/>
      <c r="U4627" s="7"/>
      <c r="V4627" s="10">
        <v>7.5741092456127026</v>
      </c>
      <c r="W4627" s="9">
        <v>44963</v>
      </c>
      <c r="X4627" s="10">
        <v>7.5</v>
      </c>
      <c r="Y4627" s="9">
        <v>44966</v>
      </c>
      <c r="Z4627">
        <v>16</v>
      </c>
      <c r="AA4627" s="11" t="s">
        <v>49</v>
      </c>
    </row>
    <row r="4628" spans="2:27" ht="16" x14ac:dyDescent="0.2">
      <c r="B4628" t="s">
        <v>35</v>
      </c>
      <c r="C4628">
        <v>40354554</v>
      </c>
      <c r="D4628" t="s">
        <v>423</v>
      </c>
      <c r="E4628">
        <v>1023302</v>
      </c>
      <c r="F4628" t="s">
        <v>268</v>
      </c>
      <c r="G4628" s="9">
        <v>44919</v>
      </c>
      <c r="H4628" s="7"/>
      <c r="I4628" s="7"/>
      <c r="J4628" s="7"/>
      <c r="K4628" s="7"/>
      <c r="L4628" s="10">
        <v>5.4496124031007751</v>
      </c>
      <c r="M4628" s="9">
        <v>44924</v>
      </c>
      <c r="N4628" s="10">
        <v>10</v>
      </c>
      <c r="O4628" s="9">
        <v>44934</v>
      </c>
      <c r="P4628">
        <v>20</v>
      </c>
      <c r="Q4628" s="11" t="s">
        <v>49</v>
      </c>
      <c r="R4628" s="7"/>
      <c r="S4628" s="7"/>
      <c r="T4628" s="7"/>
      <c r="U4628" s="7"/>
      <c r="V4628" s="10">
        <v>7.4496124031007751</v>
      </c>
      <c r="W4628" s="9">
        <v>44926</v>
      </c>
      <c r="X4628" s="10">
        <v>12</v>
      </c>
      <c r="Y4628" s="9">
        <v>44934</v>
      </c>
      <c r="Z4628">
        <v>20</v>
      </c>
      <c r="AA4628" s="11" t="s">
        <v>49</v>
      </c>
    </row>
    <row r="4629" spans="2:27" ht="16" x14ac:dyDescent="0.2">
      <c r="B4629" t="s">
        <v>35</v>
      </c>
      <c r="C4629">
        <v>40352844</v>
      </c>
      <c r="D4629" t="s">
        <v>389</v>
      </c>
      <c r="E4629">
        <v>1011417</v>
      </c>
      <c r="F4629" t="s">
        <v>421</v>
      </c>
      <c r="G4629" s="9">
        <v>44940</v>
      </c>
      <c r="H4629" s="7"/>
      <c r="I4629" s="7"/>
      <c r="J4629" s="7"/>
      <c r="K4629" s="7"/>
      <c r="L4629" s="10">
        <v>5.5741092456127026</v>
      </c>
      <c r="M4629" s="9">
        <v>44945</v>
      </c>
      <c r="N4629" s="10">
        <v>5.5</v>
      </c>
      <c r="O4629" s="9">
        <v>44950</v>
      </c>
      <c r="P4629">
        <v>6</v>
      </c>
      <c r="Q4629" s="11" t="s">
        <v>49</v>
      </c>
      <c r="R4629" s="7"/>
      <c r="S4629" s="7"/>
      <c r="T4629" s="7"/>
      <c r="U4629" s="7"/>
      <c r="V4629" s="10">
        <v>7.5741092456127026</v>
      </c>
      <c r="W4629" s="9">
        <v>44947</v>
      </c>
      <c r="X4629" s="10">
        <v>7.5</v>
      </c>
      <c r="Y4629" s="9">
        <v>44950</v>
      </c>
      <c r="Z4629">
        <v>6</v>
      </c>
      <c r="AA4629" s="11" t="s">
        <v>49</v>
      </c>
    </row>
    <row r="4630" spans="2:27" x14ac:dyDescent="0.2">
      <c r="B4630" t="s">
        <v>394</v>
      </c>
      <c r="C4630">
        <v>40352830</v>
      </c>
      <c r="D4630" t="s">
        <v>396</v>
      </c>
      <c r="E4630">
        <v>1022887</v>
      </c>
      <c r="F4630" t="s">
        <v>404</v>
      </c>
      <c r="G4630" s="9">
        <v>44943</v>
      </c>
      <c r="H4630" s="7"/>
      <c r="I4630" s="7"/>
      <c r="J4630" s="7"/>
      <c r="K4630" s="7"/>
      <c r="L4630" s="10"/>
      <c r="N4630" s="10"/>
      <c r="Q4630" s="11"/>
      <c r="R4630" s="7"/>
      <c r="S4630" s="7"/>
      <c r="T4630" s="7"/>
      <c r="U4630" s="7"/>
      <c r="V4630" s="10"/>
      <c r="X4630" s="10"/>
      <c r="AA4630" s="11"/>
    </row>
    <row r="4631" spans="2:27" x14ac:dyDescent="0.2">
      <c r="B4631" t="s">
        <v>394</v>
      </c>
      <c r="C4631">
        <v>40352827</v>
      </c>
      <c r="D4631" t="s">
        <v>396</v>
      </c>
      <c r="E4631">
        <v>1022182</v>
      </c>
      <c r="F4631" t="s">
        <v>519</v>
      </c>
      <c r="G4631" s="9">
        <v>44943</v>
      </c>
      <c r="H4631" s="7"/>
      <c r="I4631" s="7"/>
      <c r="J4631" s="7"/>
      <c r="K4631" s="7"/>
      <c r="L4631" s="10"/>
      <c r="N4631" s="10"/>
      <c r="Q4631" s="11"/>
      <c r="R4631" s="7"/>
      <c r="S4631" s="7"/>
      <c r="T4631" s="7"/>
      <c r="U4631" s="7"/>
      <c r="V4631" s="10"/>
      <c r="X4631" s="10"/>
      <c r="AA4631" s="11"/>
    </row>
    <row r="4632" spans="2:27" x14ac:dyDescent="0.2">
      <c r="B4632" t="s">
        <v>394</v>
      </c>
      <c r="C4632">
        <v>40352827</v>
      </c>
      <c r="D4632" t="s">
        <v>396</v>
      </c>
      <c r="E4632">
        <v>1022182</v>
      </c>
      <c r="F4632" t="s">
        <v>519</v>
      </c>
      <c r="G4632" s="9">
        <v>44943</v>
      </c>
      <c r="H4632" s="7"/>
      <c r="I4632" s="7"/>
      <c r="J4632" s="7"/>
      <c r="K4632" s="7"/>
      <c r="L4632" s="10"/>
      <c r="N4632" s="10"/>
      <c r="Q4632" s="11"/>
      <c r="R4632" s="7"/>
      <c r="S4632" s="7"/>
      <c r="T4632" s="7"/>
      <c r="U4632" s="7"/>
      <c r="V4632" s="10"/>
      <c r="X4632" s="10"/>
      <c r="AA4632" s="11"/>
    </row>
    <row r="4633" spans="2:27" x14ac:dyDescent="0.2">
      <c r="B4633" t="s">
        <v>394</v>
      </c>
      <c r="C4633">
        <v>40352806</v>
      </c>
      <c r="D4633" t="s">
        <v>396</v>
      </c>
      <c r="E4633">
        <v>1021151</v>
      </c>
      <c r="F4633" t="s">
        <v>656</v>
      </c>
      <c r="G4633" s="9">
        <v>44943</v>
      </c>
      <c r="H4633" s="7"/>
      <c r="I4633" s="7"/>
      <c r="J4633" s="7"/>
      <c r="K4633" s="7"/>
      <c r="L4633" s="10"/>
      <c r="N4633" s="10"/>
      <c r="Q4633" s="11"/>
      <c r="R4633" s="7"/>
      <c r="S4633" s="7"/>
      <c r="T4633" s="7"/>
      <c r="U4633" s="7"/>
      <c r="V4633" s="10"/>
      <c r="X4633" s="10"/>
      <c r="AA4633" s="11"/>
    </row>
    <row r="4634" spans="2:27" x14ac:dyDescent="0.2">
      <c r="B4634" t="s">
        <v>394</v>
      </c>
      <c r="C4634">
        <v>40352806</v>
      </c>
      <c r="D4634" t="s">
        <v>396</v>
      </c>
      <c r="E4634">
        <v>1021151</v>
      </c>
      <c r="F4634" t="s">
        <v>656</v>
      </c>
      <c r="G4634" s="9">
        <v>44943</v>
      </c>
      <c r="H4634" s="7"/>
      <c r="I4634" s="7"/>
      <c r="J4634" s="7"/>
      <c r="K4634" s="7"/>
      <c r="L4634" s="10"/>
      <c r="N4634" s="10"/>
      <c r="Q4634" s="11"/>
      <c r="R4634" s="7"/>
      <c r="S4634" s="7"/>
      <c r="T4634" s="7"/>
      <c r="U4634" s="7"/>
      <c r="V4634" s="10"/>
      <c r="X4634" s="10"/>
      <c r="AA4634" s="11"/>
    </row>
    <row r="4635" spans="2:27" x14ac:dyDescent="0.2">
      <c r="B4635" t="s">
        <v>394</v>
      </c>
      <c r="C4635">
        <v>40352796</v>
      </c>
      <c r="D4635" t="s">
        <v>396</v>
      </c>
      <c r="E4635">
        <v>1022885</v>
      </c>
      <c r="F4635" t="s">
        <v>401</v>
      </c>
      <c r="G4635" s="9">
        <v>44943</v>
      </c>
      <c r="H4635" s="7"/>
      <c r="I4635" s="7"/>
      <c r="J4635" s="7"/>
      <c r="K4635" s="7"/>
      <c r="L4635" s="10"/>
      <c r="N4635" s="10"/>
      <c r="Q4635" s="11"/>
      <c r="R4635" s="7"/>
      <c r="S4635" s="7"/>
      <c r="T4635" s="7"/>
      <c r="U4635" s="7"/>
      <c r="V4635" s="10"/>
      <c r="X4635" s="10"/>
      <c r="AA4635" s="11"/>
    </row>
    <row r="4636" spans="2:27" x14ac:dyDescent="0.2">
      <c r="B4636" t="s">
        <v>394</v>
      </c>
      <c r="C4636">
        <v>40352795</v>
      </c>
      <c r="D4636" t="s">
        <v>396</v>
      </c>
      <c r="E4636">
        <v>1022885</v>
      </c>
      <c r="F4636" t="s">
        <v>401</v>
      </c>
      <c r="G4636" s="9">
        <v>44943</v>
      </c>
      <c r="H4636" s="7"/>
      <c r="I4636" s="7"/>
      <c r="J4636" s="7"/>
      <c r="K4636" s="7"/>
      <c r="L4636" s="10"/>
      <c r="N4636" s="10"/>
      <c r="Q4636" s="11"/>
      <c r="R4636" s="7"/>
      <c r="S4636" s="7"/>
      <c r="T4636" s="7"/>
      <c r="U4636" s="7"/>
      <c r="V4636" s="10"/>
      <c r="X4636" s="10"/>
      <c r="AA4636" s="11"/>
    </row>
    <row r="4637" spans="2:27" x14ac:dyDescent="0.2">
      <c r="B4637" t="s">
        <v>394</v>
      </c>
      <c r="C4637">
        <v>40352770</v>
      </c>
      <c r="D4637" t="s">
        <v>396</v>
      </c>
      <c r="E4637">
        <v>1022930</v>
      </c>
      <c r="F4637" t="s">
        <v>456</v>
      </c>
      <c r="G4637" s="9">
        <v>44943</v>
      </c>
      <c r="H4637" s="7"/>
      <c r="I4637" s="7"/>
      <c r="J4637" s="7"/>
      <c r="K4637" s="7"/>
      <c r="L4637" s="10"/>
      <c r="N4637" s="10"/>
      <c r="Q4637" s="11"/>
      <c r="R4637" s="7"/>
      <c r="S4637" s="7"/>
      <c r="T4637" s="7"/>
      <c r="U4637" s="7"/>
      <c r="V4637" s="10"/>
      <c r="X4637" s="10"/>
      <c r="AA4637" s="11"/>
    </row>
    <row r="4638" spans="2:27" x14ac:dyDescent="0.2">
      <c r="B4638" t="s">
        <v>394</v>
      </c>
      <c r="C4638">
        <v>40352358</v>
      </c>
      <c r="D4638" t="s">
        <v>485</v>
      </c>
      <c r="E4638">
        <v>1021385</v>
      </c>
      <c r="F4638" t="s">
        <v>495</v>
      </c>
      <c r="G4638" s="9">
        <v>44906</v>
      </c>
      <c r="H4638" s="7"/>
      <c r="I4638" s="7"/>
      <c r="J4638" s="7"/>
      <c r="K4638" s="7"/>
      <c r="L4638" s="10"/>
      <c r="N4638" s="10"/>
      <c r="Q4638" s="11"/>
      <c r="R4638" s="7"/>
      <c r="S4638" s="7"/>
      <c r="T4638" s="7"/>
      <c r="U4638" s="7"/>
      <c r="V4638" s="10"/>
      <c r="X4638" s="10"/>
      <c r="AA4638" s="11"/>
    </row>
    <row r="4639" spans="2:27" x14ac:dyDescent="0.2">
      <c r="B4639" t="s">
        <v>394</v>
      </c>
      <c r="C4639">
        <v>40352358</v>
      </c>
      <c r="D4639" t="s">
        <v>485</v>
      </c>
      <c r="E4639">
        <v>1020367</v>
      </c>
      <c r="F4639" t="s">
        <v>596</v>
      </c>
      <c r="G4639" s="9">
        <v>44906</v>
      </c>
      <c r="H4639" s="7"/>
      <c r="I4639" s="7"/>
      <c r="J4639" s="7"/>
      <c r="K4639" s="7"/>
      <c r="L4639" s="10"/>
      <c r="N4639" s="10"/>
      <c r="Q4639" s="11"/>
      <c r="R4639" s="7"/>
      <c r="S4639" s="7"/>
      <c r="T4639" s="7"/>
      <c r="U4639" s="7"/>
      <c r="V4639" s="10"/>
      <c r="X4639" s="10"/>
      <c r="AA4639" s="11"/>
    </row>
    <row r="4640" spans="2:27" x14ac:dyDescent="0.2">
      <c r="B4640" t="s">
        <v>394</v>
      </c>
      <c r="C4640">
        <v>40352333</v>
      </c>
      <c r="D4640" t="s">
        <v>485</v>
      </c>
      <c r="E4640">
        <v>1012719</v>
      </c>
      <c r="F4640" t="s">
        <v>545</v>
      </c>
      <c r="G4640" s="9">
        <v>44906</v>
      </c>
      <c r="H4640" s="7"/>
      <c r="I4640" s="7"/>
      <c r="J4640" s="7"/>
      <c r="K4640" s="7"/>
      <c r="L4640" s="10"/>
      <c r="N4640" s="10"/>
      <c r="Q4640" s="11"/>
      <c r="R4640" s="7"/>
      <c r="S4640" s="7"/>
      <c r="T4640" s="7"/>
      <c r="U4640" s="7"/>
      <c r="V4640" s="10"/>
      <c r="X4640" s="10"/>
      <c r="AA4640" s="11"/>
    </row>
    <row r="4641" spans="2:27" ht="16" x14ac:dyDescent="0.2">
      <c r="B4641" t="s">
        <v>35</v>
      </c>
      <c r="C4641">
        <v>40352031</v>
      </c>
      <c r="D4641" t="s">
        <v>423</v>
      </c>
      <c r="E4641">
        <v>1030337</v>
      </c>
      <c r="F4641" t="s">
        <v>369</v>
      </c>
      <c r="G4641" s="9">
        <v>44919</v>
      </c>
      <c r="H4641" s="7"/>
      <c r="I4641" s="7"/>
      <c r="J4641" s="7"/>
      <c r="K4641" s="7"/>
      <c r="L4641" s="10">
        <v>5.4496124031007751</v>
      </c>
      <c r="M4641" s="9">
        <v>44924</v>
      </c>
      <c r="N4641" s="10">
        <v>10</v>
      </c>
      <c r="O4641" s="9">
        <v>44934</v>
      </c>
      <c r="P4641">
        <v>20</v>
      </c>
      <c r="Q4641" s="11" t="s">
        <v>49</v>
      </c>
      <c r="R4641" s="7"/>
      <c r="S4641" s="7"/>
      <c r="T4641" s="7"/>
      <c r="U4641" s="7"/>
      <c r="V4641" s="10">
        <v>7.4496124031007751</v>
      </c>
      <c r="W4641" s="9">
        <v>44926</v>
      </c>
      <c r="X4641" s="10">
        <v>12</v>
      </c>
      <c r="Y4641" s="9">
        <v>44934</v>
      </c>
      <c r="Z4641">
        <v>20</v>
      </c>
      <c r="AA4641" s="11" t="s">
        <v>49</v>
      </c>
    </row>
    <row r="4642" spans="2:27" ht="16" x14ac:dyDescent="0.2">
      <c r="B4642" t="s">
        <v>35</v>
      </c>
      <c r="C4642">
        <v>40352025</v>
      </c>
      <c r="D4642" t="s">
        <v>423</v>
      </c>
      <c r="E4642">
        <v>1023218</v>
      </c>
      <c r="F4642" t="s">
        <v>265</v>
      </c>
      <c r="G4642" s="9">
        <v>44919</v>
      </c>
      <c r="H4642" s="7"/>
      <c r="I4642" s="7"/>
      <c r="J4642" s="7"/>
      <c r="K4642" s="7"/>
      <c r="L4642" s="10">
        <v>5.4496124031007751</v>
      </c>
      <c r="M4642" s="9">
        <v>44924</v>
      </c>
      <c r="N4642" s="10">
        <v>10</v>
      </c>
      <c r="O4642" s="9">
        <v>44934</v>
      </c>
      <c r="P4642">
        <v>20</v>
      </c>
      <c r="Q4642" s="11" t="s">
        <v>49</v>
      </c>
      <c r="R4642" s="7"/>
      <c r="S4642" s="7"/>
      <c r="T4642" s="7"/>
      <c r="U4642" s="7"/>
      <c r="V4642" s="10">
        <v>7.4496124031007751</v>
      </c>
      <c r="W4642" s="9">
        <v>44926</v>
      </c>
      <c r="X4642" s="10">
        <v>12</v>
      </c>
      <c r="Y4642" s="9">
        <v>44934</v>
      </c>
      <c r="Z4642">
        <v>20</v>
      </c>
      <c r="AA4642" s="11" t="s">
        <v>49</v>
      </c>
    </row>
    <row r="4643" spans="2:27" ht="16" x14ac:dyDescent="0.2">
      <c r="B4643" t="s">
        <v>35</v>
      </c>
      <c r="C4643">
        <v>40352022</v>
      </c>
      <c r="D4643" t="s">
        <v>423</v>
      </c>
      <c r="E4643">
        <v>1023324</v>
      </c>
      <c r="F4643" t="s">
        <v>269</v>
      </c>
      <c r="G4643" s="9">
        <v>44919</v>
      </c>
      <c r="H4643" s="7"/>
      <c r="I4643" s="7"/>
      <c r="J4643" s="7"/>
      <c r="K4643" s="7"/>
      <c r="L4643" s="10">
        <v>5.4496124031007751</v>
      </c>
      <c r="M4643" s="9">
        <v>44924</v>
      </c>
      <c r="N4643" s="10">
        <v>10</v>
      </c>
      <c r="O4643" s="9">
        <v>44934</v>
      </c>
      <c r="P4643">
        <v>20</v>
      </c>
      <c r="Q4643" s="11" t="s">
        <v>49</v>
      </c>
      <c r="R4643" s="7"/>
      <c r="S4643" s="7"/>
      <c r="T4643" s="7"/>
      <c r="U4643" s="7"/>
      <c r="V4643" s="10">
        <v>7.4496124031007751</v>
      </c>
      <c r="W4643" s="9">
        <v>44926</v>
      </c>
      <c r="X4643" s="10">
        <v>12</v>
      </c>
      <c r="Y4643" s="9">
        <v>44934</v>
      </c>
      <c r="Z4643">
        <v>20</v>
      </c>
      <c r="AA4643" s="11" t="s">
        <v>49</v>
      </c>
    </row>
    <row r="4644" spans="2:27" ht="16" x14ac:dyDescent="0.2">
      <c r="B4644" t="s">
        <v>35</v>
      </c>
      <c r="C4644">
        <v>40351981</v>
      </c>
      <c r="D4644" t="s">
        <v>423</v>
      </c>
      <c r="E4644">
        <v>1021270</v>
      </c>
      <c r="F4644" t="s">
        <v>424</v>
      </c>
      <c r="G4644" s="9">
        <v>44924</v>
      </c>
      <c r="H4644" s="7"/>
      <c r="I4644" s="7"/>
      <c r="J4644" s="7"/>
      <c r="K4644" s="7"/>
      <c r="L4644" s="10">
        <v>5.4496124031007751</v>
      </c>
      <c r="M4644" s="9">
        <v>44929</v>
      </c>
      <c r="N4644" s="10">
        <v>10</v>
      </c>
      <c r="O4644" s="9">
        <v>44939</v>
      </c>
      <c r="P4644">
        <v>15</v>
      </c>
      <c r="Q4644" s="11" t="s">
        <v>49</v>
      </c>
      <c r="R4644" s="7"/>
      <c r="S4644" s="7"/>
      <c r="T4644" s="7"/>
      <c r="U4644" s="7"/>
      <c r="V4644" s="10">
        <v>7.4496124031007751</v>
      </c>
      <c r="W4644" s="9">
        <v>44931</v>
      </c>
      <c r="X4644" s="10">
        <v>12</v>
      </c>
      <c r="Y4644" s="9">
        <v>44939</v>
      </c>
      <c r="Z4644">
        <v>15</v>
      </c>
      <c r="AA4644" s="11" t="s">
        <v>49</v>
      </c>
    </row>
    <row r="4645" spans="2:27" ht="16" x14ac:dyDescent="0.2">
      <c r="B4645" t="s">
        <v>35</v>
      </c>
      <c r="C4645">
        <v>40351981</v>
      </c>
      <c r="D4645" t="s">
        <v>423</v>
      </c>
      <c r="E4645">
        <v>1021270</v>
      </c>
      <c r="F4645" t="s">
        <v>424</v>
      </c>
      <c r="G4645" s="9">
        <v>44924</v>
      </c>
      <c r="H4645" s="7"/>
      <c r="I4645" s="7"/>
      <c r="J4645" s="7"/>
      <c r="K4645" s="7"/>
      <c r="L4645" s="10">
        <v>5.4496124031007751</v>
      </c>
      <c r="M4645" s="9">
        <v>44929</v>
      </c>
      <c r="N4645" s="10">
        <v>10</v>
      </c>
      <c r="O4645" s="9">
        <v>44939</v>
      </c>
      <c r="P4645">
        <v>15</v>
      </c>
      <c r="Q4645" s="11" t="s">
        <v>49</v>
      </c>
      <c r="R4645" s="7"/>
      <c r="S4645" s="7"/>
      <c r="T4645" s="7"/>
      <c r="U4645" s="7"/>
      <c r="V4645" s="10">
        <v>7.4496124031007751</v>
      </c>
      <c r="W4645" s="9">
        <v>44931</v>
      </c>
      <c r="X4645" s="10">
        <v>12</v>
      </c>
      <c r="Y4645" s="9">
        <v>44939</v>
      </c>
      <c r="Z4645">
        <v>15</v>
      </c>
      <c r="AA4645" s="11" t="s">
        <v>49</v>
      </c>
    </row>
    <row r="4646" spans="2:27" ht="16" x14ac:dyDescent="0.2">
      <c r="B4646" t="s">
        <v>35</v>
      </c>
      <c r="C4646">
        <v>40351932</v>
      </c>
      <c r="D4646" t="s">
        <v>409</v>
      </c>
      <c r="E4646">
        <v>1012148</v>
      </c>
      <c r="F4646" t="s">
        <v>111</v>
      </c>
      <c r="G4646" s="9">
        <v>44923</v>
      </c>
      <c r="H4646" s="7"/>
      <c r="I4646" s="7"/>
      <c r="J4646" s="7"/>
      <c r="K4646" s="7"/>
      <c r="L4646" s="10">
        <v>7.5</v>
      </c>
      <c r="M4646" s="9">
        <v>44930</v>
      </c>
      <c r="N4646" s="10">
        <v>9.5</v>
      </c>
      <c r="O4646" s="9">
        <v>44939</v>
      </c>
      <c r="P4646">
        <v>14</v>
      </c>
      <c r="Q4646" s="11" t="s">
        <v>49</v>
      </c>
      <c r="R4646" s="7"/>
      <c r="S4646" s="7"/>
      <c r="T4646" s="7"/>
      <c r="U4646" s="7"/>
      <c r="V4646" s="10">
        <v>9.5</v>
      </c>
      <c r="W4646" s="9">
        <v>44932</v>
      </c>
      <c r="X4646" s="10">
        <v>11.5</v>
      </c>
      <c r="Y4646" s="9">
        <v>44939</v>
      </c>
      <c r="Z4646">
        <v>14</v>
      </c>
      <c r="AA4646" s="11" t="s">
        <v>49</v>
      </c>
    </row>
    <row r="4647" spans="2:27" ht="16" x14ac:dyDescent="0.2">
      <c r="B4647" t="s">
        <v>35</v>
      </c>
      <c r="C4647">
        <v>40351906</v>
      </c>
      <c r="D4647" t="s">
        <v>409</v>
      </c>
      <c r="E4647">
        <v>1012167</v>
      </c>
      <c r="F4647" t="s">
        <v>70</v>
      </c>
      <c r="G4647" s="9">
        <v>44928</v>
      </c>
      <c r="H4647" s="7"/>
      <c r="I4647" s="7"/>
      <c r="J4647" s="7"/>
      <c r="K4647" s="7"/>
      <c r="L4647" s="10">
        <v>7.5</v>
      </c>
      <c r="M4647" s="9">
        <v>44935</v>
      </c>
      <c r="N4647" s="10">
        <v>9.5</v>
      </c>
      <c r="O4647" s="9">
        <v>44944</v>
      </c>
      <c r="P4647">
        <v>11</v>
      </c>
      <c r="Q4647" s="11" t="s">
        <v>49</v>
      </c>
      <c r="R4647" s="7"/>
      <c r="S4647" s="7"/>
      <c r="T4647" s="7"/>
      <c r="U4647" s="7"/>
      <c r="V4647" s="10">
        <v>9.5</v>
      </c>
      <c r="W4647" s="9">
        <v>44937</v>
      </c>
      <c r="X4647" s="10">
        <v>11.5</v>
      </c>
      <c r="Y4647" s="9">
        <v>44944</v>
      </c>
      <c r="Z4647">
        <v>11</v>
      </c>
      <c r="AA4647" s="11" t="s">
        <v>49</v>
      </c>
    </row>
    <row r="4648" spans="2:27" ht="16" x14ac:dyDescent="0.2">
      <c r="B4648" t="s">
        <v>35</v>
      </c>
      <c r="C4648">
        <v>40351877</v>
      </c>
      <c r="D4648" t="s">
        <v>409</v>
      </c>
      <c r="E4648">
        <v>1030784</v>
      </c>
      <c r="F4648" t="s">
        <v>363</v>
      </c>
      <c r="G4648" s="9">
        <v>44924</v>
      </c>
      <c r="H4648" s="7"/>
      <c r="I4648" s="7"/>
      <c r="J4648" s="7"/>
      <c r="K4648" s="7"/>
      <c r="L4648" s="10">
        <v>7.5</v>
      </c>
      <c r="M4648" s="9">
        <v>44931</v>
      </c>
      <c r="N4648" s="10">
        <v>9.5</v>
      </c>
      <c r="O4648" s="9">
        <v>44940</v>
      </c>
      <c r="P4648">
        <v>13</v>
      </c>
      <c r="Q4648" s="11" t="s">
        <v>49</v>
      </c>
      <c r="R4648" s="7"/>
      <c r="S4648" s="7"/>
      <c r="T4648" s="7"/>
      <c r="U4648" s="7"/>
      <c r="V4648" s="10">
        <v>9.5</v>
      </c>
      <c r="W4648" s="9">
        <v>44933</v>
      </c>
      <c r="X4648" s="10">
        <v>11.5</v>
      </c>
      <c r="Y4648" s="9">
        <v>44940</v>
      </c>
      <c r="Z4648">
        <v>13</v>
      </c>
      <c r="AA4648" s="11" t="s">
        <v>49</v>
      </c>
    </row>
    <row r="4649" spans="2:27" ht="16" x14ac:dyDescent="0.2">
      <c r="B4649" t="s">
        <v>35</v>
      </c>
      <c r="C4649">
        <v>40351877</v>
      </c>
      <c r="D4649" t="s">
        <v>409</v>
      </c>
      <c r="E4649">
        <v>1030783</v>
      </c>
      <c r="F4649" t="s">
        <v>130</v>
      </c>
      <c r="G4649" s="9">
        <v>44924</v>
      </c>
      <c r="H4649" s="7"/>
      <c r="I4649" s="7"/>
      <c r="J4649" s="7"/>
      <c r="K4649" s="7"/>
      <c r="L4649" s="10">
        <v>7.5</v>
      </c>
      <c r="M4649" s="9">
        <v>44931</v>
      </c>
      <c r="N4649" s="10">
        <v>9.5</v>
      </c>
      <c r="O4649" s="9">
        <v>44940</v>
      </c>
      <c r="P4649">
        <v>13</v>
      </c>
      <c r="Q4649" s="11" t="s">
        <v>49</v>
      </c>
      <c r="R4649" s="7"/>
      <c r="S4649" s="7"/>
      <c r="T4649" s="7"/>
      <c r="U4649" s="7"/>
      <c r="V4649" s="10">
        <v>9.5</v>
      </c>
      <c r="W4649" s="9">
        <v>44933</v>
      </c>
      <c r="X4649" s="10">
        <v>11.5</v>
      </c>
      <c r="Y4649" s="9">
        <v>44940</v>
      </c>
      <c r="Z4649">
        <v>13</v>
      </c>
      <c r="AA4649" s="11" t="s">
        <v>49</v>
      </c>
    </row>
    <row r="4650" spans="2:27" ht="16" x14ac:dyDescent="0.2">
      <c r="B4650" t="s">
        <v>35</v>
      </c>
      <c r="C4650">
        <v>40351877</v>
      </c>
      <c r="D4650" t="s">
        <v>409</v>
      </c>
      <c r="E4650">
        <v>1030782</v>
      </c>
      <c r="F4650" t="s">
        <v>80</v>
      </c>
      <c r="G4650" s="9">
        <v>44924</v>
      </c>
      <c r="H4650" s="7"/>
      <c r="I4650" s="7"/>
      <c r="J4650" s="7"/>
      <c r="K4650" s="7"/>
      <c r="L4650" s="10">
        <v>7.5</v>
      </c>
      <c r="M4650" s="9">
        <v>44931</v>
      </c>
      <c r="N4650" s="10">
        <v>9.5</v>
      </c>
      <c r="O4650" s="9">
        <v>44940</v>
      </c>
      <c r="P4650">
        <v>13</v>
      </c>
      <c r="Q4650" s="11" t="s">
        <v>49</v>
      </c>
      <c r="R4650" s="7"/>
      <c r="S4650" s="7"/>
      <c r="T4650" s="7"/>
      <c r="U4650" s="7"/>
      <c r="V4650" s="10">
        <v>9.5</v>
      </c>
      <c r="W4650" s="9">
        <v>44933</v>
      </c>
      <c r="X4650" s="10">
        <v>11.5</v>
      </c>
      <c r="Y4650" s="9">
        <v>44940</v>
      </c>
      <c r="Z4650">
        <v>13</v>
      </c>
      <c r="AA4650" s="11" t="s">
        <v>49</v>
      </c>
    </row>
    <row r="4651" spans="2:27" ht="16" x14ac:dyDescent="0.2">
      <c r="B4651" t="s">
        <v>35</v>
      </c>
      <c r="C4651">
        <v>40351877</v>
      </c>
      <c r="D4651" t="s">
        <v>409</v>
      </c>
      <c r="E4651">
        <v>1030452</v>
      </c>
      <c r="F4651" t="s">
        <v>77</v>
      </c>
      <c r="G4651" s="9">
        <v>44924</v>
      </c>
      <c r="H4651" s="7"/>
      <c r="I4651" s="7"/>
      <c r="J4651" s="7"/>
      <c r="K4651" s="7"/>
      <c r="L4651" s="10">
        <v>7.5</v>
      </c>
      <c r="M4651" s="9">
        <v>44931</v>
      </c>
      <c r="N4651" s="10">
        <v>9.5</v>
      </c>
      <c r="O4651" s="9">
        <v>44940</v>
      </c>
      <c r="P4651">
        <v>13</v>
      </c>
      <c r="Q4651" s="11" t="s">
        <v>49</v>
      </c>
      <c r="R4651" s="7"/>
      <c r="S4651" s="7"/>
      <c r="T4651" s="7"/>
      <c r="U4651" s="7"/>
      <c r="V4651" s="10">
        <v>9.5</v>
      </c>
      <c r="W4651" s="9">
        <v>44933</v>
      </c>
      <c r="X4651" s="10">
        <v>11.5</v>
      </c>
      <c r="Y4651" s="9">
        <v>44940</v>
      </c>
      <c r="Z4651">
        <v>13</v>
      </c>
      <c r="AA4651" s="11" t="s">
        <v>49</v>
      </c>
    </row>
    <row r="4652" spans="2:27" ht="16" x14ac:dyDescent="0.2">
      <c r="B4652" t="s">
        <v>35</v>
      </c>
      <c r="C4652">
        <v>40351877</v>
      </c>
      <c r="D4652" t="s">
        <v>409</v>
      </c>
      <c r="E4652">
        <v>1030376</v>
      </c>
      <c r="F4652" t="s">
        <v>357</v>
      </c>
      <c r="G4652" s="9">
        <v>44924</v>
      </c>
      <c r="H4652" s="7"/>
      <c r="I4652" s="7"/>
      <c r="J4652" s="7"/>
      <c r="K4652" s="7"/>
      <c r="L4652" s="10">
        <v>7.5</v>
      </c>
      <c r="M4652" s="9">
        <v>44931</v>
      </c>
      <c r="N4652" s="10">
        <v>9.5</v>
      </c>
      <c r="O4652" s="9">
        <v>44940</v>
      </c>
      <c r="P4652">
        <v>13</v>
      </c>
      <c r="Q4652" s="11" t="s">
        <v>49</v>
      </c>
      <c r="R4652" s="7"/>
      <c r="S4652" s="7"/>
      <c r="T4652" s="7"/>
      <c r="U4652" s="7"/>
      <c r="V4652" s="10">
        <v>9.5</v>
      </c>
      <c r="W4652" s="9">
        <v>44933</v>
      </c>
      <c r="X4652" s="10">
        <v>11.5</v>
      </c>
      <c r="Y4652" s="9">
        <v>44940</v>
      </c>
      <c r="Z4652">
        <v>13</v>
      </c>
      <c r="AA4652" s="11" t="s">
        <v>49</v>
      </c>
    </row>
    <row r="4653" spans="2:27" ht="16" x14ac:dyDescent="0.2">
      <c r="B4653" t="s">
        <v>35</v>
      </c>
      <c r="C4653">
        <v>40351708</v>
      </c>
      <c r="D4653" t="s">
        <v>409</v>
      </c>
      <c r="E4653">
        <v>1012483</v>
      </c>
      <c r="F4653" t="s">
        <v>90</v>
      </c>
      <c r="G4653" s="9">
        <v>44930</v>
      </c>
      <c r="H4653" s="7"/>
      <c r="I4653" s="7"/>
      <c r="J4653" s="7"/>
      <c r="K4653" s="7"/>
      <c r="L4653" s="10">
        <v>7.5</v>
      </c>
      <c r="M4653" s="9">
        <v>44937</v>
      </c>
      <c r="N4653" s="10">
        <v>9.5</v>
      </c>
      <c r="O4653" s="9">
        <v>44946</v>
      </c>
      <c r="P4653">
        <v>9</v>
      </c>
      <c r="Q4653" s="11" t="s">
        <v>49</v>
      </c>
      <c r="R4653" s="7"/>
      <c r="S4653" s="7"/>
      <c r="T4653" s="7"/>
      <c r="U4653" s="7"/>
      <c r="V4653" s="10">
        <v>9.5</v>
      </c>
      <c r="W4653" s="9">
        <v>44939</v>
      </c>
      <c r="X4653" s="10">
        <v>11.5</v>
      </c>
      <c r="Y4653" s="9">
        <v>44946</v>
      </c>
      <c r="Z4653">
        <v>9</v>
      </c>
      <c r="AA4653" s="11" t="s">
        <v>49</v>
      </c>
    </row>
    <row r="4654" spans="2:27" ht="16" x14ac:dyDescent="0.2">
      <c r="B4654" t="s">
        <v>35</v>
      </c>
      <c r="C4654">
        <v>40351699</v>
      </c>
      <c r="D4654" t="s">
        <v>409</v>
      </c>
      <c r="E4654">
        <v>1012518</v>
      </c>
      <c r="F4654" t="s">
        <v>65</v>
      </c>
      <c r="G4654" s="9">
        <v>44949</v>
      </c>
      <c r="H4654" s="7"/>
      <c r="I4654" s="7"/>
      <c r="J4654" s="7"/>
      <c r="K4654" s="7"/>
      <c r="L4654" s="10">
        <v>7.5</v>
      </c>
      <c r="M4654" s="9">
        <v>44956</v>
      </c>
      <c r="N4654" s="10">
        <v>9.5</v>
      </c>
      <c r="O4654" s="9">
        <v>44965</v>
      </c>
      <c r="P4654">
        <v>16</v>
      </c>
      <c r="Q4654" s="11" t="s">
        <v>49</v>
      </c>
      <c r="R4654" s="7"/>
      <c r="S4654" s="7"/>
      <c r="T4654" s="7"/>
      <c r="U4654" s="7"/>
      <c r="V4654" s="10">
        <v>9.5</v>
      </c>
      <c r="W4654" s="9">
        <v>44958</v>
      </c>
      <c r="X4654" s="10">
        <v>11.5</v>
      </c>
      <c r="Y4654" s="9">
        <v>44965</v>
      </c>
      <c r="Z4654">
        <v>16</v>
      </c>
      <c r="AA4654" s="11" t="s">
        <v>49</v>
      </c>
    </row>
    <row r="4655" spans="2:27" ht="16" x14ac:dyDescent="0.2">
      <c r="B4655" t="s">
        <v>35</v>
      </c>
      <c r="C4655">
        <v>40351660</v>
      </c>
      <c r="D4655" t="s">
        <v>389</v>
      </c>
      <c r="E4655">
        <v>1030685</v>
      </c>
      <c r="F4655" t="s">
        <v>413</v>
      </c>
      <c r="G4655" s="9">
        <v>44945</v>
      </c>
      <c r="H4655" s="7"/>
      <c r="I4655" s="7"/>
      <c r="J4655" s="7"/>
      <c r="K4655" s="7"/>
      <c r="L4655" s="10">
        <v>5.5741092456127026</v>
      </c>
      <c r="M4655" s="9">
        <v>44950</v>
      </c>
      <c r="N4655" s="10">
        <v>5.5</v>
      </c>
      <c r="O4655" s="9">
        <v>44955</v>
      </c>
      <c r="P4655">
        <v>2</v>
      </c>
      <c r="Q4655" s="11" t="s">
        <v>648</v>
      </c>
      <c r="R4655" s="7"/>
      <c r="S4655" s="7"/>
      <c r="T4655" s="7"/>
      <c r="U4655" s="7"/>
      <c r="V4655" s="10">
        <v>7.5741092456127026</v>
      </c>
      <c r="W4655" s="9">
        <v>44952</v>
      </c>
      <c r="X4655" s="10">
        <v>7.5</v>
      </c>
      <c r="Y4655" s="9">
        <v>44955</v>
      </c>
      <c r="Z4655">
        <v>2</v>
      </c>
      <c r="AA4655" s="11" t="s">
        <v>648</v>
      </c>
    </row>
    <row r="4656" spans="2:27" ht="16" x14ac:dyDescent="0.2">
      <c r="B4656" t="s">
        <v>35</v>
      </c>
      <c r="C4656">
        <v>40351641</v>
      </c>
      <c r="D4656" t="s">
        <v>389</v>
      </c>
      <c r="E4656">
        <v>1022851</v>
      </c>
      <c r="F4656" t="s">
        <v>322</v>
      </c>
      <c r="G4656" s="9">
        <v>44969</v>
      </c>
      <c r="H4656" s="7"/>
      <c r="I4656" s="7"/>
      <c r="J4656" s="7"/>
      <c r="K4656" s="7"/>
      <c r="L4656" s="10">
        <v>5.5741092456127026</v>
      </c>
      <c r="M4656" s="9">
        <v>44974</v>
      </c>
      <c r="N4656" s="10">
        <v>5.5</v>
      </c>
      <c r="O4656" s="9">
        <v>44979</v>
      </c>
      <c r="P4656">
        <v>5</v>
      </c>
      <c r="Q4656" s="11" t="s">
        <v>49</v>
      </c>
      <c r="R4656" s="7"/>
      <c r="S4656" s="7"/>
      <c r="T4656" s="7"/>
      <c r="U4656" s="7"/>
      <c r="V4656" s="10">
        <v>7.5741092456127026</v>
      </c>
      <c r="W4656" s="9">
        <v>44976</v>
      </c>
      <c r="X4656" s="10">
        <v>7.5</v>
      </c>
      <c r="Y4656" s="9">
        <v>44979</v>
      </c>
      <c r="Z4656">
        <v>5</v>
      </c>
      <c r="AA4656" s="11" t="s">
        <v>49</v>
      </c>
    </row>
    <row r="4657" spans="2:27" ht="16" x14ac:dyDescent="0.2">
      <c r="B4657" t="s">
        <v>35</v>
      </c>
      <c r="C4657">
        <v>40351641</v>
      </c>
      <c r="D4657" t="s">
        <v>389</v>
      </c>
      <c r="E4657">
        <v>1022851</v>
      </c>
      <c r="F4657" t="s">
        <v>322</v>
      </c>
      <c r="G4657" s="9">
        <v>44969</v>
      </c>
      <c r="H4657" s="7"/>
      <c r="I4657" s="7"/>
      <c r="J4657" s="7"/>
      <c r="K4657" s="7"/>
      <c r="L4657" s="10">
        <v>5.5741092456127026</v>
      </c>
      <c r="M4657" s="9">
        <v>44974</v>
      </c>
      <c r="N4657" s="10">
        <v>5.5</v>
      </c>
      <c r="O4657" s="9">
        <v>44979</v>
      </c>
      <c r="P4657">
        <v>5</v>
      </c>
      <c r="Q4657" s="11" t="s">
        <v>49</v>
      </c>
      <c r="R4657" s="7"/>
      <c r="S4657" s="7"/>
      <c r="T4657" s="7"/>
      <c r="U4657" s="7"/>
      <c r="V4657" s="10">
        <v>7.5741092456127026</v>
      </c>
      <c r="W4657" s="9">
        <v>44976</v>
      </c>
      <c r="X4657" s="10">
        <v>7.5</v>
      </c>
      <c r="Y4657" s="9">
        <v>44979</v>
      </c>
      <c r="Z4657">
        <v>5</v>
      </c>
      <c r="AA4657" s="11" t="s">
        <v>49</v>
      </c>
    </row>
    <row r="4658" spans="2:27" ht="16" x14ac:dyDescent="0.2">
      <c r="B4658" t="s">
        <v>35</v>
      </c>
      <c r="C4658">
        <v>40351621</v>
      </c>
      <c r="D4658" t="s">
        <v>389</v>
      </c>
      <c r="E4658">
        <v>1022639</v>
      </c>
      <c r="F4658" t="s">
        <v>316</v>
      </c>
      <c r="G4658" s="9">
        <v>44941</v>
      </c>
      <c r="H4658" s="7"/>
      <c r="I4658" s="7"/>
      <c r="J4658" s="7"/>
      <c r="K4658" s="7"/>
      <c r="L4658" s="10">
        <v>5.5741092456127026</v>
      </c>
      <c r="M4658" s="9">
        <v>44946</v>
      </c>
      <c r="N4658" s="10">
        <v>5.5</v>
      </c>
      <c r="O4658" s="9">
        <v>44951</v>
      </c>
      <c r="P4658">
        <v>5</v>
      </c>
      <c r="Q4658" s="11" t="s">
        <v>49</v>
      </c>
      <c r="R4658" s="7"/>
      <c r="S4658" s="7"/>
      <c r="T4658" s="7"/>
      <c r="U4658" s="7"/>
      <c r="V4658" s="10">
        <v>7.5741092456127026</v>
      </c>
      <c r="W4658" s="9">
        <v>44948</v>
      </c>
      <c r="X4658" s="10">
        <v>7.5</v>
      </c>
      <c r="Y4658" s="9">
        <v>44951</v>
      </c>
      <c r="Z4658">
        <v>5</v>
      </c>
      <c r="AA4658" s="11" t="s">
        <v>49</v>
      </c>
    </row>
    <row r="4659" spans="2:27" ht="16" x14ac:dyDescent="0.2">
      <c r="B4659" t="s">
        <v>35</v>
      </c>
      <c r="C4659">
        <v>40351618</v>
      </c>
      <c r="D4659" t="s">
        <v>389</v>
      </c>
      <c r="E4659">
        <v>1022639</v>
      </c>
      <c r="F4659" t="s">
        <v>316</v>
      </c>
      <c r="G4659" s="9">
        <v>44940</v>
      </c>
      <c r="H4659" s="7"/>
      <c r="I4659" s="7"/>
      <c r="J4659" s="7"/>
      <c r="K4659" s="7"/>
      <c r="L4659" s="10">
        <v>5.5741092456127026</v>
      </c>
      <c r="M4659" s="9">
        <v>44945</v>
      </c>
      <c r="N4659" s="10">
        <v>5.5</v>
      </c>
      <c r="O4659" s="9">
        <v>44950</v>
      </c>
      <c r="P4659">
        <v>6</v>
      </c>
      <c r="Q4659" s="11" t="s">
        <v>49</v>
      </c>
      <c r="R4659" s="7"/>
      <c r="S4659" s="7"/>
      <c r="T4659" s="7"/>
      <c r="U4659" s="7"/>
      <c r="V4659" s="10">
        <v>7.5741092456127026</v>
      </c>
      <c r="W4659" s="9">
        <v>44947</v>
      </c>
      <c r="X4659" s="10">
        <v>7.5</v>
      </c>
      <c r="Y4659" s="9">
        <v>44950</v>
      </c>
      <c r="Z4659">
        <v>6</v>
      </c>
      <c r="AA4659" s="11" t="s">
        <v>49</v>
      </c>
    </row>
    <row r="4660" spans="2:27" ht="16" x14ac:dyDescent="0.2">
      <c r="B4660" t="s">
        <v>35</v>
      </c>
      <c r="C4660">
        <v>40351582</v>
      </c>
      <c r="D4660" t="s">
        <v>389</v>
      </c>
      <c r="E4660">
        <v>1022212</v>
      </c>
      <c r="F4660" t="s">
        <v>300</v>
      </c>
      <c r="G4660" s="9">
        <v>44936</v>
      </c>
      <c r="H4660" s="7"/>
      <c r="I4660" s="7"/>
      <c r="J4660" s="7"/>
      <c r="K4660" s="7"/>
      <c r="L4660" s="10">
        <v>5.5741092456127026</v>
      </c>
      <c r="M4660" s="9">
        <v>44941</v>
      </c>
      <c r="N4660" s="10">
        <v>5.5</v>
      </c>
      <c r="O4660" s="9">
        <v>44946</v>
      </c>
      <c r="P4660">
        <v>7</v>
      </c>
      <c r="Q4660" s="11" t="s">
        <v>49</v>
      </c>
      <c r="R4660" s="7"/>
      <c r="S4660" s="7"/>
      <c r="T4660" s="7"/>
      <c r="U4660" s="7"/>
      <c r="V4660" s="10">
        <v>7.5741092456127026</v>
      </c>
      <c r="W4660" s="9">
        <v>44943</v>
      </c>
      <c r="X4660" s="10">
        <v>7.5</v>
      </c>
      <c r="Y4660" s="9">
        <v>44946</v>
      </c>
      <c r="Z4660">
        <v>7</v>
      </c>
      <c r="AA4660" s="11" t="s">
        <v>49</v>
      </c>
    </row>
    <row r="4661" spans="2:27" ht="16" x14ac:dyDescent="0.2">
      <c r="B4661" t="s">
        <v>35</v>
      </c>
      <c r="C4661">
        <v>40351582</v>
      </c>
      <c r="D4661" t="s">
        <v>389</v>
      </c>
      <c r="E4661">
        <v>1022212</v>
      </c>
      <c r="F4661" t="s">
        <v>300</v>
      </c>
      <c r="G4661" s="9">
        <v>44936</v>
      </c>
      <c r="H4661" s="7"/>
      <c r="I4661" s="7"/>
      <c r="J4661" s="7"/>
      <c r="K4661" s="7"/>
      <c r="L4661" s="10">
        <v>5.5741092456127026</v>
      </c>
      <c r="M4661" s="9">
        <v>44941</v>
      </c>
      <c r="N4661" s="10">
        <v>5.5</v>
      </c>
      <c r="O4661" s="9">
        <v>44946</v>
      </c>
      <c r="P4661">
        <v>7</v>
      </c>
      <c r="Q4661" s="11" t="s">
        <v>49</v>
      </c>
      <c r="R4661" s="7"/>
      <c r="S4661" s="7"/>
      <c r="T4661" s="7"/>
      <c r="U4661" s="7"/>
      <c r="V4661" s="10">
        <v>7.5741092456127026</v>
      </c>
      <c r="W4661" s="9">
        <v>44943</v>
      </c>
      <c r="X4661" s="10">
        <v>7.5</v>
      </c>
      <c r="Y4661" s="9">
        <v>44946</v>
      </c>
      <c r="Z4661">
        <v>7</v>
      </c>
      <c r="AA4661" s="11" t="s">
        <v>49</v>
      </c>
    </row>
    <row r="4662" spans="2:27" ht="16" x14ac:dyDescent="0.2">
      <c r="B4662" t="s">
        <v>35</v>
      </c>
      <c r="C4662">
        <v>40351562</v>
      </c>
      <c r="D4662" t="s">
        <v>389</v>
      </c>
      <c r="E4662">
        <v>1022373</v>
      </c>
      <c r="F4662" t="s">
        <v>302</v>
      </c>
      <c r="G4662" s="9">
        <v>44952</v>
      </c>
      <c r="H4662" s="7"/>
      <c r="I4662" s="7"/>
      <c r="J4662" s="7"/>
      <c r="K4662" s="7"/>
      <c r="L4662" s="10">
        <v>5.5741092456127026</v>
      </c>
      <c r="M4662" s="9">
        <v>44957</v>
      </c>
      <c r="N4662" s="10">
        <v>5.5</v>
      </c>
      <c r="O4662" s="9">
        <v>44962</v>
      </c>
      <c r="P4662">
        <v>20</v>
      </c>
      <c r="Q4662" s="11" t="s">
        <v>49</v>
      </c>
      <c r="R4662" s="7"/>
      <c r="S4662" s="7"/>
      <c r="T4662" s="7"/>
      <c r="U4662" s="7"/>
      <c r="V4662" s="10">
        <v>7.5741092456127026</v>
      </c>
      <c r="W4662" s="9">
        <v>44959</v>
      </c>
      <c r="X4662" s="10">
        <v>7.5</v>
      </c>
      <c r="Y4662" s="9">
        <v>44962</v>
      </c>
      <c r="Z4662">
        <v>20</v>
      </c>
      <c r="AA4662" s="11" t="s">
        <v>49</v>
      </c>
    </row>
    <row r="4663" spans="2:27" ht="16" x14ac:dyDescent="0.2">
      <c r="B4663" t="s">
        <v>35</v>
      </c>
      <c r="C4663">
        <v>40351551</v>
      </c>
      <c r="D4663" t="s">
        <v>389</v>
      </c>
      <c r="E4663">
        <v>1022169</v>
      </c>
      <c r="F4663" t="s">
        <v>298</v>
      </c>
      <c r="G4663" s="9">
        <v>44941</v>
      </c>
      <c r="H4663" s="7"/>
      <c r="I4663" s="7"/>
      <c r="J4663" s="7"/>
      <c r="K4663" s="7"/>
      <c r="L4663" s="10">
        <v>5.5741092456127026</v>
      </c>
      <c r="M4663" s="9">
        <v>44946</v>
      </c>
      <c r="N4663" s="10">
        <v>5.5</v>
      </c>
      <c r="O4663" s="9">
        <v>44951</v>
      </c>
      <c r="P4663">
        <v>5</v>
      </c>
      <c r="Q4663" s="11" t="s">
        <v>49</v>
      </c>
      <c r="R4663" s="7"/>
      <c r="S4663" s="7"/>
      <c r="T4663" s="7"/>
      <c r="U4663" s="7"/>
      <c r="V4663" s="10">
        <v>7.5741092456127026</v>
      </c>
      <c r="W4663" s="9">
        <v>44948</v>
      </c>
      <c r="X4663" s="10">
        <v>7.5</v>
      </c>
      <c r="Y4663" s="9">
        <v>44951</v>
      </c>
      <c r="Z4663">
        <v>5</v>
      </c>
      <c r="AA4663" s="11" t="s">
        <v>49</v>
      </c>
    </row>
    <row r="4664" spans="2:27" ht="16" x14ac:dyDescent="0.2">
      <c r="B4664" t="s">
        <v>35</v>
      </c>
      <c r="C4664">
        <v>40351499</v>
      </c>
      <c r="D4664" t="s">
        <v>389</v>
      </c>
      <c r="E4664">
        <v>1023306</v>
      </c>
      <c r="F4664" t="s">
        <v>330</v>
      </c>
      <c r="G4664" s="9">
        <v>44941</v>
      </c>
      <c r="H4664" s="7"/>
      <c r="I4664" s="7"/>
      <c r="J4664" s="7"/>
      <c r="K4664" s="7"/>
      <c r="L4664" s="10">
        <v>5.5741092456127026</v>
      </c>
      <c r="M4664" s="9">
        <v>44946</v>
      </c>
      <c r="N4664" s="10">
        <v>5.5</v>
      </c>
      <c r="O4664" s="9">
        <v>44951</v>
      </c>
      <c r="P4664">
        <v>5</v>
      </c>
      <c r="Q4664" s="11" t="s">
        <v>49</v>
      </c>
      <c r="R4664" s="7"/>
      <c r="S4664" s="7"/>
      <c r="T4664" s="7"/>
      <c r="U4664" s="7"/>
      <c r="V4664" s="10">
        <v>7.5741092456127026</v>
      </c>
      <c r="W4664" s="9">
        <v>44948</v>
      </c>
      <c r="X4664" s="10">
        <v>7.5</v>
      </c>
      <c r="Y4664" s="9">
        <v>44951</v>
      </c>
      <c r="Z4664">
        <v>5</v>
      </c>
      <c r="AA4664" s="11" t="s">
        <v>49</v>
      </c>
    </row>
    <row r="4665" spans="2:27" ht="16" x14ac:dyDescent="0.2">
      <c r="B4665" t="s">
        <v>35</v>
      </c>
      <c r="C4665">
        <v>40351494</v>
      </c>
      <c r="D4665" t="s">
        <v>389</v>
      </c>
      <c r="E4665">
        <v>1022388</v>
      </c>
      <c r="F4665" t="s">
        <v>170</v>
      </c>
      <c r="G4665" s="9">
        <v>44936</v>
      </c>
      <c r="H4665" s="7"/>
      <c r="I4665" s="7"/>
      <c r="J4665" s="7"/>
      <c r="K4665" s="7"/>
      <c r="L4665" s="10">
        <v>5.5741092456127026</v>
      </c>
      <c r="M4665" s="9">
        <v>44941</v>
      </c>
      <c r="N4665" s="10">
        <v>5.5</v>
      </c>
      <c r="O4665" s="9">
        <v>44946</v>
      </c>
      <c r="P4665">
        <v>7</v>
      </c>
      <c r="Q4665" s="11" t="s">
        <v>49</v>
      </c>
      <c r="R4665" s="7"/>
      <c r="S4665" s="7"/>
      <c r="T4665" s="7"/>
      <c r="U4665" s="7"/>
      <c r="V4665" s="10">
        <v>7.5741092456127026</v>
      </c>
      <c r="W4665" s="9">
        <v>44943</v>
      </c>
      <c r="X4665" s="10">
        <v>7.5</v>
      </c>
      <c r="Y4665" s="9">
        <v>44946</v>
      </c>
      <c r="Z4665">
        <v>7</v>
      </c>
      <c r="AA4665" s="11" t="s">
        <v>49</v>
      </c>
    </row>
    <row r="4666" spans="2:27" ht="16" x14ac:dyDescent="0.2">
      <c r="B4666" t="s">
        <v>35</v>
      </c>
      <c r="C4666">
        <v>40351470</v>
      </c>
      <c r="D4666" t="s">
        <v>389</v>
      </c>
      <c r="E4666">
        <v>1021733</v>
      </c>
      <c r="F4666" t="s">
        <v>277</v>
      </c>
      <c r="G4666" s="9">
        <v>44989</v>
      </c>
      <c r="H4666" s="7">
        <v>23893.39</v>
      </c>
      <c r="I4666" s="7"/>
      <c r="J4666" s="7"/>
      <c r="K4666" s="7"/>
      <c r="L4666" s="10">
        <v>5.5741092456127026</v>
      </c>
      <c r="M4666" s="9">
        <v>44994</v>
      </c>
      <c r="N4666" s="10">
        <v>5.5</v>
      </c>
      <c r="O4666" s="9">
        <v>44999</v>
      </c>
      <c r="P4666">
        <v>15</v>
      </c>
      <c r="Q4666" s="11" t="s">
        <v>49</v>
      </c>
      <c r="R4666" s="7">
        <v>23893.39</v>
      </c>
      <c r="S4666" s="7"/>
      <c r="T4666" s="7"/>
      <c r="U4666" s="7"/>
      <c r="V4666" s="10">
        <v>7.5741092456127026</v>
      </c>
      <c r="W4666" s="9">
        <v>44996</v>
      </c>
      <c r="X4666" s="10">
        <v>7.5</v>
      </c>
      <c r="Y4666" s="9">
        <v>44999</v>
      </c>
      <c r="Z4666">
        <v>15</v>
      </c>
      <c r="AA4666" s="11" t="s">
        <v>49</v>
      </c>
    </row>
    <row r="4667" spans="2:27" ht="16" x14ac:dyDescent="0.2">
      <c r="B4667" t="s">
        <v>35</v>
      </c>
      <c r="C4667">
        <v>40351467</v>
      </c>
      <c r="D4667" t="s">
        <v>389</v>
      </c>
      <c r="E4667">
        <v>1021733</v>
      </c>
      <c r="F4667" t="s">
        <v>277</v>
      </c>
      <c r="G4667" s="9">
        <v>44989</v>
      </c>
      <c r="H4667" s="7">
        <v>24023.46</v>
      </c>
      <c r="I4667" s="7"/>
      <c r="J4667" s="7"/>
      <c r="K4667" s="7"/>
      <c r="L4667" s="10">
        <v>5.5741092456127026</v>
      </c>
      <c r="M4667" s="9">
        <v>44994</v>
      </c>
      <c r="N4667" s="10">
        <v>5.5</v>
      </c>
      <c r="O4667" s="9">
        <v>44999</v>
      </c>
      <c r="P4667">
        <v>15</v>
      </c>
      <c r="Q4667" s="11" t="s">
        <v>49</v>
      </c>
      <c r="R4667" s="7">
        <v>24023.46</v>
      </c>
      <c r="S4667" s="7"/>
      <c r="T4667" s="7"/>
      <c r="U4667" s="7"/>
      <c r="V4667" s="10">
        <v>7.5741092456127026</v>
      </c>
      <c r="W4667" s="9">
        <v>44996</v>
      </c>
      <c r="X4667" s="10">
        <v>7.5</v>
      </c>
      <c r="Y4667" s="9">
        <v>44999</v>
      </c>
      <c r="Z4667">
        <v>15</v>
      </c>
      <c r="AA4667" s="11" t="s">
        <v>49</v>
      </c>
    </row>
    <row r="4668" spans="2:27" ht="16" x14ac:dyDescent="0.2">
      <c r="B4668" t="s">
        <v>35</v>
      </c>
      <c r="C4668">
        <v>40351466</v>
      </c>
      <c r="D4668" t="s">
        <v>389</v>
      </c>
      <c r="E4668">
        <v>1021733</v>
      </c>
      <c r="F4668" t="s">
        <v>277</v>
      </c>
      <c r="G4668" s="9">
        <v>44985</v>
      </c>
      <c r="H4668" s="7">
        <v>24059.96</v>
      </c>
      <c r="I4668" s="7"/>
      <c r="J4668" s="7"/>
      <c r="K4668" s="7"/>
      <c r="L4668" s="10">
        <v>5.5741092456127026</v>
      </c>
      <c r="M4668" s="9">
        <v>44990</v>
      </c>
      <c r="N4668" s="10">
        <v>5.5</v>
      </c>
      <c r="O4668" s="9">
        <v>44995</v>
      </c>
      <c r="P4668">
        <v>18</v>
      </c>
      <c r="Q4668" s="11" t="s">
        <v>49</v>
      </c>
      <c r="R4668" s="7">
        <v>24059.96</v>
      </c>
      <c r="S4668" s="7"/>
      <c r="T4668" s="7"/>
      <c r="U4668" s="7"/>
      <c r="V4668" s="10">
        <v>7.5741092456127026</v>
      </c>
      <c r="W4668" s="9">
        <v>44992</v>
      </c>
      <c r="X4668" s="10">
        <v>7.5</v>
      </c>
      <c r="Y4668" s="9">
        <v>44995</v>
      </c>
      <c r="Z4668">
        <v>18</v>
      </c>
      <c r="AA4668" s="11" t="s">
        <v>49</v>
      </c>
    </row>
    <row r="4669" spans="2:27" ht="16" x14ac:dyDescent="0.2">
      <c r="B4669" t="s">
        <v>35</v>
      </c>
      <c r="C4669">
        <v>40351463</v>
      </c>
      <c r="D4669" t="s">
        <v>389</v>
      </c>
      <c r="E4669">
        <v>1021733</v>
      </c>
      <c r="F4669" t="s">
        <v>277</v>
      </c>
      <c r="G4669" s="9">
        <v>44985</v>
      </c>
      <c r="H4669" s="7">
        <v>24092.51</v>
      </c>
      <c r="I4669" s="7"/>
      <c r="J4669" s="7"/>
      <c r="K4669" s="7"/>
      <c r="L4669" s="10">
        <v>5.5741092456127026</v>
      </c>
      <c r="M4669" s="9">
        <v>44990</v>
      </c>
      <c r="N4669" s="10">
        <v>5.5</v>
      </c>
      <c r="O4669" s="9">
        <v>44995</v>
      </c>
      <c r="P4669">
        <v>18</v>
      </c>
      <c r="Q4669" s="11" t="s">
        <v>49</v>
      </c>
      <c r="R4669" s="7">
        <v>24092.51</v>
      </c>
      <c r="S4669" s="7"/>
      <c r="T4669" s="7"/>
      <c r="U4669" s="7"/>
      <c r="V4669" s="10">
        <v>7.5741092456127026</v>
      </c>
      <c r="W4669" s="9">
        <v>44992</v>
      </c>
      <c r="X4669" s="10">
        <v>7.5</v>
      </c>
      <c r="Y4669" s="9">
        <v>44995</v>
      </c>
      <c r="Z4669">
        <v>18</v>
      </c>
      <c r="AA4669" s="11" t="s">
        <v>49</v>
      </c>
    </row>
    <row r="4670" spans="2:27" ht="16" x14ac:dyDescent="0.2">
      <c r="B4670" t="s">
        <v>35</v>
      </c>
      <c r="C4670">
        <v>40351462</v>
      </c>
      <c r="D4670" t="s">
        <v>389</v>
      </c>
      <c r="E4670">
        <v>1021733</v>
      </c>
      <c r="F4670" t="s">
        <v>277</v>
      </c>
      <c r="G4670" s="9">
        <v>44985</v>
      </c>
      <c r="H4670" s="7">
        <v>24059.54</v>
      </c>
      <c r="I4670" s="7"/>
      <c r="J4670" s="7"/>
      <c r="K4670" s="7"/>
      <c r="L4670" s="10">
        <v>5.5741092456127026</v>
      </c>
      <c r="M4670" s="9">
        <v>44990</v>
      </c>
      <c r="N4670" s="10">
        <v>5.5</v>
      </c>
      <c r="O4670" s="9">
        <v>44995</v>
      </c>
      <c r="P4670">
        <v>18</v>
      </c>
      <c r="Q4670" s="11" t="s">
        <v>49</v>
      </c>
      <c r="R4670" s="7">
        <v>24059.54</v>
      </c>
      <c r="S4670" s="7"/>
      <c r="T4670" s="7"/>
      <c r="U4670" s="7"/>
      <c r="V4670" s="10">
        <v>7.5741092456127026</v>
      </c>
      <c r="W4670" s="9">
        <v>44992</v>
      </c>
      <c r="X4670" s="10">
        <v>7.5</v>
      </c>
      <c r="Y4670" s="9">
        <v>44995</v>
      </c>
      <c r="Z4670">
        <v>18</v>
      </c>
      <c r="AA4670" s="11" t="s">
        <v>49</v>
      </c>
    </row>
    <row r="4671" spans="2:27" ht="16" x14ac:dyDescent="0.2">
      <c r="B4671" t="s">
        <v>35</v>
      </c>
      <c r="C4671">
        <v>40351461</v>
      </c>
      <c r="D4671" t="s">
        <v>389</v>
      </c>
      <c r="E4671">
        <v>1021733</v>
      </c>
      <c r="F4671" t="s">
        <v>277</v>
      </c>
      <c r="G4671" s="9">
        <v>44985</v>
      </c>
      <c r="H4671" s="7">
        <v>23724.37</v>
      </c>
      <c r="I4671" s="7"/>
      <c r="J4671" s="7"/>
      <c r="K4671" s="7"/>
      <c r="L4671" s="10">
        <v>5.5741092456127026</v>
      </c>
      <c r="M4671" s="9">
        <v>44990</v>
      </c>
      <c r="N4671" s="10">
        <v>5.5</v>
      </c>
      <c r="O4671" s="9">
        <v>44995</v>
      </c>
      <c r="P4671">
        <v>18</v>
      </c>
      <c r="Q4671" s="11" t="s">
        <v>49</v>
      </c>
      <c r="R4671" s="7">
        <v>23724.37</v>
      </c>
      <c r="S4671" s="7"/>
      <c r="T4671" s="7"/>
      <c r="U4671" s="7"/>
      <c r="V4671" s="10">
        <v>7.5741092456127026</v>
      </c>
      <c r="W4671" s="9">
        <v>44992</v>
      </c>
      <c r="X4671" s="10">
        <v>7.5</v>
      </c>
      <c r="Y4671" s="9">
        <v>44995</v>
      </c>
      <c r="Z4671">
        <v>18</v>
      </c>
      <c r="AA4671" s="11" t="s">
        <v>49</v>
      </c>
    </row>
    <row r="4672" spans="2:27" ht="16" x14ac:dyDescent="0.2">
      <c r="B4672" t="s">
        <v>35</v>
      </c>
      <c r="C4672">
        <v>40351460</v>
      </c>
      <c r="D4672" t="s">
        <v>389</v>
      </c>
      <c r="E4672">
        <v>1021733</v>
      </c>
      <c r="F4672" t="s">
        <v>277</v>
      </c>
      <c r="G4672" s="9">
        <v>44985</v>
      </c>
      <c r="H4672" s="7">
        <v>24181.11</v>
      </c>
      <c r="I4672" s="7"/>
      <c r="J4672" s="7"/>
      <c r="K4672" s="7"/>
      <c r="L4672" s="10">
        <v>5.5741092456127026</v>
      </c>
      <c r="M4672" s="9">
        <v>44990</v>
      </c>
      <c r="N4672" s="10">
        <v>5.5</v>
      </c>
      <c r="O4672" s="9">
        <v>44995</v>
      </c>
      <c r="P4672">
        <v>18</v>
      </c>
      <c r="Q4672" s="11" t="s">
        <v>49</v>
      </c>
      <c r="R4672" s="7">
        <v>24181.11</v>
      </c>
      <c r="S4672" s="7"/>
      <c r="T4672" s="7"/>
      <c r="U4672" s="7"/>
      <c r="V4672" s="10">
        <v>7.5741092456127026</v>
      </c>
      <c r="W4672" s="9">
        <v>44992</v>
      </c>
      <c r="X4672" s="10">
        <v>7.5</v>
      </c>
      <c r="Y4672" s="9">
        <v>44995</v>
      </c>
      <c r="Z4672">
        <v>18</v>
      </c>
      <c r="AA4672" s="11" t="s">
        <v>49</v>
      </c>
    </row>
    <row r="4673" spans="2:27" ht="16" x14ac:dyDescent="0.2">
      <c r="B4673" t="s">
        <v>35</v>
      </c>
      <c r="C4673">
        <v>40351458</v>
      </c>
      <c r="D4673" t="s">
        <v>389</v>
      </c>
      <c r="E4673">
        <v>1021733</v>
      </c>
      <c r="F4673" t="s">
        <v>277</v>
      </c>
      <c r="G4673" s="9">
        <v>44985</v>
      </c>
      <c r="H4673" s="7">
        <v>24012.15</v>
      </c>
      <c r="I4673" s="7"/>
      <c r="J4673" s="7"/>
      <c r="K4673" s="7"/>
      <c r="L4673" s="10">
        <v>5.5741092456127026</v>
      </c>
      <c r="M4673" s="9">
        <v>44990</v>
      </c>
      <c r="N4673" s="10">
        <v>5.5</v>
      </c>
      <c r="O4673" s="9">
        <v>44995</v>
      </c>
      <c r="P4673">
        <v>18</v>
      </c>
      <c r="Q4673" s="11" t="s">
        <v>49</v>
      </c>
      <c r="R4673" s="7">
        <v>24012.15</v>
      </c>
      <c r="S4673" s="7"/>
      <c r="T4673" s="7"/>
      <c r="U4673" s="7"/>
      <c r="V4673" s="10">
        <v>7.5741092456127026</v>
      </c>
      <c r="W4673" s="9">
        <v>44992</v>
      </c>
      <c r="X4673" s="10">
        <v>7.5</v>
      </c>
      <c r="Y4673" s="9">
        <v>44995</v>
      </c>
      <c r="Z4673">
        <v>18</v>
      </c>
      <c r="AA4673" s="11" t="s">
        <v>49</v>
      </c>
    </row>
    <row r="4674" spans="2:27" ht="16" x14ac:dyDescent="0.2">
      <c r="B4674" t="s">
        <v>35</v>
      </c>
      <c r="C4674">
        <v>40351427</v>
      </c>
      <c r="D4674" t="s">
        <v>389</v>
      </c>
      <c r="E4674">
        <v>1022183</v>
      </c>
      <c r="F4674" t="s">
        <v>165</v>
      </c>
      <c r="G4674" s="9">
        <v>44986</v>
      </c>
      <c r="H4674" s="7">
        <v>24927.07</v>
      </c>
      <c r="I4674" s="7"/>
      <c r="J4674" s="7"/>
      <c r="K4674" s="7"/>
      <c r="L4674" s="10">
        <v>5.5741092456127026</v>
      </c>
      <c r="M4674" s="9">
        <v>44991</v>
      </c>
      <c r="N4674" s="10">
        <v>5.5</v>
      </c>
      <c r="O4674" s="9">
        <v>44996</v>
      </c>
      <c r="P4674">
        <v>17</v>
      </c>
      <c r="Q4674" s="11" t="s">
        <v>49</v>
      </c>
      <c r="R4674" s="7">
        <v>24927.07</v>
      </c>
      <c r="S4674" s="7"/>
      <c r="T4674" s="7"/>
      <c r="U4674" s="7"/>
      <c r="V4674" s="10">
        <v>7.5741092456127026</v>
      </c>
      <c r="W4674" s="9">
        <v>44993</v>
      </c>
      <c r="X4674" s="10">
        <v>7.5</v>
      </c>
      <c r="Y4674" s="9">
        <v>44996</v>
      </c>
      <c r="Z4674">
        <v>17</v>
      </c>
      <c r="AA4674" s="11" t="s">
        <v>49</v>
      </c>
    </row>
    <row r="4675" spans="2:27" ht="16" x14ac:dyDescent="0.2">
      <c r="B4675" t="s">
        <v>35</v>
      </c>
      <c r="C4675">
        <v>40351426</v>
      </c>
      <c r="D4675" t="s">
        <v>389</v>
      </c>
      <c r="E4675">
        <v>1022183</v>
      </c>
      <c r="F4675" t="s">
        <v>165</v>
      </c>
      <c r="G4675" s="9">
        <v>44987</v>
      </c>
      <c r="H4675" s="7">
        <v>25004.3</v>
      </c>
      <c r="I4675" s="7"/>
      <c r="J4675" s="7"/>
      <c r="K4675" s="7"/>
      <c r="L4675" s="10">
        <v>5.5741092456127026</v>
      </c>
      <c r="M4675" s="9">
        <v>44992</v>
      </c>
      <c r="N4675" s="10">
        <v>5.5</v>
      </c>
      <c r="O4675" s="9">
        <v>44997</v>
      </c>
      <c r="P4675">
        <v>17</v>
      </c>
      <c r="Q4675" s="11" t="s">
        <v>49</v>
      </c>
      <c r="R4675" s="7">
        <v>25004.3</v>
      </c>
      <c r="S4675" s="7"/>
      <c r="T4675" s="7"/>
      <c r="U4675" s="7"/>
      <c r="V4675" s="10">
        <v>7.5741092456127026</v>
      </c>
      <c r="W4675" s="9">
        <v>44994</v>
      </c>
      <c r="X4675" s="10">
        <v>7.5</v>
      </c>
      <c r="Y4675" s="9">
        <v>44997</v>
      </c>
      <c r="Z4675">
        <v>17</v>
      </c>
      <c r="AA4675" s="11" t="s">
        <v>49</v>
      </c>
    </row>
    <row r="4676" spans="2:27" ht="16" x14ac:dyDescent="0.2">
      <c r="B4676" t="s">
        <v>35</v>
      </c>
      <c r="C4676">
        <v>40351364</v>
      </c>
      <c r="D4676" t="s">
        <v>389</v>
      </c>
      <c r="E4676">
        <v>1021732</v>
      </c>
      <c r="F4676" t="s">
        <v>275</v>
      </c>
      <c r="G4676" s="9">
        <v>44988</v>
      </c>
      <c r="H4676" s="7">
        <v>25000</v>
      </c>
      <c r="I4676" s="7"/>
      <c r="J4676" s="7"/>
      <c r="K4676" s="7"/>
      <c r="L4676" s="10">
        <v>5.5741092456127026</v>
      </c>
      <c r="M4676" s="9">
        <v>44993</v>
      </c>
      <c r="N4676" s="10">
        <v>5.5</v>
      </c>
      <c r="O4676" s="9">
        <v>44998</v>
      </c>
      <c r="P4676">
        <v>16</v>
      </c>
      <c r="Q4676" s="11" t="s">
        <v>49</v>
      </c>
      <c r="R4676" s="7">
        <v>25000</v>
      </c>
      <c r="S4676" s="7"/>
      <c r="T4676" s="7"/>
      <c r="U4676" s="7"/>
      <c r="V4676" s="10">
        <v>7.5741092456127026</v>
      </c>
      <c r="W4676" s="9">
        <v>44995</v>
      </c>
      <c r="X4676" s="10">
        <v>7.5</v>
      </c>
      <c r="Y4676" s="9">
        <v>44998</v>
      </c>
      <c r="Z4676">
        <v>16</v>
      </c>
      <c r="AA4676" s="11" t="s">
        <v>49</v>
      </c>
    </row>
    <row r="4677" spans="2:27" ht="16" x14ac:dyDescent="0.2">
      <c r="B4677" t="s">
        <v>35</v>
      </c>
      <c r="C4677">
        <v>40351303</v>
      </c>
      <c r="D4677" t="s">
        <v>389</v>
      </c>
      <c r="E4677">
        <v>1021767</v>
      </c>
      <c r="F4677" t="s">
        <v>288</v>
      </c>
      <c r="G4677" s="9">
        <v>44989</v>
      </c>
      <c r="H4677" s="7">
        <v>24120</v>
      </c>
      <c r="I4677" s="7"/>
      <c r="J4677" s="7"/>
      <c r="K4677" s="7"/>
      <c r="L4677" s="10">
        <v>5.5741092456127026</v>
      </c>
      <c r="M4677" s="9">
        <v>44994</v>
      </c>
      <c r="N4677" s="10">
        <v>5.5</v>
      </c>
      <c r="O4677" s="9">
        <v>44999</v>
      </c>
      <c r="P4677">
        <v>15</v>
      </c>
      <c r="Q4677" s="11" t="s">
        <v>49</v>
      </c>
      <c r="R4677" s="7">
        <v>24120</v>
      </c>
      <c r="S4677" s="7"/>
      <c r="T4677" s="7"/>
      <c r="U4677" s="7"/>
      <c r="V4677" s="10">
        <v>7.5741092456127026</v>
      </c>
      <c r="W4677" s="9">
        <v>44996</v>
      </c>
      <c r="X4677" s="10">
        <v>7.5</v>
      </c>
      <c r="Y4677" s="9">
        <v>44999</v>
      </c>
      <c r="Z4677">
        <v>15</v>
      </c>
      <c r="AA4677" s="11" t="s">
        <v>49</v>
      </c>
    </row>
    <row r="4678" spans="2:27" ht="16" x14ac:dyDescent="0.2">
      <c r="B4678" t="s">
        <v>35</v>
      </c>
      <c r="C4678">
        <v>40351295</v>
      </c>
      <c r="D4678" t="s">
        <v>389</v>
      </c>
      <c r="E4678">
        <v>1012448</v>
      </c>
      <c r="F4678" t="s">
        <v>451</v>
      </c>
      <c r="G4678" s="9">
        <v>44990</v>
      </c>
      <c r="H4678" s="7">
        <v>24000</v>
      </c>
      <c r="I4678" s="7"/>
      <c r="J4678" s="7"/>
      <c r="K4678" s="7"/>
      <c r="L4678" s="10">
        <v>5.5741092456127026</v>
      </c>
      <c r="M4678" s="9">
        <v>44995</v>
      </c>
      <c r="N4678" s="10">
        <v>5.5</v>
      </c>
      <c r="O4678" s="9">
        <v>45000</v>
      </c>
      <c r="P4678">
        <v>14</v>
      </c>
      <c r="Q4678" s="11" t="s">
        <v>49</v>
      </c>
      <c r="R4678" s="7">
        <v>24000</v>
      </c>
      <c r="S4678" s="7"/>
      <c r="T4678" s="7"/>
      <c r="U4678" s="7"/>
      <c r="V4678" s="10">
        <v>7.5741092456127026</v>
      </c>
      <c r="W4678" s="9">
        <v>44997</v>
      </c>
      <c r="X4678" s="10">
        <v>7.5</v>
      </c>
      <c r="Y4678" s="9">
        <v>45000</v>
      </c>
      <c r="Z4678">
        <v>14</v>
      </c>
      <c r="AA4678" s="11" t="s">
        <v>49</v>
      </c>
    </row>
    <row r="4679" spans="2:27" ht="16" x14ac:dyDescent="0.2">
      <c r="B4679" t="s">
        <v>35</v>
      </c>
      <c r="C4679">
        <v>40351219</v>
      </c>
      <c r="D4679" t="s">
        <v>386</v>
      </c>
      <c r="E4679">
        <v>1020853</v>
      </c>
      <c r="F4679" t="s">
        <v>262</v>
      </c>
      <c r="G4679" s="9">
        <v>44991</v>
      </c>
      <c r="H4679" s="7">
        <v>20000</v>
      </c>
      <c r="I4679" s="7"/>
      <c r="J4679" s="7"/>
      <c r="K4679" s="7"/>
      <c r="L4679" s="10">
        <v>5.1420118343195256</v>
      </c>
      <c r="M4679" s="9">
        <v>44996</v>
      </c>
      <c r="N4679" s="10">
        <v>7.5</v>
      </c>
      <c r="O4679" s="9">
        <v>45003</v>
      </c>
      <c r="P4679">
        <v>11</v>
      </c>
      <c r="Q4679" s="11" t="s">
        <v>49</v>
      </c>
      <c r="R4679" s="7">
        <v>20000</v>
      </c>
      <c r="S4679" s="7"/>
      <c r="T4679" s="7"/>
      <c r="U4679" s="7"/>
      <c r="V4679" s="10">
        <v>7.1420118343195256</v>
      </c>
      <c r="W4679" s="9">
        <v>44998</v>
      </c>
      <c r="X4679" s="10">
        <v>9.5</v>
      </c>
      <c r="Y4679" s="9">
        <v>45003</v>
      </c>
      <c r="Z4679">
        <v>11</v>
      </c>
      <c r="AA4679" s="11" t="s">
        <v>49</v>
      </c>
    </row>
    <row r="4680" spans="2:27" ht="16" x14ac:dyDescent="0.2">
      <c r="B4680" t="s">
        <v>35</v>
      </c>
      <c r="C4680">
        <v>40349137</v>
      </c>
      <c r="D4680" t="s">
        <v>409</v>
      </c>
      <c r="E4680">
        <v>1012160</v>
      </c>
      <c r="F4680" t="s">
        <v>72</v>
      </c>
      <c r="G4680" s="9">
        <v>44992</v>
      </c>
      <c r="H4680" s="7">
        <v>18143.68</v>
      </c>
      <c r="I4680" s="7"/>
      <c r="J4680" s="7"/>
      <c r="K4680" s="7"/>
      <c r="L4680" s="10">
        <v>7.5</v>
      </c>
      <c r="M4680" s="9">
        <v>44999</v>
      </c>
      <c r="N4680" s="10">
        <v>9.5</v>
      </c>
      <c r="O4680" s="9">
        <v>45008</v>
      </c>
      <c r="P4680">
        <v>7</v>
      </c>
      <c r="Q4680" s="11" t="s">
        <v>49</v>
      </c>
      <c r="R4680" s="7">
        <v>18143.68</v>
      </c>
      <c r="S4680" s="7"/>
      <c r="T4680" s="7"/>
      <c r="U4680" s="7"/>
      <c r="V4680" s="10">
        <v>9.5</v>
      </c>
      <c r="W4680" s="9">
        <v>45001</v>
      </c>
      <c r="X4680" s="10">
        <v>11.5</v>
      </c>
      <c r="Y4680" s="9">
        <v>45008</v>
      </c>
      <c r="Z4680">
        <v>7</v>
      </c>
      <c r="AA4680" s="11" t="s">
        <v>49</v>
      </c>
    </row>
    <row r="4681" spans="2:27" x14ac:dyDescent="0.2">
      <c r="B4681" t="s">
        <v>394</v>
      </c>
      <c r="C4681">
        <v>40348465</v>
      </c>
      <c r="D4681" t="s">
        <v>485</v>
      </c>
      <c r="E4681">
        <v>1012744</v>
      </c>
      <c r="F4681" t="s">
        <v>567</v>
      </c>
      <c r="G4681" s="9">
        <v>44993</v>
      </c>
      <c r="H4681" s="7">
        <v>23986.44</v>
      </c>
      <c r="I4681" s="7"/>
      <c r="J4681" s="7"/>
      <c r="K4681" s="7"/>
      <c r="L4681" s="10"/>
      <c r="N4681" s="10"/>
      <c r="Q4681" s="11"/>
      <c r="R4681" s="7">
        <v>23986.44</v>
      </c>
      <c r="S4681" s="7"/>
      <c r="T4681" s="7"/>
      <c r="U4681" s="7"/>
      <c r="V4681" s="10"/>
      <c r="X4681" s="10"/>
      <c r="AA4681" s="11"/>
    </row>
    <row r="4682" spans="2:27" ht="16" x14ac:dyDescent="0.2">
      <c r="B4682" t="s">
        <v>35</v>
      </c>
      <c r="C4682">
        <v>40346717</v>
      </c>
      <c r="D4682" t="s">
        <v>423</v>
      </c>
      <c r="E4682">
        <v>1012534</v>
      </c>
      <c r="F4682" t="s">
        <v>232</v>
      </c>
      <c r="G4682" s="9">
        <v>44994</v>
      </c>
      <c r="H4682" s="7">
        <v>19988.89</v>
      </c>
      <c r="I4682" s="7"/>
      <c r="J4682" s="7"/>
      <c r="K4682" s="7"/>
      <c r="L4682" s="10">
        <v>5.4496124031007751</v>
      </c>
      <c r="M4682" s="9">
        <v>44999</v>
      </c>
      <c r="N4682" s="10">
        <v>10</v>
      </c>
      <c r="O4682" s="9">
        <v>45009</v>
      </c>
      <c r="P4682">
        <v>6</v>
      </c>
      <c r="Q4682" s="11" t="s">
        <v>49</v>
      </c>
      <c r="R4682" s="7">
        <v>19988.89</v>
      </c>
      <c r="S4682" s="7"/>
      <c r="T4682" s="7"/>
      <c r="U4682" s="7"/>
      <c r="V4682" s="10">
        <v>7.4496124031007751</v>
      </c>
      <c r="W4682" s="9">
        <v>45001</v>
      </c>
      <c r="X4682" s="10">
        <v>12</v>
      </c>
      <c r="Y4682" s="9">
        <v>45009</v>
      </c>
      <c r="Z4682">
        <v>6</v>
      </c>
      <c r="AA4682" s="11" t="s">
        <v>49</v>
      </c>
    </row>
    <row r="4683" spans="2:27" ht="16" x14ac:dyDescent="0.2">
      <c r="B4683" t="s">
        <v>35</v>
      </c>
      <c r="C4683">
        <v>40346569</v>
      </c>
      <c r="D4683" t="s">
        <v>389</v>
      </c>
      <c r="E4683">
        <v>1030686</v>
      </c>
      <c r="F4683" t="s">
        <v>381</v>
      </c>
      <c r="G4683" s="9">
        <v>44995</v>
      </c>
      <c r="H4683" s="7">
        <v>24000</v>
      </c>
      <c r="I4683" s="7"/>
      <c r="J4683" s="7"/>
      <c r="K4683" s="7"/>
      <c r="L4683" s="10">
        <v>5.5741092456127026</v>
      </c>
      <c r="M4683" s="9">
        <v>45000</v>
      </c>
      <c r="N4683" s="10">
        <v>5.5</v>
      </c>
      <c r="O4683" s="9">
        <v>45005</v>
      </c>
      <c r="P4683">
        <v>10</v>
      </c>
      <c r="Q4683" s="11" t="s">
        <v>49</v>
      </c>
      <c r="R4683" s="7">
        <v>24000</v>
      </c>
      <c r="S4683" s="7"/>
      <c r="T4683" s="7"/>
      <c r="U4683" s="7"/>
      <c r="V4683" s="10">
        <v>7.5741092456127026</v>
      </c>
      <c r="W4683" s="9">
        <v>45002</v>
      </c>
      <c r="X4683" s="10">
        <v>7.5</v>
      </c>
      <c r="Y4683" s="9">
        <v>45005</v>
      </c>
      <c r="Z4683">
        <v>10</v>
      </c>
      <c r="AA4683" s="11" t="s">
        <v>49</v>
      </c>
    </row>
    <row r="4684" spans="2:27" ht="16" x14ac:dyDescent="0.2">
      <c r="B4684" t="s">
        <v>35</v>
      </c>
      <c r="C4684">
        <v>40346173</v>
      </c>
      <c r="D4684" t="s">
        <v>409</v>
      </c>
      <c r="E4684">
        <v>1012165</v>
      </c>
      <c r="F4684" t="s">
        <v>61</v>
      </c>
      <c r="G4684" s="9">
        <v>44996</v>
      </c>
      <c r="H4684" s="7">
        <v>19958.047999999999</v>
      </c>
      <c r="I4684" s="7"/>
      <c r="J4684" s="7"/>
      <c r="K4684" s="7"/>
      <c r="L4684" s="10">
        <v>7.5</v>
      </c>
      <c r="M4684" s="9">
        <v>45003</v>
      </c>
      <c r="N4684" s="10">
        <v>9.5</v>
      </c>
      <c r="O4684" s="9">
        <v>45012</v>
      </c>
      <c r="P4684">
        <v>4</v>
      </c>
      <c r="Q4684" s="11" t="s">
        <v>49</v>
      </c>
      <c r="R4684" s="7">
        <v>19958.047999999999</v>
      </c>
      <c r="S4684" s="7"/>
      <c r="T4684" s="7"/>
      <c r="U4684" s="7"/>
      <c r="V4684" s="10">
        <v>9.5</v>
      </c>
      <c r="W4684" s="9">
        <v>45005</v>
      </c>
      <c r="X4684" s="10">
        <v>11.5</v>
      </c>
      <c r="Y4684" s="9">
        <v>45012</v>
      </c>
      <c r="Z4684">
        <v>4</v>
      </c>
      <c r="AA4684" s="11" t="s">
        <v>49</v>
      </c>
    </row>
    <row r="4685" spans="2:27" ht="16" x14ac:dyDescent="0.2">
      <c r="B4685" t="s">
        <v>35</v>
      </c>
      <c r="C4685">
        <v>40346172</v>
      </c>
      <c r="D4685" t="s">
        <v>409</v>
      </c>
      <c r="E4685">
        <v>1012165</v>
      </c>
      <c r="F4685" t="s">
        <v>61</v>
      </c>
      <c r="G4685" s="9">
        <v>44997</v>
      </c>
      <c r="H4685" s="7">
        <v>19958.047999999999</v>
      </c>
      <c r="I4685" s="7"/>
      <c r="J4685" s="7"/>
      <c r="K4685" s="7"/>
      <c r="L4685" s="10">
        <v>7.5</v>
      </c>
      <c r="M4685" s="9">
        <v>45004</v>
      </c>
      <c r="N4685" s="10">
        <v>9.5</v>
      </c>
      <c r="O4685" s="9">
        <v>45013</v>
      </c>
      <c r="P4685">
        <v>3</v>
      </c>
      <c r="Q4685" s="11" t="s">
        <v>49</v>
      </c>
      <c r="R4685" s="7">
        <v>19958.047999999999</v>
      </c>
      <c r="S4685" s="7"/>
      <c r="T4685" s="7"/>
      <c r="U4685" s="7"/>
      <c r="V4685" s="10">
        <v>9.5</v>
      </c>
      <c r="W4685" s="9">
        <v>45006</v>
      </c>
      <c r="X4685" s="10">
        <v>11.5</v>
      </c>
      <c r="Y4685" s="9">
        <v>45013</v>
      </c>
      <c r="Z4685">
        <v>3</v>
      </c>
      <c r="AA4685" s="11" t="s">
        <v>49</v>
      </c>
    </row>
    <row r="4686" spans="2:27" ht="16" x14ac:dyDescent="0.2">
      <c r="B4686" t="s">
        <v>35</v>
      </c>
      <c r="C4686">
        <v>40346057</v>
      </c>
      <c r="D4686" t="s">
        <v>386</v>
      </c>
      <c r="E4686">
        <v>1022097</v>
      </c>
      <c r="F4686" t="s">
        <v>568</v>
      </c>
      <c r="G4686" s="9">
        <v>44998</v>
      </c>
      <c r="H4686" s="7">
        <v>24001.439999999999</v>
      </c>
      <c r="I4686" s="7"/>
      <c r="J4686" s="7"/>
      <c r="K4686" s="7"/>
      <c r="L4686" s="10">
        <v>5.1420118343195256</v>
      </c>
      <c r="M4686" s="9">
        <v>45003</v>
      </c>
      <c r="N4686" s="10">
        <v>7.5</v>
      </c>
      <c r="O4686" s="9">
        <v>45010</v>
      </c>
      <c r="P4686">
        <v>5</v>
      </c>
      <c r="Q4686" s="11" t="s">
        <v>49</v>
      </c>
      <c r="R4686" s="7">
        <v>24001.439999999999</v>
      </c>
      <c r="S4686" s="7"/>
      <c r="T4686" s="7"/>
      <c r="U4686" s="7"/>
      <c r="V4686" s="10">
        <v>7.1420118343195256</v>
      </c>
      <c r="W4686" s="9">
        <v>45005</v>
      </c>
      <c r="X4686" s="10">
        <v>9.5</v>
      </c>
      <c r="Y4686" s="9">
        <v>45010</v>
      </c>
      <c r="Z4686">
        <v>5</v>
      </c>
      <c r="AA4686" s="11" t="s">
        <v>49</v>
      </c>
    </row>
    <row r="4687" spans="2:27" x14ac:dyDescent="0.2">
      <c r="B4687" t="s">
        <v>394</v>
      </c>
      <c r="C4687">
        <v>40344423</v>
      </c>
      <c r="D4687" t="s">
        <v>485</v>
      </c>
      <c r="E4687">
        <v>1022709</v>
      </c>
      <c r="F4687" t="s">
        <v>493</v>
      </c>
      <c r="G4687" s="9">
        <v>44999</v>
      </c>
      <c r="H4687" s="7">
        <v>23976.82</v>
      </c>
      <c r="I4687" s="7"/>
      <c r="J4687" s="7"/>
      <c r="K4687" s="7"/>
      <c r="L4687" s="10"/>
      <c r="N4687" s="10"/>
      <c r="Q4687" s="11"/>
      <c r="R4687" s="7">
        <v>23976.82</v>
      </c>
      <c r="S4687" s="7"/>
      <c r="T4687" s="7"/>
      <c r="U4687" s="7"/>
      <c r="V4687" s="10"/>
      <c r="X4687" s="10"/>
      <c r="AA4687" s="11"/>
    </row>
    <row r="4688" spans="2:27" ht="16" x14ac:dyDescent="0.2">
      <c r="B4688" t="s">
        <v>35</v>
      </c>
      <c r="C4688">
        <v>40344391</v>
      </c>
      <c r="D4688" t="s">
        <v>389</v>
      </c>
      <c r="E4688">
        <v>1023110</v>
      </c>
      <c r="F4688" t="s">
        <v>569</v>
      </c>
      <c r="G4688" s="9">
        <v>45000</v>
      </c>
      <c r="H4688" s="7">
        <v>24231.32</v>
      </c>
      <c r="I4688" s="7"/>
      <c r="J4688" s="7"/>
      <c r="K4688" s="7"/>
      <c r="L4688" s="10">
        <v>5.5741092456127026</v>
      </c>
      <c r="M4688" s="9">
        <v>45005</v>
      </c>
      <c r="N4688" s="10">
        <v>5.5</v>
      </c>
      <c r="O4688" s="9">
        <v>45010</v>
      </c>
      <c r="P4688">
        <v>5</v>
      </c>
      <c r="Q4688" s="11" t="s">
        <v>49</v>
      </c>
      <c r="R4688" s="7">
        <v>24231.32</v>
      </c>
      <c r="S4688" s="7"/>
      <c r="T4688" s="7"/>
      <c r="U4688" s="7"/>
      <c r="V4688" s="10">
        <v>7.5741092456127026</v>
      </c>
      <c r="W4688" s="9">
        <v>45007</v>
      </c>
      <c r="X4688" s="10">
        <v>7.5</v>
      </c>
      <c r="Y4688" s="9">
        <v>45010</v>
      </c>
      <c r="Z4688">
        <v>5</v>
      </c>
      <c r="AA4688" s="11" t="s">
        <v>49</v>
      </c>
    </row>
    <row r="4689" spans="2:27" ht="16" x14ac:dyDescent="0.2">
      <c r="B4689" t="s">
        <v>35</v>
      </c>
      <c r="C4689">
        <v>40339162</v>
      </c>
      <c r="D4689" t="s">
        <v>391</v>
      </c>
      <c r="E4689">
        <v>1021931</v>
      </c>
      <c r="F4689" t="s">
        <v>189</v>
      </c>
      <c r="G4689" s="9">
        <v>45001</v>
      </c>
      <c r="H4689" s="7"/>
      <c r="I4689" s="7">
        <v>2004.11</v>
      </c>
      <c r="J4689" s="7"/>
      <c r="K4689" s="7"/>
      <c r="L4689" s="10">
        <v>4.830303030303031</v>
      </c>
      <c r="M4689" s="9">
        <v>45005</v>
      </c>
      <c r="N4689" s="10">
        <v>15</v>
      </c>
      <c r="O4689" s="9">
        <v>45020</v>
      </c>
      <c r="P4689">
        <v>22</v>
      </c>
      <c r="Q4689" s="11" t="s">
        <v>49</v>
      </c>
      <c r="R4689" s="7"/>
      <c r="S4689" s="7">
        <v>2004.11</v>
      </c>
      <c r="T4689" s="7"/>
      <c r="U4689" s="7"/>
      <c r="V4689" s="10">
        <v>6.830303030303031</v>
      </c>
      <c r="W4689" s="9">
        <v>45007</v>
      </c>
      <c r="X4689" s="10">
        <v>17</v>
      </c>
      <c r="Y4689" s="9">
        <v>45020</v>
      </c>
      <c r="Z4689">
        <v>22</v>
      </c>
      <c r="AA4689" s="11" t="s">
        <v>49</v>
      </c>
    </row>
    <row r="4690" spans="2:27" ht="16" x14ac:dyDescent="0.2">
      <c r="B4690" t="s">
        <v>35</v>
      </c>
      <c r="C4690">
        <v>40339161</v>
      </c>
      <c r="D4690" t="s">
        <v>391</v>
      </c>
      <c r="E4690">
        <v>1022293</v>
      </c>
      <c r="F4690" t="s">
        <v>339</v>
      </c>
      <c r="G4690" s="9">
        <v>45002</v>
      </c>
      <c r="H4690" s="7"/>
      <c r="I4690" s="7">
        <v>2020</v>
      </c>
      <c r="J4690" s="7"/>
      <c r="K4690" s="7"/>
      <c r="L4690" s="10">
        <v>4.830303030303031</v>
      </c>
      <c r="M4690" s="9">
        <v>45006</v>
      </c>
      <c r="N4690" s="10">
        <v>15</v>
      </c>
      <c r="O4690" s="9">
        <v>45021</v>
      </c>
      <c r="P4690">
        <v>21</v>
      </c>
      <c r="Q4690" s="11" t="s">
        <v>49</v>
      </c>
      <c r="R4690" s="7"/>
      <c r="S4690" s="7">
        <v>2020</v>
      </c>
      <c r="T4690" s="7"/>
      <c r="U4690" s="7"/>
      <c r="V4690" s="10">
        <v>6.830303030303031</v>
      </c>
      <c r="W4690" s="9">
        <v>45008</v>
      </c>
      <c r="X4690" s="10">
        <v>17</v>
      </c>
      <c r="Y4690" s="9">
        <v>45021</v>
      </c>
      <c r="Z4690">
        <v>21</v>
      </c>
      <c r="AA4690" s="11" t="s">
        <v>49</v>
      </c>
    </row>
    <row r="4691" spans="2:27" ht="16" x14ac:dyDescent="0.2">
      <c r="B4691" t="s">
        <v>35</v>
      </c>
      <c r="C4691">
        <v>40339161</v>
      </c>
      <c r="D4691" t="s">
        <v>391</v>
      </c>
      <c r="E4691">
        <v>1022751</v>
      </c>
      <c r="F4691" t="s">
        <v>36</v>
      </c>
      <c r="G4691" s="9">
        <v>45003</v>
      </c>
      <c r="H4691" s="7"/>
      <c r="I4691" s="7">
        <v>3010</v>
      </c>
      <c r="J4691" s="7"/>
      <c r="K4691" s="7"/>
      <c r="L4691" s="10">
        <v>4.830303030303031</v>
      </c>
      <c r="M4691" s="9">
        <v>45007</v>
      </c>
      <c r="N4691" s="10">
        <v>15</v>
      </c>
      <c r="O4691" s="9">
        <v>45022</v>
      </c>
      <c r="P4691">
        <v>20</v>
      </c>
      <c r="Q4691" s="11" t="s">
        <v>49</v>
      </c>
      <c r="R4691" s="7"/>
      <c r="S4691" s="7">
        <v>3010</v>
      </c>
      <c r="T4691" s="7"/>
      <c r="U4691" s="7"/>
      <c r="V4691" s="10">
        <v>6.830303030303031</v>
      </c>
      <c r="W4691" s="9">
        <v>45009</v>
      </c>
      <c r="X4691" s="10">
        <v>17</v>
      </c>
      <c r="Y4691" s="9">
        <v>45022</v>
      </c>
      <c r="Z4691">
        <v>20</v>
      </c>
      <c r="AA4691" s="11" t="s">
        <v>49</v>
      </c>
    </row>
    <row r="4692" spans="2:27" ht="16" x14ac:dyDescent="0.2">
      <c r="B4692" t="s">
        <v>35</v>
      </c>
      <c r="C4692">
        <v>40339161</v>
      </c>
      <c r="D4692" t="s">
        <v>391</v>
      </c>
      <c r="E4692">
        <v>1022864</v>
      </c>
      <c r="F4692" t="s">
        <v>41</v>
      </c>
      <c r="G4692" s="9">
        <v>45004</v>
      </c>
      <c r="H4692" s="7"/>
      <c r="I4692" s="7">
        <v>13006.65</v>
      </c>
      <c r="J4692" s="7"/>
      <c r="K4692" s="7"/>
      <c r="L4692" s="10">
        <v>4.830303030303031</v>
      </c>
      <c r="M4692" s="9">
        <v>45008</v>
      </c>
      <c r="N4692" s="10">
        <v>15</v>
      </c>
      <c r="O4692" s="9">
        <v>45023</v>
      </c>
      <c r="P4692">
        <v>19</v>
      </c>
      <c r="Q4692" s="11" t="s">
        <v>49</v>
      </c>
      <c r="R4692" s="7"/>
      <c r="S4692" s="7">
        <v>13006.65</v>
      </c>
      <c r="T4692" s="7"/>
      <c r="U4692" s="7"/>
      <c r="V4692" s="10">
        <v>6.830303030303031</v>
      </c>
      <c r="W4692" s="9">
        <v>45010</v>
      </c>
      <c r="X4692" s="10">
        <v>17</v>
      </c>
      <c r="Y4692" s="9">
        <v>45023</v>
      </c>
      <c r="Z4692">
        <v>19</v>
      </c>
      <c r="AA4692" s="11" t="s">
        <v>49</v>
      </c>
    </row>
    <row r="4693" spans="2:27" ht="16" x14ac:dyDescent="0.2">
      <c r="B4693" t="s">
        <v>35</v>
      </c>
      <c r="C4693">
        <v>40339161</v>
      </c>
      <c r="D4693" t="s">
        <v>391</v>
      </c>
      <c r="E4693">
        <v>1023123</v>
      </c>
      <c r="F4693" t="s">
        <v>345</v>
      </c>
      <c r="G4693" s="9">
        <v>45005</v>
      </c>
      <c r="H4693" s="7"/>
      <c r="I4693" s="7">
        <v>3996.19</v>
      </c>
      <c r="J4693" s="7"/>
      <c r="K4693" s="7"/>
      <c r="L4693" s="10">
        <v>4.830303030303031</v>
      </c>
      <c r="M4693" s="9">
        <v>45009</v>
      </c>
      <c r="N4693" s="10">
        <v>15</v>
      </c>
      <c r="O4693" s="9">
        <v>45024</v>
      </c>
      <c r="P4693">
        <v>18</v>
      </c>
      <c r="Q4693" s="11" t="s">
        <v>49</v>
      </c>
      <c r="R4693" s="7"/>
      <c r="S4693" s="7">
        <v>3996.19</v>
      </c>
      <c r="T4693" s="7"/>
      <c r="U4693" s="7"/>
      <c r="V4693" s="10">
        <v>6.830303030303031</v>
      </c>
      <c r="W4693" s="9">
        <v>45011</v>
      </c>
      <c r="X4693" s="10">
        <v>17</v>
      </c>
      <c r="Y4693" s="9">
        <v>45024</v>
      </c>
      <c r="Z4693">
        <v>18</v>
      </c>
      <c r="AA4693" s="11" t="s">
        <v>49</v>
      </c>
    </row>
    <row r="4694" spans="2:27" ht="16" x14ac:dyDescent="0.2">
      <c r="B4694" t="s">
        <v>35</v>
      </c>
      <c r="C4694">
        <v>40332320</v>
      </c>
      <c r="D4694" t="s">
        <v>389</v>
      </c>
      <c r="E4694">
        <v>1012503</v>
      </c>
      <c r="F4694" t="s">
        <v>448</v>
      </c>
      <c r="G4694" s="9">
        <v>45006</v>
      </c>
      <c r="H4694" s="7">
        <v>24000</v>
      </c>
      <c r="I4694" s="7"/>
      <c r="J4694" s="7"/>
      <c r="K4694" s="7"/>
      <c r="L4694" s="10">
        <v>5.5741092456127026</v>
      </c>
      <c r="M4694" s="9">
        <v>45011</v>
      </c>
      <c r="N4694" s="10">
        <v>5.5</v>
      </c>
      <c r="O4694" s="9">
        <v>45016</v>
      </c>
      <c r="P4694">
        <v>0</v>
      </c>
      <c r="Q4694" s="11" t="s">
        <v>598</v>
      </c>
      <c r="R4694" s="7">
        <v>24000</v>
      </c>
      <c r="S4694" s="7"/>
      <c r="T4694" s="7"/>
      <c r="U4694" s="7"/>
      <c r="V4694" s="10">
        <v>7.5741092456127026</v>
      </c>
      <c r="W4694" s="9">
        <v>45013</v>
      </c>
      <c r="X4694" s="10">
        <v>7.5</v>
      </c>
      <c r="Y4694" s="9">
        <v>45016</v>
      </c>
      <c r="Z4694">
        <v>0</v>
      </c>
      <c r="AA4694" s="11" t="s">
        <v>598</v>
      </c>
    </row>
    <row r="4695" spans="2:27" ht="16" x14ac:dyDescent="0.2">
      <c r="B4695" t="s">
        <v>35</v>
      </c>
      <c r="C4695">
        <v>40356194</v>
      </c>
      <c r="D4695" t="s">
        <v>423</v>
      </c>
      <c r="E4695">
        <v>1011127</v>
      </c>
      <c r="F4695" t="s">
        <v>228</v>
      </c>
      <c r="G4695" s="9">
        <v>45007</v>
      </c>
      <c r="H4695" s="7"/>
      <c r="I4695" s="7">
        <v>21600</v>
      </c>
      <c r="J4695" s="7"/>
      <c r="K4695" s="7"/>
      <c r="L4695" s="10">
        <v>5.4496124031007751</v>
      </c>
      <c r="M4695" s="9">
        <v>45012</v>
      </c>
      <c r="N4695" s="10">
        <v>10</v>
      </c>
      <c r="O4695" s="9">
        <v>45022</v>
      </c>
      <c r="P4695">
        <v>20</v>
      </c>
      <c r="Q4695" s="11" t="s">
        <v>49</v>
      </c>
      <c r="R4695" s="7"/>
      <c r="S4695" s="7">
        <v>21600</v>
      </c>
      <c r="T4695" s="7"/>
      <c r="U4695" s="7"/>
      <c r="V4695" s="10">
        <v>7.4496124031007751</v>
      </c>
      <c r="W4695" s="9">
        <v>45014</v>
      </c>
      <c r="X4695" s="10">
        <v>12</v>
      </c>
      <c r="Y4695" s="9">
        <v>45022</v>
      </c>
      <c r="Z4695">
        <v>20</v>
      </c>
      <c r="AA4695" s="11" t="s">
        <v>49</v>
      </c>
    </row>
    <row r="4696" spans="2:27" ht="16" x14ac:dyDescent="0.2">
      <c r="B4696" t="s">
        <v>35</v>
      </c>
      <c r="C4696">
        <v>40354660</v>
      </c>
      <c r="D4696" t="s">
        <v>389</v>
      </c>
      <c r="E4696">
        <v>1011967</v>
      </c>
      <c r="F4696" t="s">
        <v>418</v>
      </c>
      <c r="G4696" s="9">
        <v>45008</v>
      </c>
      <c r="H4696" s="7"/>
      <c r="I4696" s="7">
        <v>24000</v>
      </c>
      <c r="J4696" s="7"/>
      <c r="K4696" s="7"/>
      <c r="L4696" s="10">
        <v>5.5741092456127026</v>
      </c>
      <c r="M4696" s="9">
        <v>45013</v>
      </c>
      <c r="N4696" s="10">
        <v>5.5</v>
      </c>
      <c r="O4696" s="9">
        <v>45018</v>
      </c>
      <c r="P4696">
        <v>23</v>
      </c>
      <c r="Q4696" s="11" t="s">
        <v>49</v>
      </c>
      <c r="R4696" s="7"/>
      <c r="S4696" s="7">
        <v>24000</v>
      </c>
      <c r="T4696" s="7"/>
      <c r="U4696" s="7"/>
      <c r="V4696" s="10">
        <v>7.5741092456127026</v>
      </c>
      <c r="W4696" s="9">
        <v>45015</v>
      </c>
      <c r="X4696" s="10">
        <v>7.5</v>
      </c>
      <c r="Y4696" s="9">
        <v>45018</v>
      </c>
      <c r="Z4696">
        <v>23</v>
      </c>
      <c r="AA4696" s="11" t="s">
        <v>49</v>
      </c>
    </row>
    <row r="4697" spans="2:27" x14ac:dyDescent="0.2">
      <c r="B4697" t="s">
        <v>394</v>
      </c>
      <c r="C4697">
        <v>40354613</v>
      </c>
      <c r="D4697" t="s">
        <v>396</v>
      </c>
      <c r="E4697">
        <v>1012612</v>
      </c>
      <c r="F4697" t="s">
        <v>429</v>
      </c>
      <c r="G4697" s="9">
        <v>45009</v>
      </c>
      <c r="H4697" s="7">
        <v>24734.18</v>
      </c>
      <c r="I4697" s="7"/>
      <c r="J4697" s="7"/>
      <c r="K4697" s="7"/>
      <c r="L4697" s="10"/>
      <c r="N4697" s="10"/>
      <c r="Q4697" s="11"/>
      <c r="R4697" s="7">
        <v>24734.18</v>
      </c>
      <c r="S4697" s="7"/>
      <c r="T4697" s="7"/>
      <c r="U4697" s="7"/>
      <c r="V4697" s="10"/>
      <c r="X4697" s="10"/>
      <c r="AA4697" s="11"/>
    </row>
    <row r="4698" spans="2:27" x14ac:dyDescent="0.2">
      <c r="B4698" t="s">
        <v>394</v>
      </c>
      <c r="C4698">
        <v>40354441</v>
      </c>
      <c r="D4698" t="s">
        <v>396</v>
      </c>
      <c r="E4698">
        <v>1012612</v>
      </c>
      <c r="F4698" t="s">
        <v>429</v>
      </c>
      <c r="G4698" s="9">
        <v>45010</v>
      </c>
      <c r="H4698" s="7">
        <v>24673.08</v>
      </c>
      <c r="I4698" s="7"/>
      <c r="J4698" s="7"/>
      <c r="K4698" s="7"/>
      <c r="L4698" s="10"/>
      <c r="N4698" s="10"/>
      <c r="Q4698" s="11"/>
      <c r="R4698" s="7">
        <v>24673.08</v>
      </c>
      <c r="S4698" s="7"/>
      <c r="T4698" s="7"/>
      <c r="U4698" s="7"/>
      <c r="V4698" s="10"/>
      <c r="X4698" s="10"/>
      <c r="AA4698" s="11"/>
    </row>
    <row r="4699" spans="2:27" ht="16" x14ac:dyDescent="0.2">
      <c r="B4699" t="s">
        <v>35</v>
      </c>
      <c r="C4699">
        <v>40354075</v>
      </c>
      <c r="D4699" t="s">
        <v>409</v>
      </c>
      <c r="E4699">
        <v>1023190</v>
      </c>
      <c r="F4699" t="s">
        <v>257</v>
      </c>
      <c r="G4699" s="9">
        <v>45011</v>
      </c>
      <c r="H4699" s="7"/>
      <c r="I4699" s="7">
        <v>23732.831549999999</v>
      </c>
      <c r="J4699" s="7"/>
      <c r="K4699" s="7"/>
      <c r="L4699" s="10">
        <v>7.5</v>
      </c>
      <c r="M4699" s="9">
        <v>45018</v>
      </c>
      <c r="N4699" s="10">
        <v>9.5</v>
      </c>
      <c r="O4699" s="9">
        <v>45027</v>
      </c>
      <c r="P4699">
        <v>16</v>
      </c>
      <c r="Q4699" s="11" t="s">
        <v>49</v>
      </c>
      <c r="R4699" s="7"/>
      <c r="S4699" s="7">
        <v>23732.831549999999</v>
      </c>
      <c r="T4699" s="7"/>
      <c r="U4699" s="7"/>
      <c r="V4699" s="10">
        <v>9.5</v>
      </c>
      <c r="W4699" s="9">
        <v>45020</v>
      </c>
      <c r="X4699" s="10">
        <v>11.5</v>
      </c>
      <c r="Y4699" s="9">
        <v>45027</v>
      </c>
      <c r="Z4699">
        <v>16</v>
      </c>
      <c r="AA4699" s="11" t="s">
        <v>49</v>
      </c>
    </row>
    <row r="4700" spans="2:27" x14ac:dyDescent="0.2">
      <c r="B4700" t="s">
        <v>394</v>
      </c>
      <c r="C4700">
        <v>40352810</v>
      </c>
      <c r="D4700" t="s">
        <v>396</v>
      </c>
      <c r="E4700">
        <v>1021664</v>
      </c>
      <c r="F4700" t="s">
        <v>452</v>
      </c>
      <c r="G4700" s="9">
        <v>45012</v>
      </c>
      <c r="H4700" s="7">
        <v>22317.02</v>
      </c>
      <c r="I4700" s="7"/>
      <c r="J4700" s="7"/>
      <c r="K4700" s="7"/>
      <c r="L4700" s="10"/>
      <c r="N4700" s="10"/>
      <c r="Q4700" s="11"/>
      <c r="R4700" s="7">
        <v>22317.02</v>
      </c>
      <c r="S4700" s="7"/>
      <c r="T4700" s="7"/>
      <c r="U4700" s="7"/>
      <c r="V4700" s="10"/>
      <c r="X4700" s="10"/>
      <c r="AA4700" s="11"/>
    </row>
    <row r="4701" spans="2:27" x14ac:dyDescent="0.2">
      <c r="B4701" t="s">
        <v>394</v>
      </c>
      <c r="C4701">
        <v>40352794</v>
      </c>
      <c r="D4701" t="s">
        <v>396</v>
      </c>
      <c r="E4701">
        <v>1022885</v>
      </c>
      <c r="F4701" t="s">
        <v>401</v>
      </c>
      <c r="G4701" s="9">
        <v>45013</v>
      </c>
      <c r="H4701" s="7">
        <v>22003.83</v>
      </c>
      <c r="I4701" s="7"/>
      <c r="J4701" s="7"/>
      <c r="K4701" s="7"/>
      <c r="L4701" s="10"/>
      <c r="N4701" s="10"/>
      <c r="Q4701" s="11"/>
      <c r="R4701" s="7">
        <v>22003.83</v>
      </c>
      <c r="S4701" s="7"/>
      <c r="T4701" s="7"/>
      <c r="U4701" s="7"/>
      <c r="V4701" s="10"/>
      <c r="X4701" s="10"/>
      <c r="AA4701" s="11"/>
    </row>
    <row r="4702" spans="2:27" x14ac:dyDescent="0.2">
      <c r="B4702" t="s">
        <v>394</v>
      </c>
      <c r="C4702">
        <v>40352793</v>
      </c>
      <c r="D4702" t="s">
        <v>396</v>
      </c>
      <c r="E4702">
        <v>1022885</v>
      </c>
      <c r="F4702" t="s">
        <v>401</v>
      </c>
      <c r="G4702" s="9">
        <v>45014</v>
      </c>
      <c r="H4702" s="7">
        <v>22012.55</v>
      </c>
      <c r="I4702" s="7"/>
      <c r="J4702" s="7"/>
      <c r="K4702" s="7"/>
      <c r="L4702" s="10"/>
      <c r="N4702" s="10"/>
      <c r="Q4702" s="11"/>
      <c r="R4702" s="7">
        <v>22012.55</v>
      </c>
      <c r="S4702" s="7"/>
      <c r="T4702" s="7"/>
      <c r="U4702" s="7"/>
      <c r="V4702" s="10"/>
      <c r="X4702" s="10"/>
      <c r="AA4702" s="11"/>
    </row>
    <row r="4703" spans="2:27" x14ac:dyDescent="0.2">
      <c r="B4703" t="s">
        <v>394</v>
      </c>
      <c r="C4703">
        <v>40352769</v>
      </c>
      <c r="D4703" t="s">
        <v>396</v>
      </c>
      <c r="E4703">
        <v>1022930</v>
      </c>
      <c r="F4703" t="s">
        <v>456</v>
      </c>
      <c r="G4703" s="9">
        <v>45015</v>
      </c>
      <c r="H4703" s="7">
        <v>22016.080000000002</v>
      </c>
      <c r="I4703" s="7"/>
      <c r="J4703" s="7"/>
      <c r="K4703" s="7"/>
      <c r="L4703" s="10"/>
      <c r="N4703" s="10"/>
      <c r="Q4703" s="11"/>
      <c r="R4703" s="7">
        <v>22016.080000000002</v>
      </c>
      <c r="S4703" s="7"/>
      <c r="T4703" s="7"/>
      <c r="U4703" s="7"/>
      <c r="V4703" s="10"/>
      <c r="X4703" s="10"/>
      <c r="AA4703" s="11"/>
    </row>
    <row r="4704" spans="2:27" ht="16" x14ac:dyDescent="0.2">
      <c r="B4704" t="s">
        <v>35</v>
      </c>
      <c r="C4704">
        <v>40352494</v>
      </c>
      <c r="D4704" t="s">
        <v>409</v>
      </c>
      <c r="E4704">
        <v>1012521</v>
      </c>
      <c r="F4704" t="s">
        <v>114</v>
      </c>
      <c r="G4704" s="9">
        <v>45016</v>
      </c>
      <c r="H4704" s="7"/>
      <c r="I4704" s="7">
        <v>3991.6095999999998</v>
      </c>
      <c r="J4704" s="7"/>
      <c r="K4704" s="7"/>
      <c r="L4704" s="10">
        <v>7.5</v>
      </c>
      <c r="M4704" s="9">
        <v>45023</v>
      </c>
      <c r="N4704" s="10">
        <v>9.5</v>
      </c>
      <c r="O4704" s="9">
        <v>45032</v>
      </c>
      <c r="P4704">
        <v>12</v>
      </c>
      <c r="Q4704" s="11" t="s">
        <v>49</v>
      </c>
      <c r="R4704" s="7"/>
      <c r="S4704" s="7">
        <v>3991.6095999999998</v>
      </c>
      <c r="T4704" s="7"/>
      <c r="U4704" s="7"/>
      <c r="V4704" s="10">
        <v>9.5</v>
      </c>
      <c r="W4704" s="9">
        <v>45025</v>
      </c>
      <c r="X4704" s="10">
        <v>11.5</v>
      </c>
      <c r="Y4704" s="9">
        <v>45032</v>
      </c>
      <c r="Z4704">
        <v>12</v>
      </c>
      <c r="AA4704" s="11" t="s">
        <v>49</v>
      </c>
    </row>
    <row r="4705" spans="2:27" ht="16" x14ac:dyDescent="0.2">
      <c r="B4705" t="s">
        <v>35</v>
      </c>
      <c r="C4705">
        <v>40352494</v>
      </c>
      <c r="D4705" t="s">
        <v>409</v>
      </c>
      <c r="E4705">
        <v>1012523</v>
      </c>
      <c r="F4705" t="s">
        <v>116</v>
      </c>
      <c r="G4705" s="9">
        <v>45017</v>
      </c>
      <c r="H4705" s="7"/>
      <c r="I4705" s="7">
        <v>997.90239999999994</v>
      </c>
      <c r="J4705" s="7"/>
      <c r="K4705" s="7"/>
      <c r="L4705" s="10">
        <v>7.5</v>
      </c>
      <c r="M4705" s="9">
        <v>45024</v>
      </c>
      <c r="N4705" s="10">
        <v>9.5</v>
      </c>
      <c r="O4705" s="9">
        <v>45033</v>
      </c>
      <c r="P4705">
        <v>11</v>
      </c>
      <c r="Q4705" s="11" t="s">
        <v>49</v>
      </c>
      <c r="R4705" s="7"/>
      <c r="S4705" s="7">
        <v>997.90239999999994</v>
      </c>
      <c r="T4705" s="7"/>
      <c r="U4705" s="7"/>
      <c r="V4705" s="10">
        <v>9.5</v>
      </c>
      <c r="W4705" s="9">
        <v>45026</v>
      </c>
      <c r="X4705" s="10">
        <v>11.5</v>
      </c>
      <c r="Y4705" s="9">
        <v>45033</v>
      </c>
      <c r="Z4705">
        <v>11</v>
      </c>
      <c r="AA4705" s="11" t="s">
        <v>49</v>
      </c>
    </row>
    <row r="4706" spans="2:27" ht="16" x14ac:dyDescent="0.2">
      <c r="B4706" t="s">
        <v>35</v>
      </c>
      <c r="C4706">
        <v>40352494</v>
      </c>
      <c r="D4706" t="s">
        <v>409</v>
      </c>
      <c r="E4706">
        <v>1012111</v>
      </c>
      <c r="F4706" t="s">
        <v>137</v>
      </c>
      <c r="G4706" s="9">
        <v>45018</v>
      </c>
      <c r="H4706" s="7"/>
      <c r="I4706" s="7">
        <v>14968.536</v>
      </c>
      <c r="J4706" s="7"/>
      <c r="K4706" s="7"/>
      <c r="L4706" s="10">
        <v>7.5</v>
      </c>
      <c r="M4706" s="9">
        <v>45025</v>
      </c>
      <c r="N4706" s="10">
        <v>9.5</v>
      </c>
      <c r="O4706" s="9">
        <v>45034</v>
      </c>
      <c r="P4706">
        <v>10</v>
      </c>
      <c r="Q4706" s="11" t="s">
        <v>49</v>
      </c>
      <c r="R4706" s="7"/>
      <c r="S4706" s="7">
        <v>14968.536</v>
      </c>
      <c r="T4706" s="7"/>
      <c r="U4706" s="7"/>
      <c r="V4706" s="10">
        <v>9.5</v>
      </c>
      <c r="W4706" s="9">
        <v>45027</v>
      </c>
      <c r="X4706" s="10">
        <v>11.5</v>
      </c>
      <c r="Y4706" s="9">
        <v>45034</v>
      </c>
      <c r="Z4706">
        <v>10</v>
      </c>
      <c r="AA4706" s="11" t="s">
        <v>49</v>
      </c>
    </row>
    <row r="4707" spans="2:27" x14ac:dyDescent="0.2">
      <c r="B4707" t="s">
        <v>394</v>
      </c>
      <c r="C4707">
        <v>40352335</v>
      </c>
      <c r="D4707" t="s">
        <v>485</v>
      </c>
      <c r="E4707">
        <v>1012719</v>
      </c>
      <c r="F4707" t="s">
        <v>545</v>
      </c>
      <c r="G4707" s="9">
        <v>45019</v>
      </c>
      <c r="H4707" s="7"/>
      <c r="I4707" s="7">
        <v>24006.14</v>
      </c>
      <c r="J4707" s="7"/>
      <c r="K4707" s="7"/>
      <c r="L4707" s="10"/>
      <c r="N4707" s="10"/>
      <c r="Q4707" s="11"/>
      <c r="R4707" s="7"/>
      <c r="S4707" s="7">
        <v>24006.14</v>
      </c>
      <c r="T4707" s="7"/>
      <c r="U4707" s="7"/>
      <c r="V4707" s="10"/>
      <c r="X4707" s="10"/>
      <c r="AA4707" s="11"/>
    </row>
    <row r="4708" spans="2:27" x14ac:dyDescent="0.2">
      <c r="B4708" t="s">
        <v>394</v>
      </c>
      <c r="C4708">
        <v>40352334</v>
      </c>
      <c r="D4708" t="s">
        <v>485</v>
      </c>
      <c r="E4708">
        <v>1012719</v>
      </c>
      <c r="F4708" t="s">
        <v>545</v>
      </c>
      <c r="G4708" s="9">
        <v>45020</v>
      </c>
      <c r="H4708" s="7"/>
      <c r="I4708" s="7">
        <v>24004.67</v>
      </c>
      <c r="J4708" s="7"/>
      <c r="K4708" s="7"/>
      <c r="L4708" s="10"/>
      <c r="N4708" s="10"/>
      <c r="Q4708" s="11"/>
      <c r="R4708" s="7"/>
      <c r="S4708" s="7">
        <v>24004.67</v>
      </c>
      <c r="T4708" s="7"/>
      <c r="U4708" s="7"/>
      <c r="V4708" s="10"/>
      <c r="X4708" s="10"/>
      <c r="AA4708" s="11"/>
    </row>
    <row r="4709" spans="2:27" ht="16" x14ac:dyDescent="0.2">
      <c r="B4709" t="s">
        <v>35</v>
      </c>
      <c r="C4709">
        <v>40352015</v>
      </c>
      <c r="D4709" t="s">
        <v>423</v>
      </c>
      <c r="E4709">
        <v>1023302</v>
      </c>
      <c r="F4709" t="s">
        <v>268</v>
      </c>
      <c r="G4709" s="9">
        <v>45021</v>
      </c>
      <c r="H4709" s="7"/>
      <c r="I4709" s="7">
        <v>23940</v>
      </c>
      <c r="J4709" s="7"/>
      <c r="K4709" s="7"/>
      <c r="L4709" s="10">
        <v>5.4496124031007751</v>
      </c>
      <c r="M4709" s="9">
        <v>45026</v>
      </c>
      <c r="N4709" s="10">
        <v>10</v>
      </c>
      <c r="O4709" s="9">
        <v>45036</v>
      </c>
      <c r="P4709">
        <v>8</v>
      </c>
      <c r="Q4709" s="11" t="s">
        <v>49</v>
      </c>
      <c r="R4709" s="7"/>
      <c r="S4709" s="7">
        <v>23940</v>
      </c>
      <c r="T4709" s="7"/>
      <c r="U4709" s="7"/>
      <c r="V4709" s="10">
        <v>7.4496124031007751</v>
      </c>
      <c r="W4709" s="9">
        <v>45028</v>
      </c>
      <c r="X4709" s="10">
        <v>12</v>
      </c>
      <c r="Y4709" s="9">
        <v>45036</v>
      </c>
      <c r="Z4709">
        <v>8</v>
      </c>
      <c r="AA4709" s="11" t="s">
        <v>49</v>
      </c>
    </row>
    <row r="4710" spans="2:27" ht="16" x14ac:dyDescent="0.2">
      <c r="B4710" t="s">
        <v>35</v>
      </c>
      <c r="C4710">
        <v>40352012</v>
      </c>
      <c r="D4710" t="s">
        <v>423</v>
      </c>
      <c r="E4710">
        <v>1023302</v>
      </c>
      <c r="F4710" t="s">
        <v>268</v>
      </c>
      <c r="G4710" s="9">
        <v>45022</v>
      </c>
      <c r="H4710" s="7"/>
      <c r="I4710" s="7">
        <v>24040</v>
      </c>
      <c r="J4710" s="7"/>
      <c r="K4710" s="7"/>
      <c r="L4710" s="10">
        <v>5.4496124031007751</v>
      </c>
      <c r="M4710" s="9">
        <v>45027</v>
      </c>
      <c r="N4710" s="10">
        <v>10</v>
      </c>
      <c r="O4710" s="9">
        <v>45037</v>
      </c>
      <c r="P4710">
        <v>7</v>
      </c>
      <c r="Q4710" s="11" t="s">
        <v>49</v>
      </c>
      <c r="R4710" s="7"/>
      <c r="S4710" s="7">
        <v>24040</v>
      </c>
      <c r="T4710" s="7"/>
      <c r="U4710" s="7"/>
      <c r="V4710" s="10">
        <v>7.4496124031007751</v>
      </c>
      <c r="W4710" s="9">
        <v>45029</v>
      </c>
      <c r="X4710" s="10">
        <v>12</v>
      </c>
      <c r="Y4710" s="9">
        <v>45037</v>
      </c>
      <c r="Z4710">
        <v>7</v>
      </c>
      <c r="AA4710" s="11" t="s">
        <v>49</v>
      </c>
    </row>
    <row r="4711" spans="2:27" ht="16" x14ac:dyDescent="0.2">
      <c r="B4711" t="s">
        <v>35</v>
      </c>
      <c r="C4711">
        <v>40352006</v>
      </c>
      <c r="D4711" t="s">
        <v>423</v>
      </c>
      <c r="E4711">
        <v>1023302</v>
      </c>
      <c r="F4711" t="s">
        <v>268</v>
      </c>
      <c r="G4711" s="9">
        <v>45023</v>
      </c>
      <c r="H4711" s="7"/>
      <c r="I4711" s="7">
        <v>11020</v>
      </c>
      <c r="J4711" s="7"/>
      <c r="K4711" s="7"/>
      <c r="L4711" s="10">
        <v>5.4496124031007751</v>
      </c>
      <c r="M4711" s="9">
        <v>45028</v>
      </c>
      <c r="N4711" s="10">
        <v>10</v>
      </c>
      <c r="O4711" s="9">
        <v>45038</v>
      </c>
      <c r="P4711">
        <v>6</v>
      </c>
      <c r="Q4711" s="11" t="s">
        <v>49</v>
      </c>
      <c r="R4711" s="7"/>
      <c r="S4711" s="7">
        <v>11020</v>
      </c>
      <c r="T4711" s="7"/>
      <c r="U4711" s="7"/>
      <c r="V4711" s="10">
        <v>7.4496124031007751</v>
      </c>
      <c r="W4711" s="9">
        <v>45030</v>
      </c>
      <c r="X4711" s="10">
        <v>12</v>
      </c>
      <c r="Y4711" s="9">
        <v>45038</v>
      </c>
      <c r="Z4711">
        <v>6</v>
      </c>
      <c r="AA4711" s="11" t="s">
        <v>49</v>
      </c>
    </row>
    <row r="4712" spans="2:27" ht="16" x14ac:dyDescent="0.2">
      <c r="B4712" t="s">
        <v>35</v>
      </c>
      <c r="C4712">
        <v>40352006</v>
      </c>
      <c r="D4712" t="s">
        <v>423</v>
      </c>
      <c r="E4712">
        <v>1023302</v>
      </c>
      <c r="F4712" t="s">
        <v>268</v>
      </c>
      <c r="G4712" s="9">
        <v>45024</v>
      </c>
      <c r="H4712" s="7"/>
      <c r="I4712" s="7">
        <v>14000</v>
      </c>
      <c r="J4712" s="7"/>
      <c r="K4712" s="7"/>
      <c r="L4712" s="10">
        <v>5.4496124031007751</v>
      </c>
      <c r="M4712" s="9">
        <v>45029</v>
      </c>
      <c r="N4712" s="10">
        <v>10</v>
      </c>
      <c r="O4712" s="9">
        <v>45039</v>
      </c>
      <c r="P4712">
        <v>6</v>
      </c>
      <c r="Q4712" s="11" t="s">
        <v>49</v>
      </c>
      <c r="R4712" s="7"/>
      <c r="S4712" s="7">
        <v>14000</v>
      </c>
      <c r="T4712" s="7"/>
      <c r="U4712" s="7"/>
      <c r="V4712" s="10">
        <v>7.4496124031007751</v>
      </c>
      <c r="W4712" s="9">
        <v>45031</v>
      </c>
      <c r="X4712" s="10">
        <v>12</v>
      </c>
      <c r="Y4712" s="9">
        <v>45039</v>
      </c>
      <c r="Z4712">
        <v>6</v>
      </c>
      <c r="AA4712" s="11" t="s">
        <v>49</v>
      </c>
    </row>
    <row r="4713" spans="2:27" ht="16" x14ac:dyDescent="0.2">
      <c r="B4713" t="s">
        <v>35</v>
      </c>
      <c r="C4713">
        <v>40351999</v>
      </c>
      <c r="D4713" t="s">
        <v>423</v>
      </c>
      <c r="E4713">
        <v>1021272</v>
      </c>
      <c r="F4713" t="s">
        <v>263</v>
      </c>
      <c r="G4713" s="9">
        <v>45025</v>
      </c>
      <c r="H4713" s="7"/>
      <c r="I4713" s="7">
        <v>16008.39</v>
      </c>
      <c r="J4713" s="7"/>
      <c r="K4713" s="7"/>
      <c r="L4713" s="10">
        <v>5.4496124031007751</v>
      </c>
      <c r="M4713" s="9">
        <v>45030</v>
      </c>
      <c r="N4713" s="10">
        <v>10</v>
      </c>
      <c r="O4713" s="9">
        <v>45040</v>
      </c>
      <c r="P4713">
        <v>5</v>
      </c>
      <c r="Q4713" s="11" t="s">
        <v>49</v>
      </c>
      <c r="R4713" s="7"/>
      <c r="S4713" s="7">
        <v>16008.39</v>
      </c>
      <c r="T4713" s="7"/>
      <c r="U4713" s="7"/>
      <c r="V4713" s="10">
        <v>7.4496124031007751</v>
      </c>
      <c r="W4713" s="9">
        <v>45032</v>
      </c>
      <c r="X4713" s="10">
        <v>12</v>
      </c>
      <c r="Y4713" s="9">
        <v>45040</v>
      </c>
      <c r="Z4713">
        <v>5</v>
      </c>
      <c r="AA4713" s="11" t="s">
        <v>49</v>
      </c>
    </row>
    <row r="4714" spans="2:27" ht="16" x14ac:dyDescent="0.2">
      <c r="B4714" t="s">
        <v>35</v>
      </c>
      <c r="C4714">
        <v>40351999</v>
      </c>
      <c r="D4714" t="s">
        <v>423</v>
      </c>
      <c r="E4714">
        <v>1021272</v>
      </c>
      <c r="F4714" t="s">
        <v>263</v>
      </c>
      <c r="G4714" s="9">
        <v>45026</v>
      </c>
      <c r="H4714" s="7"/>
      <c r="I4714" s="7">
        <v>8009.03</v>
      </c>
      <c r="J4714" s="7"/>
      <c r="K4714" s="7"/>
      <c r="L4714" s="10">
        <v>5.4496124031007751</v>
      </c>
      <c r="M4714" s="9">
        <v>45031</v>
      </c>
      <c r="N4714" s="10">
        <v>10</v>
      </c>
      <c r="O4714" s="9">
        <v>45041</v>
      </c>
      <c r="P4714">
        <v>4</v>
      </c>
      <c r="Q4714" s="11" t="s">
        <v>49</v>
      </c>
      <c r="R4714" s="7"/>
      <c r="S4714" s="7">
        <v>8009.03</v>
      </c>
      <c r="T4714" s="7"/>
      <c r="U4714" s="7"/>
      <c r="V4714" s="10">
        <v>7.4496124031007751</v>
      </c>
      <c r="W4714" s="9">
        <v>45033</v>
      </c>
      <c r="X4714" s="10">
        <v>12</v>
      </c>
      <c r="Y4714" s="9">
        <v>45041</v>
      </c>
      <c r="Z4714">
        <v>4</v>
      </c>
      <c r="AA4714" s="11" t="s">
        <v>49</v>
      </c>
    </row>
    <row r="4715" spans="2:27" ht="16" x14ac:dyDescent="0.2">
      <c r="B4715" t="s">
        <v>35</v>
      </c>
      <c r="C4715">
        <v>40351928</v>
      </c>
      <c r="D4715" t="s">
        <v>409</v>
      </c>
      <c r="E4715">
        <v>1012147</v>
      </c>
      <c r="F4715" t="s">
        <v>217</v>
      </c>
      <c r="G4715" s="9">
        <v>45027</v>
      </c>
      <c r="H4715" s="7"/>
      <c r="I4715" s="7">
        <v>18660.774880000001</v>
      </c>
      <c r="J4715" s="7"/>
      <c r="K4715" s="7"/>
      <c r="L4715" s="10">
        <v>7.5</v>
      </c>
      <c r="M4715" s="9">
        <v>45034</v>
      </c>
      <c r="N4715" s="10">
        <v>9.5</v>
      </c>
      <c r="O4715" s="9">
        <v>45043</v>
      </c>
      <c r="P4715">
        <v>2</v>
      </c>
      <c r="Q4715" s="11" t="s">
        <v>647</v>
      </c>
      <c r="R4715" s="7"/>
      <c r="S4715" s="7">
        <v>18660.774880000001</v>
      </c>
      <c r="T4715" s="7"/>
      <c r="U4715" s="7"/>
      <c r="V4715" s="10">
        <v>9.5</v>
      </c>
      <c r="W4715" s="9">
        <v>45036</v>
      </c>
      <c r="X4715" s="10">
        <v>11.5</v>
      </c>
      <c r="Y4715" s="9">
        <v>45043</v>
      </c>
      <c r="Z4715">
        <v>2</v>
      </c>
      <c r="AA4715" s="11" t="s">
        <v>647</v>
      </c>
    </row>
    <row r="4716" spans="2:27" ht="16" x14ac:dyDescent="0.2">
      <c r="B4716" t="s">
        <v>35</v>
      </c>
      <c r="C4716">
        <v>40351923</v>
      </c>
      <c r="D4716" t="s">
        <v>409</v>
      </c>
      <c r="E4716">
        <v>1012488</v>
      </c>
      <c r="F4716" t="s">
        <v>570</v>
      </c>
      <c r="G4716" s="9">
        <v>45028</v>
      </c>
      <c r="H4716" s="7"/>
      <c r="I4716" s="7">
        <v>19849.18592</v>
      </c>
      <c r="J4716" s="7"/>
      <c r="K4716" s="7"/>
      <c r="L4716" s="10">
        <v>7.5</v>
      </c>
      <c r="M4716" s="9">
        <v>45035</v>
      </c>
      <c r="N4716" s="10">
        <v>9.5</v>
      </c>
      <c r="O4716" s="9">
        <v>45044</v>
      </c>
      <c r="P4716">
        <v>1</v>
      </c>
      <c r="Q4716" s="11" t="s">
        <v>647</v>
      </c>
      <c r="R4716" s="7"/>
      <c r="S4716" s="7">
        <v>19849.18592</v>
      </c>
      <c r="T4716" s="7"/>
      <c r="U4716" s="7"/>
      <c r="V4716" s="10">
        <v>9.5</v>
      </c>
      <c r="W4716" s="9">
        <v>45037</v>
      </c>
      <c r="X4716" s="10">
        <v>11.5</v>
      </c>
      <c r="Y4716" s="9">
        <v>45044</v>
      </c>
      <c r="Z4716">
        <v>1</v>
      </c>
      <c r="AA4716" s="11" t="s">
        <v>647</v>
      </c>
    </row>
    <row r="4717" spans="2:27" ht="16" x14ac:dyDescent="0.2">
      <c r="B4717" t="s">
        <v>35</v>
      </c>
      <c r="C4717">
        <v>40351909</v>
      </c>
      <c r="D4717" t="s">
        <v>409</v>
      </c>
      <c r="E4717">
        <v>1012167</v>
      </c>
      <c r="F4717" t="s">
        <v>70</v>
      </c>
      <c r="G4717" s="9">
        <v>45029</v>
      </c>
      <c r="H4717" s="7"/>
      <c r="I4717" s="7">
        <v>19958.047999999999</v>
      </c>
      <c r="J4717" s="7"/>
      <c r="K4717" s="7"/>
      <c r="L4717" s="10">
        <v>7.5</v>
      </c>
      <c r="M4717" s="9">
        <v>45036</v>
      </c>
      <c r="N4717" s="10">
        <v>9.5</v>
      </c>
      <c r="O4717" s="9">
        <v>45045</v>
      </c>
      <c r="P4717">
        <v>0</v>
      </c>
      <c r="Q4717" s="11" t="s">
        <v>647</v>
      </c>
      <c r="R4717" s="7"/>
      <c r="S4717" s="7">
        <v>19958.047999999999</v>
      </c>
      <c r="T4717" s="7"/>
      <c r="U4717" s="7"/>
      <c r="V4717" s="10">
        <v>9.5</v>
      </c>
      <c r="W4717" s="9">
        <v>45038</v>
      </c>
      <c r="X4717" s="10">
        <v>11.5</v>
      </c>
      <c r="Y4717" s="9">
        <v>45045</v>
      </c>
      <c r="Z4717">
        <v>0</v>
      </c>
      <c r="AA4717" s="11" t="s">
        <v>647</v>
      </c>
    </row>
    <row r="4718" spans="2:27" ht="16" x14ac:dyDescent="0.2">
      <c r="B4718" t="s">
        <v>35</v>
      </c>
      <c r="C4718">
        <v>40351908</v>
      </c>
      <c r="D4718" t="s">
        <v>409</v>
      </c>
      <c r="E4718">
        <v>1012167</v>
      </c>
      <c r="F4718" t="s">
        <v>70</v>
      </c>
      <c r="G4718" s="9">
        <v>45030</v>
      </c>
      <c r="H4718" s="7"/>
      <c r="I4718" s="7">
        <v>19958.047999999999</v>
      </c>
      <c r="J4718" s="7"/>
      <c r="K4718" s="7"/>
      <c r="L4718" s="10">
        <v>7.5</v>
      </c>
      <c r="M4718" s="9">
        <v>45037</v>
      </c>
      <c r="N4718" s="10">
        <v>9.5</v>
      </c>
      <c r="O4718" s="9">
        <v>45046</v>
      </c>
      <c r="P4718">
        <v>0</v>
      </c>
      <c r="Q4718" s="11" t="s">
        <v>647</v>
      </c>
      <c r="R4718" s="7"/>
      <c r="S4718" s="7">
        <v>19958.047999999999</v>
      </c>
      <c r="T4718" s="7"/>
      <c r="U4718" s="7"/>
      <c r="V4718" s="10">
        <v>9.5</v>
      </c>
      <c r="W4718" s="9">
        <v>45039</v>
      </c>
      <c r="X4718" s="10">
        <v>11.5</v>
      </c>
      <c r="Y4718" s="9">
        <v>45046</v>
      </c>
      <c r="Z4718">
        <v>0</v>
      </c>
      <c r="AA4718" s="11" t="s">
        <v>647</v>
      </c>
    </row>
    <row r="4719" spans="2:27" ht="16" x14ac:dyDescent="0.2">
      <c r="B4719" t="s">
        <v>35</v>
      </c>
      <c r="C4719">
        <v>40351900</v>
      </c>
      <c r="D4719" t="s">
        <v>409</v>
      </c>
      <c r="E4719">
        <v>1012145</v>
      </c>
      <c r="F4719" t="s">
        <v>84</v>
      </c>
      <c r="G4719" s="9">
        <v>45031</v>
      </c>
      <c r="H4719" s="7"/>
      <c r="I4719" s="7"/>
      <c r="J4719" s="7">
        <v>19758.467519999998</v>
      </c>
      <c r="K4719" s="7"/>
      <c r="L4719" s="10">
        <v>7.5</v>
      </c>
      <c r="M4719" s="9">
        <v>45038</v>
      </c>
      <c r="N4719" s="10">
        <v>9.5</v>
      </c>
      <c r="O4719" s="9">
        <v>45047</v>
      </c>
      <c r="P4719">
        <v>25</v>
      </c>
      <c r="Q4719" s="11" t="s">
        <v>49</v>
      </c>
      <c r="R4719" s="7"/>
      <c r="S4719" s="7"/>
      <c r="T4719" s="7">
        <v>19758.467519999998</v>
      </c>
      <c r="U4719" s="7"/>
      <c r="V4719" s="10">
        <v>9.5</v>
      </c>
      <c r="W4719" s="9">
        <v>45040</v>
      </c>
      <c r="X4719" s="10">
        <v>11.5</v>
      </c>
      <c r="Y4719" s="9">
        <v>45047</v>
      </c>
      <c r="Z4719">
        <v>25</v>
      </c>
      <c r="AA4719" s="11" t="s">
        <v>49</v>
      </c>
    </row>
    <row r="4720" spans="2:27" ht="16" x14ac:dyDescent="0.2">
      <c r="B4720" t="s">
        <v>35</v>
      </c>
      <c r="C4720">
        <v>40351899</v>
      </c>
      <c r="D4720" t="s">
        <v>409</v>
      </c>
      <c r="E4720">
        <v>1012145</v>
      </c>
      <c r="F4720" t="s">
        <v>84</v>
      </c>
      <c r="G4720" s="9">
        <v>45032</v>
      </c>
      <c r="H4720" s="7"/>
      <c r="I4720" s="7"/>
      <c r="J4720" s="7">
        <v>19758.467519999998</v>
      </c>
      <c r="K4720" s="7"/>
      <c r="L4720" s="10">
        <v>7.5</v>
      </c>
      <c r="M4720" s="9">
        <v>45039</v>
      </c>
      <c r="N4720" s="10">
        <v>9.5</v>
      </c>
      <c r="O4720" s="9">
        <v>45048</v>
      </c>
      <c r="P4720">
        <v>24</v>
      </c>
      <c r="Q4720" s="11" t="s">
        <v>49</v>
      </c>
      <c r="R4720" s="7"/>
      <c r="S4720" s="7"/>
      <c r="T4720" s="7">
        <v>19758.467519999998</v>
      </c>
      <c r="U4720" s="7"/>
      <c r="V4720" s="10">
        <v>9.5</v>
      </c>
      <c r="W4720" s="9">
        <v>45041</v>
      </c>
      <c r="X4720" s="10">
        <v>11.5</v>
      </c>
      <c r="Y4720" s="9">
        <v>45048</v>
      </c>
      <c r="Z4720">
        <v>24</v>
      </c>
      <c r="AA4720" s="11" t="s">
        <v>49</v>
      </c>
    </row>
    <row r="4721" spans="2:27" ht="16" x14ac:dyDescent="0.2">
      <c r="B4721" t="s">
        <v>35</v>
      </c>
      <c r="C4721">
        <v>40351808</v>
      </c>
      <c r="D4721" t="s">
        <v>409</v>
      </c>
      <c r="E4721">
        <v>1030379</v>
      </c>
      <c r="F4721" t="s">
        <v>97</v>
      </c>
      <c r="G4721" s="9">
        <v>45033</v>
      </c>
      <c r="H4721" s="7"/>
      <c r="I4721" s="7"/>
      <c r="J4721" s="7">
        <v>24004.088640000002</v>
      </c>
      <c r="K4721" s="7"/>
      <c r="L4721" s="10">
        <v>7.5</v>
      </c>
      <c r="M4721" s="9">
        <v>45040</v>
      </c>
      <c r="N4721" s="10">
        <v>9.5</v>
      </c>
      <c r="O4721" s="9">
        <v>45049</v>
      </c>
      <c r="P4721">
        <v>23</v>
      </c>
      <c r="Q4721" s="11" t="s">
        <v>49</v>
      </c>
      <c r="R4721" s="7"/>
      <c r="S4721" s="7"/>
      <c r="T4721" s="7">
        <v>24004.088640000002</v>
      </c>
      <c r="U4721" s="7"/>
      <c r="V4721" s="10">
        <v>9.5</v>
      </c>
      <c r="W4721" s="9">
        <v>45042</v>
      </c>
      <c r="X4721" s="10">
        <v>11.5</v>
      </c>
      <c r="Y4721" s="9">
        <v>45049</v>
      </c>
      <c r="Z4721">
        <v>23</v>
      </c>
      <c r="AA4721" s="11" t="s">
        <v>49</v>
      </c>
    </row>
    <row r="4722" spans="2:27" ht="16" x14ac:dyDescent="0.2">
      <c r="B4722" t="s">
        <v>35</v>
      </c>
      <c r="C4722">
        <v>40351781</v>
      </c>
      <c r="D4722" t="s">
        <v>409</v>
      </c>
      <c r="E4722">
        <v>1021538</v>
      </c>
      <c r="F4722" t="s">
        <v>256</v>
      </c>
      <c r="G4722" s="9">
        <v>45034</v>
      </c>
      <c r="H4722" s="7"/>
      <c r="I4722" s="7"/>
      <c r="J4722" s="7">
        <v>12012.1821</v>
      </c>
      <c r="K4722" s="7"/>
      <c r="L4722" s="10">
        <v>7.5</v>
      </c>
      <c r="M4722" s="9">
        <v>45041</v>
      </c>
      <c r="N4722" s="10">
        <v>9.5</v>
      </c>
      <c r="O4722" s="9">
        <v>45050</v>
      </c>
      <c r="P4722">
        <v>22</v>
      </c>
      <c r="Q4722" s="11" t="s">
        <v>49</v>
      </c>
      <c r="R4722" s="7"/>
      <c r="S4722" s="7"/>
      <c r="T4722" s="7">
        <v>12012.1821</v>
      </c>
      <c r="U4722" s="7"/>
      <c r="V4722" s="10">
        <v>9.5</v>
      </c>
      <c r="W4722" s="9">
        <v>45043</v>
      </c>
      <c r="X4722" s="10">
        <v>11.5</v>
      </c>
      <c r="Y4722" s="9">
        <v>45050</v>
      </c>
      <c r="Z4722">
        <v>22</v>
      </c>
      <c r="AA4722" s="11" t="s">
        <v>49</v>
      </c>
    </row>
    <row r="4723" spans="2:27" ht="16" x14ac:dyDescent="0.2">
      <c r="B4723" t="s">
        <v>35</v>
      </c>
      <c r="C4723">
        <v>40351781</v>
      </c>
      <c r="D4723" t="s">
        <v>409</v>
      </c>
      <c r="E4723">
        <v>1021539</v>
      </c>
      <c r="F4723" t="s">
        <v>437</v>
      </c>
      <c r="G4723" s="9">
        <v>45035</v>
      </c>
      <c r="H4723" s="7"/>
      <c r="I4723" s="7"/>
      <c r="J4723" s="7">
        <v>11824.56738</v>
      </c>
      <c r="K4723" s="7"/>
      <c r="L4723" s="10">
        <v>7.5</v>
      </c>
      <c r="M4723" s="9">
        <v>45042</v>
      </c>
      <c r="N4723" s="10">
        <v>9.5</v>
      </c>
      <c r="O4723" s="9">
        <v>45051</v>
      </c>
      <c r="P4723">
        <v>21</v>
      </c>
      <c r="Q4723" s="11" t="s">
        <v>49</v>
      </c>
      <c r="R4723" s="7"/>
      <c r="S4723" s="7"/>
      <c r="T4723" s="7">
        <v>11824.56738</v>
      </c>
      <c r="U4723" s="7"/>
      <c r="V4723" s="10">
        <v>9.5</v>
      </c>
      <c r="W4723" s="9">
        <v>45044</v>
      </c>
      <c r="X4723" s="10">
        <v>11.5</v>
      </c>
      <c r="Y4723" s="9">
        <v>45051</v>
      </c>
      <c r="Z4723">
        <v>21</v>
      </c>
      <c r="AA4723" s="11" t="s">
        <v>49</v>
      </c>
    </row>
    <row r="4724" spans="2:27" ht="16" x14ac:dyDescent="0.2">
      <c r="B4724" t="s">
        <v>35</v>
      </c>
      <c r="C4724">
        <v>40351753</v>
      </c>
      <c r="D4724" t="s">
        <v>409</v>
      </c>
      <c r="E4724">
        <v>1012147</v>
      </c>
      <c r="F4724" t="s">
        <v>217</v>
      </c>
      <c r="G4724" s="9">
        <v>45036</v>
      </c>
      <c r="H4724" s="7"/>
      <c r="I4724" s="7"/>
      <c r="J4724" s="7">
        <v>18660.774880000001</v>
      </c>
      <c r="K4724" s="7"/>
      <c r="L4724" s="10">
        <v>7.5</v>
      </c>
      <c r="M4724" s="9">
        <v>45043</v>
      </c>
      <c r="N4724" s="10">
        <v>9.5</v>
      </c>
      <c r="O4724" s="9">
        <v>45052</v>
      </c>
      <c r="P4724">
        <v>20</v>
      </c>
      <c r="Q4724" s="11" t="s">
        <v>49</v>
      </c>
      <c r="R4724" s="7"/>
      <c r="S4724" s="7"/>
      <c r="T4724" s="7">
        <v>18660.774880000001</v>
      </c>
      <c r="U4724" s="7"/>
      <c r="V4724" s="10">
        <v>9.5</v>
      </c>
      <c r="W4724" s="9">
        <v>45045</v>
      </c>
      <c r="X4724" s="10">
        <v>11.5</v>
      </c>
      <c r="Y4724" s="9">
        <v>45052</v>
      </c>
      <c r="Z4724">
        <v>20</v>
      </c>
      <c r="AA4724" s="11" t="s">
        <v>49</v>
      </c>
    </row>
    <row r="4725" spans="2:27" ht="16" x14ac:dyDescent="0.2">
      <c r="B4725" t="s">
        <v>35</v>
      </c>
      <c r="C4725">
        <v>40351749</v>
      </c>
      <c r="D4725" t="s">
        <v>409</v>
      </c>
      <c r="E4725">
        <v>1012165</v>
      </c>
      <c r="F4725" t="s">
        <v>61</v>
      </c>
      <c r="G4725" s="9">
        <v>45037</v>
      </c>
      <c r="H4725" s="7"/>
      <c r="I4725" s="7"/>
      <c r="J4725" s="7">
        <v>19958.047999999999</v>
      </c>
      <c r="K4725" s="7"/>
      <c r="L4725" s="10">
        <v>7.5</v>
      </c>
      <c r="M4725" s="9">
        <v>45044</v>
      </c>
      <c r="N4725" s="10">
        <v>9.5</v>
      </c>
      <c r="O4725" s="9">
        <v>45053</v>
      </c>
      <c r="P4725">
        <v>20</v>
      </c>
      <c r="Q4725" s="11" t="s">
        <v>49</v>
      </c>
      <c r="R4725" s="7"/>
      <c r="S4725" s="7"/>
      <c r="T4725" s="7">
        <v>19958.047999999999</v>
      </c>
      <c r="U4725" s="7"/>
      <c r="V4725" s="10">
        <v>9.5</v>
      </c>
      <c r="W4725" s="9">
        <v>45046</v>
      </c>
      <c r="X4725" s="10">
        <v>11.5</v>
      </c>
      <c r="Y4725" s="9">
        <v>45053</v>
      </c>
      <c r="Z4725">
        <v>20</v>
      </c>
      <c r="AA4725" s="11" t="s">
        <v>49</v>
      </c>
    </row>
    <row r="4726" spans="2:27" ht="16" x14ac:dyDescent="0.2">
      <c r="B4726" t="s">
        <v>35</v>
      </c>
      <c r="C4726">
        <v>40351705</v>
      </c>
      <c r="D4726" t="s">
        <v>409</v>
      </c>
      <c r="E4726">
        <v>1012483</v>
      </c>
      <c r="F4726" t="s">
        <v>90</v>
      </c>
      <c r="G4726" s="9">
        <v>45038</v>
      </c>
      <c r="H4726" s="7"/>
      <c r="I4726" s="7"/>
      <c r="J4726" s="7">
        <v>19958.047999999999</v>
      </c>
      <c r="K4726" s="7"/>
      <c r="L4726" s="10">
        <v>7.5</v>
      </c>
      <c r="M4726" s="9">
        <v>45045</v>
      </c>
      <c r="N4726" s="10">
        <v>9.5</v>
      </c>
      <c r="O4726" s="9">
        <v>45054</v>
      </c>
      <c r="P4726">
        <v>19</v>
      </c>
      <c r="Q4726" s="11" t="s">
        <v>49</v>
      </c>
      <c r="R4726" s="7"/>
      <c r="S4726" s="7"/>
      <c r="T4726" s="7">
        <v>19958.047999999999</v>
      </c>
      <c r="U4726" s="7"/>
      <c r="V4726" s="10">
        <v>9.5</v>
      </c>
      <c r="W4726" s="9">
        <v>45047</v>
      </c>
      <c r="X4726" s="10">
        <v>11.5</v>
      </c>
      <c r="Y4726" s="9">
        <v>45054</v>
      </c>
      <c r="Z4726">
        <v>19</v>
      </c>
      <c r="AA4726" s="11" t="s">
        <v>49</v>
      </c>
    </row>
    <row r="4727" spans="2:27" ht="16" x14ac:dyDescent="0.2">
      <c r="B4727" t="s">
        <v>35</v>
      </c>
      <c r="C4727">
        <v>40351637</v>
      </c>
      <c r="D4727" t="s">
        <v>389</v>
      </c>
      <c r="E4727">
        <v>1022851</v>
      </c>
      <c r="F4727" t="s">
        <v>322</v>
      </c>
      <c r="G4727" s="9">
        <v>45039</v>
      </c>
      <c r="H4727" s="7"/>
      <c r="I4727" s="7"/>
      <c r="J4727" s="7">
        <v>22099.68</v>
      </c>
      <c r="K4727" s="7"/>
      <c r="L4727" s="10">
        <v>5.5741092456127026</v>
      </c>
      <c r="M4727" s="9">
        <v>45044</v>
      </c>
      <c r="N4727" s="10">
        <v>5.5</v>
      </c>
      <c r="O4727" s="9">
        <v>45049</v>
      </c>
      <c r="P4727">
        <v>24</v>
      </c>
      <c r="Q4727" s="11" t="s">
        <v>49</v>
      </c>
      <c r="R4727" s="7"/>
      <c r="S4727" s="7"/>
      <c r="T4727" s="7">
        <v>22099.68</v>
      </c>
      <c r="U4727" s="7"/>
      <c r="V4727" s="10">
        <v>7.5741092456127026</v>
      </c>
      <c r="W4727" s="9">
        <v>45046</v>
      </c>
      <c r="X4727" s="10">
        <v>7.5</v>
      </c>
      <c r="Y4727" s="9">
        <v>45049</v>
      </c>
      <c r="Z4727">
        <v>24</v>
      </c>
      <c r="AA4727" s="11" t="s">
        <v>49</v>
      </c>
    </row>
    <row r="4728" spans="2:27" ht="16" x14ac:dyDescent="0.2">
      <c r="B4728" t="s">
        <v>35</v>
      </c>
      <c r="C4728">
        <v>40351620</v>
      </c>
      <c r="D4728" t="s">
        <v>389</v>
      </c>
      <c r="E4728">
        <v>1022639</v>
      </c>
      <c r="F4728" t="s">
        <v>316</v>
      </c>
      <c r="G4728" s="9">
        <v>45040</v>
      </c>
      <c r="H4728" s="7"/>
      <c r="I4728" s="7"/>
      <c r="J4728" s="7">
        <v>22574.39</v>
      </c>
      <c r="K4728" s="7"/>
      <c r="L4728" s="10">
        <v>5.5741092456127026</v>
      </c>
      <c r="M4728" s="9">
        <v>45045</v>
      </c>
      <c r="N4728" s="10">
        <v>5.5</v>
      </c>
      <c r="O4728" s="9">
        <v>45050</v>
      </c>
      <c r="P4728">
        <v>23</v>
      </c>
      <c r="Q4728" s="11" t="s">
        <v>49</v>
      </c>
      <c r="R4728" s="7"/>
      <c r="S4728" s="7"/>
      <c r="T4728" s="7">
        <v>22574.39</v>
      </c>
      <c r="U4728" s="7"/>
      <c r="V4728" s="10">
        <v>7.5741092456127026</v>
      </c>
      <c r="W4728" s="9">
        <v>45047</v>
      </c>
      <c r="X4728" s="10">
        <v>7.5</v>
      </c>
      <c r="Y4728" s="9">
        <v>45050</v>
      </c>
      <c r="Z4728">
        <v>23</v>
      </c>
      <c r="AA4728" s="11" t="s">
        <v>49</v>
      </c>
    </row>
    <row r="4729" spans="2:27" ht="16" x14ac:dyDescent="0.2">
      <c r="B4729" t="s">
        <v>35</v>
      </c>
      <c r="C4729">
        <v>40351619</v>
      </c>
      <c r="D4729" t="s">
        <v>389</v>
      </c>
      <c r="E4729">
        <v>1022639</v>
      </c>
      <c r="F4729" t="s">
        <v>316</v>
      </c>
      <c r="G4729" s="9">
        <v>45041</v>
      </c>
      <c r="H4729" s="7"/>
      <c r="I4729" s="7"/>
      <c r="J4729" s="7">
        <v>22867.55</v>
      </c>
      <c r="K4729" s="7"/>
      <c r="L4729" s="10">
        <v>5.5741092456127026</v>
      </c>
      <c r="M4729" s="9">
        <v>45046</v>
      </c>
      <c r="N4729" s="10">
        <v>5.5</v>
      </c>
      <c r="O4729" s="9">
        <v>45051</v>
      </c>
      <c r="P4729">
        <v>22</v>
      </c>
      <c r="Q4729" s="11" t="s">
        <v>49</v>
      </c>
      <c r="R4729" s="7"/>
      <c r="S4729" s="7"/>
      <c r="T4729" s="7">
        <v>22867.55</v>
      </c>
      <c r="U4729" s="7"/>
      <c r="V4729" s="10">
        <v>7.5741092456127026</v>
      </c>
      <c r="W4729" s="9">
        <v>45048</v>
      </c>
      <c r="X4729" s="10">
        <v>7.5</v>
      </c>
      <c r="Y4729" s="9">
        <v>45051</v>
      </c>
      <c r="Z4729">
        <v>22</v>
      </c>
      <c r="AA4729" s="11" t="s">
        <v>49</v>
      </c>
    </row>
    <row r="4730" spans="2:27" ht="16" x14ac:dyDescent="0.2">
      <c r="B4730" t="s">
        <v>35</v>
      </c>
      <c r="C4730">
        <v>40351617</v>
      </c>
      <c r="D4730" t="s">
        <v>389</v>
      </c>
      <c r="E4730">
        <v>1022639</v>
      </c>
      <c r="F4730" t="s">
        <v>316</v>
      </c>
      <c r="G4730" s="9">
        <v>45042</v>
      </c>
      <c r="H4730" s="7"/>
      <c r="I4730" s="7"/>
      <c r="J4730" s="7">
        <v>22466.47</v>
      </c>
      <c r="K4730" s="7"/>
      <c r="L4730" s="10">
        <v>5.5741092456127026</v>
      </c>
      <c r="M4730" s="9">
        <v>45047</v>
      </c>
      <c r="N4730" s="10">
        <v>5.5</v>
      </c>
      <c r="O4730" s="9">
        <v>45052</v>
      </c>
      <c r="P4730">
        <v>21</v>
      </c>
      <c r="Q4730" s="11" t="s">
        <v>49</v>
      </c>
      <c r="R4730" s="7"/>
      <c r="S4730" s="7"/>
      <c r="T4730" s="7">
        <v>22466.47</v>
      </c>
      <c r="U4730" s="7"/>
      <c r="V4730" s="10">
        <v>7.5741092456127026</v>
      </c>
      <c r="W4730" s="9">
        <v>45049</v>
      </c>
      <c r="X4730" s="10">
        <v>7.5</v>
      </c>
      <c r="Y4730" s="9">
        <v>45052</v>
      </c>
      <c r="Z4730">
        <v>21</v>
      </c>
      <c r="AA4730" s="11" t="s">
        <v>49</v>
      </c>
    </row>
    <row r="4731" spans="2:27" ht="16" x14ac:dyDescent="0.2">
      <c r="B4731" t="s">
        <v>35</v>
      </c>
      <c r="C4731">
        <v>40351581</v>
      </c>
      <c r="D4731" t="s">
        <v>389</v>
      </c>
      <c r="E4731">
        <v>1022212</v>
      </c>
      <c r="F4731" t="s">
        <v>300</v>
      </c>
      <c r="G4731" s="9">
        <v>45043</v>
      </c>
      <c r="H4731" s="7"/>
      <c r="I4731" s="7"/>
      <c r="J4731" s="7">
        <v>24183.87</v>
      </c>
      <c r="K4731" s="7"/>
      <c r="L4731" s="10">
        <v>5.5741092456127026</v>
      </c>
      <c r="M4731" s="9">
        <v>45048</v>
      </c>
      <c r="N4731" s="10">
        <v>5.5</v>
      </c>
      <c r="O4731" s="9">
        <v>45053</v>
      </c>
      <c r="P4731">
        <v>21</v>
      </c>
      <c r="Q4731" s="11" t="s">
        <v>49</v>
      </c>
      <c r="R4731" s="7"/>
      <c r="S4731" s="7"/>
      <c r="T4731" s="7">
        <v>24183.87</v>
      </c>
      <c r="U4731" s="7"/>
      <c r="V4731" s="10">
        <v>7.5741092456127026</v>
      </c>
      <c r="W4731" s="9">
        <v>45050</v>
      </c>
      <c r="X4731" s="10">
        <v>7.5</v>
      </c>
      <c r="Y4731" s="9">
        <v>45053</v>
      </c>
      <c r="Z4731">
        <v>21</v>
      </c>
      <c r="AA4731" s="11" t="s">
        <v>49</v>
      </c>
    </row>
    <row r="4732" spans="2:27" ht="16" x14ac:dyDescent="0.2">
      <c r="B4732" t="s">
        <v>35</v>
      </c>
      <c r="C4732">
        <v>40351580</v>
      </c>
      <c r="D4732" t="s">
        <v>389</v>
      </c>
      <c r="E4732">
        <v>1022212</v>
      </c>
      <c r="F4732" t="s">
        <v>300</v>
      </c>
      <c r="G4732" s="9">
        <v>45044</v>
      </c>
      <c r="H4732" s="7"/>
      <c r="I4732" s="7"/>
      <c r="J4732" s="7">
        <v>24276.43</v>
      </c>
      <c r="K4732" s="7"/>
      <c r="L4732" s="10">
        <v>5.5741092456127026</v>
      </c>
      <c r="M4732" s="9">
        <v>45049</v>
      </c>
      <c r="N4732" s="10">
        <v>5.5</v>
      </c>
      <c r="O4732" s="9">
        <v>45054</v>
      </c>
      <c r="P4732">
        <v>20</v>
      </c>
      <c r="Q4732" s="11" t="s">
        <v>49</v>
      </c>
      <c r="R4732" s="7"/>
      <c r="S4732" s="7"/>
      <c r="T4732" s="7">
        <v>24276.43</v>
      </c>
      <c r="U4732" s="7"/>
      <c r="V4732" s="10">
        <v>7.5741092456127026</v>
      </c>
      <c r="W4732" s="9">
        <v>45051</v>
      </c>
      <c r="X4732" s="10">
        <v>7.5</v>
      </c>
      <c r="Y4732" s="9">
        <v>45054</v>
      </c>
      <c r="Z4732">
        <v>20</v>
      </c>
      <c r="AA4732" s="11" t="s">
        <v>49</v>
      </c>
    </row>
    <row r="4733" spans="2:27" ht="16" x14ac:dyDescent="0.2">
      <c r="B4733" t="s">
        <v>35</v>
      </c>
      <c r="C4733">
        <v>40351563</v>
      </c>
      <c r="D4733" t="s">
        <v>389</v>
      </c>
      <c r="E4733">
        <v>1022373</v>
      </c>
      <c r="F4733" t="s">
        <v>302</v>
      </c>
      <c r="G4733" s="9">
        <v>45045</v>
      </c>
      <c r="H4733" s="7"/>
      <c r="I4733" s="7"/>
      <c r="J4733" s="7">
        <v>24016.07</v>
      </c>
      <c r="K4733" s="7"/>
      <c r="L4733" s="10">
        <v>5.5741092456127026</v>
      </c>
      <c r="M4733" s="9">
        <v>45050</v>
      </c>
      <c r="N4733" s="10">
        <v>5.5</v>
      </c>
      <c r="O4733" s="9">
        <v>45055</v>
      </c>
      <c r="P4733">
        <v>19</v>
      </c>
      <c r="Q4733" s="11" t="s">
        <v>49</v>
      </c>
      <c r="R4733" s="7"/>
      <c r="S4733" s="7"/>
      <c r="T4733" s="7">
        <v>24016.07</v>
      </c>
      <c r="U4733" s="7"/>
      <c r="V4733" s="10">
        <v>7.5741092456127026</v>
      </c>
      <c r="W4733" s="9">
        <v>45052</v>
      </c>
      <c r="X4733" s="10">
        <v>7.5</v>
      </c>
      <c r="Y4733" s="9">
        <v>45055</v>
      </c>
      <c r="Z4733">
        <v>19</v>
      </c>
      <c r="AA4733" s="11" t="s">
        <v>49</v>
      </c>
    </row>
    <row r="4734" spans="2:27" ht="16" x14ac:dyDescent="0.2">
      <c r="B4734" t="s">
        <v>35</v>
      </c>
      <c r="C4734">
        <v>40351512</v>
      </c>
      <c r="D4734" t="s">
        <v>389</v>
      </c>
      <c r="E4734">
        <v>1021766</v>
      </c>
      <c r="F4734" t="s">
        <v>286</v>
      </c>
      <c r="G4734" s="9">
        <v>45046</v>
      </c>
      <c r="H4734" s="7"/>
      <c r="I4734" s="7"/>
      <c r="J4734" s="7">
        <v>25002</v>
      </c>
      <c r="K4734" s="7"/>
      <c r="L4734" s="10">
        <v>5.5741092456127026</v>
      </c>
      <c r="M4734" s="9">
        <v>45051</v>
      </c>
      <c r="N4734" s="10">
        <v>5.5</v>
      </c>
      <c r="O4734" s="9">
        <v>45056</v>
      </c>
      <c r="P4734">
        <v>18</v>
      </c>
      <c r="Q4734" s="11" t="s">
        <v>49</v>
      </c>
      <c r="R4734" s="7"/>
      <c r="S4734" s="7"/>
      <c r="T4734" s="7">
        <v>25002</v>
      </c>
      <c r="U4734" s="7"/>
      <c r="V4734" s="10">
        <v>7.5741092456127026</v>
      </c>
      <c r="W4734" s="9">
        <v>45053</v>
      </c>
      <c r="X4734" s="10">
        <v>7.5</v>
      </c>
      <c r="Y4734" s="9">
        <v>45056</v>
      </c>
      <c r="Z4734">
        <v>18</v>
      </c>
      <c r="AA4734" s="11" t="s">
        <v>49</v>
      </c>
    </row>
    <row r="4735" spans="2:27" ht="16" x14ac:dyDescent="0.2">
      <c r="B4735" t="s">
        <v>35</v>
      </c>
      <c r="C4735">
        <v>40351476</v>
      </c>
      <c r="D4735" t="s">
        <v>389</v>
      </c>
      <c r="E4735">
        <v>1022943</v>
      </c>
      <c r="F4735" t="s">
        <v>324</v>
      </c>
      <c r="G4735" s="9">
        <v>45047</v>
      </c>
      <c r="H4735" s="7"/>
      <c r="I4735" s="7"/>
      <c r="J4735" s="7">
        <v>25003.55</v>
      </c>
      <c r="K4735" s="7"/>
      <c r="L4735" s="10">
        <v>5.5741092456127026</v>
      </c>
      <c r="M4735" s="9">
        <v>45052</v>
      </c>
      <c r="N4735" s="10">
        <v>5.5</v>
      </c>
      <c r="O4735" s="9">
        <v>45057</v>
      </c>
      <c r="P4735">
        <v>17</v>
      </c>
      <c r="Q4735" s="11" t="s">
        <v>49</v>
      </c>
      <c r="R4735" s="7"/>
      <c r="S4735" s="7"/>
      <c r="T4735" s="7">
        <v>25003.55</v>
      </c>
      <c r="U4735" s="7"/>
      <c r="V4735" s="10">
        <v>7.5741092456127026</v>
      </c>
      <c r="W4735" s="9">
        <v>45054</v>
      </c>
      <c r="X4735" s="10">
        <v>7.5</v>
      </c>
      <c r="Y4735" s="9">
        <v>45057</v>
      </c>
      <c r="Z4735">
        <v>17</v>
      </c>
      <c r="AA4735" s="11" t="s">
        <v>49</v>
      </c>
    </row>
    <row r="4736" spans="2:27" ht="16" x14ac:dyDescent="0.2">
      <c r="B4736" t="s">
        <v>35</v>
      </c>
      <c r="C4736">
        <v>40351468</v>
      </c>
      <c r="D4736" t="s">
        <v>389</v>
      </c>
      <c r="E4736">
        <v>1021733</v>
      </c>
      <c r="F4736" t="s">
        <v>277</v>
      </c>
      <c r="G4736" s="9">
        <v>45048</v>
      </c>
      <c r="H4736" s="7"/>
      <c r="I4736" s="7"/>
      <c r="J4736" s="7">
        <v>24205.07</v>
      </c>
      <c r="K4736" s="7"/>
      <c r="L4736" s="10">
        <v>5.5741092456127026</v>
      </c>
      <c r="M4736" s="9">
        <v>45053</v>
      </c>
      <c r="N4736" s="10">
        <v>5.5</v>
      </c>
      <c r="O4736" s="9">
        <v>45058</v>
      </c>
      <c r="P4736">
        <v>16</v>
      </c>
      <c r="Q4736" s="11" t="s">
        <v>49</v>
      </c>
      <c r="R4736" s="7"/>
      <c r="S4736" s="7"/>
      <c r="T4736" s="7">
        <v>24205.07</v>
      </c>
      <c r="U4736" s="7"/>
      <c r="V4736" s="10">
        <v>7.5741092456127026</v>
      </c>
      <c r="W4736" s="9">
        <v>45055</v>
      </c>
      <c r="X4736" s="10">
        <v>7.5</v>
      </c>
      <c r="Y4736" s="9">
        <v>45058</v>
      </c>
      <c r="Z4736">
        <v>16</v>
      </c>
      <c r="AA4736" s="11" t="s">
        <v>49</v>
      </c>
    </row>
    <row r="4737" spans="2:27" ht="16" x14ac:dyDescent="0.2">
      <c r="B4737" t="s">
        <v>35</v>
      </c>
      <c r="C4737">
        <v>40351363</v>
      </c>
      <c r="D4737" t="s">
        <v>389</v>
      </c>
      <c r="E4737">
        <v>1021732</v>
      </c>
      <c r="F4737" t="s">
        <v>275</v>
      </c>
      <c r="G4737" s="9">
        <v>45049</v>
      </c>
      <c r="H4737" s="7"/>
      <c r="I4737" s="7"/>
      <c r="J4737" s="7">
        <v>25000</v>
      </c>
      <c r="K4737" s="7"/>
      <c r="L4737" s="10">
        <v>5.5741092456127026</v>
      </c>
      <c r="M4737" s="9">
        <v>45054</v>
      </c>
      <c r="N4737" s="10">
        <v>5.5</v>
      </c>
      <c r="O4737" s="9">
        <v>45059</v>
      </c>
      <c r="P4737">
        <v>15</v>
      </c>
      <c r="Q4737" s="11" t="s">
        <v>49</v>
      </c>
      <c r="R4737" s="7"/>
      <c r="S4737" s="7"/>
      <c r="T4737" s="7">
        <v>25000</v>
      </c>
      <c r="U4737" s="7"/>
      <c r="V4737" s="10">
        <v>7.5741092456127026</v>
      </c>
      <c r="W4737" s="9">
        <v>45056</v>
      </c>
      <c r="X4737" s="10">
        <v>7.5</v>
      </c>
      <c r="Y4737" s="9">
        <v>45059</v>
      </c>
      <c r="Z4737">
        <v>15</v>
      </c>
      <c r="AA4737" s="11" t="s">
        <v>49</v>
      </c>
    </row>
    <row r="4738" spans="2:27" ht="16" x14ac:dyDescent="0.2">
      <c r="B4738" t="s">
        <v>35</v>
      </c>
      <c r="C4738">
        <v>40351345</v>
      </c>
      <c r="D4738" t="s">
        <v>389</v>
      </c>
      <c r="E4738">
        <v>1022856</v>
      </c>
      <c r="F4738" t="s">
        <v>446</v>
      </c>
      <c r="G4738" s="9">
        <v>45050</v>
      </c>
      <c r="H4738" s="7"/>
      <c r="I4738" s="7"/>
      <c r="J4738" s="7">
        <v>25000.97</v>
      </c>
      <c r="K4738" s="7"/>
      <c r="L4738" s="10">
        <v>5.5741092456127026</v>
      </c>
      <c r="M4738" s="9">
        <v>45055</v>
      </c>
      <c r="N4738" s="10">
        <v>5.5</v>
      </c>
      <c r="O4738" s="9">
        <v>45060</v>
      </c>
      <c r="P4738">
        <v>15</v>
      </c>
      <c r="Q4738" s="11" t="s">
        <v>49</v>
      </c>
      <c r="R4738" s="7"/>
      <c r="S4738" s="7"/>
      <c r="T4738" s="7">
        <v>25000.97</v>
      </c>
      <c r="U4738" s="7"/>
      <c r="V4738" s="10">
        <v>7.5741092456127026</v>
      </c>
      <c r="W4738" s="9">
        <v>45057</v>
      </c>
      <c r="X4738" s="10">
        <v>7.5</v>
      </c>
      <c r="Y4738" s="9">
        <v>45060</v>
      </c>
      <c r="Z4738">
        <v>15</v>
      </c>
      <c r="AA4738" s="11" t="s">
        <v>49</v>
      </c>
    </row>
    <row r="4739" spans="2:27" ht="16" x14ac:dyDescent="0.2">
      <c r="B4739" t="s">
        <v>35</v>
      </c>
      <c r="C4739">
        <v>40351261</v>
      </c>
      <c r="D4739" t="s">
        <v>389</v>
      </c>
      <c r="E4739">
        <v>1011586</v>
      </c>
      <c r="F4739" t="s">
        <v>420</v>
      </c>
      <c r="G4739" s="9">
        <v>45051</v>
      </c>
      <c r="H4739" s="7"/>
      <c r="I4739" s="7"/>
      <c r="J4739" s="7">
        <v>19954</v>
      </c>
      <c r="K4739" s="7"/>
      <c r="L4739" s="10">
        <v>5.5741092456127026</v>
      </c>
      <c r="M4739" s="9">
        <v>45056</v>
      </c>
      <c r="N4739" s="10">
        <v>5.5</v>
      </c>
      <c r="O4739" s="9">
        <v>45061</v>
      </c>
      <c r="P4739">
        <v>14</v>
      </c>
      <c r="Q4739" s="11" t="s">
        <v>49</v>
      </c>
      <c r="R4739" s="7"/>
      <c r="S4739" s="7"/>
      <c r="T4739" s="7">
        <v>19954</v>
      </c>
      <c r="U4739" s="7"/>
      <c r="V4739" s="10">
        <v>7.5741092456127026</v>
      </c>
      <c r="W4739" s="9">
        <v>45058</v>
      </c>
      <c r="X4739" s="10">
        <v>7.5</v>
      </c>
      <c r="Y4739" s="9">
        <v>45061</v>
      </c>
      <c r="Z4739">
        <v>14</v>
      </c>
      <c r="AA4739" s="11" t="s">
        <v>49</v>
      </c>
    </row>
    <row r="4740" spans="2:27" ht="16" x14ac:dyDescent="0.2">
      <c r="B4740" t="s">
        <v>35</v>
      </c>
      <c r="C4740">
        <v>40349681</v>
      </c>
      <c r="D4740" t="s">
        <v>389</v>
      </c>
      <c r="E4740">
        <v>1012455</v>
      </c>
      <c r="F4740" t="s">
        <v>450</v>
      </c>
      <c r="G4740" s="9">
        <v>45052</v>
      </c>
      <c r="H4740" s="7"/>
      <c r="I4740" s="7"/>
      <c r="J4740" s="7">
        <v>24000</v>
      </c>
      <c r="K4740" s="7"/>
      <c r="L4740" s="10">
        <v>5.5741092456127026</v>
      </c>
      <c r="M4740" s="9">
        <v>45057</v>
      </c>
      <c r="N4740" s="10">
        <v>5.5</v>
      </c>
      <c r="O4740" s="9">
        <v>45062</v>
      </c>
      <c r="P4740">
        <v>13</v>
      </c>
      <c r="Q4740" s="11" t="s">
        <v>49</v>
      </c>
      <c r="R4740" s="7"/>
      <c r="S4740" s="7"/>
      <c r="T4740" s="7">
        <v>24000</v>
      </c>
      <c r="U4740" s="7"/>
      <c r="V4740" s="10">
        <v>7.5741092456127026</v>
      </c>
      <c r="W4740" s="9">
        <v>45059</v>
      </c>
      <c r="X4740" s="10">
        <v>7.5</v>
      </c>
      <c r="Y4740" s="9">
        <v>45062</v>
      </c>
      <c r="Z4740">
        <v>13</v>
      </c>
      <c r="AA4740" s="11" t="s">
        <v>49</v>
      </c>
    </row>
    <row r="4741" spans="2:27" x14ac:dyDescent="0.2">
      <c r="B4741" t="s">
        <v>394</v>
      </c>
      <c r="C4741">
        <v>40349434</v>
      </c>
      <c r="D4741" t="s">
        <v>396</v>
      </c>
      <c r="E4741">
        <v>1030535</v>
      </c>
      <c r="F4741" t="s">
        <v>395</v>
      </c>
      <c r="G4741" s="9">
        <v>45053</v>
      </c>
      <c r="H4741" s="7"/>
      <c r="I4741" s="7"/>
      <c r="J4741" s="7">
        <v>22001.43</v>
      </c>
      <c r="K4741" s="7"/>
      <c r="L4741" s="10"/>
      <c r="N4741" s="10"/>
      <c r="Q4741" s="11"/>
      <c r="R4741" s="7"/>
      <c r="S4741" s="7"/>
      <c r="T4741" s="7">
        <v>22001.43</v>
      </c>
      <c r="U4741" s="7"/>
      <c r="V4741" s="10"/>
      <c r="X4741" s="10"/>
      <c r="AA4741" s="11"/>
    </row>
    <row r="4742" spans="2:27" ht="16" x14ac:dyDescent="0.2">
      <c r="B4742" t="s">
        <v>35</v>
      </c>
      <c r="C4742">
        <v>40346816</v>
      </c>
      <c r="D4742" t="s">
        <v>391</v>
      </c>
      <c r="E4742">
        <v>1022918</v>
      </c>
      <c r="F4742" t="s">
        <v>410</v>
      </c>
      <c r="G4742" s="9">
        <v>45054</v>
      </c>
      <c r="H4742" s="7"/>
      <c r="I4742" s="7"/>
      <c r="J4742" s="7">
        <v>24000</v>
      </c>
      <c r="K4742" s="7"/>
      <c r="L4742" s="10">
        <v>4.830303030303031</v>
      </c>
      <c r="M4742" s="9">
        <v>45058</v>
      </c>
      <c r="N4742" s="10">
        <v>15</v>
      </c>
      <c r="O4742" s="9">
        <v>45073</v>
      </c>
      <c r="P4742">
        <v>3</v>
      </c>
      <c r="Q4742" s="11" t="s">
        <v>49</v>
      </c>
      <c r="R4742" s="7"/>
      <c r="S4742" s="7"/>
      <c r="T4742" s="7">
        <v>24000</v>
      </c>
      <c r="U4742" s="7"/>
      <c r="V4742" s="10">
        <v>6.830303030303031</v>
      </c>
      <c r="W4742" s="9">
        <v>45060</v>
      </c>
      <c r="X4742" s="10">
        <v>17</v>
      </c>
      <c r="Y4742" s="9">
        <v>45073</v>
      </c>
      <c r="Z4742">
        <v>3</v>
      </c>
      <c r="AA4742" s="11" t="s">
        <v>49</v>
      </c>
    </row>
    <row r="4743" spans="2:27" ht="16" x14ac:dyDescent="0.2">
      <c r="B4743" t="s">
        <v>35</v>
      </c>
      <c r="C4743">
        <v>40346488</v>
      </c>
      <c r="D4743" t="s">
        <v>389</v>
      </c>
      <c r="E4743">
        <v>1022033</v>
      </c>
      <c r="F4743" t="s">
        <v>415</v>
      </c>
      <c r="G4743" s="9">
        <v>45055</v>
      </c>
      <c r="H4743" s="7"/>
      <c r="I4743" s="7"/>
      <c r="J4743" s="7">
        <v>24000</v>
      </c>
      <c r="K4743" s="7"/>
      <c r="L4743" s="10">
        <v>5.5741092456127026</v>
      </c>
      <c r="M4743" s="9">
        <v>45060</v>
      </c>
      <c r="N4743" s="10">
        <v>5.5</v>
      </c>
      <c r="O4743" s="9">
        <v>45065</v>
      </c>
      <c r="P4743">
        <v>10</v>
      </c>
      <c r="Q4743" s="11" t="s">
        <v>49</v>
      </c>
      <c r="R4743" s="7"/>
      <c r="S4743" s="7"/>
      <c r="T4743" s="7">
        <v>24000</v>
      </c>
      <c r="U4743" s="7"/>
      <c r="V4743" s="10">
        <v>7.5741092456127026</v>
      </c>
      <c r="W4743" s="9">
        <v>45062</v>
      </c>
      <c r="X4743" s="10">
        <v>7.5</v>
      </c>
      <c r="Y4743" s="9">
        <v>45065</v>
      </c>
      <c r="Z4743">
        <v>10</v>
      </c>
      <c r="AA4743" s="11" t="s">
        <v>49</v>
      </c>
    </row>
    <row r="4744" spans="2:27" x14ac:dyDescent="0.2">
      <c r="B4744" t="s">
        <v>394</v>
      </c>
      <c r="C4744">
        <v>40346303</v>
      </c>
      <c r="D4744" t="s">
        <v>396</v>
      </c>
      <c r="E4744">
        <v>1020660</v>
      </c>
      <c r="F4744" t="s">
        <v>571</v>
      </c>
      <c r="G4744" s="9">
        <v>45056</v>
      </c>
      <c r="H4744" s="7"/>
      <c r="I4744" s="7"/>
      <c r="J4744" s="7">
        <v>23981.51</v>
      </c>
      <c r="K4744" s="7"/>
      <c r="L4744" s="10"/>
      <c r="N4744" s="10"/>
      <c r="Q4744" s="11"/>
      <c r="R4744" s="7"/>
      <c r="S4744" s="7"/>
      <c r="T4744" s="7">
        <v>23981.51</v>
      </c>
      <c r="U4744" s="7"/>
      <c r="V4744" s="10"/>
      <c r="X4744" s="10"/>
      <c r="AA4744" s="11"/>
    </row>
    <row r="4745" spans="2:27" ht="16" x14ac:dyDescent="0.2">
      <c r="B4745" t="s">
        <v>35</v>
      </c>
      <c r="C4745">
        <v>40346171</v>
      </c>
      <c r="D4745" t="s">
        <v>409</v>
      </c>
      <c r="E4745">
        <v>1012165</v>
      </c>
      <c r="F4745" t="s">
        <v>61</v>
      </c>
      <c r="G4745" s="9">
        <v>45057</v>
      </c>
      <c r="H4745" s="7"/>
      <c r="I4745" s="7"/>
      <c r="J4745" s="7">
        <v>19958.047999999999</v>
      </c>
      <c r="K4745" s="7"/>
      <c r="L4745" s="10">
        <v>7.5</v>
      </c>
      <c r="M4745" s="9">
        <v>45064</v>
      </c>
      <c r="N4745" s="10">
        <v>9.5</v>
      </c>
      <c r="O4745" s="9">
        <v>45073</v>
      </c>
      <c r="P4745">
        <v>2</v>
      </c>
      <c r="Q4745" s="11" t="s">
        <v>680</v>
      </c>
      <c r="R4745" s="7"/>
      <c r="S4745" s="7"/>
      <c r="T4745" s="7">
        <v>19958.047999999999</v>
      </c>
      <c r="U4745" s="7"/>
      <c r="V4745" s="10">
        <v>9.5</v>
      </c>
      <c r="W4745" s="9">
        <v>45066</v>
      </c>
      <c r="X4745" s="10">
        <v>11.5</v>
      </c>
      <c r="Y4745" s="9">
        <v>45073</v>
      </c>
      <c r="Z4745">
        <v>2</v>
      </c>
      <c r="AA4745" s="11" t="s">
        <v>680</v>
      </c>
    </row>
    <row r="4746" spans="2:27" ht="16" x14ac:dyDescent="0.2">
      <c r="B4746" t="s">
        <v>35</v>
      </c>
      <c r="C4746">
        <v>40343446</v>
      </c>
      <c r="D4746" t="s">
        <v>409</v>
      </c>
      <c r="E4746">
        <v>1012165</v>
      </c>
      <c r="F4746" t="s">
        <v>61</v>
      </c>
      <c r="G4746" s="9">
        <v>45058</v>
      </c>
      <c r="H4746" s="7"/>
      <c r="I4746" s="7"/>
      <c r="J4746" s="7">
        <v>19958.047999999999</v>
      </c>
      <c r="K4746" s="7"/>
      <c r="L4746" s="10">
        <v>7.5</v>
      </c>
      <c r="M4746" s="9">
        <v>45065</v>
      </c>
      <c r="N4746" s="10">
        <v>9.5</v>
      </c>
      <c r="O4746" s="9">
        <v>45074</v>
      </c>
      <c r="P4746">
        <v>2</v>
      </c>
      <c r="Q4746" s="11" t="s">
        <v>680</v>
      </c>
      <c r="R4746" s="7"/>
      <c r="S4746" s="7"/>
      <c r="T4746" s="7">
        <v>19958.047999999999</v>
      </c>
      <c r="U4746" s="7"/>
      <c r="V4746" s="10">
        <v>9.5</v>
      </c>
      <c r="W4746" s="9">
        <v>45067</v>
      </c>
      <c r="X4746" s="10">
        <v>11.5</v>
      </c>
      <c r="Y4746" s="9">
        <v>45074</v>
      </c>
      <c r="Z4746">
        <v>2</v>
      </c>
      <c r="AA4746" s="11" t="s">
        <v>680</v>
      </c>
    </row>
    <row r="4747" spans="2:27" ht="16" x14ac:dyDescent="0.2">
      <c r="B4747" t="s">
        <v>35</v>
      </c>
      <c r="C4747">
        <v>40342029</v>
      </c>
      <c r="D4747" t="s">
        <v>409</v>
      </c>
      <c r="E4747">
        <v>1030461</v>
      </c>
      <c r="F4747" t="s">
        <v>128</v>
      </c>
      <c r="G4747" s="9">
        <v>45059</v>
      </c>
      <c r="H4747" s="7"/>
      <c r="I4747" s="7"/>
      <c r="J4747" s="7">
        <v>9675.8249639999995</v>
      </c>
      <c r="K4747" s="7"/>
      <c r="L4747" s="10">
        <v>7.5</v>
      </c>
      <c r="M4747" s="9">
        <v>45066</v>
      </c>
      <c r="N4747" s="10">
        <v>9.5</v>
      </c>
      <c r="O4747" s="9">
        <v>45075</v>
      </c>
      <c r="P4747">
        <v>2</v>
      </c>
      <c r="Q4747" s="11" t="s">
        <v>680</v>
      </c>
      <c r="R4747" s="7"/>
      <c r="S4747" s="7"/>
      <c r="T4747" s="7">
        <v>9675.8249639999995</v>
      </c>
      <c r="U4747" s="7"/>
      <c r="V4747" s="10">
        <v>9.5</v>
      </c>
      <c r="W4747" s="9">
        <v>45068</v>
      </c>
      <c r="X4747" s="10">
        <v>11.5</v>
      </c>
      <c r="Y4747" s="9">
        <v>45075</v>
      </c>
      <c r="Z4747">
        <v>2</v>
      </c>
      <c r="AA4747" s="11" t="s">
        <v>680</v>
      </c>
    </row>
    <row r="4748" spans="2:27" ht="16" x14ac:dyDescent="0.2">
      <c r="B4748" t="s">
        <v>35</v>
      </c>
      <c r="C4748">
        <v>40342029</v>
      </c>
      <c r="D4748" t="s">
        <v>409</v>
      </c>
      <c r="E4748">
        <v>1030452</v>
      </c>
      <c r="F4748" t="s">
        <v>77</v>
      </c>
      <c r="G4748" s="9">
        <v>45060</v>
      </c>
      <c r="H4748" s="7"/>
      <c r="I4748" s="7"/>
      <c r="J4748" s="7">
        <v>11244.409600000001</v>
      </c>
      <c r="K4748" s="7"/>
      <c r="L4748" s="10">
        <v>7.5</v>
      </c>
      <c r="M4748" s="9">
        <v>45067</v>
      </c>
      <c r="N4748" s="10">
        <v>9.5</v>
      </c>
      <c r="O4748" s="9">
        <v>45076</v>
      </c>
      <c r="P4748">
        <v>1</v>
      </c>
      <c r="Q4748" s="11" t="s">
        <v>680</v>
      </c>
      <c r="R4748" s="7"/>
      <c r="S4748" s="7"/>
      <c r="T4748" s="7">
        <v>11244.409600000001</v>
      </c>
      <c r="U4748" s="7"/>
      <c r="V4748" s="10">
        <v>9.5</v>
      </c>
      <c r="W4748" s="9">
        <v>45069</v>
      </c>
      <c r="X4748" s="10">
        <v>11.5</v>
      </c>
      <c r="Y4748" s="9">
        <v>45076</v>
      </c>
      <c r="Z4748">
        <v>1</v>
      </c>
      <c r="AA4748" s="11" t="s">
        <v>680</v>
      </c>
    </row>
    <row r="4749" spans="2:27" x14ac:dyDescent="0.2">
      <c r="B4749" t="s">
        <v>394</v>
      </c>
      <c r="C4749">
        <v>40355776</v>
      </c>
      <c r="D4749" t="s">
        <v>485</v>
      </c>
      <c r="E4749">
        <v>1011042</v>
      </c>
      <c r="F4749" t="s">
        <v>510</v>
      </c>
      <c r="G4749" s="9">
        <v>45061</v>
      </c>
      <c r="H4749" s="7"/>
      <c r="I4749" s="7"/>
      <c r="J4749" s="7">
        <v>22800</v>
      </c>
      <c r="K4749" s="7"/>
      <c r="L4749" s="10"/>
      <c r="N4749" s="10"/>
      <c r="Q4749" s="11"/>
      <c r="R4749" s="7"/>
      <c r="S4749" s="7"/>
      <c r="T4749" s="7">
        <v>22800</v>
      </c>
      <c r="U4749" s="7"/>
      <c r="V4749" s="10"/>
      <c r="X4749" s="10"/>
      <c r="AA4749" s="11"/>
    </row>
    <row r="4750" spans="2:27" x14ac:dyDescent="0.2">
      <c r="B4750" t="s">
        <v>394</v>
      </c>
      <c r="C4750">
        <v>40355339</v>
      </c>
      <c r="D4750" t="s">
        <v>485</v>
      </c>
      <c r="E4750">
        <v>1011421</v>
      </c>
      <c r="F4750" t="s">
        <v>484</v>
      </c>
      <c r="G4750" s="9">
        <v>45062</v>
      </c>
      <c r="H4750" s="7"/>
      <c r="I4750" s="7"/>
      <c r="J4750" s="7">
        <v>23991.040000000001</v>
      </c>
      <c r="K4750" s="7"/>
      <c r="L4750" s="10"/>
      <c r="N4750" s="10"/>
      <c r="Q4750" s="11"/>
      <c r="R4750" s="7"/>
      <c r="S4750" s="7"/>
      <c r="T4750" s="7">
        <v>23991.040000000001</v>
      </c>
      <c r="U4750" s="7"/>
      <c r="V4750" s="10"/>
      <c r="X4750" s="10"/>
      <c r="AA4750" s="11"/>
    </row>
    <row r="4751" spans="2:27" ht="16" x14ac:dyDescent="0.2">
      <c r="B4751" t="s">
        <v>35</v>
      </c>
      <c r="C4751">
        <v>40354661</v>
      </c>
      <c r="D4751" t="s">
        <v>389</v>
      </c>
      <c r="E4751">
        <v>1011969</v>
      </c>
      <c r="F4751" t="s">
        <v>417</v>
      </c>
      <c r="G4751" s="9">
        <v>45063</v>
      </c>
      <c r="H4751" s="7"/>
      <c r="I4751" s="7"/>
      <c r="J4751" s="7">
        <v>24000</v>
      </c>
      <c r="K4751" s="7"/>
      <c r="L4751" s="10">
        <v>5.5741092456127026</v>
      </c>
      <c r="M4751" s="9">
        <v>45068</v>
      </c>
      <c r="N4751" s="10">
        <v>5.5</v>
      </c>
      <c r="O4751" s="9">
        <v>45073</v>
      </c>
      <c r="P4751">
        <v>3</v>
      </c>
      <c r="Q4751" s="11" t="s">
        <v>49</v>
      </c>
      <c r="R4751" s="7"/>
      <c r="S4751" s="7"/>
      <c r="T4751" s="7">
        <v>24000</v>
      </c>
      <c r="U4751" s="7"/>
      <c r="V4751" s="10">
        <v>7.5741092456127026</v>
      </c>
      <c r="W4751" s="9">
        <v>45070</v>
      </c>
      <c r="X4751" s="10">
        <v>7.5</v>
      </c>
      <c r="Y4751" s="9">
        <v>45073</v>
      </c>
      <c r="Z4751">
        <v>3</v>
      </c>
      <c r="AA4751" s="11" t="s">
        <v>49</v>
      </c>
    </row>
    <row r="4752" spans="2:27" x14ac:dyDescent="0.2">
      <c r="B4752" t="s">
        <v>394</v>
      </c>
      <c r="C4752">
        <v>40354440</v>
      </c>
      <c r="D4752" t="s">
        <v>396</v>
      </c>
      <c r="E4752">
        <v>1012612</v>
      </c>
      <c r="F4752" t="s">
        <v>429</v>
      </c>
      <c r="G4752" s="9">
        <v>45064</v>
      </c>
      <c r="H4752" s="7"/>
      <c r="I4752" s="7"/>
      <c r="J4752" s="7">
        <v>24673.200000000001</v>
      </c>
      <c r="K4752" s="7"/>
      <c r="L4752" s="10"/>
      <c r="N4752" s="10"/>
      <c r="Q4752" s="11"/>
      <c r="R4752" s="7"/>
      <c r="S4752" s="7"/>
      <c r="T4752" s="7">
        <v>24673.200000000001</v>
      </c>
      <c r="U4752" s="7"/>
      <c r="V4752" s="10"/>
      <c r="X4752" s="10"/>
      <c r="AA4752" s="11"/>
    </row>
    <row r="4753" spans="2:27" ht="16" x14ac:dyDescent="0.2">
      <c r="B4753" t="s">
        <v>35</v>
      </c>
      <c r="C4753">
        <v>40354074</v>
      </c>
      <c r="D4753" t="s">
        <v>409</v>
      </c>
      <c r="E4753">
        <v>1023190</v>
      </c>
      <c r="F4753" t="s">
        <v>257</v>
      </c>
      <c r="G4753" s="9">
        <v>45065</v>
      </c>
      <c r="H4753" s="7"/>
      <c r="I4753" s="7"/>
      <c r="J4753" s="7"/>
      <c r="K4753" s="7">
        <v>23720.720649999999</v>
      </c>
      <c r="L4753" s="10">
        <v>7.5</v>
      </c>
      <c r="M4753" s="9">
        <v>45072</v>
      </c>
      <c r="N4753" s="10">
        <v>9.5</v>
      </c>
      <c r="O4753" s="12">
        <v>45081</v>
      </c>
      <c r="P4753">
        <v>22</v>
      </c>
      <c r="Q4753" s="11" t="s">
        <v>49</v>
      </c>
      <c r="R4753" s="7"/>
      <c r="S4753" s="7"/>
      <c r="T4753" s="7"/>
      <c r="U4753" s="13">
        <v>23720.720649999999</v>
      </c>
      <c r="V4753" s="10">
        <v>9.5</v>
      </c>
      <c r="W4753" s="9">
        <v>45074</v>
      </c>
      <c r="X4753" s="10">
        <v>11.5</v>
      </c>
      <c r="Y4753" s="9">
        <v>45081</v>
      </c>
      <c r="Z4753">
        <v>22</v>
      </c>
      <c r="AA4753" s="11" t="s">
        <v>49</v>
      </c>
    </row>
    <row r="4754" spans="2:27" x14ac:dyDescent="0.2">
      <c r="B4754" t="s">
        <v>394</v>
      </c>
      <c r="C4754">
        <v>40354045</v>
      </c>
      <c r="D4754" t="s">
        <v>485</v>
      </c>
      <c r="E4754">
        <v>1023433</v>
      </c>
      <c r="F4754" t="s">
        <v>490</v>
      </c>
      <c r="G4754" s="9">
        <v>45066</v>
      </c>
      <c r="H4754" s="7"/>
      <c r="I4754" s="7"/>
      <c r="J4754" s="7">
        <v>24005.19</v>
      </c>
      <c r="K4754" s="7"/>
      <c r="L4754" s="10"/>
      <c r="N4754" s="10"/>
      <c r="Q4754" s="11"/>
      <c r="R4754" s="7"/>
      <c r="S4754" s="7"/>
      <c r="T4754" s="7">
        <v>24005.19</v>
      </c>
      <c r="U4754" s="7"/>
      <c r="V4754" s="10"/>
      <c r="X4754" s="10"/>
      <c r="AA4754" s="11"/>
    </row>
    <row r="4755" spans="2:27" ht="16" x14ac:dyDescent="0.2">
      <c r="B4755" t="s">
        <v>35</v>
      </c>
      <c r="C4755">
        <v>40354003</v>
      </c>
      <c r="D4755" t="s">
        <v>409</v>
      </c>
      <c r="E4755">
        <v>1030735</v>
      </c>
      <c r="F4755" t="s">
        <v>361</v>
      </c>
      <c r="G4755" s="9">
        <v>45067</v>
      </c>
      <c r="H4755" s="7"/>
      <c r="I4755" s="7"/>
      <c r="J4755" s="7"/>
      <c r="K4755" s="7">
        <v>19050.864000000001</v>
      </c>
      <c r="L4755" s="10">
        <v>7.5</v>
      </c>
      <c r="M4755" s="9">
        <v>45074</v>
      </c>
      <c r="N4755" s="10">
        <v>9.5</v>
      </c>
      <c r="O4755" s="12">
        <v>45083</v>
      </c>
      <c r="P4755">
        <v>20</v>
      </c>
      <c r="Q4755" s="11" t="s">
        <v>49</v>
      </c>
      <c r="R4755" s="7"/>
      <c r="S4755" s="7"/>
      <c r="T4755" s="7"/>
      <c r="U4755" s="13">
        <v>19050.864000000001</v>
      </c>
      <c r="V4755" s="10">
        <v>9.5</v>
      </c>
      <c r="W4755" s="9">
        <v>45076</v>
      </c>
      <c r="X4755" s="10">
        <v>11.5</v>
      </c>
      <c r="Y4755" s="9">
        <v>45083</v>
      </c>
      <c r="Z4755">
        <v>20</v>
      </c>
      <c r="AA4755" s="11" t="s">
        <v>49</v>
      </c>
    </row>
    <row r="4756" spans="2:27" ht="16" x14ac:dyDescent="0.2">
      <c r="B4756" t="s">
        <v>35</v>
      </c>
      <c r="C4756">
        <v>40352843</v>
      </c>
      <c r="D4756" t="s">
        <v>389</v>
      </c>
      <c r="E4756">
        <v>1011417</v>
      </c>
      <c r="F4756" t="s">
        <v>421</v>
      </c>
      <c r="G4756" s="9">
        <v>45068</v>
      </c>
      <c r="H4756" s="7"/>
      <c r="I4756" s="7"/>
      <c r="J4756" s="7"/>
      <c r="K4756" s="7">
        <v>19800</v>
      </c>
      <c r="L4756" s="10">
        <v>5.5741092456127026</v>
      </c>
      <c r="M4756" s="9">
        <v>45073</v>
      </c>
      <c r="N4756" s="10">
        <v>5.5</v>
      </c>
      <c r="O4756" s="12">
        <v>45078</v>
      </c>
      <c r="P4756">
        <v>24</v>
      </c>
      <c r="Q4756" s="11" t="s">
        <v>49</v>
      </c>
      <c r="R4756" s="7"/>
      <c r="S4756" s="7"/>
      <c r="T4756" s="7"/>
      <c r="U4756" s="13">
        <v>19800</v>
      </c>
      <c r="V4756" s="10">
        <v>7.5741092456127026</v>
      </c>
      <c r="W4756" s="9">
        <v>45075</v>
      </c>
      <c r="X4756" s="10">
        <v>7.5</v>
      </c>
      <c r="Y4756" s="9">
        <v>45078</v>
      </c>
      <c r="Z4756">
        <v>24</v>
      </c>
      <c r="AA4756" s="11" t="s">
        <v>49</v>
      </c>
    </row>
    <row r="4757" spans="2:27" x14ac:dyDescent="0.2">
      <c r="B4757" t="s">
        <v>394</v>
      </c>
      <c r="C4757">
        <v>40352829</v>
      </c>
      <c r="D4757" t="s">
        <v>396</v>
      </c>
      <c r="E4757">
        <v>1022887</v>
      </c>
      <c r="F4757" t="s">
        <v>404</v>
      </c>
      <c r="G4757" s="9">
        <v>45069</v>
      </c>
      <c r="H4757" s="7"/>
      <c r="I4757" s="7"/>
      <c r="J4757" s="7">
        <v>22019.69</v>
      </c>
      <c r="K4757" s="7"/>
      <c r="L4757" s="10"/>
      <c r="N4757" s="10"/>
      <c r="Q4757" s="11"/>
      <c r="R4757" s="7"/>
      <c r="S4757" s="7"/>
      <c r="T4757" s="7">
        <v>22019.69</v>
      </c>
      <c r="U4757" s="7"/>
      <c r="V4757" s="10"/>
      <c r="X4757" s="10"/>
      <c r="AA4757" s="11"/>
    </row>
    <row r="4758" spans="2:27" x14ac:dyDescent="0.2">
      <c r="B4758" t="s">
        <v>394</v>
      </c>
      <c r="C4758">
        <v>40352821</v>
      </c>
      <c r="D4758" t="s">
        <v>396</v>
      </c>
      <c r="E4758">
        <v>1020860</v>
      </c>
      <c r="F4758" t="s">
        <v>403</v>
      </c>
      <c r="G4758" s="9">
        <v>45070</v>
      </c>
      <c r="H4758" s="7"/>
      <c r="I4758" s="7"/>
      <c r="J4758" s="7">
        <v>22007.66</v>
      </c>
      <c r="K4758" s="7"/>
      <c r="L4758" s="10"/>
      <c r="N4758" s="10"/>
      <c r="Q4758" s="11"/>
      <c r="R4758" s="7"/>
      <c r="S4758" s="7"/>
      <c r="T4758" s="7">
        <v>22007.66</v>
      </c>
      <c r="U4758" s="7"/>
      <c r="V4758" s="10"/>
      <c r="X4758" s="10"/>
      <c r="AA4758" s="11"/>
    </row>
    <row r="4759" spans="2:27" x14ac:dyDescent="0.2">
      <c r="B4759" t="s">
        <v>394</v>
      </c>
      <c r="C4759">
        <v>40352816</v>
      </c>
      <c r="D4759" t="s">
        <v>396</v>
      </c>
      <c r="E4759">
        <v>1022887</v>
      </c>
      <c r="F4759" t="s">
        <v>404</v>
      </c>
      <c r="G4759" s="9">
        <v>45071</v>
      </c>
      <c r="H4759" s="7"/>
      <c r="I4759" s="7"/>
      <c r="J4759" s="7">
        <v>22015.93</v>
      </c>
      <c r="K4759" s="7"/>
      <c r="L4759" s="10"/>
      <c r="N4759" s="10"/>
      <c r="Q4759" s="11"/>
      <c r="R4759" s="7"/>
      <c r="S4759" s="7"/>
      <c r="T4759" s="7">
        <v>22015.93</v>
      </c>
      <c r="U4759" s="7"/>
      <c r="V4759" s="10"/>
      <c r="X4759" s="10"/>
      <c r="AA4759" s="11"/>
    </row>
    <row r="4760" spans="2:27" x14ac:dyDescent="0.2">
      <c r="B4760" t="s">
        <v>394</v>
      </c>
      <c r="C4760">
        <v>40352056</v>
      </c>
      <c r="D4760" t="s">
        <v>396</v>
      </c>
      <c r="E4760">
        <v>1021152</v>
      </c>
      <c r="F4760" t="s">
        <v>406</v>
      </c>
      <c r="G4760" s="9">
        <v>45072</v>
      </c>
      <c r="H4760" s="7"/>
      <c r="I4760" s="7"/>
      <c r="J4760" s="7">
        <v>9200</v>
      </c>
      <c r="K4760" s="7"/>
      <c r="L4760" s="10"/>
      <c r="N4760" s="10"/>
      <c r="Q4760" s="11"/>
      <c r="R4760" s="7"/>
      <c r="S4760" s="7"/>
      <c r="T4760" s="7">
        <v>9200</v>
      </c>
      <c r="U4760" s="7"/>
      <c r="V4760" s="10"/>
      <c r="X4760" s="10"/>
      <c r="AA4760" s="11"/>
    </row>
    <row r="4761" spans="2:27" x14ac:dyDescent="0.2">
      <c r="B4761" t="s">
        <v>394</v>
      </c>
      <c r="C4761">
        <v>40352056</v>
      </c>
      <c r="D4761" t="s">
        <v>396</v>
      </c>
      <c r="E4761">
        <v>1021152</v>
      </c>
      <c r="F4761" t="s">
        <v>406</v>
      </c>
      <c r="G4761" s="9">
        <v>45073</v>
      </c>
      <c r="H4761" s="7"/>
      <c r="I4761" s="7"/>
      <c r="J4761" s="7">
        <v>12800</v>
      </c>
      <c r="K4761" s="7"/>
      <c r="L4761" s="10"/>
      <c r="N4761" s="10"/>
      <c r="Q4761" s="11"/>
      <c r="R4761" s="7"/>
      <c r="S4761" s="7"/>
      <c r="T4761" s="7">
        <v>12800</v>
      </c>
      <c r="U4761" s="7"/>
      <c r="V4761" s="10"/>
      <c r="X4761" s="10"/>
      <c r="AA4761" s="11"/>
    </row>
    <row r="4762" spans="2:27" ht="16" x14ac:dyDescent="0.2">
      <c r="B4762" t="s">
        <v>35</v>
      </c>
      <c r="C4762">
        <v>40351578</v>
      </c>
      <c r="D4762" t="s">
        <v>389</v>
      </c>
      <c r="E4762">
        <v>1022212</v>
      </c>
      <c r="F4762" t="s">
        <v>300</v>
      </c>
      <c r="G4762" s="9">
        <v>45074</v>
      </c>
      <c r="H4762" s="7"/>
      <c r="I4762" s="7"/>
      <c r="J4762" s="7"/>
      <c r="K4762" s="7">
        <v>23963.83</v>
      </c>
      <c r="L4762" s="10">
        <v>5.5741092456127026</v>
      </c>
      <c r="M4762" s="9">
        <v>45079</v>
      </c>
      <c r="N4762" s="10">
        <v>5.5</v>
      </c>
      <c r="O4762" s="12">
        <v>45084</v>
      </c>
      <c r="P4762">
        <v>19</v>
      </c>
      <c r="Q4762" s="11" t="s">
        <v>49</v>
      </c>
      <c r="R4762" s="7"/>
      <c r="S4762" s="7"/>
      <c r="T4762" s="7"/>
      <c r="U4762" s="13">
        <v>23963.83</v>
      </c>
      <c r="V4762" s="10">
        <v>7.5741092456127026</v>
      </c>
      <c r="W4762" s="9">
        <v>45081</v>
      </c>
      <c r="X4762" s="10">
        <v>7.5</v>
      </c>
      <c r="Y4762" s="9">
        <v>45084</v>
      </c>
      <c r="Z4762">
        <v>19</v>
      </c>
      <c r="AA4762" s="11" t="s">
        <v>49</v>
      </c>
    </row>
    <row r="4763" spans="2:27" ht="16" x14ac:dyDescent="0.2">
      <c r="B4763" t="s">
        <v>35</v>
      </c>
      <c r="C4763">
        <v>40351477</v>
      </c>
      <c r="D4763" t="s">
        <v>389</v>
      </c>
      <c r="E4763">
        <v>1022943</v>
      </c>
      <c r="F4763" t="s">
        <v>324</v>
      </c>
      <c r="G4763" s="9">
        <v>45075</v>
      </c>
      <c r="H4763" s="7"/>
      <c r="I4763" s="7"/>
      <c r="J4763" s="7"/>
      <c r="K4763" s="7">
        <v>25005</v>
      </c>
      <c r="L4763" s="10">
        <v>5.5741092456127026</v>
      </c>
      <c r="M4763" s="9">
        <v>45080</v>
      </c>
      <c r="N4763" s="10">
        <v>5.5</v>
      </c>
      <c r="O4763" s="12">
        <v>45085</v>
      </c>
      <c r="P4763">
        <v>18</v>
      </c>
      <c r="Q4763" s="11" t="s">
        <v>49</v>
      </c>
      <c r="R4763" s="7"/>
      <c r="S4763" s="7"/>
      <c r="T4763" s="7"/>
      <c r="U4763" s="13">
        <v>25005</v>
      </c>
      <c r="V4763" s="10">
        <v>7.5741092456127026</v>
      </c>
      <c r="W4763" s="9">
        <v>45082</v>
      </c>
      <c r="X4763" s="10">
        <v>7.5</v>
      </c>
      <c r="Y4763" s="9">
        <v>45085</v>
      </c>
      <c r="Z4763">
        <v>18</v>
      </c>
      <c r="AA4763" s="11" t="s">
        <v>49</v>
      </c>
    </row>
    <row r="4764" spans="2:27" ht="16" x14ac:dyDescent="0.2">
      <c r="B4764" t="s">
        <v>35</v>
      </c>
      <c r="C4764">
        <v>40351425</v>
      </c>
      <c r="D4764" t="s">
        <v>389</v>
      </c>
      <c r="E4764">
        <v>1022183</v>
      </c>
      <c r="F4764" t="s">
        <v>165</v>
      </c>
      <c r="G4764" s="9">
        <v>45076</v>
      </c>
      <c r="H4764" s="7"/>
      <c r="I4764" s="7"/>
      <c r="J4764" s="7"/>
      <c r="K4764" s="7">
        <v>25018.47</v>
      </c>
      <c r="L4764" s="10">
        <v>5.5741092456127026</v>
      </c>
      <c r="M4764" s="9">
        <v>45081</v>
      </c>
      <c r="N4764" s="10">
        <v>5.5</v>
      </c>
      <c r="O4764" s="12">
        <v>45086</v>
      </c>
      <c r="P4764">
        <v>17</v>
      </c>
      <c r="Q4764" s="11" t="s">
        <v>49</v>
      </c>
      <c r="R4764" s="7"/>
      <c r="S4764" s="7"/>
      <c r="T4764" s="7"/>
      <c r="U4764" s="13">
        <v>25018.47</v>
      </c>
      <c r="V4764" s="10">
        <v>7.5741092456127026</v>
      </c>
      <c r="W4764" s="9">
        <v>45083</v>
      </c>
      <c r="X4764" s="10">
        <v>7.5</v>
      </c>
      <c r="Y4764" s="9">
        <v>45086</v>
      </c>
      <c r="Z4764">
        <v>17</v>
      </c>
      <c r="AA4764" s="11" t="s">
        <v>49</v>
      </c>
    </row>
    <row r="4765" spans="2:27" ht="16" x14ac:dyDescent="0.2">
      <c r="B4765" t="s">
        <v>35</v>
      </c>
      <c r="C4765">
        <v>40351423</v>
      </c>
      <c r="D4765" t="s">
        <v>389</v>
      </c>
      <c r="E4765">
        <v>1022183</v>
      </c>
      <c r="F4765" t="s">
        <v>165</v>
      </c>
      <c r="G4765" s="9">
        <v>45077</v>
      </c>
      <c r="H4765" s="7"/>
      <c r="I4765" s="7"/>
      <c r="J4765" s="7"/>
      <c r="K4765" s="7">
        <v>25011.97</v>
      </c>
      <c r="L4765" s="10">
        <v>5.5741092456127026</v>
      </c>
      <c r="M4765" s="9">
        <v>45082</v>
      </c>
      <c r="N4765" s="10">
        <v>5.5</v>
      </c>
      <c r="O4765" s="12">
        <v>45087</v>
      </c>
      <c r="P4765">
        <v>16</v>
      </c>
      <c r="Q4765" s="11" t="s">
        <v>49</v>
      </c>
      <c r="R4765" s="7"/>
      <c r="S4765" s="7"/>
      <c r="T4765" s="7"/>
      <c r="U4765" s="13">
        <v>25011.97</v>
      </c>
      <c r="V4765" s="10">
        <v>7.5741092456127026</v>
      </c>
      <c r="W4765" s="9">
        <v>45084</v>
      </c>
      <c r="X4765" s="10">
        <v>7.5</v>
      </c>
      <c r="Y4765" s="9">
        <v>45087</v>
      </c>
      <c r="Z4765">
        <v>16</v>
      </c>
      <c r="AA4765" s="11" t="s">
        <v>49</v>
      </c>
    </row>
    <row r="4766" spans="2:27" ht="16" x14ac:dyDescent="0.2">
      <c r="B4766" t="s">
        <v>35</v>
      </c>
      <c r="C4766">
        <v>40351422</v>
      </c>
      <c r="D4766" t="s">
        <v>389</v>
      </c>
      <c r="E4766">
        <v>1022183</v>
      </c>
      <c r="F4766" t="s">
        <v>165</v>
      </c>
      <c r="G4766" s="9">
        <v>45078</v>
      </c>
      <c r="H4766" s="7"/>
      <c r="I4766" s="7"/>
      <c r="J4766" s="7"/>
      <c r="K4766" s="7">
        <v>25013.040000000001</v>
      </c>
      <c r="L4766" s="10">
        <v>5.5741092456127026</v>
      </c>
      <c r="M4766" s="9">
        <v>45083</v>
      </c>
      <c r="N4766" s="10">
        <v>5.5</v>
      </c>
      <c r="O4766" s="12">
        <v>45088</v>
      </c>
      <c r="P4766">
        <v>16</v>
      </c>
      <c r="Q4766" s="11" t="s">
        <v>49</v>
      </c>
      <c r="R4766" s="7"/>
      <c r="S4766" s="7"/>
      <c r="T4766" s="7"/>
      <c r="U4766" s="13">
        <v>25013.040000000001</v>
      </c>
      <c r="V4766" s="10">
        <v>7.5741092456127026</v>
      </c>
      <c r="W4766" s="9">
        <v>45085</v>
      </c>
      <c r="X4766" s="10">
        <v>7.5</v>
      </c>
      <c r="Y4766" s="9">
        <v>45088</v>
      </c>
      <c r="Z4766">
        <v>16</v>
      </c>
      <c r="AA4766" s="11" t="s">
        <v>49</v>
      </c>
    </row>
    <row r="4767" spans="2:27" ht="16" x14ac:dyDescent="0.2">
      <c r="B4767" t="s">
        <v>35</v>
      </c>
      <c r="C4767">
        <v>40349698</v>
      </c>
      <c r="D4767" t="s">
        <v>389</v>
      </c>
      <c r="E4767">
        <v>1022378</v>
      </c>
      <c r="F4767" t="s">
        <v>304</v>
      </c>
      <c r="G4767" s="9">
        <v>45079</v>
      </c>
      <c r="H4767" s="7"/>
      <c r="I4767" s="7"/>
      <c r="J4767" s="7"/>
      <c r="K4767" s="7">
        <v>25000</v>
      </c>
      <c r="L4767" s="10">
        <v>5.5741092456127026</v>
      </c>
      <c r="M4767" s="9">
        <v>45084</v>
      </c>
      <c r="N4767" s="10">
        <v>5.5</v>
      </c>
      <c r="O4767" s="12">
        <v>45089</v>
      </c>
      <c r="P4767">
        <v>15</v>
      </c>
      <c r="Q4767" s="11" t="s">
        <v>49</v>
      </c>
      <c r="R4767" s="7"/>
      <c r="S4767" s="7"/>
      <c r="T4767" s="7"/>
      <c r="U4767" s="13">
        <v>25000</v>
      </c>
      <c r="V4767" s="10">
        <v>7.5741092456127026</v>
      </c>
      <c r="W4767" s="9">
        <v>45086</v>
      </c>
      <c r="X4767" s="10">
        <v>7.5</v>
      </c>
      <c r="Y4767" s="9">
        <v>45089</v>
      </c>
      <c r="Z4767">
        <v>15</v>
      </c>
      <c r="AA4767" s="11" t="s">
        <v>49</v>
      </c>
    </row>
    <row r="4768" spans="2:27" x14ac:dyDescent="0.2">
      <c r="B4768" t="s">
        <v>394</v>
      </c>
      <c r="C4768">
        <v>40347981</v>
      </c>
      <c r="D4768" t="s">
        <v>485</v>
      </c>
      <c r="E4768">
        <v>1030720</v>
      </c>
      <c r="F4768" t="s">
        <v>681</v>
      </c>
      <c r="G4768" s="9">
        <v>45080</v>
      </c>
      <c r="H4768" s="7"/>
      <c r="I4768" s="7"/>
      <c r="J4768" s="7"/>
      <c r="K4768" s="7"/>
      <c r="L4768" s="10"/>
      <c r="N4768" s="10"/>
      <c r="Q4768" s="11"/>
      <c r="R4768" s="7"/>
      <c r="S4768" s="7"/>
      <c r="T4768" s="7"/>
      <c r="U4768" s="7"/>
      <c r="V4768" s="10"/>
      <c r="X4768" s="10"/>
      <c r="AA4768" s="11"/>
    </row>
    <row r="4769" spans="2:27" ht="16" x14ac:dyDescent="0.2">
      <c r="B4769" t="s">
        <v>35</v>
      </c>
      <c r="C4769">
        <v>40346377</v>
      </c>
      <c r="D4769" t="s">
        <v>389</v>
      </c>
      <c r="E4769">
        <v>1022753</v>
      </c>
      <c r="F4769" t="s">
        <v>320</v>
      </c>
      <c r="G4769" s="9">
        <v>45081</v>
      </c>
      <c r="H4769" s="7"/>
      <c r="I4769" s="7"/>
      <c r="J4769" s="7"/>
      <c r="K4769" s="7">
        <v>24000</v>
      </c>
      <c r="L4769" s="10">
        <v>5.5741092456127026</v>
      </c>
      <c r="M4769" s="9">
        <v>45086</v>
      </c>
      <c r="N4769" s="10">
        <v>5.5</v>
      </c>
      <c r="O4769" s="12">
        <v>45091</v>
      </c>
      <c r="P4769">
        <v>13</v>
      </c>
      <c r="Q4769" s="11" t="s">
        <v>49</v>
      </c>
      <c r="R4769" s="7"/>
      <c r="S4769" s="7"/>
      <c r="T4769" s="7"/>
      <c r="U4769" s="13">
        <v>24000</v>
      </c>
      <c r="V4769" s="10">
        <v>7.5741092456127026</v>
      </c>
      <c r="W4769" s="9">
        <v>45088</v>
      </c>
      <c r="X4769" s="10">
        <v>7.5</v>
      </c>
      <c r="Y4769" s="9">
        <v>45091</v>
      </c>
      <c r="Z4769">
        <v>13</v>
      </c>
      <c r="AA4769" s="11" t="s">
        <v>49</v>
      </c>
    </row>
    <row r="4770" spans="2:27" ht="16" x14ac:dyDescent="0.2">
      <c r="B4770" t="s">
        <v>35</v>
      </c>
      <c r="C4770">
        <v>40344361</v>
      </c>
      <c r="D4770" t="s">
        <v>389</v>
      </c>
      <c r="E4770">
        <v>1022125</v>
      </c>
      <c r="F4770" t="s">
        <v>296</v>
      </c>
      <c r="G4770" s="9">
        <v>45082</v>
      </c>
      <c r="H4770" s="7"/>
      <c r="I4770" s="7"/>
      <c r="J4770" s="7"/>
      <c r="K4770" s="7">
        <v>12367.14</v>
      </c>
      <c r="L4770" s="10">
        <v>5.5741092456127026</v>
      </c>
      <c r="M4770" s="9">
        <v>45087</v>
      </c>
      <c r="N4770" s="10">
        <v>5.5</v>
      </c>
      <c r="O4770" s="12">
        <v>45092</v>
      </c>
      <c r="P4770">
        <v>12</v>
      </c>
      <c r="Q4770" s="11" t="s">
        <v>49</v>
      </c>
      <c r="R4770" s="7"/>
      <c r="S4770" s="7"/>
      <c r="T4770" s="7"/>
      <c r="U4770" s="13">
        <v>12367.14</v>
      </c>
      <c r="V4770" s="10">
        <v>7.5741092456127026</v>
      </c>
      <c r="W4770" s="9">
        <v>45089</v>
      </c>
      <c r="X4770" s="10">
        <v>7.5</v>
      </c>
      <c r="Y4770" s="9">
        <v>45092</v>
      </c>
      <c r="Z4770">
        <v>12</v>
      </c>
      <c r="AA4770" s="11" t="s">
        <v>49</v>
      </c>
    </row>
    <row r="4771" spans="2:27" ht="16" x14ac:dyDescent="0.2">
      <c r="B4771" t="s">
        <v>35</v>
      </c>
      <c r="C4771">
        <v>40344361</v>
      </c>
      <c r="D4771" t="s">
        <v>389</v>
      </c>
      <c r="E4771">
        <v>1022125</v>
      </c>
      <c r="F4771" t="s">
        <v>296</v>
      </c>
      <c r="G4771" s="9">
        <v>45083</v>
      </c>
      <c r="H4771" s="7"/>
      <c r="I4771" s="7"/>
      <c r="J4771" s="7"/>
      <c r="K4771" s="7">
        <v>11640.39</v>
      </c>
      <c r="L4771" s="10">
        <v>5.5741092456127026</v>
      </c>
      <c r="M4771" s="9">
        <v>45088</v>
      </c>
      <c r="N4771" s="10">
        <v>5.5</v>
      </c>
      <c r="O4771" s="12">
        <v>45093</v>
      </c>
      <c r="P4771">
        <v>11</v>
      </c>
      <c r="Q4771" s="11" t="s">
        <v>49</v>
      </c>
      <c r="R4771" s="7"/>
      <c r="S4771" s="7"/>
      <c r="T4771" s="7"/>
      <c r="U4771" s="13">
        <v>11640.39</v>
      </c>
      <c r="V4771" s="10">
        <v>7.5741092456127026</v>
      </c>
      <c r="W4771" s="9">
        <v>45090</v>
      </c>
      <c r="X4771" s="10">
        <v>7.5</v>
      </c>
      <c r="Y4771" s="9">
        <v>45093</v>
      </c>
      <c r="Z4771">
        <v>11</v>
      </c>
      <c r="AA4771" s="11" t="s">
        <v>49</v>
      </c>
    </row>
    <row r="4772" spans="2:27" ht="16" x14ac:dyDescent="0.2">
      <c r="B4772" t="s">
        <v>35</v>
      </c>
      <c r="C4772">
        <v>40343403</v>
      </c>
      <c r="D4772" t="s">
        <v>391</v>
      </c>
      <c r="E4772">
        <v>1023265</v>
      </c>
      <c r="F4772" t="s">
        <v>347</v>
      </c>
      <c r="G4772" s="9">
        <v>45084</v>
      </c>
      <c r="H4772" s="7"/>
      <c r="I4772" s="7"/>
      <c r="J4772" s="7"/>
      <c r="K4772" s="7">
        <v>2003.92</v>
      </c>
      <c r="L4772" s="10">
        <v>4.830303030303031</v>
      </c>
      <c r="M4772" s="9">
        <v>45088</v>
      </c>
      <c r="N4772" s="10">
        <v>15</v>
      </c>
      <c r="O4772" s="12">
        <v>45103</v>
      </c>
      <c r="P4772">
        <v>4</v>
      </c>
      <c r="Q4772" s="11" t="s">
        <v>49</v>
      </c>
      <c r="R4772" s="7"/>
      <c r="S4772" s="7"/>
      <c r="T4772" s="7"/>
      <c r="U4772" s="13">
        <v>2003.92</v>
      </c>
      <c r="V4772" s="10">
        <v>6.830303030303031</v>
      </c>
      <c r="W4772" s="9">
        <v>45090</v>
      </c>
      <c r="X4772" s="10">
        <v>17</v>
      </c>
      <c r="Y4772" s="9">
        <v>45103</v>
      </c>
      <c r="Z4772">
        <v>4</v>
      </c>
      <c r="AA4772" s="11" t="s">
        <v>49</v>
      </c>
    </row>
    <row r="4773" spans="2:27" ht="16" x14ac:dyDescent="0.2">
      <c r="B4773" t="s">
        <v>35</v>
      </c>
      <c r="C4773">
        <v>40343402</v>
      </c>
      <c r="D4773" t="s">
        <v>391</v>
      </c>
      <c r="E4773">
        <v>1022864</v>
      </c>
      <c r="F4773" t="s">
        <v>41</v>
      </c>
      <c r="G4773" s="9">
        <v>45085</v>
      </c>
      <c r="H4773" s="7"/>
      <c r="I4773" s="7"/>
      <c r="J4773" s="7"/>
      <c r="K4773" s="7">
        <v>12008.91</v>
      </c>
      <c r="L4773" s="10">
        <v>4.830303030303031</v>
      </c>
      <c r="M4773" s="9">
        <v>45089</v>
      </c>
      <c r="N4773" s="10">
        <v>15</v>
      </c>
      <c r="O4773" s="12">
        <v>45104</v>
      </c>
      <c r="P4773">
        <v>3</v>
      </c>
      <c r="Q4773" s="11" t="s">
        <v>49</v>
      </c>
      <c r="R4773" s="7"/>
      <c r="S4773" s="7"/>
      <c r="T4773" s="7"/>
      <c r="U4773" s="13">
        <v>12008.91</v>
      </c>
      <c r="V4773" s="10">
        <v>6.830303030303031</v>
      </c>
      <c r="W4773" s="9">
        <v>45091</v>
      </c>
      <c r="X4773" s="10">
        <v>17</v>
      </c>
      <c r="Y4773" s="9">
        <v>45104</v>
      </c>
      <c r="Z4773">
        <v>3</v>
      </c>
      <c r="AA4773" s="11" t="s">
        <v>49</v>
      </c>
    </row>
    <row r="4774" spans="2:27" ht="16" x14ac:dyDescent="0.2">
      <c r="B4774" t="s">
        <v>35</v>
      </c>
      <c r="C4774">
        <v>40343402</v>
      </c>
      <c r="D4774" t="s">
        <v>391</v>
      </c>
      <c r="E4774">
        <v>1022751</v>
      </c>
      <c r="F4774" t="s">
        <v>36</v>
      </c>
      <c r="G4774" s="9">
        <v>45086</v>
      </c>
      <c r="H4774" s="7"/>
      <c r="I4774" s="7"/>
      <c r="J4774" s="7"/>
      <c r="K4774" s="7">
        <v>4004</v>
      </c>
      <c r="L4774" s="10">
        <v>4.830303030303031</v>
      </c>
      <c r="M4774" s="9">
        <v>45090</v>
      </c>
      <c r="N4774" s="10">
        <v>15</v>
      </c>
      <c r="O4774" s="12">
        <v>45105</v>
      </c>
      <c r="P4774">
        <v>2</v>
      </c>
      <c r="Q4774" s="11" t="s">
        <v>682</v>
      </c>
      <c r="R4774" s="7"/>
      <c r="S4774" s="7"/>
      <c r="T4774" s="7"/>
      <c r="U4774" s="13">
        <v>4004</v>
      </c>
      <c r="V4774" s="10">
        <v>6.830303030303031</v>
      </c>
      <c r="W4774" s="9">
        <v>45092</v>
      </c>
      <c r="X4774" s="10">
        <v>17</v>
      </c>
      <c r="Y4774" s="9">
        <v>45105</v>
      </c>
      <c r="Z4774">
        <v>2</v>
      </c>
      <c r="AA4774" s="11" t="s">
        <v>682</v>
      </c>
    </row>
    <row r="4775" spans="2:27" ht="16" x14ac:dyDescent="0.2">
      <c r="B4775" t="s">
        <v>35</v>
      </c>
      <c r="C4775">
        <v>40343402</v>
      </c>
      <c r="D4775" t="s">
        <v>391</v>
      </c>
      <c r="E4775">
        <v>1022293</v>
      </c>
      <c r="F4775" t="s">
        <v>339</v>
      </c>
      <c r="G4775" s="9">
        <v>45087</v>
      </c>
      <c r="H4775" s="7"/>
      <c r="I4775" s="7"/>
      <c r="J4775" s="7"/>
      <c r="K4775" s="7">
        <v>1000</v>
      </c>
      <c r="L4775" s="10">
        <v>4.830303030303031</v>
      </c>
      <c r="M4775" s="9">
        <v>45091</v>
      </c>
      <c r="N4775" s="10">
        <v>15</v>
      </c>
      <c r="O4775" s="12">
        <v>45106</v>
      </c>
      <c r="P4775">
        <v>1</v>
      </c>
      <c r="Q4775" s="11" t="s">
        <v>682</v>
      </c>
      <c r="R4775" s="7"/>
      <c r="S4775" s="7"/>
      <c r="T4775" s="7"/>
      <c r="U4775" s="13">
        <v>1000</v>
      </c>
      <c r="V4775" s="10">
        <v>6.830303030303031</v>
      </c>
      <c r="W4775" s="9">
        <v>45093</v>
      </c>
      <c r="X4775" s="10">
        <v>17</v>
      </c>
      <c r="Y4775" s="9">
        <v>45106</v>
      </c>
      <c r="Z4775">
        <v>1</v>
      </c>
      <c r="AA4775" s="11" t="s">
        <v>682</v>
      </c>
    </row>
    <row r="4776" spans="2:27" ht="16" x14ac:dyDescent="0.2">
      <c r="B4776" t="s">
        <v>35</v>
      </c>
      <c r="C4776">
        <v>40343402</v>
      </c>
      <c r="D4776" t="s">
        <v>391</v>
      </c>
      <c r="E4776">
        <v>1022141</v>
      </c>
      <c r="F4776" t="s">
        <v>126</v>
      </c>
      <c r="G4776" s="9">
        <v>45088</v>
      </c>
      <c r="H4776" s="7"/>
      <c r="I4776" s="7"/>
      <c r="J4776" s="7"/>
      <c r="K4776" s="7">
        <v>5001.7</v>
      </c>
      <c r="L4776" s="10">
        <v>4.830303030303031</v>
      </c>
      <c r="M4776" s="9">
        <v>45092</v>
      </c>
      <c r="N4776" s="10">
        <v>15</v>
      </c>
      <c r="O4776" s="12">
        <v>45107</v>
      </c>
      <c r="P4776">
        <v>0</v>
      </c>
      <c r="Q4776" s="11" t="s">
        <v>682</v>
      </c>
      <c r="R4776" s="7"/>
      <c r="S4776" s="7"/>
      <c r="T4776" s="7"/>
      <c r="U4776" s="13">
        <v>5001.7</v>
      </c>
      <c r="V4776" s="10">
        <v>6.830303030303031</v>
      </c>
      <c r="W4776" s="9">
        <v>45094</v>
      </c>
      <c r="X4776" s="10">
        <v>17</v>
      </c>
      <c r="Y4776" s="9">
        <v>45107</v>
      </c>
      <c r="Z4776">
        <v>0</v>
      </c>
      <c r="AA4776" s="11" t="s">
        <v>682</v>
      </c>
    </row>
    <row r="4777" spans="2:27" x14ac:dyDescent="0.2">
      <c r="B4777" t="s">
        <v>394</v>
      </c>
      <c r="C4777">
        <v>40352337</v>
      </c>
      <c r="D4777" t="s">
        <v>485</v>
      </c>
      <c r="E4777">
        <v>1012719</v>
      </c>
      <c r="F4777" t="s">
        <v>545</v>
      </c>
      <c r="G4777" s="9">
        <v>45089</v>
      </c>
      <c r="H4777" s="7"/>
      <c r="I4777" s="7"/>
      <c r="J4777" s="7"/>
      <c r="K4777" s="7"/>
      <c r="L4777" s="10"/>
      <c r="N4777" s="10"/>
      <c r="Q4777" s="11"/>
      <c r="R4777" s="7"/>
      <c r="S4777" s="7"/>
      <c r="T4777" s="7"/>
      <c r="U4777" s="7"/>
      <c r="V4777" s="10"/>
      <c r="X4777" s="10"/>
      <c r="AA4777" s="11"/>
    </row>
    <row r="4778" spans="2:27" ht="16" x14ac:dyDescent="0.2">
      <c r="B4778" t="s">
        <v>35</v>
      </c>
      <c r="C4778">
        <v>40351585</v>
      </c>
      <c r="D4778" t="s">
        <v>389</v>
      </c>
      <c r="E4778">
        <v>1022212</v>
      </c>
      <c r="F4778" t="s">
        <v>300</v>
      </c>
      <c r="G4778" s="9">
        <v>45090</v>
      </c>
      <c r="H4778" s="7"/>
      <c r="I4778" s="7"/>
      <c r="J4778" s="7"/>
      <c r="K4778" s="7">
        <v>24037.01</v>
      </c>
      <c r="L4778" s="10">
        <v>5.5741092456127026</v>
      </c>
      <c r="M4778" s="9">
        <v>45095</v>
      </c>
      <c r="N4778" s="10">
        <v>5.5</v>
      </c>
      <c r="O4778" s="12">
        <v>45100</v>
      </c>
      <c r="P4778">
        <v>6</v>
      </c>
      <c r="Q4778" s="11" t="s">
        <v>49</v>
      </c>
      <c r="R4778" s="7"/>
      <c r="S4778" s="7"/>
      <c r="T4778" s="7"/>
      <c r="U4778" s="13">
        <v>24037.01</v>
      </c>
      <c r="V4778" s="10">
        <v>7.5741092456127026</v>
      </c>
      <c r="W4778" s="9">
        <v>45097</v>
      </c>
      <c r="X4778" s="10">
        <v>7.5</v>
      </c>
      <c r="Y4778" s="9">
        <v>45100</v>
      </c>
      <c r="Z4778">
        <v>6</v>
      </c>
      <c r="AA4778" s="11" t="s">
        <v>49</v>
      </c>
    </row>
    <row r="4779" spans="2:27" ht="16" x14ac:dyDescent="0.2">
      <c r="B4779" t="s">
        <v>35</v>
      </c>
      <c r="C4779">
        <v>40351579</v>
      </c>
      <c r="D4779" t="s">
        <v>389</v>
      </c>
      <c r="E4779">
        <v>1022212</v>
      </c>
      <c r="F4779" t="s">
        <v>300</v>
      </c>
      <c r="G4779" s="9">
        <v>45091</v>
      </c>
      <c r="H4779" s="7"/>
      <c r="I4779" s="7"/>
      <c r="J4779" s="7"/>
      <c r="K4779" s="7">
        <v>23776.14</v>
      </c>
      <c r="L4779" s="10">
        <v>5.5741092456127026</v>
      </c>
      <c r="M4779" s="9">
        <v>45096</v>
      </c>
      <c r="N4779" s="10">
        <v>5.5</v>
      </c>
      <c r="O4779" s="12">
        <v>45101</v>
      </c>
      <c r="P4779">
        <v>5</v>
      </c>
      <c r="Q4779" s="11" t="s">
        <v>49</v>
      </c>
      <c r="R4779" s="7"/>
      <c r="S4779" s="7"/>
      <c r="T4779" s="7"/>
      <c r="U4779" s="13">
        <v>23776.14</v>
      </c>
      <c r="V4779" s="10">
        <v>7.5741092456127026</v>
      </c>
      <c r="W4779" s="9">
        <v>45098</v>
      </c>
      <c r="X4779" s="10">
        <v>7.5</v>
      </c>
      <c r="Y4779" s="9">
        <v>45101</v>
      </c>
      <c r="Z4779">
        <v>5</v>
      </c>
      <c r="AA4779" s="11" t="s">
        <v>49</v>
      </c>
    </row>
    <row r="4780" spans="2:27" ht="16" x14ac:dyDescent="0.2">
      <c r="B4780" t="s">
        <v>35</v>
      </c>
      <c r="C4780">
        <v>40351560</v>
      </c>
      <c r="D4780" t="s">
        <v>389</v>
      </c>
      <c r="E4780">
        <v>1022373</v>
      </c>
      <c r="F4780" t="s">
        <v>302</v>
      </c>
      <c r="G4780" s="9">
        <v>45092</v>
      </c>
      <c r="H4780" s="7"/>
      <c r="I4780" s="7"/>
      <c r="J4780" s="7"/>
      <c r="K4780" s="7">
        <v>24971.08</v>
      </c>
      <c r="L4780" s="10">
        <v>5.5741092456127026</v>
      </c>
      <c r="M4780" s="9">
        <v>45097</v>
      </c>
      <c r="N4780" s="10">
        <v>5.5</v>
      </c>
      <c r="O4780" s="12">
        <v>45102</v>
      </c>
      <c r="P4780">
        <v>5</v>
      </c>
      <c r="Q4780" s="11" t="s">
        <v>49</v>
      </c>
      <c r="R4780" s="7"/>
      <c r="S4780" s="7"/>
      <c r="T4780" s="7"/>
      <c r="U4780" s="13">
        <v>24971.08</v>
      </c>
      <c r="V4780" s="10">
        <v>7.5741092456127026</v>
      </c>
      <c r="W4780" s="9">
        <v>45099</v>
      </c>
      <c r="X4780" s="10">
        <v>7.5</v>
      </c>
      <c r="Y4780" s="9">
        <v>45102</v>
      </c>
      <c r="Z4780">
        <v>5</v>
      </c>
      <c r="AA4780" s="11" t="s">
        <v>49</v>
      </c>
    </row>
    <row r="4781" spans="2:27" x14ac:dyDescent="0.2">
      <c r="B4781" t="s">
        <v>394</v>
      </c>
      <c r="C4781">
        <v>40353079</v>
      </c>
      <c r="D4781" t="s">
        <v>485</v>
      </c>
      <c r="E4781">
        <v>1011421</v>
      </c>
      <c r="F4781" t="s">
        <v>484</v>
      </c>
      <c r="G4781" s="9">
        <v>45093</v>
      </c>
      <c r="H4781" s="7"/>
      <c r="I4781" s="7"/>
      <c r="J4781" s="7"/>
      <c r="K4781" s="7"/>
      <c r="L4781" s="10"/>
      <c r="N4781" s="10"/>
      <c r="Q4781" s="11"/>
      <c r="R4781" s="7"/>
      <c r="S4781" s="7"/>
      <c r="T4781" s="7"/>
      <c r="U4781" s="7"/>
      <c r="V4781" s="10"/>
      <c r="X4781" s="10"/>
      <c r="AA4781" s="11"/>
    </row>
    <row r="4782" spans="2:27" ht="16" x14ac:dyDescent="0.2">
      <c r="B4782" t="s">
        <v>35</v>
      </c>
      <c r="C4782">
        <v>40356191</v>
      </c>
      <c r="D4782" t="s">
        <v>423</v>
      </c>
      <c r="E4782">
        <v>1012278</v>
      </c>
      <c r="F4782" t="s">
        <v>230</v>
      </c>
      <c r="G4782" s="9">
        <v>45094</v>
      </c>
      <c r="H4782" s="7"/>
      <c r="I4782" s="7"/>
      <c r="J4782" s="7"/>
      <c r="K4782" s="7"/>
      <c r="L4782" s="10">
        <v>5.4496124031007751</v>
      </c>
      <c r="M4782" s="9">
        <v>45099</v>
      </c>
      <c r="N4782" s="10">
        <v>10</v>
      </c>
      <c r="O4782" s="9">
        <v>45109</v>
      </c>
      <c r="P4782">
        <v>25</v>
      </c>
      <c r="Q4782" s="11" t="s">
        <v>49</v>
      </c>
      <c r="R4782" s="7"/>
      <c r="S4782" s="7"/>
      <c r="T4782" s="7"/>
      <c r="U4782" s="7"/>
      <c r="V4782" s="10">
        <v>7.4496124031007751</v>
      </c>
      <c r="W4782" s="9">
        <v>45101</v>
      </c>
      <c r="X4782" s="10">
        <v>12</v>
      </c>
      <c r="Y4782" s="9">
        <v>45109</v>
      </c>
      <c r="Z4782">
        <v>25</v>
      </c>
      <c r="AA4782" s="11" t="s">
        <v>49</v>
      </c>
    </row>
    <row r="4783" spans="2:27" ht="16" x14ac:dyDescent="0.2">
      <c r="B4783" t="s">
        <v>35</v>
      </c>
      <c r="C4783">
        <v>40356024</v>
      </c>
      <c r="D4783" t="s">
        <v>423</v>
      </c>
      <c r="E4783">
        <v>1011127</v>
      </c>
      <c r="F4783" t="s">
        <v>228</v>
      </c>
      <c r="G4783" s="9">
        <v>45095</v>
      </c>
      <c r="H4783" s="7"/>
      <c r="I4783" s="7"/>
      <c r="J4783" s="7"/>
      <c r="K4783" s="7"/>
      <c r="L4783" s="10">
        <v>5.4496124031007751</v>
      </c>
      <c r="M4783" s="9">
        <v>45100</v>
      </c>
      <c r="N4783" s="10">
        <v>10</v>
      </c>
      <c r="O4783" s="9">
        <v>45110</v>
      </c>
      <c r="P4783">
        <v>24</v>
      </c>
      <c r="Q4783" s="11" t="s">
        <v>49</v>
      </c>
      <c r="R4783" s="7"/>
      <c r="S4783" s="7"/>
      <c r="T4783" s="7"/>
      <c r="U4783" s="7"/>
      <c r="V4783" s="10">
        <v>7.4496124031007751</v>
      </c>
      <c r="W4783" s="9">
        <v>45102</v>
      </c>
      <c r="X4783" s="10">
        <v>12</v>
      </c>
      <c r="Y4783" s="9">
        <v>45110</v>
      </c>
      <c r="Z4783">
        <v>24</v>
      </c>
      <c r="AA4783" s="11" t="s">
        <v>49</v>
      </c>
    </row>
    <row r="4784" spans="2:27" ht="16" x14ac:dyDescent="0.2">
      <c r="B4784" t="s">
        <v>35</v>
      </c>
      <c r="C4784">
        <v>40356023</v>
      </c>
      <c r="D4784" t="s">
        <v>423</v>
      </c>
      <c r="E4784">
        <v>1011127</v>
      </c>
      <c r="F4784" t="s">
        <v>228</v>
      </c>
      <c r="G4784" s="9">
        <v>45096</v>
      </c>
      <c r="H4784" s="7"/>
      <c r="I4784" s="7"/>
      <c r="J4784" s="7"/>
      <c r="K4784" s="7"/>
      <c r="L4784" s="10">
        <v>5.4496124031007751</v>
      </c>
      <c r="M4784" s="9">
        <v>45101</v>
      </c>
      <c r="N4784" s="10">
        <v>10</v>
      </c>
      <c r="O4784" s="9">
        <v>45111</v>
      </c>
      <c r="P4784">
        <v>23</v>
      </c>
      <c r="Q4784" s="11" t="s">
        <v>49</v>
      </c>
      <c r="R4784" s="7"/>
      <c r="S4784" s="7"/>
      <c r="T4784" s="7"/>
      <c r="U4784" s="7"/>
      <c r="V4784" s="10">
        <v>7.4496124031007751</v>
      </c>
      <c r="W4784" s="9">
        <v>45103</v>
      </c>
      <c r="X4784" s="10">
        <v>12</v>
      </c>
      <c r="Y4784" s="9">
        <v>45111</v>
      </c>
      <c r="Z4784">
        <v>23</v>
      </c>
      <c r="AA4784" s="11" t="s">
        <v>49</v>
      </c>
    </row>
    <row r="4785" spans="2:27" x14ac:dyDescent="0.2">
      <c r="B4785" t="s">
        <v>394</v>
      </c>
      <c r="C4785">
        <v>40355338</v>
      </c>
      <c r="D4785" t="s">
        <v>485</v>
      </c>
      <c r="E4785">
        <v>1011421</v>
      </c>
      <c r="F4785" t="s">
        <v>484</v>
      </c>
      <c r="G4785" s="9">
        <v>45097</v>
      </c>
      <c r="H4785" s="7"/>
      <c r="I4785" s="7"/>
      <c r="J4785" s="7"/>
      <c r="K4785" s="7"/>
      <c r="L4785" s="10"/>
      <c r="N4785" s="10"/>
      <c r="Q4785" s="11"/>
      <c r="R4785" s="7"/>
      <c r="S4785" s="7"/>
      <c r="T4785" s="7"/>
      <c r="U4785" s="7"/>
      <c r="V4785" s="10"/>
      <c r="X4785" s="10"/>
      <c r="AA4785" s="11"/>
    </row>
    <row r="4786" spans="2:27" ht="16" x14ac:dyDescent="0.2">
      <c r="B4786" t="s">
        <v>35</v>
      </c>
      <c r="C4786">
        <v>40351807</v>
      </c>
      <c r="D4786" t="s">
        <v>409</v>
      </c>
      <c r="E4786">
        <v>1030379</v>
      </c>
      <c r="F4786" t="s">
        <v>97</v>
      </c>
      <c r="G4786" s="9">
        <v>45098</v>
      </c>
      <c r="H4786" s="7"/>
      <c r="I4786" s="7"/>
      <c r="J4786" s="7"/>
      <c r="K4786" s="7"/>
      <c r="L4786" s="10">
        <v>7.5</v>
      </c>
      <c r="M4786" s="9">
        <v>45105</v>
      </c>
      <c r="N4786" s="10">
        <v>9.5</v>
      </c>
      <c r="O4786" s="9">
        <v>45114</v>
      </c>
      <c r="P4786">
        <v>20</v>
      </c>
      <c r="Q4786" s="11" t="s">
        <v>49</v>
      </c>
      <c r="R4786" s="7"/>
      <c r="S4786" s="7"/>
      <c r="T4786" s="7"/>
      <c r="U4786" s="7"/>
      <c r="V4786" s="10">
        <v>9.5</v>
      </c>
      <c r="W4786" s="9">
        <v>45107</v>
      </c>
      <c r="X4786" s="10">
        <v>11.5</v>
      </c>
      <c r="Y4786" s="9">
        <v>45114</v>
      </c>
      <c r="Z4786">
        <v>20</v>
      </c>
      <c r="AA4786" s="11" t="s">
        <v>49</v>
      </c>
    </row>
    <row r="4787" spans="2:27" ht="16" x14ac:dyDescent="0.2">
      <c r="B4787" t="s">
        <v>35</v>
      </c>
      <c r="C4787">
        <v>40351511</v>
      </c>
      <c r="D4787" t="s">
        <v>389</v>
      </c>
      <c r="E4787">
        <v>1021766</v>
      </c>
      <c r="F4787" t="s">
        <v>286</v>
      </c>
      <c r="G4787" s="9">
        <v>45099</v>
      </c>
      <c r="H4787" s="7"/>
      <c r="I4787" s="7"/>
      <c r="J4787" s="7"/>
      <c r="K4787" s="7"/>
      <c r="L4787" s="10">
        <v>5.5741092456127026</v>
      </c>
      <c r="M4787" s="9">
        <v>45104</v>
      </c>
      <c r="N4787" s="10">
        <v>5.5</v>
      </c>
      <c r="O4787" s="9">
        <v>45109</v>
      </c>
      <c r="P4787">
        <v>25</v>
      </c>
      <c r="Q4787" s="11" t="s">
        <v>49</v>
      </c>
      <c r="R4787" s="7"/>
      <c r="S4787" s="7"/>
      <c r="T4787" s="7"/>
      <c r="U4787" s="7"/>
      <c r="V4787" s="10">
        <v>7.5741092456127026</v>
      </c>
      <c r="W4787" s="9">
        <v>45106</v>
      </c>
      <c r="X4787" s="10">
        <v>7.5</v>
      </c>
      <c r="Y4787" s="9">
        <v>45109</v>
      </c>
      <c r="Z4787">
        <v>25</v>
      </c>
      <c r="AA4787" s="11" t="s">
        <v>49</v>
      </c>
    </row>
    <row r="4788" spans="2:27" ht="16" x14ac:dyDescent="0.2">
      <c r="B4788" t="s">
        <v>35</v>
      </c>
      <c r="C4788">
        <v>40349629</v>
      </c>
      <c r="D4788" t="s">
        <v>386</v>
      </c>
      <c r="E4788">
        <v>1023447</v>
      </c>
      <c r="F4788" t="s">
        <v>683</v>
      </c>
      <c r="G4788" s="9">
        <v>45100</v>
      </c>
      <c r="H4788" s="7"/>
      <c r="I4788" s="7"/>
      <c r="J4788" s="7"/>
      <c r="K4788" s="7"/>
      <c r="L4788" s="10">
        <v>5.1420118343195256</v>
      </c>
      <c r="M4788" s="9">
        <v>45105</v>
      </c>
      <c r="N4788" s="10">
        <v>7.5</v>
      </c>
      <c r="O4788" s="9">
        <v>45112</v>
      </c>
      <c r="P4788">
        <v>22</v>
      </c>
      <c r="Q4788" s="11" t="s">
        <v>49</v>
      </c>
      <c r="R4788" s="7"/>
      <c r="S4788" s="7"/>
      <c r="T4788" s="7"/>
      <c r="U4788" s="7"/>
      <c r="V4788" s="10">
        <v>7.1420118343195256</v>
      </c>
      <c r="W4788" s="9">
        <v>45107</v>
      </c>
      <c r="X4788" s="10">
        <v>9.5</v>
      </c>
      <c r="Y4788" s="9">
        <v>45112</v>
      </c>
      <c r="Z4788">
        <v>22</v>
      </c>
      <c r="AA4788" s="11" t="s">
        <v>49</v>
      </c>
    </row>
    <row r="4789" spans="2:27" x14ac:dyDescent="0.2">
      <c r="B4789" t="s">
        <v>394</v>
      </c>
      <c r="C4789">
        <v>40349487</v>
      </c>
      <c r="D4789" t="s">
        <v>485</v>
      </c>
      <c r="E4789">
        <v>1021106</v>
      </c>
      <c r="F4789" t="s">
        <v>653</v>
      </c>
      <c r="G4789" s="9">
        <v>45101</v>
      </c>
      <c r="H4789" s="7"/>
      <c r="I4789" s="7"/>
      <c r="J4789" s="7"/>
      <c r="K4789" s="7"/>
      <c r="L4789" s="10"/>
      <c r="N4789" s="10"/>
      <c r="Q4789" s="11"/>
      <c r="R4789" s="7"/>
      <c r="S4789" s="7"/>
      <c r="T4789" s="7"/>
      <c r="U4789" s="7"/>
      <c r="V4789" s="10"/>
      <c r="X4789" s="10"/>
      <c r="AA4789" s="11"/>
    </row>
    <row r="4790" spans="2:27" ht="16" x14ac:dyDescent="0.2">
      <c r="B4790" t="s">
        <v>35</v>
      </c>
      <c r="C4790">
        <v>40347885</v>
      </c>
      <c r="D4790" t="s">
        <v>386</v>
      </c>
      <c r="E4790">
        <v>1010877</v>
      </c>
      <c r="F4790" t="s">
        <v>387</v>
      </c>
      <c r="G4790" s="9">
        <v>45102</v>
      </c>
      <c r="H4790" s="7"/>
      <c r="I4790" s="7"/>
      <c r="J4790" s="7"/>
      <c r="K4790" s="7"/>
      <c r="L4790" s="10">
        <v>5.1420118343195256</v>
      </c>
      <c r="M4790" s="9">
        <v>45107</v>
      </c>
      <c r="N4790" s="10">
        <v>7.5</v>
      </c>
      <c r="O4790" s="9">
        <v>45114</v>
      </c>
      <c r="P4790">
        <v>20</v>
      </c>
      <c r="Q4790" s="11" t="s">
        <v>49</v>
      </c>
      <c r="R4790" s="7"/>
      <c r="S4790" s="7"/>
      <c r="T4790" s="7"/>
      <c r="U4790" s="7"/>
      <c r="V4790" s="10">
        <v>7.1420118343195256</v>
      </c>
      <c r="W4790" s="9">
        <v>45109</v>
      </c>
      <c r="X4790" s="10">
        <v>9.5</v>
      </c>
      <c r="Y4790" s="9">
        <v>45114</v>
      </c>
      <c r="Z4790">
        <v>20</v>
      </c>
      <c r="AA4790" s="11" t="s">
        <v>49</v>
      </c>
    </row>
    <row r="4791" spans="2:27" x14ac:dyDescent="0.2">
      <c r="B4791" t="s">
        <v>394</v>
      </c>
      <c r="C4791">
        <v>40347781</v>
      </c>
      <c r="D4791" t="s">
        <v>485</v>
      </c>
      <c r="E4791">
        <v>1011421</v>
      </c>
      <c r="F4791" t="s">
        <v>484</v>
      </c>
      <c r="G4791" s="9">
        <v>45103</v>
      </c>
      <c r="H4791" s="7"/>
      <c r="I4791" s="7"/>
      <c r="J4791" s="7"/>
      <c r="K4791" s="7"/>
      <c r="L4791" s="10"/>
      <c r="N4791" s="10"/>
      <c r="Q4791" s="11"/>
      <c r="R4791" s="7"/>
      <c r="S4791" s="7"/>
      <c r="T4791" s="7"/>
      <c r="U4791" s="7"/>
      <c r="V4791" s="10"/>
      <c r="X4791" s="10"/>
      <c r="AA4791" s="11"/>
    </row>
    <row r="4792" spans="2:27" x14ac:dyDescent="0.2">
      <c r="B4792" t="s">
        <v>394</v>
      </c>
      <c r="C4792">
        <v>40347780</v>
      </c>
      <c r="D4792" t="s">
        <v>485</v>
      </c>
      <c r="E4792">
        <v>1011421</v>
      </c>
      <c r="F4792" t="s">
        <v>484</v>
      </c>
      <c r="G4792" s="9">
        <v>45104</v>
      </c>
      <c r="H4792" s="7"/>
      <c r="I4792" s="7"/>
      <c r="J4792" s="7"/>
      <c r="K4792" s="7"/>
      <c r="L4792" s="10"/>
      <c r="N4792" s="10"/>
      <c r="Q4792" s="11"/>
      <c r="R4792" s="7"/>
      <c r="S4792" s="7"/>
      <c r="T4792" s="7"/>
      <c r="U4792" s="7"/>
      <c r="V4792" s="10"/>
      <c r="X4792" s="10"/>
      <c r="AA4792" s="11"/>
    </row>
    <row r="4793" spans="2:27" x14ac:dyDescent="0.2">
      <c r="B4793" t="s">
        <v>394</v>
      </c>
      <c r="C4793">
        <v>40344421</v>
      </c>
      <c r="D4793" t="s">
        <v>485</v>
      </c>
      <c r="E4793">
        <v>1022709</v>
      </c>
      <c r="F4793" t="s">
        <v>493</v>
      </c>
      <c r="G4793" s="9">
        <v>45105</v>
      </c>
      <c r="H4793" s="7"/>
      <c r="I4793" s="7"/>
      <c r="J4793" s="7"/>
      <c r="K4793" s="7"/>
      <c r="L4793" s="10"/>
      <c r="N4793" s="10"/>
      <c r="Q4793" s="11"/>
      <c r="R4793" s="7"/>
      <c r="S4793" s="7"/>
      <c r="T4793" s="7"/>
      <c r="U4793" s="7"/>
      <c r="V4793" s="10"/>
      <c r="X4793" s="10"/>
      <c r="AA4793" s="11"/>
    </row>
    <row r="4794" spans="2:27" x14ac:dyDescent="0.2">
      <c r="B4794" t="s">
        <v>394</v>
      </c>
      <c r="C4794">
        <v>40354598</v>
      </c>
      <c r="D4794" t="s">
        <v>485</v>
      </c>
      <c r="E4794">
        <v>1022709</v>
      </c>
      <c r="F4794" t="s">
        <v>493</v>
      </c>
      <c r="G4794" s="9">
        <v>45106</v>
      </c>
      <c r="H4794" s="7"/>
      <c r="I4794" s="7"/>
      <c r="J4794" s="7"/>
      <c r="K4794" s="7"/>
      <c r="L4794" s="10"/>
      <c r="N4794" s="10"/>
      <c r="Q4794" s="11"/>
      <c r="R4794" s="7"/>
      <c r="S4794" s="7"/>
      <c r="T4794" s="7"/>
      <c r="U4794" s="7"/>
      <c r="V4794" s="10"/>
      <c r="X4794" s="10"/>
      <c r="AA4794" s="11"/>
    </row>
    <row r="4795" spans="2:27" x14ac:dyDescent="0.2">
      <c r="B4795" t="s">
        <v>394</v>
      </c>
      <c r="C4795">
        <v>40354064</v>
      </c>
      <c r="D4795" t="s">
        <v>485</v>
      </c>
      <c r="E4795">
        <v>1011042</v>
      </c>
      <c r="F4795" t="s">
        <v>510</v>
      </c>
      <c r="G4795" s="9">
        <v>45107</v>
      </c>
      <c r="H4795" s="7"/>
      <c r="I4795" s="7"/>
      <c r="J4795" s="7"/>
      <c r="K4795" s="7"/>
      <c r="L4795" s="10"/>
      <c r="N4795" s="10"/>
      <c r="Q4795" s="11"/>
      <c r="R4795" s="7"/>
      <c r="S4795" s="7"/>
      <c r="T4795" s="7"/>
      <c r="U4795" s="7"/>
      <c r="V4795" s="10"/>
      <c r="X4795" s="10"/>
      <c r="AA4795" s="11"/>
    </row>
    <row r="4796" spans="2:27" x14ac:dyDescent="0.2">
      <c r="B4796" t="s">
        <v>394</v>
      </c>
      <c r="C4796">
        <v>40352802</v>
      </c>
      <c r="D4796" t="s">
        <v>396</v>
      </c>
      <c r="E4796">
        <v>1021149</v>
      </c>
      <c r="F4796" t="s">
        <v>399</v>
      </c>
      <c r="G4796" s="9">
        <v>45108</v>
      </c>
      <c r="H4796" s="7"/>
      <c r="I4796" s="7"/>
      <c r="J4796" s="7"/>
      <c r="K4796" s="7"/>
      <c r="L4796" s="10"/>
      <c r="N4796" s="10"/>
      <c r="Q4796" s="11"/>
      <c r="R4796" s="7"/>
      <c r="S4796" s="7"/>
      <c r="T4796" s="7"/>
      <c r="U4796" s="7"/>
      <c r="V4796" s="10"/>
      <c r="X4796" s="10"/>
      <c r="AA4796" s="11"/>
    </row>
    <row r="4797" spans="2:27" x14ac:dyDescent="0.2">
      <c r="B4797" t="s">
        <v>394</v>
      </c>
      <c r="C4797">
        <v>40352802</v>
      </c>
      <c r="D4797" t="s">
        <v>396</v>
      </c>
      <c r="E4797">
        <v>1021149</v>
      </c>
      <c r="F4797" t="s">
        <v>399</v>
      </c>
      <c r="G4797" s="9">
        <v>45109</v>
      </c>
      <c r="H4797" s="7"/>
      <c r="I4797" s="7"/>
      <c r="J4797" s="7"/>
      <c r="K4797" s="7"/>
      <c r="L4797" s="10"/>
      <c r="N4797" s="10"/>
      <c r="Q4797" s="11"/>
      <c r="R4797" s="7"/>
      <c r="S4797" s="7"/>
      <c r="T4797" s="7"/>
      <c r="U4797" s="7"/>
      <c r="V4797" s="10"/>
      <c r="X4797" s="10"/>
      <c r="AA4797" s="11"/>
    </row>
    <row r="4798" spans="2:27" ht="16" x14ac:dyDescent="0.2">
      <c r="B4798" t="s">
        <v>35</v>
      </c>
      <c r="C4798">
        <v>40352484</v>
      </c>
      <c r="D4798" t="s">
        <v>409</v>
      </c>
      <c r="E4798">
        <v>1012521</v>
      </c>
      <c r="F4798" t="s">
        <v>114</v>
      </c>
      <c r="G4798" s="9">
        <v>45110</v>
      </c>
      <c r="H4798" s="7"/>
      <c r="I4798" s="7"/>
      <c r="J4798" s="7"/>
      <c r="K4798" s="7"/>
      <c r="L4798" s="10">
        <v>7.5</v>
      </c>
      <c r="M4798" s="9">
        <v>45117</v>
      </c>
      <c r="N4798" s="10">
        <v>9.5</v>
      </c>
      <c r="O4798" s="9">
        <v>45126</v>
      </c>
      <c r="P4798">
        <v>10</v>
      </c>
      <c r="Q4798" s="11" t="s">
        <v>49</v>
      </c>
      <c r="R4798" s="7"/>
      <c r="S4798" s="7"/>
      <c r="T4798" s="7"/>
      <c r="U4798" s="7"/>
      <c r="V4798" s="10">
        <v>9.5</v>
      </c>
      <c r="W4798" s="9">
        <v>45119</v>
      </c>
      <c r="X4798" s="10">
        <v>11.5</v>
      </c>
      <c r="Y4798" s="9">
        <v>45126</v>
      </c>
      <c r="Z4798">
        <v>10</v>
      </c>
      <c r="AA4798" s="11" t="s">
        <v>49</v>
      </c>
    </row>
    <row r="4799" spans="2:27" ht="16" x14ac:dyDescent="0.2">
      <c r="B4799" t="s">
        <v>35</v>
      </c>
      <c r="C4799">
        <v>40352484</v>
      </c>
      <c r="D4799" t="s">
        <v>409</v>
      </c>
      <c r="E4799">
        <v>1012522</v>
      </c>
      <c r="F4799" t="s">
        <v>115</v>
      </c>
      <c r="G4799" s="9">
        <v>45111</v>
      </c>
      <c r="H4799" s="7"/>
      <c r="I4799" s="7"/>
      <c r="J4799" s="7"/>
      <c r="K4799" s="7"/>
      <c r="L4799" s="10">
        <v>7.5</v>
      </c>
      <c r="M4799" s="9">
        <v>45118</v>
      </c>
      <c r="N4799" s="10">
        <v>9.5</v>
      </c>
      <c r="O4799" s="9">
        <v>45127</v>
      </c>
      <c r="P4799">
        <v>9</v>
      </c>
      <c r="Q4799" s="11" t="s">
        <v>49</v>
      </c>
      <c r="R4799" s="7"/>
      <c r="S4799" s="7"/>
      <c r="T4799" s="7"/>
      <c r="U4799" s="7"/>
      <c r="V4799" s="10">
        <v>9.5</v>
      </c>
      <c r="W4799" s="9">
        <v>45120</v>
      </c>
      <c r="X4799" s="10">
        <v>11.5</v>
      </c>
      <c r="Y4799" s="9">
        <v>45127</v>
      </c>
      <c r="Z4799">
        <v>9</v>
      </c>
      <c r="AA4799" s="11" t="s">
        <v>49</v>
      </c>
    </row>
    <row r="4800" spans="2:27" ht="16" x14ac:dyDescent="0.2">
      <c r="B4800" t="s">
        <v>35</v>
      </c>
      <c r="C4800">
        <v>40352484</v>
      </c>
      <c r="D4800" t="s">
        <v>409</v>
      </c>
      <c r="E4800">
        <v>1012110</v>
      </c>
      <c r="F4800" t="s">
        <v>109</v>
      </c>
      <c r="G4800" s="9">
        <v>45112</v>
      </c>
      <c r="H4800" s="7"/>
      <c r="I4800" s="7"/>
      <c r="J4800" s="7"/>
      <c r="K4800" s="7"/>
      <c r="L4800" s="10">
        <v>7.5</v>
      </c>
      <c r="M4800" s="9">
        <v>45119</v>
      </c>
      <c r="N4800" s="10">
        <v>9.5</v>
      </c>
      <c r="O4800" s="9">
        <v>45128</v>
      </c>
      <c r="P4800">
        <v>8</v>
      </c>
      <c r="Q4800" s="11" t="s">
        <v>49</v>
      </c>
      <c r="R4800" s="7"/>
      <c r="S4800" s="7"/>
      <c r="T4800" s="7"/>
      <c r="U4800" s="7"/>
      <c r="V4800" s="10">
        <v>9.5</v>
      </c>
      <c r="W4800" s="9">
        <v>45121</v>
      </c>
      <c r="X4800" s="10">
        <v>11.5</v>
      </c>
      <c r="Y4800" s="9">
        <v>45128</v>
      </c>
      <c r="Z4800">
        <v>8</v>
      </c>
      <c r="AA4800" s="11" t="s">
        <v>49</v>
      </c>
    </row>
    <row r="4801" spans="2:27" x14ac:dyDescent="0.2">
      <c r="B4801" t="s">
        <v>394</v>
      </c>
      <c r="C4801">
        <v>40350730</v>
      </c>
      <c r="D4801" t="s">
        <v>485</v>
      </c>
      <c r="E4801">
        <v>1021385</v>
      </c>
      <c r="F4801" t="s">
        <v>495</v>
      </c>
      <c r="G4801" s="9">
        <v>45113</v>
      </c>
      <c r="H4801" s="7"/>
      <c r="I4801" s="7"/>
      <c r="J4801" s="7"/>
      <c r="K4801" s="7"/>
      <c r="L4801" s="10"/>
      <c r="N4801" s="10"/>
      <c r="Q4801" s="11"/>
      <c r="R4801" s="7"/>
      <c r="S4801" s="7"/>
      <c r="T4801" s="7"/>
      <c r="U4801" s="7"/>
      <c r="V4801" s="10"/>
      <c r="X4801" s="10"/>
      <c r="AA4801" s="11"/>
    </row>
    <row r="4802" spans="2:27" x14ac:dyDescent="0.2">
      <c r="B4802" t="s">
        <v>394</v>
      </c>
      <c r="C4802">
        <v>40347779</v>
      </c>
      <c r="D4802" t="s">
        <v>485</v>
      </c>
      <c r="E4802">
        <v>1022709</v>
      </c>
      <c r="F4802" t="s">
        <v>493</v>
      </c>
      <c r="G4802" s="9">
        <v>45114</v>
      </c>
      <c r="H4802" s="7"/>
      <c r="I4802" s="7"/>
      <c r="J4802" s="7"/>
      <c r="K4802" s="7"/>
      <c r="L4802" s="10"/>
      <c r="N4802" s="10"/>
      <c r="Q4802" s="11"/>
      <c r="R4802" s="7"/>
      <c r="S4802" s="7"/>
      <c r="T4802" s="7"/>
      <c r="U4802" s="7"/>
      <c r="V4802" s="10"/>
      <c r="X4802" s="10"/>
      <c r="AA4802" s="11"/>
    </row>
    <row r="4803" spans="2:27" ht="16" x14ac:dyDescent="0.2">
      <c r="B4803" t="s">
        <v>35</v>
      </c>
      <c r="C4803">
        <v>40353613</v>
      </c>
      <c r="D4803" t="s">
        <v>391</v>
      </c>
      <c r="E4803">
        <v>1021936</v>
      </c>
      <c r="F4803" t="s">
        <v>411</v>
      </c>
      <c r="G4803" s="9">
        <v>45115</v>
      </c>
      <c r="H4803" s="7"/>
      <c r="I4803" s="7"/>
      <c r="J4803" s="7"/>
      <c r="K4803" s="7"/>
      <c r="L4803" s="10">
        <v>4.830303030303031</v>
      </c>
      <c r="M4803" s="9">
        <v>45119</v>
      </c>
      <c r="N4803" s="10">
        <v>15</v>
      </c>
      <c r="O4803" s="9">
        <v>45134</v>
      </c>
      <c r="P4803">
        <v>3</v>
      </c>
      <c r="Q4803" s="11" t="s">
        <v>49</v>
      </c>
      <c r="R4803" s="7"/>
      <c r="S4803" s="7"/>
      <c r="T4803" s="7"/>
      <c r="U4803" s="7"/>
      <c r="V4803" s="10">
        <v>6.830303030303031</v>
      </c>
      <c r="W4803" s="9">
        <v>45121</v>
      </c>
      <c r="X4803" s="10">
        <v>17</v>
      </c>
      <c r="Y4803" s="9">
        <v>45134</v>
      </c>
      <c r="Z4803">
        <v>3</v>
      </c>
      <c r="AA4803" s="11" t="s">
        <v>49</v>
      </c>
    </row>
    <row r="4804" spans="2:27" ht="16" x14ac:dyDescent="0.2">
      <c r="B4804" t="s">
        <v>35</v>
      </c>
      <c r="C4804">
        <v>40353609</v>
      </c>
      <c r="D4804" t="s">
        <v>391</v>
      </c>
      <c r="E4804">
        <v>1021936</v>
      </c>
      <c r="F4804" t="s">
        <v>411</v>
      </c>
      <c r="G4804" s="9">
        <v>45116</v>
      </c>
      <c r="H4804" s="7"/>
      <c r="I4804" s="7"/>
      <c r="J4804" s="7"/>
      <c r="K4804" s="7"/>
      <c r="L4804" s="10">
        <v>4.830303030303031</v>
      </c>
      <c r="M4804" s="9">
        <v>45120</v>
      </c>
      <c r="N4804" s="10">
        <v>15</v>
      </c>
      <c r="O4804" s="9">
        <v>45135</v>
      </c>
      <c r="P4804">
        <v>2</v>
      </c>
      <c r="Q4804" s="11" t="s">
        <v>684</v>
      </c>
      <c r="R4804" s="7"/>
      <c r="S4804" s="7"/>
      <c r="T4804" s="7"/>
      <c r="U4804" s="7"/>
      <c r="V4804" s="10">
        <v>6.830303030303031</v>
      </c>
      <c r="W4804" s="9">
        <v>45122</v>
      </c>
      <c r="X4804" s="10">
        <v>17</v>
      </c>
      <c r="Y4804" s="9">
        <v>45135</v>
      </c>
      <c r="Z4804">
        <v>2</v>
      </c>
      <c r="AA4804" s="11" t="s">
        <v>684</v>
      </c>
    </row>
    <row r="4805" spans="2:27" x14ac:dyDescent="0.2">
      <c r="B4805" t="s">
        <v>394</v>
      </c>
      <c r="C4805">
        <v>40353077</v>
      </c>
      <c r="D4805" t="s">
        <v>485</v>
      </c>
      <c r="E4805">
        <v>1011421</v>
      </c>
      <c r="F4805" t="s">
        <v>484</v>
      </c>
      <c r="G4805" s="9">
        <v>45117</v>
      </c>
      <c r="H4805" s="7"/>
      <c r="I4805" s="7"/>
      <c r="J4805" s="7"/>
      <c r="K4805" s="7"/>
      <c r="L4805" s="10"/>
      <c r="N4805" s="10"/>
      <c r="Q4805" s="11"/>
      <c r="R4805" s="7"/>
      <c r="S4805" s="7"/>
      <c r="T4805" s="7"/>
      <c r="U4805" s="7"/>
      <c r="V4805" s="10"/>
      <c r="X4805" s="10"/>
      <c r="AA4805" s="11"/>
    </row>
    <row r="4806" spans="2:27" x14ac:dyDescent="0.2">
      <c r="B4806" t="s">
        <v>394</v>
      </c>
      <c r="C4806">
        <v>40353076</v>
      </c>
      <c r="D4806" t="s">
        <v>485</v>
      </c>
      <c r="E4806">
        <v>1011421</v>
      </c>
      <c r="F4806" t="s">
        <v>484</v>
      </c>
      <c r="G4806" s="9">
        <v>45118</v>
      </c>
      <c r="H4806" s="7"/>
      <c r="I4806" s="7"/>
      <c r="J4806" s="7"/>
      <c r="K4806" s="7"/>
      <c r="L4806" s="10"/>
      <c r="N4806" s="10"/>
      <c r="Q4806" s="11"/>
      <c r="R4806" s="7"/>
      <c r="S4806" s="7"/>
      <c r="T4806" s="7"/>
      <c r="U4806" s="7"/>
      <c r="V4806" s="10"/>
      <c r="X4806" s="10"/>
      <c r="AA4806" s="11"/>
    </row>
    <row r="4807" spans="2:27" x14ac:dyDescent="0.2">
      <c r="B4807" t="s">
        <v>394</v>
      </c>
      <c r="C4807">
        <v>40353075</v>
      </c>
      <c r="D4807" t="s">
        <v>485</v>
      </c>
      <c r="E4807">
        <v>1011421</v>
      </c>
      <c r="F4807" t="s">
        <v>484</v>
      </c>
      <c r="G4807" s="9">
        <v>45119</v>
      </c>
      <c r="H4807" s="7"/>
      <c r="I4807" s="7"/>
      <c r="J4807" s="7"/>
      <c r="K4807" s="7"/>
      <c r="L4807" s="10"/>
      <c r="N4807" s="10"/>
      <c r="Q4807" s="11"/>
      <c r="R4807" s="7"/>
      <c r="S4807" s="7"/>
      <c r="T4807" s="7"/>
      <c r="U4807" s="7"/>
      <c r="V4807" s="10"/>
      <c r="X4807" s="10"/>
      <c r="AA4807" s="11"/>
    </row>
    <row r="4808" spans="2:27" x14ac:dyDescent="0.2">
      <c r="B4808" t="s">
        <v>394</v>
      </c>
      <c r="C4808">
        <v>40354708</v>
      </c>
      <c r="D4808" t="s">
        <v>485</v>
      </c>
      <c r="E4808">
        <v>1023334</v>
      </c>
      <c r="F4808" t="s">
        <v>685</v>
      </c>
      <c r="G4808" s="9">
        <v>45120</v>
      </c>
      <c r="H4808" s="7"/>
      <c r="I4808" s="7"/>
      <c r="J4808" s="7"/>
      <c r="K4808" s="7"/>
      <c r="L4808" s="10"/>
      <c r="N4808" s="10"/>
      <c r="Q4808" s="11"/>
      <c r="R4808" s="7"/>
      <c r="S4808" s="7"/>
      <c r="T4808" s="7"/>
      <c r="U4808" s="7"/>
      <c r="V4808" s="10"/>
      <c r="X4808" s="10"/>
      <c r="AA4808" s="11"/>
    </row>
    <row r="4809" spans="2:27" ht="16" x14ac:dyDescent="0.2">
      <c r="B4809" t="s">
        <v>35</v>
      </c>
      <c r="C4809">
        <v>40354659</v>
      </c>
      <c r="D4809" t="s">
        <v>389</v>
      </c>
      <c r="E4809">
        <v>1011967</v>
      </c>
      <c r="F4809" t="s">
        <v>418</v>
      </c>
      <c r="G4809" s="9">
        <v>45121</v>
      </c>
      <c r="H4809" s="7"/>
      <c r="I4809" s="7"/>
      <c r="J4809" s="7"/>
      <c r="K4809" s="7"/>
      <c r="L4809" s="10">
        <v>5.5741092456127026</v>
      </c>
      <c r="M4809" s="9">
        <v>45126</v>
      </c>
      <c r="N4809" s="10">
        <v>5.5</v>
      </c>
      <c r="O4809" s="9">
        <v>45131</v>
      </c>
      <c r="P4809">
        <v>6</v>
      </c>
      <c r="Q4809" s="11" t="s">
        <v>49</v>
      </c>
      <c r="R4809" s="7"/>
      <c r="S4809" s="7"/>
      <c r="T4809" s="7"/>
      <c r="U4809" s="7"/>
      <c r="V4809" s="10">
        <v>7.5741092456127026</v>
      </c>
      <c r="W4809" s="9">
        <v>45128</v>
      </c>
      <c r="X4809" s="10">
        <v>7.5</v>
      </c>
      <c r="Y4809" s="9">
        <v>45131</v>
      </c>
      <c r="Z4809">
        <v>6</v>
      </c>
      <c r="AA4809" s="11" t="s">
        <v>49</v>
      </c>
    </row>
    <row r="4810" spans="2:27" ht="16" x14ac:dyDescent="0.2">
      <c r="B4810" t="s">
        <v>35</v>
      </c>
      <c r="C4810">
        <v>40354656</v>
      </c>
      <c r="D4810" t="s">
        <v>389</v>
      </c>
      <c r="E4810">
        <v>1012218</v>
      </c>
      <c r="F4810" t="s">
        <v>235</v>
      </c>
      <c r="G4810" s="9">
        <v>45122</v>
      </c>
      <c r="H4810" s="7"/>
      <c r="I4810" s="7"/>
      <c r="J4810" s="7"/>
      <c r="K4810" s="7"/>
      <c r="L4810" s="10">
        <v>5.5741092456127026</v>
      </c>
      <c r="M4810" s="9">
        <v>45127</v>
      </c>
      <c r="N4810" s="10">
        <v>5.5</v>
      </c>
      <c r="O4810" s="9">
        <v>45132</v>
      </c>
      <c r="P4810">
        <v>5</v>
      </c>
      <c r="Q4810" s="11" t="s">
        <v>49</v>
      </c>
      <c r="R4810" s="7"/>
      <c r="S4810" s="7"/>
      <c r="T4810" s="7"/>
      <c r="U4810" s="7"/>
      <c r="V4810" s="10">
        <v>7.5741092456127026</v>
      </c>
      <c r="W4810" s="9">
        <v>45129</v>
      </c>
      <c r="X4810" s="10">
        <v>7.5</v>
      </c>
      <c r="Y4810" s="9">
        <v>45132</v>
      </c>
      <c r="Z4810">
        <v>5</v>
      </c>
      <c r="AA4810" s="11" t="s">
        <v>49</v>
      </c>
    </row>
    <row r="4811" spans="2:27" ht="16" x14ac:dyDescent="0.2">
      <c r="B4811" t="s">
        <v>35</v>
      </c>
      <c r="C4811">
        <v>40354625</v>
      </c>
      <c r="D4811" t="s">
        <v>391</v>
      </c>
      <c r="E4811">
        <v>1022866</v>
      </c>
      <c r="F4811" t="s">
        <v>203</v>
      </c>
      <c r="G4811" s="9">
        <v>45123</v>
      </c>
      <c r="H4811" s="7"/>
      <c r="I4811" s="7"/>
      <c r="J4811" s="7"/>
      <c r="K4811" s="7"/>
      <c r="L4811" s="10">
        <v>4.830303030303031</v>
      </c>
      <c r="M4811" s="9">
        <v>45127</v>
      </c>
      <c r="N4811" s="10">
        <v>15</v>
      </c>
      <c r="O4811" s="9">
        <v>45142</v>
      </c>
      <c r="P4811">
        <v>22</v>
      </c>
      <c r="Q4811" s="11" t="s">
        <v>49</v>
      </c>
      <c r="R4811" s="7"/>
      <c r="S4811" s="7"/>
      <c r="T4811" s="7"/>
      <c r="U4811" s="7"/>
      <c r="V4811" s="10">
        <v>6.830303030303031</v>
      </c>
      <c r="W4811" s="9">
        <v>45129</v>
      </c>
      <c r="X4811" s="10">
        <v>17</v>
      </c>
      <c r="Y4811" s="9">
        <v>45142</v>
      </c>
      <c r="Z4811">
        <v>22</v>
      </c>
      <c r="AA4811" s="11" t="s">
        <v>49</v>
      </c>
    </row>
    <row r="4812" spans="2:27" ht="16" x14ac:dyDescent="0.2">
      <c r="B4812" t="s">
        <v>35</v>
      </c>
      <c r="C4812">
        <v>40354625</v>
      </c>
      <c r="D4812" t="s">
        <v>391</v>
      </c>
      <c r="E4812">
        <v>1022864</v>
      </c>
      <c r="F4812" t="s">
        <v>41</v>
      </c>
      <c r="G4812" s="9">
        <v>45124</v>
      </c>
      <c r="H4812" s="7"/>
      <c r="I4812" s="7"/>
      <c r="J4812" s="7"/>
      <c r="K4812" s="7"/>
      <c r="L4812" s="10">
        <v>4.830303030303031</v>
      </c>
      <c r="M4812" s="9">
        <v>45128</v>
      </c>
      <c r="N4812" s="10">
        <v>15</v>
      </c>
      <c r="O4812" s="9">
        <v>45143</v>
      </c>
      <c r="P4812">
        <v>21</v>
      </c>
      <c r="Q4812" s="11" t="s">
        <v>49</v>
      </c>
      <c r="R4812" s="7"/>
      <c r="S4812" s="7"/>
      <c r="T4812" s="7"/>
      <c r="U4812" s="7"/>
      <c r="V4812" s="10">
        <v>6.830303030303031</v>
      </c>
      <c r="W4812" s="9">
        <v>45130</v>
      </c>
      <c r="X4812" s="10">
        <v>17</v>
      </c>
      <c r="Y4812" s="9">
        <v>45143</v>
      </c>
      <c r="Z4812">
        <v>21</v>
      </c>
      <c r="AA4812" s="11" t="s">
        <v>49</v>
      </c>
    </row>
    <row r="4813" spans="2:27" ht="16" x14ac:dyDescent="0.2">
      <c r="B4813" t="s">
        <v>35</v>
      </c>
      <c r="C4813">
        <v>40354625</v>
      </c>
      <c r="D4813" t="s">
        <v>391</v>
      </c>
      <c r="E4813">
        <v>1022751</v>
      </c>
      <c r="F4813" t="s">
        <v>36</v>
      </c>
      <c r="G4813" s="9">
        <v>45125</v>
      </c>
      <c r="H4813" s="7"/>
      <c r="I4813" s="7"/>
      <c r="J4813" s="7"/>
      <c r="K4813" s="7"/>
      <c r="L4813" s="10">
        <v>4.830303030303031</v>
      </c>
      <c r="M4813" s="9">
        <v>45129</v>
      </c>
      <c r="N4813" s="10">
        <v>15</v>
      </c>
      <c r="O4813" s="9">
        <v>45144</v>
      </c>
      <c r="P4813">
        <v>21</v>
      </c>
      <c r="Q4813" s="11" t="s">
        <v>49</v>
      </c>
      <c r="R4813" s="7"/>
      <c r="S4813" s="7"/>
      <c r="T4813" s="7"/>
      <c r="U4813" s="7"/>
      <c r="V4813" s="10">
        <v>6.830303030303031</v>
      </c>
      <c r="W4813" s="9">
        <v>45131</v>
      </c>
      <c r="X4813" s="10">
        <v>17</v>
      </c>
      <c r="Y4813" s="9">
        <v>45144</v>
      </c>
      <c r="Z4813">
        <v>21</v>
      </c>
      <c r="AA4813" s="11" t="s">
        <v>49</v>
      </c>
    </row>
    <row r="4814" spans="2:27" ht="16" x14ac:dyDescent="0.2">
      <c r="B4814" t="s">
        <v>35</v>
      </c>
      <c r="C4814">
        <v>40354625</v>
      </c>
      <c r="D4814" t="s">
        <v>391</v>
      </c>
      <c r="E4814">
        <v>1022293</v>
      </c>
      <c r="F4814" t="s">
        <v>339</v>
      </c>
      <c r="G4814" s="9">
        <v>45126</v>
      </c>
      <c r="H4814" s="7"/>
      <c r="I4814" s="7"/>
      <c r="J4814" s="7"/>
      <c r="K4814" s="7"/>
      <c r="L4814" s="10">
        <v>4.830303030303031</v>
      </c>
      <c r="M4814" s="9">
        <v>45130</v>
      </c>
      <c r="N4814" s="10">
        <v>15</v>
      </c>
      <c r="O4814" s="9">
        <v>45145</v>
      </c>
      <c r="P4814">
        <v>20</v>
      </c>
      <c r="Q4814" s="11" t="s">
        <v>49</v>
      </c>
      <c r="R4814" s="7"/>
      <c r="S4814" s="7"/>
      <c r="T4814" s="7"/>
      <c r="U4814" s="7"/>
      <c r="V4814" s="10">
        <v>6.830303030303031</v>
      </c>
      <c r="W4814" s="9">
        <v>45132</v>
      </c>
      <c r="X4814" s="10">
        <v>17</v>
      </c>
      <c r="Y4814" s="9">
        <v>45145</v>
      </c>
      <c r="Z4814">
        <v>20</v>
      </c>
      <c r="AA4814" s="11" t="s">
        <v>49</v>
      </c>
    </row>
    <row r="4815" spans="2:27" ht="16" x14ac:dyDescent="0.2">
      <c r="B4815" t="s">
        <v>35</v>
      </c>
      <c r="C4815">
        <v>40354625</v>
      </c>
      <c r="D4815" t="s">
        <v>391</v>
      </c>
      <c r="E4815">
        <v>1021921</v>
      </c>
      <c r="F4815" t="s">
        <v>184</v>
      </c>
      <c r="G4815" s="9">
        <v>45127</v>
      </c>
      <c r="H4815" s="7"/>
      <c r="I4815" s="7"/>
      <c r="J4815" s="7"/>
      <c r="K4815" s="7"/>
      <c r="L4815" s="10">
        <v>4.830303030303031</v>
      </c>
      <c r="M4815" s="9">
        <v>45131</v>
      </c>
      <c r="N4815" s="10">
        <v>15</v>
      </c>
      <c r="O4815" s="9">
        <v>45146</v>
      </c>
      <c r="P4815">
        <v>19</v>
      </c>
      <c r="Q4815" s="11" t="s">
        <v>49</v>
      </c>
      <c r="R4815" s="7"/>
      <c r="S4815" s="7"/>
      <c r="T4815" s="7"/>
      <c r="U4815" s="7"/>
      <c r="V4815" s="10">
        <v>6.830303030303031</v>
      </c>
      <c r="W4815" s="9">
        <v>45133</v>
      </c>
      <c r="X4815" s="10">
        <v>17</v>
      </c>
      <c r="Y4815" s="9">
        <v>45146</v>
      </c>
      <c r="Z4815">
        <v>19</v>
      </c>
      <c r="AA4815" s="11" t="s">
        <v>49</v>
      </c>
    </row>
    <row r="4816" spans="2:27" x14ac:dyDescent="0.2">
      <c r="B4816" t="s">
        <v>394</v>
      </c>
      <c r="C4816">
        <v>40354599</v>
      </c>
      <c r="D4816" t="s">
        <v>485</v>
      </c>
      <c r="E4816">
        <v>1011558</v>
      </c>
      <c r="F4816" t="s">
        <v>603</v>
      </c>
      <c r="G4816" s="9">
        <v>45128</v>
      </c>
      <c r="H4816" s="7"/>
      <c r="I4816" s="7"/>
      <c r="J4816" s="7"/>
      <c r="K4816" s="7"/>
      <c r="L4816" s="10"/>
      <c r="N4816" s="10"/>
      <c r="Q4816" s="11"/>
      <c r="R4816" s="7"/>
      <c r="S4816" s="7"/>
      <c r="T4816" s="7"/>
      <c r="U4816" s="7"/>
      <c r="V4816" s="10"/>
      <c r="X4816" s="10"/>
      <c r="AA4816" s="11"/>
    </row>
    <row r="4817" spans="2:27" ht="16" x14ac:dyDescent="0.2">
      <c r="B4817" t="s">
        <v>35</v>
      </c>
      <c r="C4817">
        <v>40354553</v>
      </c>
      <c r="D4817" t="s">
        <v>423</v>
      </c>
      <c r="E4817">
        <v>1023302</v>
      </c>
      <c r="F4817" t="s">
        <v>268</v>
      </c>
      <c r="G4817" s="9">
        <v>45129</v>
      </c>
      <c r="H4817" s="7"/>
      <c r="I4817" s="7"/>
      <c r="J4817" s="7"/>
      <c r="K4817" s="7"/>
      <c r="L4817" s="10">
        <v>5.4496124031007751</v>
      </c>
      <c r="M4817" s="9">
        <v>45134</v>
      </c>
      <c r="N4817" s="10">
        <v>10</v>
      </c>
      <c r="O4817" s="9">
        <v>45144</v>
      </c>
      <c r="P4817">
        <v>22</v>
      </c>
      <c r="Q4817" s="11" t="s">
        <v>49</v>
      </c>
      <c r="R4817" s="7"/>
      <c r="S4817" s="7"/>
      <c r="T4817" s="7"/>
      <c r="U4817" s="7"/>
      <c r="V4817" s="10">
        <v>7.4496124031007751</v>
      </c>
      <c r="W4817" s="9">
        <v>45136</v>
      </c>
      <c r="X4817" s="10">
        <v>12</v>
      </c>
      <c r="Y4817" s="9">
        <v>45144</v>
      </c>
      <c r="Z4817">
        <v>22</v>
      </c>
      <c r="AA4817" s="11" t="s">
        <v>49</v>
      </c>
    </row>
    <row r="4818" spans="2:27" x14ac:dyDescent="0.2">
      <c r="B4818" t="s">
        <v>394</v>
      </c>
      <c r="C4818">
        <v>40354488</v>
      </c>
      <c r="D4818" t="s">
        <v>485</v>
      </c>
      <c r="E4818">
        <v>1011558</v>
      </c>
      <c r="F4818" t="s">
        <v>603</v>
      </c>
      <c r="G4818" s="9">
        <v>45130</v>
      </c>
      <c r="H4818" s="7"/>
      <c r="I4818" s="7"/>
      <c r="J4818" s="7"/>
      <c r="K4818" s="7"/>
      <c r="L4818" s="10"/>
      <c r="N4818" s="10"/>
      <c r="Q4818" s="11"/>
      <c r="R4818" s="7"/>
      <c r="S4818" s="7"/>
      <c r="T4818" s="7"/>
      <c r="U4818" s="7"/>
      <c r="V4818" s="10"/>
      <c r="X4818" s="10"/>
      <c r="AA4818" s="11"/>
    </row>
    <row r="4819" spans="2:27" x14ac:dyDescent="0.2">
      <c r="B4819" t="s">
        <v>394</v>
      </c>
      <c r="C4819">
        <v>40354487</v>
      </c>
      <c r="D4819" t="s">
        <v>485</v>
      </c>
      <c r="E4819">
        <v>1011558</v>
      </c>
      <c r="F4819" t="s">
        <v>603</v>
      </c>
      <c r="G4819" s="9">
        <v>45131</v>
      </c>
      <c r="H4819" s="7"/>
      <c r="I4819" s="7"/>
      <c r="J4819" s="7"/>
      <c r="K4819" s="7"/>
      <c r="L4819" s="10"/>
      <c r="N4819" s="10"/>
      <c r="Q4819" s="11"/>
      <c r="R4819" s="7"/>
      <c r="S4819" s="7"/>
      <c r="T4819" s="7"/>
      <c r="U4819" s="7"/>
      <c r="V4819" s="10"/>
      <c r="X4819" s="10"/>
      <c r="AA4819" s="11"/>
    </row>
    <row r="4820" spans="2:27" x14ac:dyDescent="0.2">
      <c r="B4820" t="s">
        <v>394</v>
      </c>
      <c r="C4820">
        <v>40354486</v>
      </c>
      <c r="D4820" t="s">
        <v>485</v>
      </c>
      <c r="E4820">
        <v>1011558</v>
      </c>
      <c r="F4820" t="s">
        <v>603</v>
      </c>
      <c r="G4820" s="9">
        <v>45132</v>
      </c>
      <c r="H4820" s="7"/>
      <c r="I4820" s="7"/>
      <c r="J4820" s="7"/>
      <c r="K4820" s="7"/>
      <c r="L4820" s="10"/>
      <c r="N4820" s="10"/>
      <c r="Q4820" s="11"/>
      <c r="R4820" s="7"/>
      <c r="S4820" s="7"/>
      <c r="T4820" s="7"/>
      <c r="U4820" s="7"/>
      <c r="V4820" s="10"/>
      <c r="X4820" s="10"/>
      <c r="AA4820" s="11"/>
    </row>
    <row r="4821" spans="2:27" x14ac:dyDescent="0.2">
      <c r="B4821" t="s">
        <v>394</v>
      </c>
      <c r="C4821">
        <v>40352820</v>
      </c>
      <c r="D4821" t="s">
        <v>396</v>
      </c>
      <c r="E4821">
        <v>1020860</v>
      </c>
      <c r="F4821" t="s">
        <v>403</v>
      </c>
      <c r="G4821" s="9">
        <v>45133</v>
      </c>
      <c r="H4821" s="7"/>
      <c r="I4821" s="7"/>
      <c r="J4821" s="7"/>
      <c r="K4821" s="7"/>
      <c r="L4821" s="10"/>
      <c r="N4821" s="10"/>
      <c r="Q4821" s="11"/>
      <c r="R4821" s="7"/>
      <c r="S4821" s="7"/>
      <c r="T4821" s="7"/>
      <c r="U4821" s="7"/>
      <c r="V4821" s="10"/>
      <c r="X4821" s="10"/>
      <c r="AA4821" s="11"/>
    </row>
    <row r="4822" spans="2:27" x14ac:dyDescent="0.2">
      <c r="B4822" t="s">
        <v>394</v>
      </c>
      <c r="C4822">
        <v>40352792</v>
      </c>
      <c r="D4822" t="s">
        <v>396</v>
      </c>
      <c r="E4822">
        <v>1022885</v>
      </c>
      <c r="F4822" t="s">
        <v>401</v>
      </c>
      <c r="G4822" s="9">
        <v>45134</v>
      </c>
      <c r="H4822" s="7"/>
      <c r="I4822" s="7"/>
      <c r="J4822" s="7"/>
      <c r="K4822" s="7"/>
      <c r="L4822" s="10"/>
      <c r="N4822" s="10"/>
      <c r="Q4822" s="11"/>
      <c r="R4822" s="7"/>
      <c r="S4822" s="7"/>
      <c r="T4822" s="7"/>
      <c r="U4822" s="7"/>
      <c r="V4822" s="10"/>
      <c r="X4822" s="10"/>
      <c r="AA4822" s="11"/>
    </row>
    <row r="4823" spans="2:27" x14ac:dyDescent="0.2">
      <c r="B4823" t="s">
        <v>394</v>
      </c>
      <c r="C4823">
        <v>40352063</v>
      </c>
      <c r="D4823" t="s">
        <v>396</v>
      </c>
      <c r="E4823">
        <v>1023037</v>
      </c>
      <c r="F4823" t="s">
        <v>555</v>
      </c>
      <c r="G4823" s="9">
        <v>45135</v>
      </c>
      <c r="H4823" s="7"/>
      <c r="I4823" s="7"/>
      <c r="J4823" s="7"/>
      <c r="K4823" s="7"/>
      <c r="L4823" s="10"/>
      <c r="N4823" s="10"/>
      <c r="Q4823" s="11"/>
      <c r="R4823" s="7"/>
      <c r="S4823" s="7"/>
      <c r="T4823" s="7"/>
      <c r="U4823" s="7"/>
      <c r="V4823" s="10"/>
      <c r="X4823" s="10"/>
      <c r="AA4823" s="11"/>
    </row>
    <row r="4824" spans="2:27" ht="16" x14ac:dyDescent="0.2">
      <c r="B4824" t="s">
        <v>35</v>
      </c>
      <c r="C4824">
        <v>40352009</v>
      </c>
      <c r="D4824" t="s">
        <v>423</v>
      </c>
      <c r="E4824">
        <v>1023302</v>
      </c>
      <c r="F4824" t="s">
        <v>268</v>
      </c>
      <c r="G4824" s="9">
        <v>45136</v>
      </c>
      <c r="H4824" s="7"/>
      <c r="I4824" s="7"/>
      <c r="J4824" s="7"/>
      <c r="K4824" s="7"/>
      <c r="L4824" s="10">
        <v>5.4496124031007751</v>
      </c>
      <c r="M4824" s="9">
        <v>45141</v>
      </c>
      <c r="N4824" s="10">
        <v>10</v>
      </c>
      <c r="O4824" s="9">
        <v>45151</v>
      </c>
      <c r="P4824">
        <v>16</v>
      </c>
      <c r="Q4824" s="11" t="s">
        <v>49</v>
      </c>
      <c r="R4824" s="7"/>
      <c r="S4824" s="7"/>
      <c r="T4824" s="7"/>
      <c r="U4824" s="7"/>
      <c r="V4824" s="10">
        <v>7.4496124031007751</v>
      </c>
      <c r="W4824" s="9">
        <v>45143</v>
      </c>
      <c r="X4824" s="10">
        <v>12</v>
      </c>
      <c r="Y4824" s="9">
        <v>45151</v>
      </c>
      <c r="Z4824">
        <v>16</v>
      </c>
      <c r="AA4824" s="11" t="s">
        <v>49</v>
      </c>
    </row>
    <row r="4825" spans="2:27" ht="16" x14ac:dyDescent="0.2">
      <c r="B4825" t="s">
        <v>35</v>
      </c>
      <c r="C4825">
        <v>40351996</v>
      </c>
      <c r="D4825" t="s">
        <v>423</v>
      </c>
      <c r="E4825">
        <v>1021272</v>
      </c>
      <c r="F4825" t="s">
        <v>263</v>
      </c>
      <c r="G4825" s="9">
        <v>45137</v>
      </c>
      <c r="H4825" s="7"/>
      <c r="I4825" s="7"/>
      <c r="J4825" s="7"/>
      <c r="K4825" s="7"/>
      <c r="L4825" s="10">
        <v>5.4496124031007751</v>
      </c>
      <c r="M4825" s="9">
        <v>45142</v>
      </c>
      <c r="N4825" s="10">
        <v>10</v>
      </c>
      <c r="O4825" s="9">
        <v>45152</v>
      </c>
      <c r="P4825">
        <v>15</v>
      </c>
      <c r="Q4825" s="11" t="s">
        <v>49</v>
      </c>
      <c r="R4825" s="7"/>
      <c r="S4825" s="7"/>
      <c r="T4825" s="7"/>
      <c r="U4825" s="7"/>
      <c r="V4825" s="10">
        <v>7.4496124031007751</v>
      </c>
      <c r="W4825" s="9">
        <v>45144</v>
      </c>
      <c r="X4825" s="10">
        <v>12</v>
      </c>
      <c r="Y4825" s="9">
        <v>45152</v>
      </c>
      <c r="Z4825">
        <v>15</v>
      </c>
      <c r="AA4825" s="11" t="s">
        <v>49</v>
      </c>
    </row>
    <row r="4826" spans="2:27" ht="16" x14ac:dyDescent="0.2">
      <c r="B4826" t="s">
        <v>35</v>
      </c>
      <c r="C4826">
        <v>40351996</v>
      </c>
      <c r="D4826" t="s">
        <v>423</v>
      </c>
      <c r="E4826">
        <v>1021272</v>
      </c>
      <c r="F4826" t="s">
        <v>263</v>
      </c>
      <c r="G4826" s="9">
        <v>45138</v>
      </c>
      <c r="H4826" s="7"/>
      <c r="I4826" s="7"/>
      <c r="J4826" s="7"/>
      <c r="K4826" s="7"/>
      <c r="L4826" s="10">
        <v>5.4496124031007751</v>
      </c>
      <c r="M4826" s="9">
        <v>45143</v>
      </c>
      <c r="N4826" s="10">
        <v>10</v>
      </c>
      <c r="O4826" s="9">
        <v>45153</v>
      </c>
      <c r="P4826">
        <v>14</v>
      </c>
      <c r="Q4826" s="11" t="s">
        <v>49</v>
      </c>
      <c r="R4826" s="7"/>
      <c r="S4826" s="7"/>
      <c r="T4826" s="7"/>
      <c r="U4826" s="7"/>
      <c r="V4826" s="10">
        <v>7.4496124031007751</v>
      </c>
      <c r="W4826" s="9">
        <v>45145</v>
      </c>
      <c r="X4826" s="10">
        <v>12</v>
      </c>
      <c r="Y4826" s="9">
        <v>45153</v>
      </c>
      <c r="Z4826">
        <v>14</v>
      </c>
      <c r="AA4826" s="11" t="s">
        <v>49</v>
      </c>
    </row>
    <row r="4827" spans="2:27" ht="16" x14ac:dyDescent="0.2">
      <c r="B4827" t="s">
        <v>35</v>
      </c>
      <c r="C4827">
        <v>40351989</v>
      </c>
      <c r="D4827" t="s">
        <v>423</v>
      </c>
      <c r="E4827">
        <v>1021270</v>
      </c>
      <c r="F4827" t="s">
        <v>424</v>
      </c>
      <c r="G4827" s="9">
        <v>45139</v>
      </c>
      <c r="H4827" s="7"/>
      <c r="I4827" s="7"/>
      <c r="J4827" s="7"/>
      <c r="K4827" s="7"/>
      <c r="L4827" s="10">
        <v>5.4496124031007751</v>
      </c>
      <c r="M4827" s="9">
        <v>45144</v>
      </c>
      <c r="N4827" s="10">
        <v>10</v>
      </c>
      <c r="O4827" s="9">
        <v>45154</v>
      </c>
      <c r="P4827">
        <v>13</v>
      </c>
      <c r="Q4827" s="11" t="s">
        <v>49</v>
      </c>
      <c r="R4827" s="7"/>
      <c r="S4827" s="7"/>
      <c r="T4827" s="7"/>
      <c r="U4827" s="7"/>
      <c r="V4827" s="10">
        <v>7.4496124031007751</v>
      </c>
      <c r="W4827" s="9">
        <v>45146</v>
      </c>
      <c r="X4827" s="10">
        <v>12</v>
      </c>
      <c r="Y4827" s="9">
        <v>45154</v>
      </c>
      <c r="Z4827">
        <v>13</v>
      </c>
      <c r="AA4827" s="11" t="s">
        <v>49</v>
      </c>
    </row>
    <row r="4828" spans="2:27" ht="16" x14ac:dyDescent="0.2">
      <c r="B4828" t="s">
        <v>35</v>
      </c>
      <c r="C4828">
        <v>40351977</v>
      </c>
      <c r="D4828" t="s">
        <v>423</v>
      </c>
      <c r="E4828">
        <v>1011150</v>
      </c>
      <c r="F4828" t="s">
        <v>149</v>
      </c>
      <c r="G4828" s="9">
        <v>45140</v>
      </c>
      <c r="H4828" s="7"/>
      <c r="I4828" s="7"/>
      <c r="J4828" s="7"/>
      <c r="K4828" s="7"/>
      <c r="L4828" s="10">
        <v>5.4496124031007751</v>
      </c>
      <c r="M4828" s="9">
        <v>45145</v>
      </c>
      <c r="N4828" s="10">
        <v>10</v>
      </c>
      <c r="O4828" s="9">
        <v>45155</v>
      </c>
      <c r="P4828">
        <v>12</v>
      </c>
      <c r="Q4828" s="11" t="s">
        <v>49</v>
      </c>
      <c r="R4828" s="7"/>
      <c r="S4828" s="7"/>
      <c r="T4828" s="7"/>
      <c r="U4828" s="7"/>
      <c r="V4828" s="10">
        <v>7.4496124031007751</v>
      </c>
      <c r="W4828" s="9">
        <v>45147</v>
      </c>
      <c r="X4828" s="10">
        <v>12</v>
      </c>
      <c r="Y4828" s="9">
        <v>45155</v>
      </c>
      <c r="Z4828">
        <v>12</v>
      </c>
      <c r="AA4828" s="11" t="s">
        <v>49</v>
      </c>
    </row>
    <row r="4829" spans="2:27" ht="16" x14ac:dyDescent="0.2">
      <c r="B4829" t="s">
        <v>35</v>
      </c>
      <c r="C4829">
        <v>40351967</v>
      </c>
      <c r="D4829" t="s">
        <v>423</v>
      </c>
      <c r="E4829">
        <v>1011127</v>
      </c>
      <c r="F4829" t="s">
        <v>228</v>
      </c>
      <c r="G4829" s="9">
        <v>45141</v>
      </c>
      <c r="H4829" s="7"/>
      <c r="I4829" s="7"/>
      <c r="J4829" s="7"/>
      <c r="K4829" s="7"/>
      <c r="L4829" s="10">
        <v>5.4496124031007751</v>
      </c>
      <c r="M4829" s="9">
        <v>45146</v>
      </c>
      <c r="N4829" s="10">
        <v>10</v>
      </c>
      <c r="O4829" s="9">
        <v>45156</v>
      </c>
      <c r="P4829">
        <v>11</v>
      </c>
      <c r="Q4829" s="11" t="s">
        <v>49</v>
      </c>
      <c r="R4829" s="7"/>
      <c r="S4829" s="7"/>
      <c r="T4829" s="7"/>
      <c r="U4829" s="7"/>
      <c r="V4829" s="10">
        <v>7.4496124031007751</v>
      </c>
      <c r="W4829" s="9">
        <v>45148</v>
      </c>
      <c r="X4829" s="10">
        <v>12</v>
      </c>
      <c r="Y4829" s="9">
        <v>45156</v>
      </c>
      <c r="Z4829">
        <v>11</v>
      </c>
      <c r="AA4829" s="11" t="s">
        <v>49</v>
      </c>
    </row>
    <row r="4830" spans="2:27" ht="16" x14ac:dyDescent="0.2">
      <c r="B4830" t="s">
        <v>35</v>
      </c>
      <c r="C4830">
        <v>40351910</v>
      </c>
      <c r="D4830" t="s">
        <v>409</v>
      </c>
      <c r="E4830">
        <v>1012167</v>
      </c>
      <c r="F4830" t="s">
        <v>70</v>
      </c>
      <c r="G4830" s="9">
        <v>45142</v>
      </c>
      <c r="H4830" s="7"/>
      <c r="I4830" s="7"/>
      <c r="J4830" s="7"/>
      <c r="K4830" s="7"/>
      <c r="L4830" s="10">
        <v>7.5</v>
      </c>
      <c r="M4830" s="9">
        <v>45149</v>
      </c>
      <c r="N4830" s="10">
        <v>9.5</v>
      </c>
      <c r="O4830" s="9">
        <v>45158</v>
      </c>
      <c r="P4830">
        <v>10</v>
      </c>
      <c r="Q4830" s="11" t="s">
        <v>49</v>
      </c>
      <c r="R4830" s="7"/>
      <c r="S4830" s="7"/>
      <c r="T4830" s="7"/>
      <c r="U4830" s="7"/>
      <c r="V4830" s="10">
        <v>9.5</v>
      </c>
      <c r="W4830" s="9">
        <v>45151</v>
      </c>
      <c r="X4830" s="10">
        <v>11.5</v>
      </c>
      <c r="Y4830" s="9">
        <v>45158</v>
      </c>
      <c r="Z4830">
        <v>10</v>
      </c>
      <c r="AA4830" s="11" t="s">
        <v>49</v>
      </c>
    </row>
    <row r="4831" spans="2:27" ht="16" x14ac:dyDescent="0.2">
      <c r="B4831" t="s">
        <v>35</v>
      </c>
      <c r="C4831">
        <v>40351845</v>
      </c>
      <c r="D4831" t="s">
        <v>409</v>
      </c>
      <c r="E4831">
        <v>1012159</v>
      </c>
      <c r="F4831" t="s">
        <v>88</v>
      </c>
      <c r="G4831" s="9">
        <v>45143</v>
      </c>
      <c r="H4831" s="7"/>
      <c r="I4831" s="7"/>
      <c r="J4831" s="7"/>
      <c r="K4831" s="7"/>
      <c r="L4831" s="10">
        <v>7.5</v>
      </c>
      <c r="M4831" s="9">
        <v>45150</v>
      </c>
      <c r="N4831" s="10">
        <v>9.5</v>
      </c>
      <c r="O4831" s="9">
        <v>45159</v>
      </c>
      <c r="P4831">
        <v>9</v>
      </c>
      <c r="Q4831" s="11" t="s">
        <v>49</v>
      </c>
      <c r="R4831" s="7"/>
      <c r="S4831" s="7"/>
      <c r="T4831" s="7"/>
      <c r="U4831" s="7"/>
      <c r="V4831" s="10">
        <v>9.5</v>
      </c>
      <c r="W4831" s="9">
        <v>45152</v>
      </c>
      <c r="X4831" s="10">
        <v>11.5</v>
      </c>
      <c r="Y4831" s="9">
        <v>45159</v>
      </c>
      <c r="Z4831">
        <v>9</v>
      </c>
      <c r="AA4831" s="11" t="s">
        <v>49</v>
      </c>
    </row>
    <row r="4832" spans="2:27" ht="16" x14ac:dyDescent="0.2">
      <c r="B4832" t="s">
        <v>35</v>
      </c>
      <c r="C4832">
        <v>40351806</v>
      </c>
      <c r="D4832" t="s">
        <v>409</v>
      </c>
      <c r="E4832">
        <v>1030379</v>
      </c>
      <c r="F4832" t="s">
        <v>97</v>
      </c>
      <c r="G4832" s="9">
        <v>45144</v>
      </c>
      <c r="H4832" s="7"/>
      <c r="I4832" s="7"/>
      <c r="J4832" s="7"/>
      <c r="K4832" s="7"/>
      <c r="L4832" s="10">
        <v>7.5</v>
      </c>
      <c r="M4832" s="9">
        <v>45151</v>
      </c>
      <c r="N4832" s="10">
        <v>9.5</v>
      </c>
      <c r="O4832" s="9">
        <v>45160</v>
      </c>
      <c r="P4832">
        <v>8</v>
      </c>
      <c r="Q4832" s="11" t="s">
        <v>49</v>
      </c>
      <c r="R4832" s="7"/>
      <c r="S4832" s="7"/>
      <c r="T4832" s="7"/>
      <c r="U4832" s="7"/>
      <c r="V4832" s="10">
        <v>9.5</v>
      </c>
      <c r="W4832" s="9">
        <v>45153</v>
      </c>
      <c r="X4832" s="10">
        <v>11.5</v>
      </c>
      <c r="Y4832" s="9">
        <v>45160</v>
      </c>
      <c r="Z4832">
        <v>8</v>
      </c>
      <c r="AA4832" s="11" t="s">
        <v>49</v>
      </c>
    </row>
    <row r="4833" spans="2:27" ht="16" x14ac:dyDescent="0.2">
      <c r="B4833" t="s">
        <v>35</v>
      </c>
      <c r="C4833">
        <v>40351805</v>
      </c>
      <c r="D4833" t="s">
        <v>409</v>
      </c>
      <c r="E4833">
        <v>1030379</v>
      </c>
      <c r="F4833" t="s">
        <v>97</v>
      </c>
      <c r="G4833" s="9">
        <v>45145</v>
      </c>
      <c r="H4833" s="7"/>
      <c r="I4833" s="7"/>
      <c r="J4833" s="7"/>
      <c r="K4833" s="7"/>
      <c r="L4833" s="10">
        <v>7.5</v>
      </c>
      <c r="M4833" s="9">
        <v>45152</v>
      </c>
      <c r="N4833" s="10">
        <v>9.5</v>
      </c>
      <c r="O4833" s="9">
        <v>45161</v>
      </c>
      <c r="P4833">
        <v>7</v>
      </c>
      <c r="Q4833" s="11" t="s">
        <v>49</v>
      </c>
      <c r="R4833" s="7"/>
      <c r="S4833" s="7"/>
      <c r="T4833" s="7"/>
      <c r="U4833" s="7"/>
      <c r="V4833" s="10">
        <v>9.5</v>
      </c>
      <c r="W4833" s="9">
        <v>45154</v>
      </c>
      <c r="X4833" s="10">
        <v>11.5</v>
      </c>
      <c r="Y4833" s="9">
        <v>45161</v>
      </c>
      <c r="Z4833">
        <v>7</v>
      </c>
      <c r="AA4833" s="11" t="s">
        <v>49</v>
      </c>
    </row>
    <row r="4834" spans="2:27" ht="16" x14ac:dyDescent="0.2">
      <c r="B4834" t="s">
        <v>35</v>
      </c>
      <c r="C4834">
        <v>40351748</v>
      </c>
      <c r="D4834" t="s">
        <v>409</v>
      </c>
      <c r="E4834">
        <v>1012165</v>
      </c>
      <c r="F4834" t="s">
        <v>61</v>
      </c>
      <c r="G4834" s="9">
        <v>45146</v>
      </c>
      <c r="H4834" s="7"/>
      <c r="I4834" s="7"/>
      <c r="J4834" s="7"/>
      <c r="K4834" s="7"/>
      <c r="L4834" s="10">
        <v>7.5</v>
      </c>
      <c r="M4834" s="9">
        <v>45153</v>
      </c>
      <c r="N4834" s="10">
        <v>9.5</v>
      </c>
      <c r="O4834" s="9">
        <v>45162</v>
      </c>
      <c r="P4834">
        <v>6</v>
      </c>
      <c r="Q4834" s="11" t="s">
        <v>49</v>
      </c>
      <c r="R4834" s="7"/>
      <c r="S4834" s="7"/>
      <c r="T4834" s="7"/>
      <c r="U4834" s="7"/>
      <c r="V4834" s="10">
        <v>9.5</v>
      </c>
      <c r="W4834" s="9">
        <v>45155</v>
      </c>
      <c r="X4834" s="10">
        <v>11.5</v>
      </c>
      <c r="Y4834" s="9">
        <v>45162</v>
      </c>
      <c r="Z4834">
        <v>6</v>
      </c>
      <c r="AA4834" s="11" t="s">
        <v>49</v>
      </c>
    </row>
    <row r="4835" spans="2:27" ht="16" x14ac:dyDescent="0.2">
      <c r="B4835" t="s">
        <v>35</v>
      </c>
      <c r="C4835">
        <v>40351747</v>
      </c>
      <c r="D4835" t="s">
        <v>409</v>
      </c>
      <c r="E4835">
        <v>1012165</v>
      </c>
      <c r="F4835" t="s">
        <v>61</v>
      </c>
      <c r="G4835" s="9">
        <v>45147</v>
      </c>
      <c r="H4835" s="7"/>
      <c r="I4835" s="7"/>
      <c r="J4835" s="7"/>
      <c r="K4835" s="7"/>
      <c r="L4835" s="10">
        <v>7.5</v>
      </c>
      <c r="M4835" s="9">
        <v>45154</v>
      </c>
      <c r="N4835" s="10">
        <v>9.5</v>
      </c>
      <c r="O4835" s="9">
        <v>45163</v>
      </c>
      <c r="P4835">
        <v>5</v>
      </c>
      <c r="Q4835" s="11" t="s">
        <v>49</v>
      </c>
      <c r="R4835" s="7"/>
      <c r="S4835" s="7"/>
      <c r="T4835" s="7"/>
      <c r="U4835" s="7"/>
      <c r="V4835" s="10">
        <v>9.5</v>
      </c>
      <c r="W4835" s="9">
        <v>45156</v>
      </c>
      <c r="X4835" s="10">
        <v>11.5</v>
      </c>
      <c r="Y4835" s="9">
        <v>45163</v>
      </c>
      <c r="Z4835">
        <v>5</v>
      </c>
      <c r="AA4835" s="11" t="s">
        <v>49</v>
      </c>
    </row>
    <row r="4836" spans="2:27" ht="16" x14ac:dyDescent="0.2">
      <c r="B4836" t="s">
        <v>35</v>
      </c>
      <c r="C4836">
        <v>40351639</v>
      </c>
      <c r="D4836" t="s">
        <v>389</v>
      </c>
      <c r="E4836">
        <v>1022851</v>
      </c>
      <c r="F4836" t="s">
        <v>322</v>
      </c>
      <c r="G4836" s="9">
        <v>45148</v>
      </c>
      <c r="H4836" s="7"/>
      <c r="I4836" s="7"/>
      <c r="J4836" s="7"/>
      <c r="K4836" s="7"/>
      <c r="L4836" s="10">
        <v>5.5741092456127026</v>
      </c>
      <c r="M4836" s="9">
        <v>45153</v>
      </c>
      <c r="N4836" s="10">
        <v>5.5</v>
      </c>
      <c r="O4836" s="9">
        <v>45158</v>
      </c>
      <c r="P4836">
        <v>10</v>
      </c>
      <c r="Q4836" s="11" t="s">
        <v>49</v>
      </c>
      <c r="R4836" s="7"/>
      <c r="S4836" s="7"/>
      <c r="T4836" s="7"/>
      <c r="U4836" s="7"/>
      <c r="V4836" s="10">
        <v>7.5741092456127026</v>
      </c>
      <c r="W4836" s="9">
        <v>45155</v>
      </c>
      <c r="X4836" s="10">
        <v>7.5</v>
      </c>
      <c r="Y4836" s="9">
        <v>45158</v>
      </c>
      <c r="Z4836">
        <v>10</v>
      </c>
      <c r="AA4836" s="11" t="s">
        <v>49</v>
      </c>
    </row>
    <row r="4837" spans="2:27" ht="16" x14ac:dyDescent="0.2">
      <c r="B4837" t="s">
        <v>35</v>
      </c>
      <c r="C4837">
        <v>40351636</v>
      </c>
      <c r="D4837" t="s">
        <v>389</v>
      </c>
      <c r="E4837">
        <v>1022851</v>
      </c>
      <c r="F4837" t="s">
        <v>322</v>
      </c>
      <c r="G4837" s="9">
        <v>45149</v>
      </c>
      <c r="H4837" s="7"/>
      <c r="I4837" s="7"/>
      <c r="J4837" s="7"/>
      <c r="K4837" s="7"/>
      <c r="L4837" s="10">
        <v>5.5741092456127026</v>
      </c>
      <c r="M4837" s="9">
        <v>45154</v>
      </c>
      <c r="N4837" s="10">
        <v>5.5</v>
      </c>
      <c r="O4837" s="9">
        <v>45159</v>
      </c>
      <c r="P4837">
        <v>9</v>
      </c>
      <c r="Q4837" s="11" t="s">
        <v>49</v>
      </c>
      <c r="R4837" s="7"/>
      <c r="S4837" s="7"/>
      <c r="T4837" s="7"/>
      <c r="U4837" s="7"/>
      <c r="V4837" s="10">
        <v>7.5741092456127026</v>
      </c>
      <c r="W4837" s="9">
        <v>45156</v>
      </c>
      <c r="X4837" s="10">
        <v>7.5</v>
      </c>
      <c r="Y4837" s="9">
        <v>45159</v>
      </c>
      <c r="Z4837">
        <v>9</v>
      </c>
      <c r="AA4837" s="11" t="s">
        <v>49</v>
      </c>
    </row>
    <row r="4838" spans="2:27" ht="16" x14ac:dyDescent="0.2">
      <c r="B4838" t="s">
        <v>35</v>
      </c>
      <c r="C4838">
        <v>40351616</v>
      </c>
      <c r="D4838" t="s">
        <v>389</v>
      </c>
      <c r="E4838">
        <v>1022639</v>
      </c>
      <c r="F4838" t="s">
        <v>316</v>
      </c>
      <c r="G4838" s="9">
        <v>45150</v>
      </c>
      <c r="H4838" s="7"/>
      <c r="I4838" s="7"/>
      <c r="J4838" s="7"/>
      <c r="K4838" s="7"/>
      <c r="L4838" s="10">
        <v>5.5741092456127026</v>
      </c>
      <c r="M4838" s="9">
        <v>45155</v>
      </c>
      <c r="N4838" s="10">
        <v>5.5</v>
      </c>
      <c r="O4838" s="9">
        <v>45160</v>
      </c>
      <c r="P4838">
        <v>8</v>
      </c>
      <c r="Q4838" s="11" t="s">
        <v>49</v>
      </c>
      <c r="R4838" s="7"/>
      <c r="S4838" s="7"/>
      <c r="T4838" s="7"/>
      <c r="U4838" s="7"/>
      <c r="V4838" s="10">
        <v>7.5741092456127026</v>
      </c>
      <c r="W4838" s="9">
        <v>45157</v>
      </c>
      <c r="X4838" s="10">
        <v>7.5</v>
      </c>
      <c r="Y4838" s="9">
        <v>45160</v>
      </c>
      <c r="Z4838">
        <v>8</v>
      </c>
      <c r="AA4838" s="11" t="s">
        <v>49</v>
      </c>
    </row>
    <row r="4839" spans="2:27" ht="16" x14ac:dyDescent="0.2">
      <c r="B4839" t="s">
        <v>35</v>
      </c>
      <c r="C4839">
        <v>40351615</v>
      </c>
      <c r="D4839" t="s">
        <v>389</v>
      </c>
      <c r="E4839">
        <v>1022639</v>
      </c>
      <c r="F4839" t="s">
        <v>316</v>
      </c>
      <c r="G4839" s="9">
        <v>45151</v>
      </c>
      <c r="H4839" s="7"/>
      <c r="I4839" s="7"/>
      <c r="J4839" s="7"/>
      <c r="K4839" s="7"/>
      <c r="L4839" s="10">
        <v>5.5741092456127026</v>
      </c>
      <c r="M4839" s="9">
        <v>45156</v>
      </c>
      <c r="N4839" s="10">
        <v>5.5</v>
      </c>
      <c r="O4839" s="9">
        <v>45161</v>
      </c>
      <c r="P4839">
        <v>7</v>
      </c>
      <c r="Q4839" s="11" t="s">
        <v>49</v>
      </c>
      <c r="R4839" s="7"/>
      <c r="S4839" s="7"/>
      <c r="T4839" s="7"/>
      <c r="U4839" s="7"/>
      <c r="V4839" s="10">
        <v>7.5741092456127026</v>
      </c>
      <c r="W4839" s="9">
        <v>45158</v>
      </c>
      <c r="X4839" s="10">
        <v>7.5</v>
      </c>
      <c r="Y4839" s="9">
        <v>45161</v>
      </c>
      <c r="Z4839">
        <v>7</v>
      </c>
      <c r="AA4839" s="11" t="s">
        <v>49</v>
      </c>
    </row>
    <row r="4840" spans="2:27" ht="16" x14ac:dyDescent="0.2">
      <c r="B4840" t="s">
        <v>35</v>
      </c>
      <c r="C4840">
        <v>40351615</v>
      </c>
      <c r="D4840" t="s">
        <v>389</v>
      </c>
      <c r="E4840">
        <v>1022639</v>
      </c>
      <c r="F4840" t="s">
        <v>316</v>
      </c>
      <c r="G4840" s="9">
        <v>45152</v>
      </c>
      <c r="H4840" s="7"/>
      <c r="I4840" s="7"/>
      <c r="J4840" s="7"/>
      <c r="K4840" s="7"/>
      <c r="L4840" s="10">
        <v>5.5741092456127026</v>
      </c>
      <c r="M4840" s="9">
        <v>45157</v>
      </c>
      <c r="N4840" s="10">
        <v>5.5</v>
      </c>
      <c r="O4840" s="9">
        <v>45162</v>
      </c>
      <c r="P4840">
        <v>6</v>
      </c>
      <c r="Q4840" s="11" t="s">
        <v>49</v>
      </c>
      <c r="R4840" s="7"/>
      <c r="S4840" s="7"/>
      <c r="T4840" s="7"/>
      <c r="U4840" s="7"/>
      <c r="V4840" s="10">
        <v>7.5741092456127026</v>
      </c>
      <c r="W4840" s="9">
        <v>45159</v>
      </c>
      <c r="X4840" s="10">
        <v>7.5</v>
      </c>
      <c r="Y4840" s="9">
        <v>45162</v>
      </c>
      <c r="Z4840">
        <v>6</v>
      </c>
      <c r="AA4840" s="11" t="s">
        <v>49</v>
      </c>
    </row>
    <row r="4841" spans="2:27" ht="16" x14ac:dyDescent="0.2">
      <c r="B4841" t="s">
        <v>35</v>
      </c>
      <c r="C4841">
        <v>40351614</v>
      </c>
      <c r="D4841" t="s">
        <v>389</v>
      </c>
      <c r="E4841">
        <v>1022639</v>
      </c>
      <c r="F4841" t="s">
        <v>316</v>
      </c>
      <c r="G4841" s="9">
        <v>45153</v>
      </c>
      <c r="H4841" s="7"/>
      <c r="I4841" s="7"/>
      <c r="J4841" s="7"/>
      <c r="K4841" s="7"/>
      <c r="L4841" s="10">
        <v>5.5741092456127026</v>
      </c>
      <c r="M4841" s="9">
        <v>45158</v>
      </c>
      <c r="N4841" s="10">
        <v>5.5</v>
      </c>
      <c r="O4841" s="9">
        <v>45163</v>
      </c>
      <c r="P4841">
        <v>5</v>
      </c>
      <c r="Q4841" s="11" t="s">
        <v>49</v>
      </c>
      <c r="R4841" s="7"/>
      <c r="S4841" s="7"/>
      <c r="T4841" s="7"/>
      <c r="U4841" s="7"/>
      <c r="V4841" s="10">
        <v>7.5741092456127026</v>
      </c>
      <c r="W4841" s="9">
        <v>45160</v>
      </c>
      <c r="X4841" s="10">
        <v>7.5</v>
      </c>
      <c r="Y4841" s="9">
        <v>45163</v>
      </c>
      <c r="Z4841">
        <v>5</v>
      </c>
      <c r="AA4841" s="11" t="s">
        <v>49</v>
      </c>
    </row>
    <row r="4842" spans="2:27" ht="16" x14ac:dyDescent="0.2">
      <c r="B4842" t="s">
        <v>35</v>
      </c>
      <c r="C4842">
        <v>40351613</v>
      </c>
      <c r="D4842" t="s">
        <v>389</v>
      </c>
      <c r="E4842">
        <v>1022639</v>
      </c>
      <c r="F4842" t="s">
        <v>316</v>
      </c>
      <c r="G4842" s="9">
        <v>45154</v>
      </c>
      <c r="H4842" s="7"/>
      <c r="I4842" s="7"/>
      <c r="J4842" s="7"/>
      <c r="K4842" s="7"/>
      <c r="L4842" s="10">
        <v>5.5741092456127026</v>
      </c>
      <c r="M4842" s="9">
        <v>45159</v>
      </c>
      <c r="N4842" s="10">
        <v>5.5</v>
      </c>
      <c r="O4842" s="9">
        <v>45164</v>
      </c>
      <c r="P4842">
        <v>4</v>
      </c>
      <c r="Q4842" s="11" t="s">
        <v>49</v>
      </c>
      <c r="R4842" s="7"/>
      <c r="S4842" s="7"/>
      <c r="T4842" s="7"/>
      <c r="U4842" s="7"/>
      <c r="V4842" s="10">
        <v>7.5741092456127026</v>
      </c>
      <c r="W4842" s="9">
        <v>45161</v>
      </c>
      <c r="X4842" s="10">
        <v>7.5</v>
      </c>
      <c r="Y4842" s="9">
        <v>45164</v>
      </c>
      <c r="Z4842">
        <v>4</v>
      </c>
      <c r="AA4842" s="11" t="s">
        <v>49</v>
      </c>
    </row>
    <row r="4843" spans="2:27" ht="16" x14ac:dyDescent="0.2">
      <c r="B4843" t="s">
        <v>35</v>
      </c>
      <c r="C4843">
        <v>40351612</v>
      </c>
      <c r="D4843" t="s">
        <v>389</v>
      </c>
      <c r="E4843">
        <v>1022639</v>
      </c>
      <c r="F4843" t="s">
        <v>316</v>
      </c>
      <c r="G4843" s="9">
        <v>45155</v>
      </c>
      <c r="H4843" s="7"/>
      <c r="I4843" s="7"/>
      <c r="J4843" s="7"/>
      <c r="K4843" s="7"/>
      <c r="L4843" s="10">
        <v>5.5741092456127026</v>
      </c>
      <c r="M4843" s="9">
        <v>45160</v>
      </c>
      <c r="N4843" s="10">
        <v>5.5</v>
      </c>
      <c r="O4843" s="9">
        <v>45165</v>
      </c>
      <c r="P4843">
        <v>4</v>
      </c>
      <c r="Q4843" s="11" t="s">
        <v>49</v>
      </c>
      <c r="R4843" s="7"/>
      <c r="S4843" s="7"/>
      <c r="T4843" s="7"/>
      <c r="U4843" s="7"/>
      <c r="V4843" s="10">
        <v>7.5741092456127026</v>
      </c>
      <c r="W4843" s="9">
        <v>45162</v>
      </c>
      <c r="X4843" s="10">
        <v>7.5</v>
      </c>
      <c r="Y4843" s="9">
        <v>45165</v>
      </c>
      <c r="Z4843">
        <v>4</v>
      </c>
      <c r="AA4843" s="11" t="s">
        <v>49</v>
      </c>
    </row>
    <row r="4844" spans="2:27" ht="16" x14ac:dyDescent="0.2">
      <c r="B4844" t="s">
        <v>35</v>
      </c>
      <c r="C4844">
        <v>40351608</v>
      </c>
      <c r="D4844" t="s">
        <v>389</v>
      </c>
      <c r="E4844">
        <v>1022639</v>
      </c>
      <c r="F4844" t="s">
        <v>316</v>
      </c>
      <c r="G4844" s="9">
        <v>45156</v>
      </c>
      <c r="H4844" s="7"/>
      <c r="I4844" s="7"/>
      <c r="J4844" s="7"/>
      <c r="K4844" s="7"/>
      <c r="L4844" s="10">
        <v>5.5741092456127026</v>
      </c>
      <c r="M4844" s="9">
        <v>45161</v>
      </c>
      <c r="N4844" s="10">
        <v>5.5</v>
      </c>
      <c r="O4844" s="9">
        <v>45166</v>
      </c>
      <c r="P4844">
        <v>3</v>
      </c>
      <c r="Q4844" s="11" t="s">
        <v>49</v>
      </c>
      <c r="R4844" s="7"/>
      <c r="S4844" s="7"/>
      <c r="T4844" s="7"/>
      <c r="U4844" s="7"/>
      <c r="V4844" s="10">
        <v>7.5741092456127026</v>
      </c>
      <c r="W4844" s="9">
        <v>45163</v>
      </c>
      <c r="X4844" s="10">
        <v>7.5</v>
      </c>
      <c r="Y4844" s="9">
        <v>45166</v>
      </c>
      <c r="Z4844">
        <v>3</v>
      </c>
      <c r="AA4844" s="11" t="s">
        <v>49</v>
      </c>
    </row>
    <row r="4845" spans="2:27" ht="16" x14ac:dyDescent="0.2">
      <c r="B4845" t="s">
        <v>35</v>
      </c>
      <c r="C4845">
        <v>40351586</v>
      </c>
      <c r="D4845" t="s">
        <v>389</v>
      </c>
      <c r="E4845">
        <v>1022212</v>
      </c>
      <c r="F4845" t="s">
        <v>300</v>
      </c>
      <c r="G4845" s="9">
        <v>45157</v>
      </c>
      <c r="H4845" s="7"/>
      <c r="I4845" s="7"/>
      <c r="J4845" s="7"/>
      <c r="K4845" s="7"/>
      <c r="L4845" s="10">
        <v>5.5741092456127026</v>
      </c>
      <c r="M4845" s="9">
        <v>45162</v>
      </c>
      <c r="N4845" s="10">
        <v>5.5</v>
      </c>
      <c r="O4845" s="9">
        <v>45167</v>
      </c>
      <c r="P4845">
        <v>2</v>
      </c>
      <c r="Q4845" s="11" t="s">
        <v>686</v>
      </c>
      <c r="R4845" s="7"/>
      <c r="S4845" s="7"/>
      <c r="T4845" s="7"/>
      <c r="U4845" s="7"/>
      <c r="V4845" s="10">
        <v>7.5741092456127026</v>
      </c>
      <c r="W4845" s="9">
        <v>45164</v>
      </c>
      <c r="X4845" s="10">
        <v>7.5</v>
      </c>
      <c r="Y4845" s="9">
        <v>45167</v>
      </c>
      <c r="Z4845">
        <v>2</v>
      </c>
      <c r="AA4845" s="11" t="s">
        <v>686</v>
      </c>
    </row>
    <row r="4846" spans="2:27" ht="16" x14ac:dyDescent="0.2">
      <c r="B4846" t="s">
        <v>35</v>
      </c>
      <c r="C4846">
        <v>40351577</v>
      </c>
      <c r="D4846" t="s">
        <v>389</v>
      </c>
      <c r="E4846">
        <v>1022212</v>
      </c>
      <c r="F4846" t="s">
        <v>300</v>
      </c>
      <c r="G4846" s="9">
        <v>45158</v>
      </c>
      <c r="H4846" s="7"/>
      <c r="I4846" s="7"/>
      <c r="J4846" s="7"/>
      <c r="K4846" s="7"/>
      <c r="L4846" s="10">
        <v>5.5741092456127026</v>
      </c>
      <c r="M4846" s="9">
        <v>45163</v>
      </c>
      <c r="N4846" s="10">
        <v>5.5</v>
      </c>
      <c r="O4846" s="9">
        <v>45168</v>
      </c>
      <c r="P4846">
        <v>1</v>
      </c>
      <c r="Q4846" s="11" t="s">
        <v>686</v>
      </c>
      <c r="R4846" s="7"/>
      <c r="S4846" s="7"/>
      <c r="T4846" s="7"/>
      <c r="U4846" s="7"/>
      <c r="V4846" s="10">
        <v>7.5741092456127026</v>
      </c>
      <c r="W4846" s="9">
        <v>45165</v>
      </c>
      <c r="X4846" s="10">
        <v>7.5</v>
      </c>
      <c r="Y4846" s="9">
        <v>45168</v>
      </c>
      <c r="Z4846">
        <v>1</v>
      </c>
      <c r="AA4846" s="11" t="s">
        <v>686</v>
      </c>
    </row>
    <row r="4847" spans="2:27" ht="16" x14ac:dyDescent="0.2">
      <c r="B4847" t="s">
        <v>35</v>
      </c>
      <c r="C4847">
        <v>40351424</v>
      </c>
      <c r="D4847" t="s">
        <v>389</v>
      </c>
      <c r="E4847">
        <v>1022183</v>
      </c>
      <c r="F4847" t="s">
        <v>165</v>
      </c>
      <c r="G4847" s="9">
        <v>45159</v>
      </c>
      <c r="H4847" s="7"/>
      <c r="I4847" s="7"/>
      <c r="J4847" s="7"/>
      <c r="K4847" s="7"/>
      <c r="L4847" s="10">
        <v>5.5741092456127026</v>
      </c>
      <c r="M4847" s="9">
        <v>45164</v>
      </c>
      <c r="N4847" s="10">
        <v>5.5</v>
      </c>
      <c r="O4847" s="9">
        <v>45169</v>
      </c>
      <c r="P4847">
        <v>0</v>
      </c>
      <c r="Q4847" s="11" t="s">
        <v>686</v>
      </c>
      <c r="R4847" s="7"/>
      <c r="S4847" s="7"/>
      <c r="T4847" s="7"/>
      <c r="U4847" s="7"/>
      <c r="V4847" s="10">
        <v>7.5741092456127026</v>
      </c>
      <c r="W4847" s="9">
        <v>45166</v>
      </c>
      <c r="X4847" s="10">
        <v>7.5</v>
      </c>
      <c r="Y4847" s="9">
        <v>45169</v>
      </c>
      <c r="Z4847">
        <v>0</v>
      </c>
      <c r="AA4847" s="11" t="s">
        <v>686</v>
      </c>
    </row>
    <row r="4848" spans="2:27" ht="16" x14ac:dyDescent="0.2">
      <c r="B4848" t="s">
        <v>35</v>
      </c>
      <c r="C4848">
        <v>40351378</v>
      </c>
      <c r="D4848" t="s">
        <v>389</v>
      </c>
      <c r="E4848">
        <v>1021731</v>
      </c>
      <c r="F4848" t="s">
        <v>273</v>
      </c>
      <c r="G4848" s="9">
        <v>45160</v>
      </c>
      <c r="H4848" s="7"/>
      <c r="I4848" s="7"/>
      <c r="J4848" s="7"/>
      <c r="K4848" s="7"/>
      <c r="L4848" s="10">
        <v>5.5741092456127026</v>
      </c>
      <c r="M4848" s="9">
        <v>45165</v>
      </c>
      <c r="N4848" s="10">
        <v>5.5</v>
      </c>
      <c r="O4848" s="9">
        <v>45170</v>
      </c>
      <c r="P4848">
        <v>24</v>
      </c>
      <c r="Q4848" s="11" t="s">
        <v>49</v>
      </c>
      <c r="R4848" s="7"/>
      <c r="S4848" s="7"/>
      <c r="T4848" s="7"/>
      <c r="U4848" s="7"/>
      <c r="V4848" s="10">
        <v>7.5741092456127026</v>
      </c>
      <c r="W4848" s="9">
        <v>45167</v>
      </c>
      <c r="X4848" s="10">
        <v>7.5</v>
      </c>
      <c r="Y4848" s="9">
        <v>45170</v>
      </c>
      <c r="Z4848">
        <v>24</v>
      </c>
      <c r="AA4848" s="11" t="s">
        <v>49</v>
      </c>
    </row>
    <row r="4849" spans="2:27" ht="16" x14ac:dyDescent="0.2">
      <c r="B4849" t="s">
        <v>35</v>
      </c>
      <c r="C4849">
        <v>40351378</v>
      </c>
      <c r="D4849" t="s">
        <v>389</v>
      </c>
      <c r="E4849">
        <v>1021731</v>
      </c>
      <c r="F4849" t="s">
        <v>273</v>
      </c>
      <c r="G4849" s="9">
        <v>45161</v>
      </c>
      <c r="H4849" s="7"/>
      <c r="I4849" s="7"/>
      <c r="J4849" s="7"/>
      <c r="K4849" s="7"/>
      <c r="L4849" s="10">
        <v>5.5741092456127026</v>
      </c>
      <c r="M4849" s="9">
        <v>45166</v>
      </c>
      <c r="N4849" s="10">
        <v>5.5</v>
      </c>
      <c r="O4849" s="9">
        <v>45171</v>
      </c>
      <c r="P4849">
        <v>23</v>
      </c>
      <c r="Q4849" s="11" t="s">
        <v>49</v>
      </c>
      <c r="R4849" s="7"/>
      <c r="S4849" s="7"/>
      <c r="T4849" s="7"/>
      <c r="U4849" s="7"/>
      <c r="V4849" s="10">
        <v>7.5741092456127026</v>
      </c>
      <c r="W4849" s="9">
        <v>45168</v>
      </c>
      <c r="X4849" s="10">
        <v>7.5</v>
      </c>
      <c r="Y4849" s="9">
        <v>45171</v>
      </c>
      <c r="Z4849">
        <v>23</v>
      </c>
      <c r="AA4849" s="11" t="s">
        <v>49</v>
      </c>
    </row>
    <row r="4850" spans="2:27" ht="16" x14ac:dyDescent="0.2">
      <c r="B4850" t="s">
        <v>35</v>
      </c>
      <c r="C4850">
        <v>40351377</v>
      </c>
      <c r="D4850" t="s">
        <v>389</v>
      </c>
      <c r="E4850">
        <v>1021731</v>
      </c>
      <c r="F4850" t="s">
        <v>273</v>
      </c>
      <c r="G4850" s="9">
        <v>45162</v>
      </c>
      <c r="H4850" s="7"/>
      <c r="I4850" s="7"/>
      <c r="J4850" s="7"/>
      <c r="K4850" s="7"/>
      <c r="L4850" s="10">
        <v>5.5741092456127026</v>
      </c>
      <c r="M4850" s="9">
        <v>45167</v>
      </c>
      <c r="N4850" s="10">
        <v>5.5</v>
      </c>
      <c r="O4850" s="9">
        <v>45172</v>
      </c>
      <c r="P4850">
        <v>23</v>
      </c>
      <c r="Q4850" s="11" t="s">
        <v>49</v>
      </c>
      <c r="R4850" s="7"/>
      <c r="S4850" s="7"/>
      <c r="T4850" s="7"/>
      <c r="U4850" s="7"/>
      <c r="V4850" s="10">
        <v>7.5741092456127026</v>
      </c>
      <c r="W4850" s="9">
        <v>45169</v>
      </c>
      <c r="X4850" s="10">
        <v>7.5</v>
      </c>
      <c r="Y4850" s="9">
        <v>45172</v>
      </c>
      <c r="Z4850">
        <v>23</v>
      </c>
      <c r="AA4850" s="11" t="s">
        <v>49</v>
      </c>
    </row>
    <row r="4851" spans="2:27" ht="16" x14ac:dyDescent="0.2">
      <c r="B4851" t="s">
        <v>35</v>
      </c>
      <c r="C4851">
        <v>40351340</v>
      </c>
      <c r="D4851" t="s">
        <v>389</v>
      </c>
      <c r="E4851">
        <v>1022381</v>
      </c>
      <c r="F4851" t="s">
        <v>447</v>
      </c>
      <c r="G4851" s="9">
        <v>45163</v>
      </c>
      <c r="H4851" s="7"/>
      <c r="I4851" s="7"/>
      <c r="J4851" s="7"/>
      <c r="K4851" s="7"/>
      <c r="L4851" s="10">
        <v>5.5741092456127026</v>
      </c>
      <c r="M4851" s="9">
        <v>45168</v>
      </c>
      <c r="N4851" s="10">
        <v>5.5</v>
      </c>
      <c r="O4851" s="9">
        <v>45173</v>
      </c>
      <c r="P4851">
        <v>22</v>
      </c>
      <c r="Q4851" s="11" t="s">
        <v>49</v>
      </c>
      <c r="R4851" s="7"/>
      <c r="S4851" s="7"/>
      <c r="T4851" s="7"/>
      <c r="U4851" s="7"/>
      <c r="V4851" s="10">
        <v>7.5741092456127026</v>
      </c>
      <c r="W4851" s="9">
        <v>45170</v>
      </c>
      <c r="X4851" s="10">
        <v>7.5</v>
      </c>
      <c r="Y4851" s="9">
        <v>45173</v>
      </c>
      <c r="Z4851">
        <v>22</v>
      </c>
      <c r="AA4851" s="11" t="s">
        <v>49</v>
      </c>
    </row>
    <row r="4852" spans="2:27" ht="16" x14ac:dyDescent="0.2">
      <c r="B4852" t="s">
        <v>35</v>
      </c>
      <c r="C4852">
        <v>40351340</v>
      </c>
      <c r="D4852" t="s">
        <v>389</v>
      </c>
      <c r="E4852">
        <v>1022381</v>
      </c>
      <c r="F4852" t="s">
        <v>447</v>
      </c>
      <c r="G4852" s="9">
        <v>45164</v>
      </c>
      <c r="H4852" s="7"/>
      <c r="I4852" s="7"/>
      <c r="J4852" s="7"/>
      <c r="K4852" s="7"/>
      <c r="L4852" s="10">
        <v>5.5741092456127026</v>
      </c>
      <c r="M4852" s="9">
        <v>45169</v>
      </c>
      <c r="N4852" s="10">
        <v>5.5</v>
      </c>
      <c r="O4852" s="9">
        <v>45174</v>
      </c>
      <c r="P4852">
        <v>21</v>
      </c>
      <c r="Q4852" s="11" t="s">
        <v>49</v>
      </c>
      <c r="R4852" s="7"/>
      <c r="S4852" s="7"/>
      <c r="T4852" s="7"/>
      <c r="U4852" s="7"/>
      <c r="V4852" s="10">
        <v>7.5741092456127026</v>
      </c>
      <c r="W4852" s="9">
        <v>45171</v>
      </c>
      <c r="X4852" s="10">
        <v>7.5</v>
      </c>
      <c r="Y4852" s="9">
        <v>45174</v>
      </c>
      <c r="Z4852">
        <v>21</v>
      </c>
      <c r="AA4852" s="11" t="s">
        <v>49</v>
      </c>
    </row>
    <row r="4853" spans="2:27" ht="16" x14ac:dyDescent="0.2">
      <c r="B4853" t="s">
        <v>35</v>
      </c>
      <c r="C4853">
        <v>40351306</v>
      </c>
      <c r="D4853" t="s">
        <v>389</v>
      </c>
      <c r="E4853">
        <v>1021767</v>
      </c>
      <c r="F4853" t="s">
        <v>288</v>
      </c>
      <c r="G4853" s="9">
        <v>45165</v>
      </c>
      <c r="H4853" s="7"/>
      <c r="I4853" s="7"/>
      <c r="J4853" s="7"/>
      <c r="K4853" s="7"/>
      <c r="L4853" s="10">
        <v>5.5741092456127026</v>
      </c>
      <c r="M4853" s="9">
        <v>45170</v>
      </c>
      <c r="N4853" s="10">
        <v>5.5</v>
      </c>
      <c r="O4853" s="9">
        <v>45175</v>
      </c>
      <c r="P4853">
        <v>20</v>
      </c>
      <c r="Q4853" s="11" t="s">
        <v>49</v>
      </c>
      <c r="R4853" s="7"/>
      <c r="S4853" s="7"/>
      <c r="T4853" s="7"/>
      <c r="U4853" s="7"/>
      <c r="V4853" s="10">
        <v>7.5741092456127026</v>
      </c>
      <c r="W4853" s="9">
        <v>45172</v>
      </c>
      <c r="X4853" s="10">
        <v>7.5</v>
      </c>
      <c r="Y4853" s="9">
        <v>45175</v>
      </c>
      <c r="Z4853">
        <v>20</v>
      </c>
      <c r="AA4853" s="11" t="s">
        <v>49</v>
      </c>
    </row>
    <row r="4854" spans="2:27" ht="16" x14ac:dyDescent="0.2">
      <c r="B4854" t="s">
        <v>35</v>
      </c>
      <c r="C4854">
        <v>40351294</v>
      </c>
      <c r="D4854" t="s">
        <v>389</v>
      </c>
      <c r="E4854">
        <v>1012448</v>
      </c>
      <c r="F4854" t="s">
        <v>451</v>
      </c>
      <c r="G4854" s="9">
        <v>45166</v>
      </c>
      <c r="H4854" s="7"/>
      <c r="I4854" s="7"/>
      <c r="J4854" s="7"/>
      <c r="K4854" s="7"/>
      <c r="L4854" s="10">
        <v>5.5741092456127026</v>
      </c>
      <c r="M4854" s="9">
        <v>45171</v>
      </c>
      <c r="N4854" s="10">
        <v>5.5</v>
      </c>
      <c r="O4854" s="9">
        <v>45176</v>
      </c>
      <c r="P4854">
        <v>19</v>
      </c>
      <c r="Q4854" s="11" t="s">
        <v>49</v>
      </c>
      <c r="R4854" s="7"/>
      <c r="S4854" s="7"/>
      <c r="T4854" s="7"/>
      <c r="U4854" s="7"/>
      <c r="V4854" s="10">
        <v>7.5741092456127026</v>
      </c>
      <c r="W4854" s="9">
        <v>45173</v>
      </c>
      <c r="X4854" s="10">
        <v>7.5</v>
      </c>
      <c r="Y4854" s="9">
        <v>45176</v>
      </c>
      <c r="Z4854">
        <v>19</v>
      </c>
      <c r="AA4854" s="11" t="s">
        <v>49</v>
      </c>
    </row>
    <row r="4855" spans="2:27" ht="16" x14ac:dyDescent="0.2">
      <c r="B4855" t="s">
        <v>35</v>
      </c>
      <c r="C4855">
        <v>40351272</v>
      </c>
      <c r="D4855" t="s">
        <v>389</v>
      </c>
      <c r="E4855">
        <v>1011969</v>
      </c>
      <c r="F4855" t="s">
        <v>417</v>
      </c>
      <c r="G4855" s="9">
        <v>45167</v>
      </c>
      <c r="H4855" s="7"/>
      <c r="I4855" s="7"/>
      <c r="J4855" s="7"/>
      <c r="K4855" s="7"/>
      <c r="L4855" s="10">
        <v>5.5741092456127026</v>
      </c>
      <c r="M4855" s="9">
        <v>45172</v>
      </c>
      <c r="N4855" s="10">
        <v>5.5</v>
      </c>
      <c r="O4855" s="9">
        <v>45177</v>
      </c>
      <c r="P4855">
        <v>18</v>
      </c>
      <c r="Q4855" s="11" t="s">
        <v>49</v>
      </c>
      <c r="R4855" s="7"/>
      <c r="S4855" s="7"/>
      <c r="T4855" s="7"/>
      <c r="U4855" s="7"/>
      <c r="V4855" s="10">
        <v>7.5741092456127026</v>
      </c>
      <c r="W4855" s="9">
        <v>45174</v>
      </c>
      <c r="X4855" s="10">
        <v>7.5</v>
      </c>
      <c r="Y4855" s="9">
        <v>45177</v>
      </c>
      <c r="Z4855">
        <v>18</v>
      </c>
      <c r="AA4855" s="11" t="s">
        <v>49</v>
      </c>
    </row>
    <row r="4856" spans="2:27" ht="16" x14ac:dyDescent="0.2">
      <c r="B4856" t="s">
        <v>35</v>
      </c>
      <c r="C4856">
        <v>40351214</v>
      </c>
      <c r="D4856" t="s">
        <v>386</v>
      </c>
      <c r="E4856">
        <v>1011748</v>
      </c>
      <c r="F4856" t="s">
        <v>225</v>
      </c>
      <c r="G4856" s="9">
        <v>45168</v>
      </c>
      <c r="H4856" s="7"/>
      <c r="I4856" s="7"/>
      <c r="J4856" s="7"/>
      <c r="K4856" s="7"/>
      <c r="L4856" s="10">
        <v>5.1420118343195256</v>
      </c>
      <c r="M4856" s="9">
        <v>45173</v>
      </c>
      <c r="N4856" s="10">
        <v>7.5</v>
      </c>
      <c r="O4856" s="9">
        <v>45180</v>
      </c>
      <c r="P4856">
        <v>17</v>
      </c>
      <c r="Q4856" s="11" t="s">
        <v>49</v>
      </c>
      <c r="R4856" s="7"/>
      <c r="S4856" s="7"/>
      <c r="T4856" s="7"/>
      <c r="U4856" s="7"/>
      <c r="V4856" s="10">
        <v>7.1420118343195256</v>
      </c>
      <c r="W4856" s="9">
        <v>45175</v>
      </c>
      <c r="X4856" s="10">
        <v>9.5</v>
      </c>
      <c r="Y4856" s="9">
        <v>45180</v>
      </c>
      <c r="Z4856">
        <v>17</v>
      </c>
      <c r="AA4856" s="11" t="s">
        <v>49</v>
      </c>
    </row>
    <row r="4857" spans="2:27" ht="16" x14ac:dyDescent="0.2">
      <c r="B4857" t="s">
        <v>35</v>
      </c>
      <c r="C4857">
        <v>40351213</v>
      </c>
      <c r="D4857" t="s">
        <v>386</v>
      </c>
      <c r="E4857">
        <v>1011748</v>
      </c>
      <c r="F4857" t="s">
        <v>225</v>
      </c>
      <c r="G4857" s="9">
        <v>45169</v>
      </c>
      <c r="H4857" s="7"/>
      <c r="I4857" s="7"/>
      <c r="J4857" s="7"/>
      <c r="K4857" s="7"/>
      <c r="L4857" s="10">
        <v>5.1420118343195256</v>
      </c>
      <c r="M4857" s="9">
        <v>45174</v>
      </c>
      <c r="N4857" s="10">
        <v>7.5</v>
      </c>
      <c r="O4857" s="9">
        <v>45181</v>
      </c>
      <c r="P4857">
        <v>16</v>
      </c>
      <c r="Q4857" s="11" t="s">
        <v>49</v>
      </c>
      <c r="R4857" s="7"/>
      <c r="S4857" s="7"/>
      <c r="T4857" s="7"/>
      <c r="U4857" s="7"/>
      <c r="V4857" s="10">
        <v>7.1420118343195256</v>
      </c>
      <c r="W4857" s="9">
        <v>45176</v>
      </c>
      <c r="X4857" s="10">
        <v>9.5</v>
      </c>
      <c r="Y4857" s="9">
        <v>45181</v>
      </c>
      <c r="Z4857">
        <v>16</v>
      </c>
      <c r="AA4857" s="11" t="s">
        <v>49</v>
      </c>
    </row>
    <row r="4858" spans="2:27" ht="16" x14ac:dyDescent="0.2">
      <c r="B4858" t="s">
        <v>35</v>
      </c>
      <c r="C4858">
        <v>40349469</v>
      </c>
      <c r="D4858" t="s">
        <v>386</v>
      </c>
      <c r="E4858">
        <v>1011748</v>
      </c>
      <c r="F4858" t="s">
        <v>225</v>
      </c>
      <c r="G4858" s="9">
        <v>45170</v>
      </c>
      <c r="H4858" s="7"/>
      <c r="I4858" s="7"/>
      <c r="J4858" s="7"/>
      <c r="K4858" s="7"/>
      <c r="L4858" s="10">
        <v>5.1420118343195256</v>
      </c>
      <c r="M4858" s="9">
        <v>45175</v>
      </c>
      <c r="N4858" s="10">
        <v>7.5</v>
      </c>
      <c r="O4858" s="9">
        <v>45182</v>
      </c>
      <c r="P4858">
        <v>15</v>
      </c>
      <c r="Q4858" s="11" t="s">
        <v>49</v>
      </c>
      <c r="R4858" s="7"/>
      <c r="S4858" s="7"/>
      <c r="T4858" s="7"/>
      <c r="U4858" s="7"/>
      <c r="V4858" s="10">
        <v>7.1420118343195256</v>
      </c>
      <c r="W4858" s="9">
        <v>45177</v>
      </c>
      <c r="X4858" s="10">
        <v>9.5</v>
      </c>
      <c r="Y4858" s="9">
        <v>45182</v>
      </c>
      <c r="Z4858">
        <v>15</v>
      </c>
      <c r="AA4858" s="11" t="s">
        <v>49</v>
      </c>
    </row>
    <row r="4859" spans="2:27" ht="16" x14ac:dyDescent="0.2">
      <c r="B4859" t="s">
        <v>35</v>
      </c>
      <c r="C4859">
        <v>40349468</v>
      </c>
      <c r="D4859" t="s">
        <v>386</v>
      </c>
      <c r="E4859">
        <v>1011748</v>
      </c>
      <c r="F4859" t="s">
        <v>225</v>
      </c>
      <c r="G4859" s="9">
        <v>45171</v>
      </c>
      <c r="H4859" s="7"/>
      <c r="I4859" s="7"/>
      <c r="J4859" s="7"/>
      <c r="K4859" s="7"/>
      <c r="L4859" s="10">
        <v>5.1420118343195256</v>
      </c>
      <c r="M4859" s="9">
        <v>45176</v>
      </c>
      <c r="N4859" s="10">
        <v>7.5</v>
      </c>
      <c r="O4859" s="9">
        <v>45183</v>
      </c>
      <c r="P4859">
        <v>14</v>
      </c>
      <c r="Q4859" s="11" t="s">
        <v>49</v>
      </c>
      <c r="R4859" s="7"/>
      <c r="S4859" s="7"/>
      <c r="T4859" s="7"/>
      <c r="U4859" s="7"/>
      <c r="V4859" s="10">
        <v>7.1420118343195256</v>
      </c>
      <c r="W4859" s="9">
        <v>45178</v>
      </c>
      <c r="X4859" s="10">
        <v>9.5</v>
      </c>
      <c r="Y4859" s="9">
        <v>45183</v>
      </c>
      <c r="Z4859">
        <v>14</v>
      </c>
      <c r="AA4859" s="11" t="s">
        <v>49</v>
      </c>
    </row>
    <row r="4860" spans="2:27" ht="16" x14ac:dyDescent="0.2">
      <c r="B4860" t="s">
        <v>35</v>
      </c>
      <c r="C4860">
        <v>40349467</v>
      </c>
      <c r="D4860" t="s">
        <v>386</v>
      </c>
      <c r="E4860">
        <v>1011748</v>
      </c>
      <c r="F4860" t="s">
        <v>225</v>
      </c>
      <c r="G4860" s="9">
        <v>45172</v>
      </c>
      <c r="H4860" s="7"/>
      <c r="I4860" s="7"/>
      <c r="J4860" s="7"/>
      <c r="K4860" s="7"/>
      <c r="L4860" s="10">
        <v>5.1420118343195256</v>
      </c>
      <c r="M4860" s="9">
        <v>45177</v>
      </c>
      <c r="N4860" s="10">
        <v>7.5</v>
      </c>
      <c r="O4860" s="9">
        <v>45184</v>
      </c>
      <c r="P4860">
        <v>13</v>
      </c>
      <c r="Q4860" s="11" t="s">
        <v>49</v>
      </c>
      <c r="R4860" s="7"/>
      <c r="S4860" s="7"/>
      <c r="T4860" s="7"/>
      <c r="U4860" s="7"/>
      <c r="V4860" s="10">
        <v>7.1420118343195256</v>
      </c>
      <c r="W4860" s="9">
        <v>45179</v>
      </c>
      <c r="X4860" s="10">
        <v>9.5</v>
      </c>
      <c r="Y4860" s="9">
        <v>45184</v>
      </c>
      <c r="Z4860">
        <v>13</v>
      </c>
      <c r="AA4860" s="11" t="s">
        <v>49</v>
      </c>
    </row>
    <row r="4861" spans="2:27" ht="16" x14ac:dyDescent="0.2">
      <c r="B4861" t="s">
        <v>35</v>
      </c>
      <c r="C4861">
        <v>40347110</v>
      </c>
      <c r="D4861" t="s">
        <v>423</v>
      </c>
      <c r="E4861">
        <v>1023219</v>
      </c>
      <c r="F4861" t="s">
        <v>267</v>
      </c>
      <c r="G4861" s="9">
        <v>45173</v>
      </c>
      <c r="H4861" s="7"/>
      <c r="I4861" s="7"/>
      <c r="J4861" s="7"/>
      <c r="K4861" s="7"/>
      <c r="L4861" s="10">
        <v>5.4496124031007751</v>
      </c>
      <c r="M4861" s="9">
        <v>45178</v>
      </c>
      <c r="N4861" s="10">
        <v>10</v>
      </c>
      <c r="O4861" s="9">
        <v>45188</v>
      </c>
      <c r="P4861">
        <v>10</v>
      </c>
      <c r="Q4861" s="11" t="s">
        <v>49</v>
      </c>
      <c r="R4861" s="7"/>
      <c r="S4861" s="7"/>
      <c r="T4861" s="7"/>
      <c r="U4861" s="7"/>
      <c r="V4861" s="10">
        <v>7.4496124031007751</v>
      </c>
      <c r="W4861" s="9">
        <v>45180</v>
      </c>
      <c r="X4861" s="10">
        <v>12</v>
      </c>
      <c r="Y4861" s="9">
        <v>45188</v>
      </c>
      <c r="Z4861">
        <v>10</v>
      </c>
      <c r="AA4861" s="11" t="s">
        <v>49</v>
      </c>
    </row>
    <row r="4862" spans="2:27" ht="16" x14ac:dyDescent="0.2">
      <c r="B4862" t="s">
        <v>35</v>
      </c>
      <c r="C4862">
        <v>40347110</v>
      </c>
      <c r="D4862" t="s">
        <v>423</v>
      </c>
      <c r="E4862">
        <v>1023219</v>
      </c>
      <c r="F4862" t="s">
        <v>267</v>
      </c>
      <c r="G4862" s="9">
        <v>45174</v>
      </c>
      <c r="H4862" s="7"/>
      <c r="I4862" s="7"/>
      <c r="J4862" s="7"/>
      <c r="K4862" s="7"/>
      <c r="L4862" s="10">
        <v>5.4496124031007751</v>
      </c>
      <c r="M4862" s="9">
        <v>45179</v>
      </c>
      <c r="N4862" s="10">
        <v>10</v>
      </c>
      <c r="O4862" s="9">
        <v>45189</v>
      </c>
      <c r="P4862">
        <v>9</v>
      </c>
      <c r="Q4862" s="11" t="s">
        <v>49</v>
      </c>
      <c r="R4862" s="7"/>
      <c r="S4862" s="7"/>
      <c r="T4862" s="7"/>
      <c r="U4862" s="7"/>
      <c r="V4862" s="10">
        <v>7.4496124031007751</v>
      </c>
      <c r="W4862" s="9">
        <v>45181</v>
      </c>
      <c r="X4862" s="10">
        <v>12</v>
      </c>
      <c r="Y4862" s="9">
        <v>45189</v>
      </c>
      <c r="Z4862">
        <v>9</v>
      </c>
      <c r="AA4862" s="11" t="s">
        <v>49</v>
      </c>
    </row>
    <row r="4863" spans="2:27" ht="16" x14ac:dyDescent="0.2">
      <c r="B4863" t="s">
        <v>35</v>
      </c>
      <c r="C4863">
        <v>40346386</v>
      </c>
      <c r="D4863" t="s">
        <v>389</v>
      </c>
      <c r="E4863">
        <v>1022748</v>
      </c>
      <c r="F4863" t="s">
        <v>444</v>
      </c>
      <c r="G4863" s="9">
        <v>45175</v>
      </c>
      <c r="H4863" s="7"/>
      <c r="I4863" s="7"/>
      <c r="J4863" s="7"/>
      <c r="K4863" s="7"/>
      <c r="L4863" s="10">
        <v>5.5741092456127026</v>
      </c>
      <c r="M4863" s="9">
        <v>45180</v>
      </c>
      <c r="N4863" s="10">
        <v>5.5</v>
      </c>
      <c r="O4863" s="9">
        <v>45185</v>
      </c>
      <c r="P4863">
        <v>11</v>
      </c>
      <c r="Q4863" s="11" t="s">
        <v>49</v>
      </c>
      <c r="R4863" s="7"/>
      <c r="S4863" s="7"/>
      <c r="T4863" s="7"/>
      <c r="U4863" s="7"/>
      <c r="V4863" s="10">
        <v>7.5741092456127026</v>
      </c>
      <c r="W4863" s="9">
        <v>45182</v>
      </c>
      <c r="X4863" s="10">
        <v>7.5</v>
      </c>
      <c r="Y4863" s="9">
        <v>45185</v>
      </c>
      <c r="Z4863">
        <v>11</v>
      </c>
      <c r="AA4863" s="11" t="s">
        <v>49</v>
      </c>
    </row>
    <row r="4864" spans="2:27" ht="16" x14ac:dyDescent="0.2">
      <c r="B4864" t="s">
        <v>35</v>
      </c>
      <c r="C4864">
        <v>40346376</v>
      </c>
      <c r="D4864" t="s">
        <v>389</v>
      </c>
      <c r="E4864">
        <v>1022753</v>
      </c>
      <c r="F4864" t="s">
        <v>320</v>
      </c>
      <c r="G4864" s="9">
        <v>45176</v>
      </c>
      <c r="H4864" s="7"/>
      <c r="I4864" s="7"/>
      <c r="J4864" s="7"/>
      <c r="K4864" s="7"/>
      <c r="L4864" s="10">
        <v>5.5741092456127026</v>
      </c>
      <c r="M4864" s="9">
        <v>45181</v>
      </c>
      <c r="N4864" s="10">
        <v>5.5</v>
      </c>
      <c r="O4864" s="9">
        <v>45186</v>
      </c>
      <c r="P4864">
        <v>11</v>
      </c>
      <c r="Q4864" s="11" t="s">
        <v>49</v>
      </c>
      <c r="R4864" s="7"/>
      <c r="S4864" s="7"/>
      <c r="T4864" s="7"/>
      <c r="U4864" s="7"/>
      <c r="V4864" s="10">
        <v>7.5741092456127026</v>
      </c>
      <c r="W4864" s="9">
        <v>45183</v>
      </c>
      <c r="X4864" s="10">
        <v>7.5</v>
      </c>
      <c r="Y4864" s="9">
        <v>45186</v>
      </c>
      <c r="Z4864">
        <v>11</v>
      </c>
      <c r="AA4864" s="11" t="s">
        <v>49</v>
      </c>
    </row>
    <row r="4865" spans="2:27" ht="16" x14ac:dyDescent="0.2">
      <c r="B4865" t="s">
        <v>35</v>
      </c>
      <c r="C4865">
        <v>40346342</v>
      </c>
      <c r="D4865" t="s">
        <v>389</v>
      </c>
      <c r="E4865">
        <v>1021767</v>
      </c>
      <c r="F4865" t="s">
        <v>288</v>
      </c>
      <c r="G4865" s="9">
        <v>45177</v>
      </c>
      <c r="H4865" s="7"/>
      <c r="I4865" s="7"/>
      <c r="J4865" s="7"/>
      <c r="K4865" s="7"/>
      <c r="L4865" s="10">
        <v>5.5741092456127026</v>
      </c>
      <c r="M4865" s="9">
        <v>45182</v>
      </c>
      <c r="N4865" s="10">
        <v>5.5</v>
      </c>
      <c r="O4865" s="9">
        <v>45187</v>
      </c>
      <c r="P4865">
        <v>10</v>
      </c>
      <c r="Q4865" s="11" t="s">
        <v>49</v>
      </c>
      <c r="R4865" s="7"/>
      <c r="S4865" s="7"/>
      <c r="T4865" s="7"/>
      <c r="U4865" s="7"/>
      <c r="V4865" s="10">
        <v>7.5741092456127026</v>
      </c>
      <c r="W4865" s="9">
        <v>45184</v>
      </c>
      <c r="X4865" s="10">
        <v>7.5</v>
      </c>
      <c r="Y4865" s="9">
        <v>45187</v>
      </c>
      <c r="Z4865">
        <v>10</v>
      </c>
      <c r="AA4865" s="11" t="s">
        <v>49</v>
      </c>
    </row>
    <row r="4866" spans="2:27" ht="16" x14ac:dyDescent="0.2">
      <c r="B4866" t="s">
        <v>35</v>
      </c>
      <c r="C4866">
        <v>40346323</v>
      </c>
      <c r="D4866" t="s">
        <v>389</v>
      </c>
      <c r="E4866">
        <v>1012504</v>
      </c>
      <c r="F4866" t="s">
        <v>563</v>
      </c>
      <c r="G4866" s="9">
        <v>45178</v>
      </c>
      <c r="H4866" s="7"/>
      <c r="I4866" s="7"/>
      <c r="J4866" s="7"/>
      <c r="K4866" s="7"/>
      <c r="L4866" s="10">
        <v>5.5741092456127026</v>
      </c>
      <c r="M4866" s="9">
        <v>45183</v>
      </c>
      <c r="N4866" s="10">
        <v>5.5</v>
      </c>
      <c r="O4866" s="9">
        <v>45188</v>
      </c>
      <c r="P4866">
        <v>9</v>
      </c>
      <c r="Q4866" s="11" t="s">
        <v>49</v>
      </c>
      <c r="R4866" s="7"/>
      <c r="S4866" s="7"/>
      <c r="T4866" s="7"/>
      <c r="U4866" s="7"/>
      <c r="V4866" s="10">
        <v>7.5741092456127026</v>
      </c>
      <c r="W4866" s="9">
        <v>45185</v>
      </c>
      <c r="X4866" s="10">
        <v>7.5</v>
      </c>
      <c r="Y4866" s="9">
        <v>45188</v>
      </c>
      <c r="Z4866">
        <v>9</v>
      </c>
      <c r="AA4866" s="11" t="s">
        <v>49</v>
      </c>
    </row>
    <row r="4867" spans="2:27" ht="16" x14ac:dyDescent="0.2">
      <c r="B4867" t="s">
        <v>35</v>
      </c>
      <c r="C4867">
        <v>40346321</v>
      </c>
      <c r="D4867" t="s">
        <v>389</v>
      </c>
      <c r="E4867">
        <v>1012681</v>
      </c>
      <c r="F4867" t="s">
        <v>449</v>
      </c>
      <c r="G4867" s="9">
        <v>45179</v>
      </c>
      <c r="H4867" s="7"/>
      <c r="I4867" s="7"/>
      <c r="J4867" s="7"/>
      <c r="K4867" s="7"/>
      <c r="L4867" s="10">
        <v>5.5741092456127026</v>
      </c>
      <c r="M4867" s="9">
        <v>45184</v>
      </c>
      <c r="N4867" s="10">
        <v>5.5</v>
      </c>
      <c r="O4867" s="9">
        <v>45189</v>
      </c>
      <c r="P4867">
        <v>8</v>
      </c>
      <c r="Q4867" s="11" t="s">
        <v>49</v>
      </c>
      <c r="R4867" s="7"/>
      <c r="S4867" s="7"/>
      <c r="T4867" s="7"/>
      <c r="U4867" s="7"/>
      <c r="V4867" s="10">
        <v>7.5741092456127026</v>
      </c>
      <c r="W4867" s="9">
        <v>45186</v>
      </c>
      <c r="X4867" s="10">
        <v>7.5</v>
      </c>
      <c r="Y4867" s="9">
        <v>45189</v>
      </c>
      <c r="Z4867">
        <v>8</v>
      </c>
      <c r="AA4867" s="11" t="s">
        <v>49</v>
      </c>
    </row>
    <row r="4868" spans="2:27" ht="16" x14ac:dyDescent="0.2">
      <c r="B4868" t="s">
        <v>35</v>
      </c>
      <c r="C4868">
        <v>40346168</v>
      </c>
      <c r="D4868" t="s">
        <v>409</v>
      </c>
      <c r="E4868">
        <v>1012165</v>
      </c>
      <c r="F4868" t="s">
        <v>61</v>
      </c>
      <c r="G4868" s="9">
        <v>45180</v>
      </c>
      <c r="H4868" s="7"/>
      <c r="I4868" s="7"/>
      <c r="J4868" s="7"/>
      <c r="K4868" s="7"/>
      <c r="L4868" s="10">
        <v>7.5</v>
      </c>
      <c r="M4868" s="9">
        <v>45187</v>
      </c>
      <c r="N4868" s="10">
        <v>9.5</v>
      </c>
      <c r="O4868" s="9">
        <v>45196</v>
      </c>
      <c r="P4868">
        <v>3</v>
      </c>
      <c r="Q4868" s="11" t="s">
        <v>49</v>
      </c>
      <c r="R4868" s="7"/>
      <c r="S4868" s="7"/>
      <c r="T4868" s="7"/>
      <c r="U4868" s="7"/>
      <c r="V4868" s="10">
        <v>9.5</v>
      </c>
      <c r="W4868" s="9">
        <v>45189</v>
      </c>
      <c r="X4868" s="10">
        <v>11.5</v>
      </c>
      <c r="Y4868" s="9">
        <v>45196</v>
      </c>
      <c r="Z4868">
        <v>3</v>
      </c>
      <c r="AA4868" s="11" t="s">
        <v>49</v>
      </c>
    </row>
    <row r="4869" spans="2:27" ht="16" x14ac:dyDescent="0.2">
      <c r="B4869" t="s">
        <v>35</v>
      </c>
      <c r="C4869">
        <v>40346145</v>
      </c>
      <c r="D4869" t="s">
        <v>409</v>
      </c>
      <c r="E4869">
        <v>1012167</v>
      </c>
      <c r="F4869" t="s">
        <v>70</v>
      </c>
      <c r="G4869" s="9">
        <v>45181</v>
      </c>
      <c r="H4869" s="7"/>
      <c r="I4869" s="7"/>
      <c r="J4869" s="7"/>
      <c r="K4869" s="7"/>
      <c r="L4869" s="10">
        <v>7.5</v>
      </c>
      <c r="M4869" s="9">
        <v>45188</v>
      </c>
      <c r="N4869" s="10">
        <v>9.5</v>
      </c>
      <c r="O4869" s="9">
        <v>45197</v>
      </c>
      <c r="P4869">
        <v>2</v>
      </c>
      <c r="Q4869" s="11" t="s">
        <v>687</v>
      </c>
      <c r="R4869" s="7"/>
      <c r="S4869" s="7"/>
      <c r="T4869" s="7"/>
      <c r="U4869" s="7"/>
      <c r="V4869" s="10">
        <v>9.5</v>
      </c>
      <c r="W4869" s="9">
        <v>45190</v>
      </c>
      <c r="X4869" s="10">
        <v>11.5</v>
      </c>
      <c r="Y4869" s="9">
        <v>45197</v>
      </c>
      <c r="Z4869">
        <v>2</v>
      </c>
      <c r="AA4869" s="11" t="s">
        <v>687</v>
      </c>
    </row>
    <row r="4870" spans="2:27" x14ac:dyDescent="0.2">
      <c r="B4870" t="s">
        <v>394</v>
      </c>
      <c r="C4870">
        <v>40345501</v>
      </c>
      <c r="D4870" t="s">
        <v>485</v>
      </c>
      <c r="E4870">
        <v>1022709</v>
      </c>
      <c r="F4870" t="s">
        <v>493</v>
      </c>
      <c r="G4870" s="9">
        <v>45182</v>
      </c>
      <c r="H4870" s="7"/>
      <c r="I4870" s="7"/>
      <c r="J4870" s="7"/>
      <c r="K4870" s="7"/>
      <c r="L4870" s="10"/>
      <c r="N4870" s="10"/>
      <c r="Q4870" s="11"/>
      <c r="R4870" s="7"/>
      <c r="S4870" s="7"/>
      <c r="T4870" s="7"/>
      <c r="U4870" s="7"/>
      <c r="V4870" s="10"/>
      <c r="X4870" s="10"/>
      <c r="AA4870" s="11"/>
    </row>
    <row r="4871" spans="2:27" x14ac:dyDescent="0.2">
      <c r="B4871" t="s">
        <v>394</v>
      </c>
      <c r="C4871">
        <v>40344419</v>
      </c>
      <c r="D4871" t="s">
        <v>485</v>
      </c>
      <c r="E4871">
        <v>1022709</v>
      </c>
      <c r="F4871" t="s">
        <v>493</v>
      </c>
      <c r="G4871" s="9">
        <v>45183</v>
      </c>
      <c r="H4871" s="7"/>
      <c r="I4871" s="7"/>
      <c r="J4871" s="7"/>
      <c r="K4871" s="7"/>
      <c r="L4871" s="10"/>
      <c r="N4871" s="10"/>
      <c r="Q4871" s="11"/>
      <c r="R4871" s="7"/>
      <c r="S4871" s="7"/>
      <c r="T4871" s="7"/>
      <c r="U4871" s="7"/>
      <c r="V4871" s="10"/>
      <c r="X4871" s="10"/>
      <c r="AA4871" s="11"/>
    </row>
    <row r="4872" spans="2:27" x14ac:dyDescent="0.2">
      <c r="B4872" t="s">
        <v>394</v>
      </c>
      <c r="C4872">
        <v>40344414</v>
      </c>
      <c r="D4872" t="s">
        <v>485</v>
      </c>
      <c r="E4872">
        <v>1022709</v>
      </c>
      <c r="F4872" t="s">
        <v>493</v>
      </c>
      <c r="G4872" s="9">
        <v>45184</v>
      </c>
      <c r="H4872" s="7"/>
      <c r="I4872" s="7"/>
      <c r="J4872" s="7"/>
      <c r="K4872" s="7"/>
      <c r="L4872" s="10"/>
      <c r="N4872" s="10"/>
      <c r="Q4872" s="11"/>
      <c r="R4872" s="7"/>
      <c r="S4872" s="7"/>
      <c r="T4872" s="7"/>
      <c r="U4872" s="7"/>
      <c r="V4872" s="10"/>
      <c r="X4872" s="10"/>
      <c r="AA4872" s="11"/>
    </row>
    <row r="4873" spans="2:27" ht="16" x14ac:dyDescent="0.2">
      <c r="B4873" t="s">
        <v>35</v>
      </c>
      <c r="C4873">
        <v>40337904</v>
      </c>
      <c r="D4873" t="s">
        <v>389</v>
      </c>
      <c r="E4873">
        <v>1022640</v>
      </c>
      <c r="F4873" t="s">
        <v>318</v>
      </c>
      <c r="G4873" s="9">
        <v>45185</v>
      </c>
      <c r="H4873" s="7"/>
      <c r="I4873" s="7"/>
      <c r="J4873" s="7"/>
      <c r="K4873" s="7"/>
      <c r="L4873" s="10">
        <v>5.5741092456127026</v>
      </c>
      <c r="M4873" s="9">
        <v>45190</v>
      </c>
      <c r="N4873" s="10">
        <v>5.5</v>
      </c>
      <c r="O4873" s="9">
        <v>45195</v>
      </c>
      <c r="P4873">
        <v>3</v>
      </c>
      <c r="Q4873" s="11" t="s">
        <v>49</v>
      </c>
      <c r="R4873" s="7"/>
      <c r="S4873" s="7"/>
      <c r="T4873" s="7"/>
      <c r="U4873" s="7"/>
      <c r="V4873" s="10">
        <v>7.5741092456127026</v>
      </c>
      <c r="W4873" s="9">
        <v>45192</v>
      </c>
      <c r="X4873" s="10">
        <v>7.5</v>
      </c>
      <c r="Y4873" s="9">
        <v>45195</v>
      </c>
      <c r="Z4873">
        <v>3</v>
      </c>
      <c r="AA4873" s="11" t="s">
        <v>49</v>
      </c>
    </row>
    <row r="4874" spans="2:27" x14ac:dyDescent="0.2">
      <c r="B4874" t="s">
        <v>394</v>
      </c>
      <c r="C4874">
        <v>40305800</v>
      </c>
      <c r="D4874" t="s">
        <v>396</v>
      </c>
      <c r="E4874">
        <v>1020905</v>
      </c>
      <c r="F4874" t="s">
        <v>631</v>
      </c>
      <c r="G4874" s="9">
        <v>45186</v>
      </c>
      <c r="H4874" s="7"/>
      <c r="I4874" s="7"/>
      <c r="J4874" s="7"/>
      <c r="K4874" s="7"/>
      <c r="L4874" s="10"/>
      <c r="N4874" s="10"/>
      <c r="Q4874" s="11"/>
      <c r="R4874" s="7"/>
      <c r="S4874" s="7"/>
      <c r="T4874" s="7"/>
      <c r="U4874" s="7"/>
      <c r="V4874" s="10"/>
      <c r="X4874" s="10"/>
      <c r="AA4874" s="11"/>
    </row>
    <row r="4875" spans="2:27" ht="16" x14ac:dyDescent="0.2">
      <c r="B4875" t="s">
        <v>35</v>
      </c>
      <c r="C4875">
        <v>40353611</v>
      </c>
      <c r="D4875" t="s">
        <v>391</v>
      </c>
      <c r="E4875">
        <v>1021936</v>
      </c>
      <c r="F4875" t="s">
        <v>411</v>
      </c>
      <c r="G4875" s="9">
        <v>45187</v>
      </c>
      <c r="H4875" s="7"/>
      <c r="I4875" s="7"/>
      <c r="J4875" s="7"/>
      <c r="K4875" s="7"/>
      <c r="L4875" s="10">
        <v>4.830303030303031</v>
      </c>
      <c r="M4875" s="9">
        <v>45191</v>
      </c>
      <c r="N4875" s="10">
        <v>15</v>
      </c>
      <c r="O4875" s="9">
        <v>45206</v>
      </c>
      <c r="P4875">
        <v>19</v>
      </c>
      <c r="Q4875" s="11" t="s">
        <v>49</v>
      </c>
      <c r="R4875" s="7"/>
      <c r="S4875" s="7"/>
      <c r="T4875" s="7"/>
      <c r="U4875" s="7"/>
      <c r="V4875" s="10">
        <v>6.830303030303031</v>
      </c>
      <c r="W4875" s="9">
        <v>45193</v>
      </c>
      <c r="X4875" s="10">
        <v>17</v>
      </c>
      <c r="Y4875" s="9">
        <v>45206</v>
      </c>
      <c r="Z4875">
        <v>19</v>
      </c>
      <c r="AA4875" s="11" t="s">
        <v>49</v>
      </c>
    </row>
    <row r="4876" spans="2:27" ht="16" x14ac:dyDescent="0.2">
      <c r="B4876" t="s">
        <v>35</v>
      </c>
      <c r="C4876">
        <v>40353610</v>
      </c>
      <c r="D4876" t="s">
        <v>391</v>
      </c>
      <c r="E4876">
        <v>1021936</v>
      </c>
      <c r="F4876" t="s">
        <v>411</v>
      </c>
      <c r="G4876" s="9">
        <v>45188</v>
      </c>
      <c r="H4876" s="7"/>
      <c r="I4876" s="7"/>
      <c r="J4876" s="7"/>
      <c r="K4876" s="7"/>
      <c r="L4876" s="10">
        <v>4.830303030303031</v>
      </c>
      <c r="M4876" s="9">
        <v>45192</v>
      </c>
      <c r="N4876" s="10">
        <v>15</v>
      </c>
      <c r="O4876" s="9">
        <v>45207</v>
      </c>
      <c r="P4876">
        <v>19</v>
      </c>
      <c r="Q4876" s="11" t="s">
        <v>49</v>
      </c>
      <c r="R4876" s="7"/>
      <c r="S4876" s="7"/>
      <c r="T4876" s="7"/>
      <c r="U4876" s="7"/>
      <c r="V4876" s="10">
        <v>6.830303030303031</v>
      </c>
      <c r="W4876" s="9">
        <v>45194</v>
      </c>
      <c r="X4876" s="10">
        <v>17</v>
      </c>
      <c r="Y4876" s="9">
        <v>45207</v>
      </c>
      <c r="Z4876">
        <v>19</v>
      </c>
      <c r="AA4876" s="11" t="s">
        <v>49</v>
      </c>
    </row>
    <row r="4877" spans="2:27" x14ac:dyDescent="0.2">
      <c r="B4877" t="s">
        <v>394</v>
      </c>
      <c r="C4877">
        <v>40353066</v>
      </c>
      <c r="D4877" t="s">
        <v>485</v>
      </c>
      <c r="E4877">
        <v>1021976</v>
      </c>
      <c r="F4877" t="s">
        <v>512</v>
      </c>
      <c r="G4877" s="9">
        <v>45189</v>
      </c>
      <c r="H4877" s="7"/>
      <c r="I4877" s="7"/>
      <c r="J4877" s="7"/>
      <c r="K4877" s="7"/>
      <c r="L4877" s="10"/>
      <c r="N4877" s="10"/>
      <c r="Q4877" s="11"/>
      <c r="R4877" s="7"/>
      <c r="S4877" s="7"/>
      <c r="T4877" s="7"/>
      <c r="U4877" s="7"/>
      <c r="V4877" s="10"/>
      <c r="X4877" s="10"/>
      <c r="AA4877" s="11"/>
    </row>
    <row r="4878" spans="2:27" x14ac:dyDescent="0.2">
      <c r="B4878" t="s">
        <v>394</v>
      </c>
      <c r="C4878">
        <v>40354600</v>
      </c>
      <c r="D4878" t="s">
        <v>485</v>
      </c>
      <c r="E4878">
        <v>1011558</v>
      </c>
      <c r="F4878" t="s">
        <v>603</v>
      </c>
      <c r="G4878" s="9">
        <v>45190</v>
      </c>
      <c r="H4878" s="7"/>
      <c r="I4878" s="7"/>
      <c r="J4878" s="7"/>
      <c r="K4878" s="7"/>
      <c r="L4878" s="10"/>
      <c r="N4878" s="10"/>
      <c r="Q4878" s="11"/>
      <c r="R4878" s="7"/>
      <c r="S4878" s="7"/>
      <c r="T4878" s="7"/>
      <c r="U4878" s="7"/>
      <c r="V4878" s="10"/>
      <c r="X4878" s="10"/>
      <c r="AA4878" s="11"/>
    </row>
    <row r="4879" spans="2:27" x14ac:dyDescent="0.2">
      <c r="B4879" t="s">
        <v>394</v>
      </c>
      <c r="C4879">
        <v>40354485</v>
      </c>
      <c r="D4879" t="s">
        <v>485</v>
      </c>
      <c r="E4879">
        <v>1011558</v>
      </c>
      <c r="F4879" t="s">
        <v>603</v>
      </c>
      <c r="G4879" s="9">
        <v>45191</v>
      </c>
      <c r="H4879" s="7"/>
      <c r="I4879" s="7"/>
      <c r="J4879" s="7"/>
      <c r="K4879" s="7"/>
      <c r="L4879" s="10"/>
      <c r="N4879" s="10"/>
      <c r="Q4879" s="11"/>
      <c r="R4879" s="7"/>
      <c r="S4879" s="7"/>
      <c r="T4879" s="7"/>
      <c r="U4879" s="7"/>
      <c r="V4879" s="10"/>
      <c r="X4879" s="10"/>
      <c r="AA4879" s="11"/>
    </row>
    <row r="4880" spans="2:27" x14ac:dyDescent="0.2">
      <c r="B4880" t="s">
        <v>394</v>
      </c>
      <c r="C4880">
        <v>40354484</v>
      </c>
      <c r="D4880" t="s">
        <v>485</v>
      </c>
      <c r="E4880">
        <v>1011558</v>
      </c>
      <c r="F4880" t="s">
        <v>603</v>
      </c>
      <c r="G4880" s="9">
        <v>45192</v>
      </c>
      <c r="H4880" s="7"/>
      <c r="I4880" s="7"/>
      <c r="J4880" s="7"/>
      <c r="K4880" s="7"/>
      <c r="L4880" s="10"/>
      <c r="N4880" s="10"/>
      <c r="Q4880" s="11"/>
      <c r="R4880" s="7"/>
      <c r="S4880" s="7"/>
      <c r="T4880" s="7"/>
      <c r="U4880" s="7"/>
      <c r="V4880" s="10"/>
      <c r="X4880" s="10"/>
      <c r="AA4880" s="11"/>
    </row>
    <row r="4881" spans="2:27" x14ac:dyDescent="0.2">
      <c r="B4881" t="s">
        <v>394</v>
      </c>
      <c r="C4881">
        <v>40354483</v>
      </c>
      <c r="D4881" t="s">
        <v>485</v>
      </c>
      <c r="E4881">
        <v>1011558</v>
      </c>
      <c r="F4881" t="s">
        <v>603</v>
      </c>
      <c r="G4881" s="9">
        <v>45193</v>
      </c>
      <c r="H4881" s="7"/>
      <c r="I4881" s="7"/>
      <c r="J4881" s="7"/>
      <c r="K4881" s="7"/>
      <c r="L4881" s="10"/>
      <c r="N4881" s="10"/>
      <c r="Q4881" s="11"/>
      <c r="R4881" s="7"/>
      <c r="S4881" s="7"/>
      <c r="T4881" s="7"/>
      <c r="U4881" s="7"/>
      <c r="V4881" s="10"/>
      <c r="X4881" s="10"/>
      <c r="AA4881" s="11"/>
    </row>
    <row r="4882" spans="2:27" x14ac:dyDescent="0.2">
      <c r="B4882" t="s">
        <v>394</v>
      </c>
      <c r="C4882">
        <v>40354482</v>
      </c>
      <c r="D4882" t="s">
        <v>485</v>
      </c>
      <c r="E4882">
        <v>1011558</v>
      </c>
      <c r="F4882" t="s">
        <v>603</v>
      </c>
      <c r="G4882" s="9">
        <v>45194</v>
      </c>
      <c r="H4882" s="7"/>
      <c r="I4882" s="7"/>
      <c r="J4882" s="7"/>
      <c r="K4882" s="7"/>
      <c r="L4882" s="10"/>
      <c r="N4882" s="10"/>
      <c r="Q4882" s="11"/>
      <c r="R4882" s="7"/>
      <c r="S4882" s="7"/>
      <c r="T4882" s="7"/>
      <c r="U4882" s="7"/>
      <c r="V4882" s="10"/>
      <c r="X4882" s="10"/>
      <c r="AA4882" s="11"/>
    </row>
    <row r="4883" spans="2:27" x14ac:dyDescent="0.2">
      <c r="B4883" t="s">
        <v>394</v>
      </c>
      <c r="C4883">
        <v>40354059</v>
      </c>
      <c r="D4883" t="s">
        <v>485</v>
      </c>
      <c r="E4883">
        <v>1020869</v>
      </c>
      <c r="F4883" t="s">
        <v>610</v>
      </c>
      <c r="G4883" s="9">
        <v>45195</v>
      </c>
      <c r="H4883" s="7"/>
      <c r="I4883" s="7"/>
      <c r="J4883" s="7"/>
      <c r="K4883" s="7"/>
      <c r="L4883" s="10"/>
      <c r="N4883" s="10"/>
      <c r="Q4883" s="11"/>
      <c r="R4883" s="7"/>
      <c r="S4883" s="7"/>
      <c r="T4883" s="7"/>
      <c r="U4883" s="7"/>
      <c r="V4883" s="10"/>
      <c r="X4883" s="10"/>
      <c r="AA4883" s="11"/>
    </row>
    <row r="4884" spans="2:27" x14ac:dyDescent="0.2">
      <c r="B4884" t="s">
        <v>394</v>
      </c>
      <c r="C4884">
        <v>40352791</v>
      </c>
      <c r="D4884" t="s">
        <v>396</v>
      </c>
      <c r="E4884">
        <v>1022885</v>
      </c>
      <c r="F4884" t="s">
        <v>401</v>
      </c>
      <c r="G4884" s="9">
        <v>45196</v>
      </c>
      <c r="H4884" s="7"/>
      <c r="I4884" s="7"/>
      <c r="J4884" s="7"/>
      <c r="K4884" s="7"/>
      <c r="L4884" s="10"/>
      <c r="N4884" s="10"/>
      <c r="Q4884" s="11"/>
      <c r="R4884" s="7"/>
      <c r="S4884" s="7"/>
      <c r="T4884" s="7"/>
      <c r="U4884" s="7"/>
      <c r="V4884" s="10"/>
      <c r="X4884" s="10"/>
      <c r="AA4884" s="11"/>
    </row>
    <row r="4885" spans="2:27" x14ac:dyDescent="0.2">
      <c r="B4885" t="s">
        <v>394</v>
      </c>
      <c r="C4885">
        <v>40352060</v>
      </c>
      <c r="D4885" t="s">
        <v>396</v>
      </c>
      <c r="E4885">
        <v>1023038</v>
      </c>
      <c r="F4885" t="s">
        <v>397</v>
      </c>
      <c r="G4885" s="9">
        <v>45197</v>
      </c>
      <c r="H4885" s="7"/>
      <c r="I4885" s="7"/>
      <c r="J4885" s="7"/>
      <c r="K4885" s="7"/>
      <c r="L4885" s="10"/>
      <c r="N4885" s="10"/>
      <c r="Q4885" s="11"/>
      <c r="R4885" s="7"/>
      <c r="S4885" s="7"/>
      <c r="T4885" s="7"/>
      <c r="U4885" s="7"/>
      <c r="V4885" s="10"/>
      <c r="X4885" s="10"/>
      <c r="AA4885" s="11"/>
    </row>
    <row r="4886" spans="2:27" ht="16" x14ac:dyDescent="0.2">
      <c r="B4886" t="s">
        <v>35</v>
      </c>
      <c r="C4886">
        <v>40351993</v>
      </c>
      <c r="D4886" t="s">
        <v>423</v>
      </c>
      <c r="E4886">
        <v>1021272</v>
      </c>
      <c r="F4886" t="s">
        <v>263</v>
      </c>
      <c r="G4886" s="9">
        <v>45198</v>
      </c>
      <c r="H4886" s="7"/>
      <c r="I4886" s="7"/>
      <c r="J4886" s="7"/>
      <c r="K4886" s="7"/>
      <c r="L4886" s="10">
        <v>5.4496124031007751</v>
      </c>
      <c r="M4886" s="9">
        <v>45203</v>
      </c>
      <c r="N4886" s="10">
        <v>10</v>
      </c>
      <c r="O4886" s="9">
        <v>45213</v>
      </c>
      <c r="P4886">
        <v>14</v>
      </c>
      <c r="Q4886" s="11" t="s">
        <v>49</v>
      </c>
      <c r="R4886" s="7"/>
      <c r="S4886" s="7"/>
      <c r="T4886" s="7"/>
      <c r="U4886" s="7"/>
      <c r="V4886" s="10">
        <v>7.4496124031007751</v>
      </c>
      <c r="W4886" s="9">
        <v>45205</v>
      </c>
      <c r="X4886" s="10">
        <v>12</v>
      </c>
      <c r="Y4886" s="9">
        <v>45213</v>
      </c>
      <c r="Z4886">
        <v>14</v>
      </c>
      <c r="AA4886" s="11" t="s">
        <v>49</v>
      </c>
    </row>
    <row r="4887" spans="2:27" ht="16" x14ac:dyDescent="0.2">
      <c r="B4887" t="s">
        <v>35</v>
      </c>
      <c r="C4887">
        <v>40351993</v>
      </c>
      <c r="D4887" t="s">
        <v>423</v>
      </c>
      <c r="E4887">
        <v>1021272</v>
      </c>
      <c r="F4887" t="s">
        <v>263</v>
      </c>
      <c r="G4887" s="9">
        <v>45199</v>
      </c>
      <c r="H4887" s="7"/>
      <c r="I4887" s="7"/>
      <c r="J4887" s="7"/>
      <c r="K4887" s="7"/>
      <c r="L4887" s="10">
        <v>5.4496124031007751</v>
      </c>
      <c r="M4887" s="9">
        <v>45204</v>
      </c>
      <c r="N4887" s="10">
        <v>10</v>
      </c>
      <c r="O4887" s="9">
        <v>45214</v>
      </c>
      <c r="P4887">
        <v>14</v>
      </c>
      <c r="Q4887" s="11" t="s">
        <v>49</v>
      </c>
      <c r="R4887" s="7"/>
      <c r="S4887" s="7"/>
      <c r="T4887" s="7"/>
      <c r="U4887" s="7"/>
      <c r="V4887" s="10">
        <v>7.4496124031007751</v>
      </c>
      <c r="W4887" s="9">
        <v>45206</v>
      </c>
      <c r="X4887" s="10">
        <v>12</v>
      </c>
      <c r="Y4887" s="9">
        <v>45214</v>
      </c>
      <c r="Z4887">
        <v>14</v>
      </c>
      <c r="AA4887" s="11" t="s">
        <v>49</v>
      </c>
    </row>
    <row r="4888" spans="2:27" ht="16" x14ac:dyDescent="0.2">
      <c r="B4888" t="s">
        <v>35</v>
      </c>
      <c r="C4888">
        <v>40351973</v>
      </c>
      <c r="D4888" t="s">
        <v>423</v>
      </c>
      <c r="E4888">
        <v>1012278</v>
      </c>
      <c r="F4888" t="s">
        <v>230</v>
      </c>
      <c r="G4888" s="9">
        <v>45200</v>
      </c>
      <c r="H4888" s="7"/>
      <c r="I4888" s="7"/>
      <c r="J4888" s="7"/>
      <c r="K4888" s="7"/>
      <c r="L4888" s="10">
        <v>5.4496124031007751</v>
      </c>
      <c r="M4888" s="9">
        <v>45205</v>
      </c>
      <c r="N4888" s="10">
        <v>10</v>
      </c>
      <c r="O4888" s="9">
        <v>45215</v>
      </c>
      <c r="P4888">
        <v>13</v>
      </c>
      <c r="Q4888" s="11" t="s">
        <v>49</v>
      </c>
      <c r="R4888" s="7"/>
      <c r="S4888" s="7"/>
      <c r="T4888" s="7"/>
      <c r="U4888" s="7"/>
      <c r="V4888" s="10">
        <v>7.4496124031007751</v>
      </c>
      <c r="W4888" s="9">
        <v>45207</v>
      </c>
      <c r="X4888" s="10">
        <v>12</v>
      </c>
      <c r="Y4888" s="9">
        <v>45215</v>
      </c>
      <c r="Z4888">
        <v>13</v>
      </c>
      <c r="AA4888" s="11" t="s">
        <v>49</v>
      </c>
    </row>
    <row r="4889" spans="2:27" ht="16" x14ac:dyDescent="0.2">
      <c r="B4889" t="s">
        <v>35</v>
      </c>
      <c r="C4889">
        <v>40351964</v>
      </c>
      <c r="D4889" t="s">
        <v>423</v>
      </c>
      <c r="E4889">
        <v>1011127</v>
      </c>
      <c r="F4889" t="s">
        <v>228</v>
      </c>
      <c r="G4889" s="9">
        <v>45201</v>
      </c>
      <c r="H4889" s="7"/>
      <c r="I4889" s="7"/>
      <c r="J4889" s="7"/>
      <c r="K4889" s="7"/>
      <c r="L4889" s="10">
        <v>5.4496124031007751</v>
      </c>
      <c r="M4889" s="9">
        <v>45206</v>
      </c>
      <c r="N4889" s="10">
        <v>10</v>
      </c>
      <c r="O4889" s="9">
        <v>45216</v>
      </c>
      <c r="P4889">
        <v>12</v>
      </c>
      <c r="Q4889" s="11" t="s">
        <v>49</v>
      </c>
      <c r="R4889" s="7"/>
      <c r="S4889" s="7"/>
      <c r="T4889" s="7"/>
      <c r="U4889" s="7"/>
      <c r="V4889" s="10">
        <v>7.4496124031007751</v>
      </c>
      <c r="W4889" s="9">
        <v>45208</v>
      </c>
      <c r="X4889" s="10">
        <v>12</v>
      </c>
      <c r="Y4889" s="9">
        <v>45216</v>
      </c>
      <c r="Z4889">
        <v>12</v>
      </c>
      <c r="AA4889" s="11" t="s">
        <v>49</v>
      </c>
    </row>
    <row r="4890" spans="2:27" ht="16" x14ac:dyDescent="0.2">
      <c r="B4890" t="s">
        <v>35</v>
      </c>
      <c r="C4890">
        <v>40351844</v>
      </c>
      <c r="D4890" t="s">
        <v>409</v>
      </c>
      <c r="E4890">
        <v>1012159</v>
      </c>
      <c r="F4890" t="s">
        <v>88</v>
      </c>
      <c r="G4890" s="9">
        <v>45202</v>
      </c>
      <c r="H4890" s="7"/>
      <c r="I4890" s="7"/>
      <c r="J4890" s="7"/>
      <c r="K4890" s="7"/>
      <c r="L4890" s="10">
        <v>7.5</v>
      </c>
      <c r="M4890" s="9">
        <v>45209</v>
      </c>
      <c r="N4890" s="10">
        <v>9.5</v>
      </c>
      <c r="O4890" s="9">
        <v>45218</v>
      </c>
      <c r="P4890">
        <v>10</v>
      </c>
      <c r="Q4890" s="11" t="s">
        <v>49</v>
      </c>
      <c r="R4890" s="7"/>
      <c r="S4890" s="7"/>
      <c r="T4890" s="7"/>
      <c r="U4890" s="7"/>
      <c r="V4890" s="10">
        <v>9.5</v>
      </c>
      <c r="W4890" s="9">
        <v>45211</v>
      </c>
      <c r="X4890" s="10">
        <v>11.5</v>
      </c>
      <c r="Y4890" s="9">
        <v>45218</v>
      </c>
      <c r="Z4890">
        <v>10</v>
      </c>
      <c r="AA4890" s="11" t="s">
        <v>49</v>
      </c>
    </row>
    <row r="4891" spans="2:27" ht="16" x14ac:dyDescent="0.2">
      <c r="B4891" t="s">
        <v>35</v>
      </c>
      <c r="C4891">
        <v>40351742</v>
      </c>
      <c r="D4891" t="s">
        <v>409</v>
      </c>
      <c r="E4891">
        <v>1012159</v>
      </c>
      <c r="F4891" t="s">
        <v>88</v>
      </c>
      <c r="G4891" s="9">
        <v>45203</v>
      </c>
      <c r="H4891" s="7"/>
      <c r="I4891" s="7"/>
      <c r="J4891" s="7"/>
      <c r="K4891" s="7"/>
      <c r="L4891" s="10">
        <v>7.5</v>
      </c>
      <c r="M4891" s="9">
        <v>45210</v>
      </c>
      <c r="N4891" s="10">
        <v>9.5</v>
      </c>
      <c r="O4891" s="9">
        <v>45219</v>
      </c>
      <c r="P4891">
        <v>9</v>
      </c>
      <c r="Q4891" s="11" t="s">
        <v>49</v>
      </c>
      <c r="R4891" s="7"/>
      <c r="S4891" s="7"/>
      <c r="T4891" s="7"/>
      <c r="U4891" s="7"/>
      <c r="V4891" s="10">
        <v>9.5</v>
      </c>
      <c r="W4891" s="9">
        <v>45212</v>
      </c>
      <c r="X4891" s="10">
        <v>11.5</v>
      </c>
      <c r="Y4891" s="9">
        <v>45219</v>
      </c>
      <c r="Z4891">
        <v>9</v>
      </c>
      <c r="AA4891" s="11" t="s">
        <v>49</v>
      </c>
    </row>
    <row r="4892" spans="2:27" ht="16" x14ac:dyDescent="0.2">
      <c r="B4892" t="s">
        <v>35</v>
      </c>
      <c r="C4892">
        <v>40351698</v>
      </c>
      <c r="D4892" t="s">
        <v>409</v>
      </c>
      <c r="E4892">
        <v>1012518</v>
      </c>
      <c r="F4892" t="s">
        <v>65</v>
      </c>
      <c r="G4892" s="9">
        <v>45204</v>
      </c>
      <c r="H4892" s="7"/>
      <c r="I4892" s="7"/>
      <c r="J4892" s="7"/>
      <c r="K4892" s="7"/>
      <c r="L4892" s="10">
        <v>7.5</v>
      </c>
      <c r="M4892" s="9">
        <v>45211</v>
      </c>
      <c r="N4892" s="10">
        <v>9.5</v>
      </c>
      <c r="O4892" s="9">
        <v>45220</v>
      </c>
      <c r="P4892">
        <v>8</v>
      </c>
      <c r="Q4892" s="11" t="s">
        <v>49</v>
      </c>
      <c r="R4892" s="7"/>
      <c r="S4892" s="7"/>
      <c r="T4892" s="7"/>
      <c r="U4892" s="7"/>
      <c r="V4892" s="10">
        <v>9.5</v>
      </c>
      <c r="W4892" s="9">
        <v>45213</v>
      </c>
      <c r="X4892" s="10">
        <v>11.5</v>
      </c>
      <c r="Y4892" s="9">
        <v>45220</v>
      </c>
      <c r="Z4892">
        <v>8</v>
      </c>
      <c r="AA4892" s="11" t="s">
        <v>49</v>
      </c>
    </row>
    <row r="4893" spans="2:27" ht="16" x14ac:dyDescent="0.2">
      <c r="B4893" t="s">
        <v>35</v>
      </c>
      <c r="C4893">
        <v>40351671</v>
      </c>
      <c r="D4893" t="s">
        <v>389</v>
      </c>
      <c r="E4893">
        <v>1030525</v>
      </c>
      <c r="F4893" t="s">
        <v>377</v>
      </c>
      <c r="G4893" s="9">
        <v>45205</v>
      </c>
      <c r="H4893" s="7"/>
      <c r="I4893" s="7"/>
      <c r="J4893" s="7"/>
      <c r="K4893" s="7"/>
      <c r="L4893" s="10">
        <v>5.5741092456127026</v>
      </c>
      <c r="M4893" s="9">
        <v>45210</v>
      </c>
      <c r="N4893" s="10">
        <v>5.5</v>
      </c>
      <c r="O4893" s="9">
        <v>45215</v>
      </c>
      <c r="P4893">
        <v>13</v>
      </c>
      <c r="Q4893" s="11" t="s">
        <v>49</v>
      </c>
      <c r="R4893" s="7"/>
      <c r="S4893" s="7"/>
      <c r="T4893" s="7"/>
      <c r="U4893" s="7"/>
      <c r="V4893" s="10">
        <v>7.5741092456127026</v>
      </c>
      <c r="W4893" s="9">
        <v>45212</v>
      </c>
      <c r="X4893" s="10">
        <v>7.5</v>
      </c>
      <c r="Y4893" s="9">
        <v>45215</v>
      </c>
      <c r="Z4893">
        <v>13</v>
      </c>
      <c r="AA4893" s="11" t="s">
        <v>49</v>
      </c>
    </row>
    <row r="4894" spans="2:27" ht="16" x14ac:dyDescent="0.2">
      <c r="B4894" t="s">
        <v>35</v>
      </c>
      <c r="C4894">
        <v>40351522</v>
      </c>
      <c r="D4894" t="s">
        <v>389</v>
      </c>
      <c r="E4894">
        <v>1022096</v>
      </c>
      <c r="F4894" t="s">
        <v>440</v>
      </c>
      <c r="G4894" s="9">
        <v>45206</v>
      </c>
      <c r="H4894" s="7"/>
      <c r="I4894" s="7"/>
      <c r="J4894" s="7"/>
      <c r="K4894" s="7"/>
      <c r="L4894" s="10">
        <v>5.5741092456127026</v>
      </c>
      <c r="M4894" s="9">
        <v>45211</v>
      </c>
      <c r="N4894" s="10">
        <v>5.5</v>
      </c>
      <c r="O4894" s="9">
        <v>45216</v>
      </c>
      <c r="P4894">
        <v>12</v>
      </c>
      <c r="Q4894" s="11" t="s">
        <v>49</v>
      </c>
      <c r="R4894" s="7"/>
      <c r="S4894" s="7"/>
      <c r="T4894" s="7"/>
      <c r="U4894" s="7"/>
      <c r="V4894" s="10">
        <v>7.5741092456127026</v>
      </c>
      <c r="W4894" s="9">
        <v>45213</v>
      </c>
      <c r="X4894" s="10">
        <v>7.5</v>
      </c>
      <c r="Y4894" s="9">
        <v>45216</v>
      </c>
      <c r="Z4894">
        <v>12</v>
      </c>
      <c r="AA4894" s="11" t="s">
        <v>49</v>
      </c>
    </row>
    <row r="4895" spans="2:27" ht="16" x14ac:dyDescent="0.2">
      <c r="B4895" t="s">
        <v>35</v>
      </c>
      <c r="C4895">
        <v>40351457</v>
      </c>
      <c r="D4895" t="s">
        <v>389</v>
      </c>
      <c r="E4895">
        <v>1021733</v>
      </c>
      <c r="F4895" t="s">
        <v>277</v>
      </c>
      <c r="G4895" s="9">
        <v>45207</v>
      </c>
      <c r="H4895" s="7"/>
      <c r="I4895" s="7"/>
      <c r="J4895" s="7"/>
      <c r="K4895" s="7"/>
      <c r="L4895" s="10">
        <v>5.5741092456127026</v>
      </c>
      <c r="M4895" s="9">
        <v>45212</v>
      </c>
      <c r="N4895" s="10">
        <v>5.5</v>
      </c>
      <c r="O4895" s="9">
        <v>45217</v>
      </c>
      <c r="P4895">
        <v>11</v>
      </c>
      <c r="Q4895" s="11" t="s">
        <v>49</v>
      </c>
      <c r="R4895" s="7"/>
      <c r="S4895" s="7"/>
      <c r="T4895" s="7"/>
      <c r="U4895" s="7"/>
      <c r="V4895" s="10">
        <v>7.5741092456127026</v>
      </c>
      <c r="W4895" s="9">
        <v>45214</v>
      </c>
      <c r="X4895" s="10">
        <v>7.5</v>
      </c>
      <c r="Y4895" s="9">
        <v>45217</v>
      </c>
      <c r="Z4895">
        <v>11</v>
      </c>
      <c r="AA4895" s="11" t="s">
        <v>49</v>
      </c>
    </row>
    <row r="4896" spans="2:27" ht="16" x14ac:dyDescent="0.2">
      <c r="B4896" t="s">
        <v>35</v>
      </c>
      <c r="C4896">
        <v>40351362</v>
      </c>
      <c r="D4896" t="s">
        <v>389</v>
      </c>
      <c r="E4896">
        <v>1021732</v>
      </c>
      <c r="F4896" t="s">
        <v>275</v>
      </c>
      <c r="G4896" s="9">
        <v>45208</v>
      </c>
      <c r="H4896" s="7"/>
      <c r="I4896" s="7"/>
      <c r="J4896" s="7"/>
      <c r="K4896" s="7"/>
      <c r="L4896" s="10">
        <v>5.5741092456127026</v>
      </c>
      <c r="M4896" s="9">
        <v>45213</v>
      </c>
      <c r="N4896" s="10">
        <v>5.5</v>
      </c>
      <c r="O4896" s="9">
        <v>45218</v>
      </c>
      <c r="P4896">
        <v>10</v>
      </c>
      <c r="Q4896" s="11" t="s">
        <v>49</v>
      </c>
      <c r="R4896" s="7"/>
      <c r="S4896" s="7"/>
      <c r="T4896" s="7"/>
      <c r="U4896" s="7"/>
      <c r="V4896" s="10">
        <v>7.5741092456127026</v>
      </c>
      <c r="W4896" s="9">
        <v>45215</v>
      </c>
      <c r="X4896" s="10">
        <v>7.5</v>
      </c>
      <c r="Y4896" s="9">
        <v>45218</v>
      </c>
      <c r="Z4896">
        <v>10</v>
      </c>
      <c r="AA4896" s="11" t="s">
        <v>49</v>
      </c>
    </row>
    <row r="4897" spans="2:27" ht="16" x14ac:dyDescent="0.2">
      <c r="B4897" t="s">
        <v>35</v>
      </c>
      <c r="C4897">
        <v>40351326</v>
      </c>
      <c r="D4897" t="s">
        <v>389</v>
      </c>
      <c r="E4897">
        <v>1022645</v>
      </c>
      <c r="F4897" t="s">
        <v>622</v>
      </c>
      <c r="G4897" s="9">
        <v>45209</v>
      </c>
      <c r="H4897" s="7"/>
      <c r="I4897" s="7"/>
      <c r="J4897" s="7"/>
      <c r="K4897" s="7"/>
      <c r="L4897" s="10">
        <v>5.5741092456127026</v>
      </c>
      <c r="M4897" s="9">
        <v>45214</v>
      </c>
      <c r="N4897" s="10">
        <v>5.5</v>
      </c>
      <c r="O4897" s="9">
        <v>45219</v>
      </c>
      <c r="P4897">
        <v>9</v>
      </c>
      <c r="Q4897" s="11" t="s">
        <v>49</v>
      </c>
      <c r="R4897" s="7"/>
      <c r="S4897" s="7"/>
      <c r="T4897" s="7"/>
      <c r="U4897" s="7"/>
      <c r="V4897" s="10">
        <v>7.5741092456127026</v>
      </c>
      <c r="W4897" s="9">
        <v>45216</v>
      </c>
      <c r="X4897" s="10">
        <v>7.5</v>
      </c>
      <c r="Y4897" s="9">
        <v>45219</v>
      </c>
      <c r="Z4897">
        <v>9</v>
      </c>
      <c r="AA4897" s="11" t="s">
        <v>49</v>
      </c>
    </row>
    <row r="4898" spans="2:27" ht="16" x14ac:dyDescent="0.2">
      <c r="B4898" t="s">
        <v>35</v>
      </c>
      <c r="C4898">
        <v>40351319</v>
      </c>
      <c r="D4898" t="s">
        <v>389</v>
      </c>
      <c r="E4898">
        <v>1021992</v>
      </c>
      <c r="F4898" t="s">
        <v>290</v>
      </c>
      <c r="G4898" s="9">
        <v>45210</v>
      </c>
      <c r="H4898" s="7"/>
      <c r="I4898" s="7"/>
      <c r="J4898" s="7"/>
      <c r="K4898" s="7"/>
      <c r="L4898" s="10">
        <v>5.5741092456127026</v>
      </c>
      <c r="M4898" s="9">
        <v>45215</v>
      </c>
      <c r="N4898" s="10">
        <v>5.5</v>
      </c>
      <c r="O4898" s="9">
        <v>45220</v>
      </c>
      <c r="P4898">
        <v>8</v>
      </c>
      <c r="Q4898" s="11" t="s">
        <v>49</v>
      </c>
      <c r="R4898" s="7"/>
      <c r="S4898" s="7"/>
      <c r="T4898" s="7"/>
      <c r="U4898" s="7"/>
      <c r="V4898" s="10">
        <v>7.5741092456127026</v>
      </c>
      <c r="W4898" s="9">
        <v>45217</v>
      </c>
      <c r="X4898" s="10">
        <v>7.5</v>
      </c>
      <c r="Y4898" s="9">
        <v>45220</v>
      </c>
      <c r="Z4898">
        <v>8</v>
      </c>
      <c r="AA4898" s="11" t="s">
        <v>49</v>
      </c>
    </row>
    <row r="4899" spans="2:27" ht="16" x14ac:dyDescent="0.2">
      <c r="B4899" t="s">
        <v>35</v>
      </c>
      <c r="C4899">
        <v>40351318</v>
      </c>
      <c r="D4899" t="s">
        <v>389</v>
      </c>
      <c r="E4899">
        <v>1021992</v>
      </c>
      <c r="F4899" t="s">
        <v>290</v>
      </c>
      <c r="G4899" s="9">
        <v>45211</v>
      </c>
      <c r="H4899" s="7"/>
      <c r="I4899" s="7"/>
      <c r="J4899" s="7"/>
      <c r="K4899" s="7"/>
      <c r="L4899" s="10">
        <v>5.5741092456127026</v>
      </c>
      <c r="M4899" s="9">
        <v>45216</v>
      </c>
      <c r="N4899" s="10">
        <v>5.5</v>
      </c>
      <c r="O4899" s="9">
        <v>45221</v>
      </c>
      <c r="P4899">
        <v>8</v>
      </c>
      <c r="Q4899" s="11" t="s">
        <v>49</v>
      </c>
      <c r="R4899" s="7"/>
      <c r="S4899" s="7"/>
      <c r="T4899" s="7"/>
      <c r="U4899" s="7"/>
      <c r="V4899" s="10">
        <v>7.5741092456127026</v>
      </c>
      <c r="W4899" s="9">
        <v>45218</v>
      </c>
      <c r="X4899" s="10">
        <v>7.5</v>
      </c>
      <c r="Y4899" s="9">
        <v>45221</v>
      </c>
      <c r="Z4899">
        <v>8</v>
      </c>
      <c r="AA4899" s="11" t="s">
        <v>49</v>
      </c>
    </row>
    <row r="4900" spans="2:27" ht="16" x14ac:dyDescent="0.2">
      <c r="B4900" t="s">
        <v>35</v>
      </c>
      <c r="C4900">
        <v>40349680</v>
      </c>
      <c r="D4900" t="s">
        <v>389</v>
      </c>
      <c r="E4900">
        <v>1012455</v>
      </c>
      <c r="F4900" t="s">
        <v>450</v>
      </c>
      <c r="G4900" s="9">
        <v>45212</v>
      </c>
      <c r="H4900" s="7"/>
      <c r="I4900" s="7"/>
      <c r="J4900" s="7"/>
      <c r="K4900" s="7"/>
      <c r="L4900" s="10">
        <v>5.5741092456127026</v>
      </c>
      <c r="M4900" s="9">
        <v>45217</v>
      </c>
      <c r="N4900" s="10">
        <v>5.5</v>
      </c>
      <c r="O4900" s="9">
        <v>45222</v>
      </c>
      <c r="P4900">
        <v>7</v>
      </c>
      <c r="Q4900" s="11" t="s">
        <v>49</v>
      </c>
      <c r="R4900" s="7"/>
      <c r="S4900" s="7"/>
      <c r="T4900" s="7"/>
      <c r="U4900" s="7"/>
      <c r="V4900" s="10">
        <v>7.5741092456127026</v>
      </c>
      <c r="W4900" s="9">
        <v>45219</v>
      </c>
      <c r="X4900" s="10">
        <v>7.5</v>
      </c>
      <c r="Y4900" s="9">
        <v>45222</v>
      </c>
      <c r="Z4900">
        <v>7</v>
      </c>
      <c r="AA4900" s="11" t="s">
        <v>49</v>
      </c>
    </row>
    <row r="4901" spans="2:27" x14ac:dyDescent="0.2">
      <c r="B4901" t="s">
        <v>394</v>
      </c>
      <c r="C4901">
        <v>40347778</v>
      </c>
      <c r="D4901" t="s">
        <v>485</v>
      </c>
      <c r="E4901">
        <v>1022709</v>
      </c>
      <c r="F4901" t="s">
        <v>493</v>
      </c>
      <c r="G4901" s="9">
        <v>45213</v>
      </c>
      <c r="H4901" s="7"/>
      <c r="I4901" s="7"/>
      <c r="J4901" s="7"/>
      <c r="K4901" s="7"/>
      <c r="L4901" s="10"/>
      <c r="N4901" s="10"/>
      <c r="Q4901" s="11"/>
      <c r="R4901" s="7"/>
      <c r="S4901" s="7"/>
      <c r="T4901" s="7"/>
      <c r="U4901" s="7"/>
      <c r="V4901" s="10"/>
      <c r="X4901" s="10"/>
      <c r="AA4901" s="11"/>
    </row>
    <row r="4902" spans="2:27" x14ac:dyDescent="0.2">
      <c r="B4902" t="s">
        <v>394</v>
      </c>
      <c r="C4902">
        <v>40346212</v>
      </c>
      <c r="D4902" t="s">
        <v>396</v>
      </c>
      <c r="E4902">
        <v>1020861</v>
      </c>
      <c r="F4902" t="s">
        <v>400</v>
      </c>
      <c r="G4902" s="9">
        <v>45214</v>
      </c>
      <c r="H4902" s="7"/>
      <c r="I4902" s="7"/>
      <c r="J4902" s="7"/>
      <c r="K4902" s="7"/>
      <c r="L4902" s="10"/>
      <c r="N4902" s="10"/>
      <c r="Q4902" s="11"/>
      <c r="R4902" s="7"/>
      <c r="S4902" s="7"/>
      <c r="T4902" s="7"/>
      <c r="U4902" s="7"/>
      <c r="V4902" s="10"/>
      <c r="X4902" s="10"/>
      <c r="AA4902" s="11"/>
    </row>
    <row r="4903" spans="2:27" ht="16" x14ac:dyDescent="0.2">
      <c r="B4903" t="s">
        <v>35</v>
      </c>
      <c r="C4903">
        <v>40346167</v>
      </c>
      <c r="D4903" t="s">
        <v>409</v>
      </c>
      <c r="E4903">
        <v>1012165</v>
      </c>
      <c r="F4903" t="s">
        <v>61</v>
      </c>
      <c r="G4903" s="9">
        <v>45215</v>
      </c>
      <c r="H4903" s="7"/>
      <c r="I4903" s="7"/>
      <c r="J4903" s="7"/>
      <c r="K4903" s="7"/>
      <c r="L4903" s="10">
        <v>7.5</v>
      </c>
      <c r="M4903" s="9">
        <v>45222</v>
      </c>
      <c r="N4903" s="10">
        <v>9.5</v>
      </c>
      <c r="O4903" s="9">
        <v>45231</v>
      </c>
      <c r="P4903">
        <v>22</v>
      </c>
      <c r="Q4903" s="11" t="s">
        <v>49</v>
      </c>
      <c r="R4903" s="7"/>
      <c r="S4903" s="7"/>
      <c r="T4903" s="7"/>
      <c r="U4903" s="7"/>
      <c r="V4903" s="10">
        <v>9.5</v>
      </c>
      <c r="W4903" s="9">
        <v>45224</v>
      </c>
      <c r="X4903" s="10">
        <v>11.5</v>
      </c>
      <c r="Y4903" s="9">
        <v>45231</v>
      </c>
      <c r="Z4903">
        <v>22</v>
      </c>
      <c r="AA4903" s="11" t="s">
        <v>49</v>
      </c>
    </row>
    <row r="4904" spans="2:27" ht="16" x14ac:dyDescent="0.2">
      <c r="B4904" t="s">
        <v>35</v>
      </c>
      <c r="C4904">
        <v>40345853</v>
      </c>
      <c r="D4904" t="s">
        <v>389</v>
      </c>
      <c r="E4904">
        <v>1022291</v>
      </c>
      <c r="F4904" t="s">
        <v>414</v>
      </c>
      <c r="G4904" s="9">
        <v>45216</v>
      </c>
      <c r="H4904" s="7"/>
      <c r="I4904" s="7"/>
      <c r="J4904" s="7"/>
      <c r="K4904" s="7"/>
      <c r="L4904" s="10">
        <v>5.5741092456127026</v>
      </c>
      <c r="M4904" s="9">
        <v>45221</v>
      </c>
      <c r="N4904" s="10">
        <v>5.5</v>
      </c>
      <c r="O4904" s="9">
        <v>45226</v>
      </c>
      <c r="P4904">
        <v>3</v>
      </c>
      <c r="Q4904" s="11" t="s">
        <v>49</v>
      </c>
      <c r="R4904" s="7"/>
      <c r="S4904" s="7"/>
      <c r="T4904" s="7"/>
      <c r="U4904" s="7"/>
      <c r="V4904" s="10">
        <v>7.5741092456127026</v>
      </c>
      <c r="W4904" s="9">
        <v>45223</v>
      </c>
      <c r="X4904" s="10">
        <v>7.5</v>
      </c>
      <c r="Y4904" s="9">
        <v>45226</v>
      </c>
      <c r="Z4904">
        <v>3</v>
      </c>
      <c r="AA4904" s="11" t="s">
        <v>49</v>
      </c>
    </row>
    <row r="4905" spans="2:27" ht="16" x14ac:dyDescent="0.2">
      <c r="B4905" t="s">
        <v>35</v>
      </c>
      <c r="C4905">
        <v>40345853</v>
      </c>
      <c r="D4905" t="s">
        <v>389</v>
      </c>
      <c r="E4905">
        <v>1022291</v>
      </c>
      <c r="F4905" t="s">
        <v>414</v>
      </c>
      <c r="G4905" s="9">
        <v>45217</v>
      </c>
      <c r="H4905" s="7"/>
      <c r="I4905" s="7"/>
      <c r="J4905" s="7"/>
      <c r="K4905" s="7"/>
      <c r="L4905" s="10">
        <v>5.5741092456127026</v>
      </c>
      <c r="M4905" s="9">
        <v>45222</v>
      </c>
      <c r="N4905" s="10">
        <v>5.5</v>
      </c>
      <c r="O4905" s="9">
        <v>45227</v>
      </c>
      <c r="P4905">
        <v>2</v>
      </c>
      <c r="Q4905" s="11" t="s">
        <v>688</v>
      </c>
      <c r="R4905" s="7"/>
      <c r="S4905" s="7"/>
      <c r="T4905" s="7"/>
      <c r="U4905" s="7"/>
      <c r="V4905" s="10">
        <v>7.5741092456127026</v>
      </c>
      <c r="W4905" s="9">
        <v>45224</v>
      </c>
      <c r="X4905" s="10">
        <v>7.5</v>
      </c>
      <c r="Y4905" s="9">
        <v>45227</v>
      </c>
      <c r="Z4905">
        <v>2</v>
      </c>
      <c r="AA4905" s="11" t="s">
        <v>688</v>
      </c>
    </row>
    <row r="4906" spans="2:27" x14ac:dyDescent="0.2">
      <c r="B4906" t="s">
        <v>394</v>
      </c>
      <c r="C4906">
        <v>40344607</v>
      </c>
      <c r="D4906" t="s">
        <v>485</v>
      </c>
      <c r="E4906">
        <v>1022847</v>
      </c>
      <c r="F4906" t="s">
        <v>562</v>
      </c>
      <c r="G4906" s="9">
        <v>45218</v>
      </c>
      <c r="H4906" s="7"/>
      <c r="I4906" s="7"/>
      <c r="J4906" s="7"/>
      <c r="K4906" s="7"/>
      <c r="L4906" s="10"/>
      <c r="N4906" s="10"/>
      <c r="Q4906" s="11"/>
      <c r="R4906" s="7"/>
      <c r="S4906" s="7"/>
      <c r="T4906" s="7"/>
      <c r="U4906" s="7"/>
      <c r="V4906" s="10"/>
      <c r="X4906" s="10"/>
      <c r="AA4906" s="11"/>
    </row>
    <row r="4907" spans="2:27" x14ac:dyDescent="0.2">
      <c r="B4907" t="s">
        <v>394</v>
      </c>
      <c r="C4907">
        <v>40344607</v>
      </c>
      <c r="D4907" t="s">
        <v>485</v>
      </c>
      <c r="E4907">
        <v>1023433</v>
      </c>
      <c r="F4907" t="s">
        <v>490</v>
      </c>
      <c r="G4907" s="9">
        <v>45219</v>
      </c>
      <c r="H4907" s="7"/>
      <c r="I4907" s="7"/>
      <c r="J4907" s="7"/>
      <c r="K4907" s="7"/>
      <c r="L4907" s="10"/>
      <c r="N4907" s="10"/>
      <c r="Q4907" s="11"/>
      <c r="R4907" s="7"/>
      <c r="S4907" s="7"/>
      <c r="T4907" s="7"/>
      <c r="U4907" s="7"/>
      <c r="V4907" s="10"/>
      <c r="X4907" s="10"/>
      <c r="AA4907" s="11"/>
    </row>
    <row r="4908" spans="2:27" x14ac:dyDescent="0.2">
      <c r="B4908" t="s">
        <v>394</v>
      </c>
      <c r="C4908">
        <v>40344607</v>
      </c>
      <c r="D4908" t="s">
        <v>485</v>
      </c>
      <c r="E4908">
        <v>1020886</v>
      </c>
      <c r="F4908" t="s">
        <v>609</v>
      </c>
      <c r="G4908" s="9">
        <v>45220</v>
      </c>
      <c r="H4908" s="7"/>
      <c r="I4908" s="7"/>
      <c r="J4908" s="7"/>
      <c r="K4908" s="7"/>
      <c r="L4908" s="10"/>
      <c r="N4908" s="10"/>
      <c r="Q4908" s="11"/>
      <c r="R4908" s="7"/>
      <c r="S4908" s="7"/>
      <c r="T4908" s="7"/>
      <c r="U4908" s="7"/>
      <c r="V4908" s="10"/>
      <c r="X4908" s="10"/>
      <c r="AA4908" s="11"/>
    </row>
    <row r="4909" spans="2:27" ht="16" x14ac:dyDescent="0.2">
      <c r="B4909" t="s">
        <v>35</v>
      </c>
      <c r="C4909">
        <v>40353616</v>
      </c>
      <c r="D4909" t="s">
        <v>391</v>
      </c>
      <c r="E4909">
        <v>1021936</v>
      </c>
      <c r="F4909" t="s">
        <v>411</v>
      </c>
      <c r="G4909" s="9">
        <v>45221</v>
      </c>
      <c r="H4909" s="7"/>
      <c r="I4909" s="7"/>
      <c r="J4909" s="7"/>
      <c r="K4909" s="7"/>
      <c r="L4909" s="10">
        <v>4.830303030303031</v>
      </c>
      <c r="M4909" s="9">
        <v>45225</v>
      </c>
      <c r="N4909" s="10">
        <v>15</v>
      </c>
      <c r="O4909" s="9">
        <v>45240</v>
      </c>
      <c r="P4909">
        <v>17</v>
      </c>
      <c r="Q4909" s="11" t="s">
        <v>49</v>
      </c>
      <c r="R4909" s="7"/>
      <c r="S4909" s="7"/>
      <c r="T4909" s="7"/>
      <c r="U4909" s="7"/>
      <c r="V4909" s="10">
        <v>6.830303030303031</v>
      </c>
      <c r="W4909" s="9">
        <v>45227</v>
      </c>
      <c r="X4909" s="10">
        <v>17</v>
      </c>
      <c r="Y4909" s="9">
        <v>45240</v>
      </c>
      <c r="Z4909">
        <v>17</v>
      </c>
      <c r="AA4909" s="11" t="s">
        <v>49</v>
      </c>
    </row>
    <row r="4910" spans="2:27" ht="16" x14ac:dyDescent="0.2">
      <c r="B4910" t="s">
        <v>35</v>
      </c>
      <c r="C4910">
        <v>40353597</v>
      </c>
      <c r="D4910" t="s">
        <v>391</v>
      </c>
      <c r="E4910">
        <v>1023357</v>
      </c>
      <c r="F4910" t="s">
        <v>689</v>
      </c>
      <c r="G4910" s="9">
        <v>45222</v>
      </c>
      <c r="H4910" s="7"/>
      <c r="I4910" s="7"/>
      <c r="J4910" s="7"/>
      <c r="K4910" s="7"/>
      <c r="L4910" s="10">
        <v>4.830303030303031</v>
      </c>
      <c r="M4910" s="9">
        <v>45226</v>
      </c>
      <c r="N4910" s="10">
        <v>15</v>
      </c>
      <c r="O4910" s="9">
        <v>45241</v>
      </c>
      <c r="P4910">
        <v>16</v>
      </c>
      <c r="Q4910" s="11" t="s">
        <v>49</v>
      </c>
      <c r="R4910" s="7"/>
      <c r="S4910" s="7"/>
      <c r="T4910" s="7"/>
      <c r="U4910" s="7"/>
      <c r="V4910" s="10">
        <v>6.830303030303031</v>
      </c>
      <c r="W4910" s="9">
        <v>45228</v>
      </c>
      <c r="X4910" s="10">
        <v>17</v>
      </c>
      <c r="Y4910" s="9">
        <v>45241</v>
      </c>
      <c r="Z4910">
        <v>16</v>
      </c>
      <c r="AA4910" s="11" t="s">
        <v>49</v>
      </c>
    </row>
    <row r="4911" spans="2:27" ht="16" x14ac:dyDescent="0.2">
      <c r="B4911" t="s">
        <v>35</v>
      </c>
      <c r="C4911">
        <v>40353597</v>
      </c>
      <c r="D4911" t="s">
        <v>391</v>
      </c>
      <c r="E4911">
        <v>1022836</v>
      </c>
      <c r="F4911" t="s">
        <v>690</v>
      </c>
      <c r="G4911" s="9">
        <v>45223</v>
      </c>
      <c r="H4911" s="7"/>
      <c r="I4911" s="7"/>
      <c r="J4911" s="7"/>
      <c r="K4911" s="7"/>
      <c r="L4911" s="10">
        <v>4.830303030303031</v>
      </c>
      <c r="M4911" s="9">
        <v>45227</v>
      </c>
      <c r="N4911" s="10">
        <v>15</v>
      </c>
      <c r="O4911" s="9">
        <v>45242</v>
      </c>
      <c r="P4911">
        <v>16</v>
      </c>
      <c r="Q4911" s="11" t="s">
        <v>49</v>
      </c>
      <c r="R4911" s="7"/>
      <c r="S4911" s="7"/>
      <c r="T4911" s="7"/>
      <c r="U4911" s="7"/>
      <c r="V4911" s="10">
        <v>6.830303030303031</v>
      </c>
      <c r="W4911" s="9">
        <v>45229</v>
      </c>
      <c r="X4911" s="10">
        <v>17</v>
      </c>
      <c r="Y4911" s="9">
        <v>45242</v>
      </c>
      <c r="Z4911">
        <v>16</v>
      </c>
      <c r="AA4911" s="11" t="s">
        <v>49</v>
      </c>
    </row>
    <row r="4912" spans="2:27" ht="16" x14ac:dyDescent="0.2">
      <c r="B4912" t="s">
        <v>35</v>
      </c>
      <c r="C4912">
        <v>40353597</v>
      </c>
      <c r="D4912" t="s">
        <v>391</v>
      </c>
      <c r="E4912">
        <v>1022823</v>
      </c>
      <c r="F4912" t="s">
        <v>691</v>
      </c>
      <c r="G4912" s="9">
        <v>45224</v>
      </c>
      <c r="H4912" s="7"/>
      <c r="I4912" s="7"/>
      <c r="J4912" s="7"/>
      <c r="K4912" s="7"/>
      <c r="L4912" s="10">
        <v>4.830303030303031</v>
      </c>
      <c r="M4912" s="9">
        <v>45228</v>
      </c>
      <c r="N4912" s="10">
        <v>15</v>
      </c>
      <c r="O4912" s="9">
        <v>45243</v>
      </c>
      <c r="P4912">
        <v>15</v>
      </c>
      <c r="Q4912" s="11" t="s">
        <v>49</v>
      </c>
      <c r="R4912" s="7"/>
      <c r="S4912" s="7"/>
      <c r="T4912" s="7"/>
      <c r="U4912" s="7"/>
      <c r="V4912" s="10">
        <v>6.830303030303031</v>
      </c>
      <c r="W4912" s="9">
        <v>45230</v>
      </c>
      <c r="X4912" s="10">
        <v>17</v>
      </c>
      <c r="Y4912" s="9">
        <v>45243</v>
      </c>
      <c r="Z4912">
        <v>15</v>
      </c>
      <c r="AA4912" s="11" t="s">
        <v>49</v>
      </c>
    </row>
    <row r="4913" spans="2:27" ht="16" x14ac:dyDescent="0.2">
      <c r="B4913" t="s">
        <v>35</v>
      </c>
      <c r="C4913">
        <v>40353597</v>
      </c>
      <c r="D4913" t="s">
        <v>391</v>
      </c>
      <c r="E4913">
        <v>1022819</v>
      </c>
      <c r="F4913" t="s">
        <v>692</v>
      </c>
      <c r="G4913" s="9">
        <v>45225</v>
      </c>
      <c r="H4913" s="7"/>
      <c r="I4913" s="7"/>
      <c r="J4913" s="7"/>
      <c r="K4913" s="7"/>
      <c r="L4913" s="10">
        <v>4.830303030303031</v>
      </c>
      <c r="M4913" s="9">
        <v>45229</v>
      </c>
      <c r="N4913" s="10">
        <v>15</v>
      </c>
      <c r="O4913" s="9">
        <v>45244</v>
      </c>
      <c r="P4913">
        <v>14</v>
      </c>
      <c r="Q4913" s="11" t="s">
        <v>49</v>
      </c>
      <c r="R4913" s="7"/>
      <c r="S4913" s="7"/>
      <c r="T4913" s="7"/>
      <c r="U4913" s="7"/>
      <c r="V4913" s="10">
        <v>6.830303030303031</v>
      </c>
      <c r="W4913" s="9">
        <v>45231</v>
      </c>
      <c r="X4913" s="10">
        <v>17</v>
      </c>
      <c r="Y4913" s="9">
        <v>45244</v>
      </c>
      <c r="Z4913">
        <v>14</v>
      </c>
      <c r="AA4913" s="11" t="s">
        <v>49</v>
      </c>
    </row>
    <row r="4914" spans="2:27" ht="16" x14ac:dyDescent="0.2">
      <c r="B4914" t="s">
        <v>35</v>
      </c>
      <c r="C4914">
        <v>40353597</v>
      </c>
      <c r="D4914" t="s">
        <v>391</v>
      </c>
      <c r="E4914">
        <v>1022791</v>
      </c>
      <c r="F4914" t="s">
        <v>501</v>
      </c>
      <c r="G4914" s="9">
        <v>45226</v>
      </c>
      <c r="H4914" s="7"/>
      <c r="I4914" s="7"/>
      <c r="J4914" s="7"/>
      <c r="K4914" s="7"/>
      <c r="L4914" s="10">
        <v>4.830303030303031</v>
      </c>
      <c r="M4914" s="9">
        <v>45230</v>
      </c>
      <c r="N4914" s="10">
        <v>15</v>
      </c>
      <c r="O4914" s="9">
        <v>45245</v>
      </c>
      <c r="P4914">
        <v>13</v>
      </c>
      <c r="Q4914" s="11" t="s">
        <v>49</v>
      </c>
      <c r="R4914" s="7"/>
      <c r="S4914" s="7"/>
      <c r="T4914" s="7"/>
      <c r="U4914" s="7"/>
      <c r="V4914" s="10">
        <v>6.830303030303031</v>
      </c>
      <c r="W4914" s="9">
        <v>45232</v>
      </c>
      <c r="X4914" s="10">
        <v>17</v>
      </c>
      <c r="Y4914" s="9">
        <v>45245</v>
      </c>
      <c r="Z4914">
        <v>13</v>
      </c>
      <c r="AA4914" s="11" t="s">
        <v>49</v>
      </c>
    </row>
    <row r="4915" spans="2:27" x14ac:dyDescent="0.2">
      <c r="B4915" t="s">
        <v>394</v>
      </c>
      <c r="C4915">
        <v>40352768</v>
      </c>
      <c r="D4915" t="s">
        <v>396</v>
      </c>
      <c r="E4915">
        <v>1022930</v>
      </c>
      <c r="F4915" t="s">
        <v>456</v>
      </c>
      <c r="G4915" s="9">
        <v>45227</v>
      </c>
      <c r="H4915" s="7"/>
      <c r="I4915" s="7"/>
      <c r="J4915" s="7"/>
      <c r="K4915" s="7"/>
      <c r="L4915" s="10"/>
      <c r="N4915" s="10"/>
      <c r="Q4915" s="11"/>
      <c r="R4915" s="7"/>
      <c r="S4915" s="7"/>
      <c r="T4915" s="7"/>
      <c r="U4915" s="7"/>
      <c r="V4915" s="10"/>
      <c r="X4915" s="10"/>
      <c r="AA4915" s="11"/>
    </row>
    <row r="4916" spans="2:27" ht="16" x14ac:dyDescent="0.2">
      <c r="B4916" t="s">
        <v>35</v>
      </c>
      <c r="C4916">
        <v>40352011</v>
      </c>
      <c r="D4916" t="s">
        <v>423</v>
      </c>
      <c r="E4916">
        <v>1023302</v>
      </c>
      <c r="F4916" t="s">
        <v>268</v>
      </c>
      <c r="G4916" s="9">
        <v>45228</v>
      </c>
      <c r="H4916" s="7"/>
      <c r="I4916" s="7"/>
      <c r="J4916" s="7"/>
      <c r="K4916" s="7"/>
      <c r="L4916" s="10">
        <v>5.4496124031007751</v>
      </c>
      <c r="M4916" s="9">
        <v>45233</v>
      </c>
      <c r="N4916" s="10">
        <v>10</v>
      </c>
      <c r="O4916" s="9">
        <v>45243</v>
      </c>
      <c r="P4916">
        <v>14</v>
      </c>
      <c r="Q4916" s="11" t="s">
        <v>49</v>
      </c>
      <c r="R4916" s="7"/>
      <c r="S4916" s="7"/>
      <c r="T4916" s="7"/>
      <c r="U4916" s="7"/>
      <c r="V4916" s="10">
        <v>7.4496124031007751</v>
      </c>
      <c r="W4916" s="9">
        <v>45235</v>
      </c>
      <c r="X4916" s="10">
        <v>12</v>
      </c>
      <c r="Y4916" s="9">
        <v>45243</v>
      </c>
      <c r="Z4916">
        <v>14</v>
      </c>
      <c r="AA4916" s="11" t="s">
        <v>49</v>
      </c>
    </row>
    <row r="4917" spans="2:27" ht="16" x14ac:dyDescent="0.2">
      <c r="B4917" t="s">
        <v>35</v>
      </c>
      <c r="C4917">
        <v>40352011</v>
      </c>
      <c r="D4917" t="s">
        <v>423</v>
      </c>
      <c r="E4917">
        <v>1023302</v>
      </c>
      <c r="F4917" t="s">
        <v>268</v>
      </c>
      <c r="G4917" s="9">
        <v>45229</v>
      </c>
      <c r="H4917" s="7"/>
      <c r="I4917" s="7"/>
      <c r="J4917" s="7"/>
      <c r="K4917" s="7"/>
      <c r="L4917" s="10">
        <v>5.4496124031007751</v>
      </c>
      <c r="M4917" s="9">
        <v>45234</v>
      </c>
      <c r="N4917" s="10">
        <v>10</v>
      </c>
      <c r="O4917" s="9">
        <v>45244</v>
      </c>
      <c r="P4917">
        <v>13</v>
      </c>
      <c r="Q4917" s="11" t="s">
        <v>49</v>
      </c>
      <c r="R4917" s="7"/>
      <c r="S4917" s="7"/>
      <c r="T4917" s="7"/>
      <c r="U4917" s="7"/>
      <c r="V4917" s="10">
        <v>7.4496124031007751</v>
      </c>
      <c r="W4917" s="9">
        <v>45236</v>
      </c>
      <c r="X4917" s="10">
        <v>12</v>
      </c>
      <c r="Y4917" s="9">
        <v>45244</v>
      </c>
      <c r="Z4917">
        <v>13</v>
      </c>
      <c r="AA4917" s="11" t="s">
        <v>49</v>
      </c>
    </row>
    <row r="4918" spans="2:27" ht="16" x14ac:dyDescent="0.2">
      <c r="B4918" t="s">
        <v>35</v>
      </c>
      <c r="C4918">
        <v>40351611</v>
      </c>
      <c r="D4918" t="s">
        <v>389</v>
      </c>
      <c r="E4918">
        <v>1022639</v>
      </c>
      <c r="F4918" t="s">
        <v>316</v>
      </c>
      <c r="G4918" s="9">
        <v>45230</v>
      </c>
      <c r="H4918" s="7"/>
      <c r="I4918" s="7"/>
      <c r="J4918" s="7"/>
      <c r="K4918" s="7"/>
      <c r="L4918" s="10">
        <v>5.5741092456127026</v>
      </c>
      <c r="M4918" s="9">
        <v>45235</v>
      </c>
      <c r="N4918" s="10">
        <v>5.5</v>
      </c>
      <c r="O4918" s="9">
        <v>45240</v>
      </c>
      <c r="P4918">
        <v>17</v>
      </c>
      <c r="Q4918" s="11" t="s">
        <v>49</v>
      </c>
      <c r="R4918" s="7"/>
      <c r="S4918" s="7"/>
      <c r="T4918" s="7"/>
      <c r="U4918" s="7"/>
      <c r="V4918" s="10">
        <v>7.5741092456127026</v>
      </c>
      <c r="W4918" s="9">
        <v>45237</v>
      </c>
      <c r="X4918" s="10">
        <v>7.5</v>
      </c>
      <c r="Y4918" s="9">
        <v>45240</v>
      </c>
      <c r="Z4918">
        <v>17</v>
      </c>
      <c r="AA4918" s="11" t="s">
        <v>49</v>
      </c>
    </row>
    <row r="4919" spans="2:27" ht="16" x14ac:dyDescent="0.2">
      <c r="B4919" t="s">
        <v>35</v>
      </c>
      <c r="C4919">
        <v>40351550</v>
      </c>
      <c r="D4919" t="s">
        <v>389</v>
      </c>
      <c r="E4919">
        <v>1022169</v>
      </c>
      <c r="F4919" t="s">
        <v>298</v>
      </c>
      <c r="G4919" s="9">
        <v>45231</v>
      </c>
      <c r="H4919" s="7"/>
      <c r="I4919" s="7"/>
      <c r="J4919" s="7"/>
      <c r="K4919" s="7"/>
      <c r="L4919" s="10">
        <v>5.5741092456127026</v>
      </c>
      <c r="M4919" s="9">
        <v>45236</v>
      </c>
      <c r="N4919" s="10">
        <v>5.5</v>
      </c>
      <c r="O4919" s="9">
        <v>45241</v>
      </c>
      <c r="P4919">
        <v>16</v>
      </c>
      <c r="Q4919" s="11" t="s">
        <v>49</v>
      </c>
      <c r="R4919" s="7"/>
      <c r="S4919" s="7"/>
      <c r="T4919" s="7"/>
      <c r="U4919" s="7"/>
      <c r="V4919" s="10">
        <v>7.5741092456127026</v>
      </c>
      <c r="W4919" s="9">
        <v>45238</v>
      </c>
      <c r="X4919" s="10">
        <v>7.5</v>
      </c>
      <c r="Y4919" s="9">
        <v>45241</v>
      </c>
      <c r="Z4919">
        <v>16</v>
      </c>
      <c r="AA4919" s="11" t="s">
        <v>49</v>
      </c>
    </row>
    <row r="4920" spans="2:27" ht="16" x14ac:dyDescent="0.2">
      <c r="B4920" t="s">
        <v>35</v>
      </c>
      <c r="C4920">
        <v>40351550</v>
      </c>
      <c r="D4920" t="s">
        <v>389</v>
      </c>
      <c r="E4920">
        <v>1022169</v>
      </c>
      <c r="F4920" t="s">
        <v>298</v>
      </c>
      <c r="G4920" s="9">
        <v>45232</v>
      </c>
      <c r="H4920" s="7"/>
      <c r="I4920" s="7"/>
      <c r="J4920" s="7"/>
      <c r="K4920" s="7"/>
      <c r="L4920" s="10">
        <v>5.5741092456127026</v>
      </c>
      <c r="M4920" s="9">
        <v>45237</v>
      </c>
      <c r="N4920" s="10">
        <v>5.5</v>
      </c>
      <c r="O4920" s="9">
        <v>45242</v>
      </c>
      <c r="P4920">
        <v>16</v>
      </c>
      <c r="Q4920" s="11" t="s">
        <v>49</v>
      </c>
      <c r="R4920" s="7"/>
      <c r="S4920" s="7"/>
      <c r="T4920" s="7"/>
      <c r="U4920" s="7"/>
      <c r="V4920" s="10">
        <v>7.5741092456127026</v>
      </c>
      <c r="W4920" s="9">
        <v>45239</v>
      </c>
      <c r="X4920" s="10">
        <v>7.5</v>
      </c>
      <c r="Y4920" s="9">
        <v>45242</v>
      </c>
      <c r="Z4920">
        <v>16</v>
      </c>
      <c r="AA4920" s="11" t="s">
        <v>49</v>
      </c>
    </row>
    <row r="4921" spans="2:27" ht="16" x14ac:dyDescent="0.2">
      <c r="B4921" t="s">
        <v>35</v>
      </c>
      <c r="C4921">
        <v>40351540</v>
      </c>
      <c r="D4921" t="s">
        <v>389</v>
      </c>
      <c r="E4921">
        <v>1022414</v>
      </c>
      <c r="F4921" t="s">
        <v>308</v>
      </c>
      <c r="G4921" s="9">
        <v>45233</v>
      </c>
      <c r="H4921" s="7"/>
      <c r="I4921" s="7"/>
      <c r="J4921" s="7"/>
      <c r="K4921" s="7"/>
      <c r="L4921" s="10">
        <v>5.5741092456127026</v>
      </c>
      <c r="M4921" s="9">
        <v>45238</v>
      </c>
      <c r="N4921" s="10">
        <v>5.5</v>
      </c>
      <c r="O4921" s="9">
        <v>45243</v>
      </c>
      <c r="P4921">
        <v>15</v>
      </c>
      <c r="Q4921" s="11" t="s">
        <v>49</v>
      </c>
      <c r="R4921" s="7"/>
      <c r="S4921" s="7"/>
      <c r="T4921" s="7"/>
      <c r="U4921" s="7"/>
      <c r="V4921" s="10">
        <v>7.5741092456127026</v>
      </c>
      <c r="W4921" s="9">
        <v>45240</v>
      </c>
      <c r="X4921" s="10">
        <v>7.5</v>
      </c>
      <c r="Y4921" s="9">
        <v>45243</v>
      </c>
      <c r="Z4921">
        <v>15</v>
      </c>
      <c r="AA4921" s="11" t="s">
        <v>49</v>
      </c>
    </row>
    <row r="4922" spans="2:27" ht="16" x14ac:dyDescent="0.2">
      <c r="B4922" t="s">
        <v>35</v>
      </c>
      <c r="C4922">
        <v>40351540</v>
      </c>
      <c r="D4922" t="s">
        <v>389</v>
      </c>
      <c r="E4922">
        <v>1022414</v>
      </c>
      <c r="F4922" t="s">
        <v>308</v>
      </c>
      <c r="G4922" s="9">
        <v>45234</v>
      </c>
      <c r="H4922" s="7"/>
      <c r="I4922" s="7"/>
      <c r="J4922" s="7"/>
      <c r="K4922" s="7"/>
      <c r="L4922" s="10">
        <v>5.5741092456127026</v>
      </c>
      <c r="M4922" s="9">
        <v>45239</v>
      </c>
      <c r="N4922" s="10">
        <v>5.5</v>
      </c>
      <c r="O4922" s="9">
        <v>45244</v>
      </c>
      <c r="P4922">
        <v>14</v>
      </c>
      <c r="Q4922" s="11" t="s">
        <v>49</v>
      </c>
      <c r="R4922" s="7"/>
      <c r="S4922" s="7"/>
      <c r="T4922" s="7"/>
      <c r="U4922" s="7"/>
      <c r="V4922" s="10">
        <v>7.5741092456127026</v>
      </c>
      <c r="W4922" s="9">
        <v>45241</v>
      </c>
      <c r="X4922" s="10">
        <v>7.5</v>
      </c>
      <c r="Y4922" s="9">
        <v>45244</v>
      </c>
      <c r="Z4922">
        <v>14</v>
      </c>
      <c r="AA4922" s="11" t="s">
        <v>49</v>
      </c>
    </row>
    <row r="4923" spans="2:27" ht="16" x14ac:dyDescent="0.2">
      <c r="B4923" t="s">
        <v>35</v>
      </c>
      <c r="C4923">
        <v>40351475</v>
      </c>
      <c r="D4923" t="s">
        <v>389</v>
      </c>
      <c r="E4923">
        <v>1022943</v>
      </c>
      <c r="F4923" t="s">
        <v>324</v>
      </c>
      <c r="G4923" s="9">
        <v>45235</v>
      </c>
      <c r="H4923" s="7"/>
      <c r="I4923" s="7"/>
      <c r="J4923" s="7"/>
      <c r="K4923" s="7"/>
      <c r="L4923" s="10">
        <v>5.5741092456127026</v>
      </c>
      <c r="M4923" s="9">
        <v>45240</v>
      </c>
      <c r="N4923" s="10">
        <v>5.5</v>
      </c>
      <c r="O4923" s="9">
        <v>45245</v>
      </c>
      <c r="P4923">
        <v>13</v>
      </c>
      <c r="Q4923" s="11" t="s">
        <v>49</v>
      </c>
      <c r="R4923" s="7"/>
      <c r="S4923" s="7"/>
      <c r="T4923" s="7"/>
      <c r="U4923" s="7"/>
      <c r="V4923" s="10">
        <v>7.5741092456127026</v>
      </c>
      <c r="W4923" s="9">
        <v>45242</v>
      </c>
      <c r="X4923" s="10">
        <v>7.5</v>
      </c>
      <c r="Y4923" s="9">
        <v>45245</v>
      </c>
      <c r="Z4923">
        <v>13</v>
      </c>
      <c r="AA4923" s="11" t="s">
        <v>49</v>
      </c>
    </row>
    <row r="4924" spans="2:27" ht="16" x14ac:dyDescent="0.2">
      <c r="B4924" t="s">
        <v>35</v>
      </c>
      <c r="C4924">
        <v>40351475</v>
      </c>
      <c r="D4924" t="s">
        <v>389</v>
      </c>
      <c r="E4924">
        <v>1022943</v>
      </c>
      <c r="F4924" t="s">
        <v>324</v>
      </c>
      <c r="G4924" s="9">
        <v>45236</v>
      </c>
      <c r="H4924" s="7"/>
      <c r="I4924" s="7"/>
      <c r="J4924" s="7"/>
      <c r="K4924" s="7"/>
      <c r="L4924" s="10">
        <v>5.5741092456127026</v>
      </c>
      <c r="M4924" s="9">
        <v>45241</v>
      </c>
      <c r="N4924" s="10">
        <v>5.5</v>
      </c>
      <c r="O4924" s="9">
        <v>45246</v>
      </c>
      <c r="P4924">
        <v>12</v>
      </c>
      <c r="Q4924" s="11" t="s">
        <v>49</v>
      </c>
      <c r="R4924" s="7"/>
      <c r="S4924" s="7"/>
      <c r="T4924" s="7"/>
      <c r="U4924" s="7"/>
      <c r="V4924" s="10">
        <v>7.5741092456127026</v>
      </c>
      <c r="W4924" s="9">
        <v>45243</v>
      </c>
      <c r="X4924" s="10">
        <v>7.5</v>
      </c>
      <c r="Y4924" s="9">
        <v>45246</v>
      </c>
      <c r="Z4924">
        <v>12</v>
      </c>
      <c r="AA4924" s="11" t="s">
        <v>49</v>
      </c>
    </row>
    <row r="4925" spans="2:27" ht="16" x14ac:dyDescent="0.2">
      <c r="B4925" t="s">
        <v>35</v>
      </c>
      <c r="C4925">
        <v>40351459</v>
      </c>
      <c r="D4925" t="s">
        <v>389</v>
      </c>
      <c r="E4925">
        <v>1021733</v>
      </c>
      <c r="F4925" t="s">
        <v>277</v>
      </c>
      <c r="G4925" s="9">
        <v>45237</v>
      </c>
      <c r="H4925" s="7"/>
      <c r="I4925" s="7"/>
      <c r="J4925" s="7"/>
      <c r="K4925" s="7"/>
      <c r="L4925" s="10">
        <v>5.5741092456127026</v>
      </c>
      <c r="M4925" s="9">
        <v>45242</v>
      </c>
      <c r="N4925" s="10">
        <v>5.5</v>
      </c>
      <c r="O4925" s="9">
        <v>45247</v>
      </c>
      <c r="P4925">
        <v>11</v>
      </c>
      <c r="Q4925" s="11" t="s">
        <v>49</v>
      </c>
      <c r="R4925" s="7"/>
      <c r="S4925" s="7"/>
      <c r="T4925" s="7"/>
      <c r="U4925" s="7"/>
      <c r="V4925" s="10">
        <v>7.5741092456127026</v>
      </c>
      <c r="W4925" s="9">
        <v>45244</v>
      </c>
      <c r="X4925" s="10">
        <v>7.5</v>
      </c>
      <c r="Y4925" s="9">
        <v>45247</v>
      </c>
      <c r="Z4925">
        <v>11</v>
      </c>
      <c r="AA4925" s="11" t="s">
        <v>49</v>
      </c>
    </row>
    <row r="4926" spans="2:27" ht="16" x14ac:dyDescent="0.2">
      <c r="B4926" t="s">
        <v>35</v>
      </c>
      <c r="C4926">
        <v>40351456</v>
      </c>
      <c r="D4926" t="s">
        <v>389</v>
      </c>
      <c r="E4926">
        <v>1021733</v>
      </c>
      <c r="F4926" t="s">
        <v>277</v>
      </c>
      <c r="G4926" s="9">
        <v>45238</v>
      </c>
      <c r="H4926" s="7"/>
      <c r="I4926" s="7"/>
      <c r="J4926" s="7"/>
      <c r="K4926" s="7"/>
      <c r="L4926" s="10">
        <v>5.5741092456127026</v>
      </c>
      <c r="M4926" s="9">
        <v>45243</v>
      </c>
      <c r="N4926" s="10">
        <v>5.5</v>
      </c>
      <c r="O4926" s="9">
        <v>45248</v>
      </c>
      <c r="P4926">
        <v>10</v>
      </c>
      <c r="Q4926" s="11" t="s">
        <v>49</v>
      </c>
      <c r="R4926" s="7"/>
      <c r="S4926" s="7"/>
      <c r="T4926" s="7"/>
      <c r="U4926" s="7"/>
      <c r="V4926" s="10">
        <v>7.5741092456127026</v>
      </c>
      <c r="W4926" s="9">
        <v>45245</v>
      </c>
      <c r="X4926" s="10">
        <v>7.5</v>
      </c>
      <c r="Y4926" s="9">
        <v>45248</v>
      </c>
      <c r="Z4926">
        <v>10</v>
      </c>
      <c r="AA4926" s="11" t="s">
        <v>49</v>
      </c>
    </row>
    <row r="4927" spans="2:27" ht="16" x14ac:dyDescent="0.2">
      <c r="B4927" t="s">
        <v>35</v>
      </c>
      <c r="C4927">
        <v>40349001</v>
      </c>
      <c r="D4927" t="s">
        <v>391</v>
      </c>
      <c r="E4927">
        <v>1012682</v>
      </c>
      <c r="F4927" t="s">
        <v>693</v>
      </c>
      <c r="G4927" s="9">
        <v>45239</v>
      </c>
      <c r="H4927" s="7"/>
      <c r="I4927" s="7"/>
      <c r="J4927" s="7"/>
      <c r="K4927" s="7"/>
      <c r="L4927" s="10">
        <v>4.830303030303031</v>
      </c>
      <c r="M4927" s="9">
        <v>45243</v>
      </c>
      <c r="N4927" s="10">
        <v>15</v>
      </c>
      <c r="O4927" s="9">
        <v>45258</v>
      </c>
      <c r="P4927">
        <v>2</v>
      </c>
      <c r="Q4927" s="11" t="s">
        <v>694</v>
      </c>
      <c r="R4927" s="7"/>
      <c r="S4927" s="7"/>
      <c r="T4927" s="7"/>
      <c r="U4927" s="7"/>
      <c r="V4927" s="10">
        <v>6.830303030303031</v>
      </c>
      <c r="W4927" s="9">
        <v>45245</v>
      </c>
      <c r="X4927" s="10">
        <v>17</v>
      </c>
      <c r="Y4927" s="9">
        <v>45258</v>
      </c>
      <c r="Z4927">
        <v>2</v>
      </c>
      <c r="AA4927" s="11" t="s">
        <v>694</v>
      </c>
    </row>
    <row r="4928" spans="2:27" x14ac:dyDescent="0.2">
      <c r="B4928" t="s">
        <v>394</v>
      </c>
      <c r="C4928">
        <v>40348424</v>
      </c>
      <c r="D4928" t="s">
        <v>485</v>
      </c>
      <c r="E4928">
        <v>1012556</v>
      </c>
      <c r="F4928" t="s">
        <v>489</v>
      </c>
      <c r="G4928" s="9">
        <v>45240</v>
      </c>
      <c r="H4928" s="7"/>
      <c r="I4928" s="7"/>
      <c r="J4928" s="7"/>
      <c r="K4928" s="7"/>
      <c r="L4928" s="10"/>
      <c r="N4928" s="10"/>
      <c r="Q4928" s="11"/>
      <c r="R4928" s="7"/>
      <c r="S4928" s="7"/>
      <c r="T4928" s="7"/>
      <c r="U4928" s="7"/>
      <c r="V4928" s="10"/>
      <c r="X4928" s="10"/>
      <c r="AA4928" s="11"/>
    </row>
    <row r="4929" spans="2:27" ht="16" x14ac:dyDescent="0.2">
      <c r="B4929" t="s">
        <v>35</v>
      </c>
      <c r="C4929">
        <v>40347772</v>
      </c>
      <c r="D4929" t="s">
        <v>409</v>
      </c>
      <c r="E4929">
        <v>1030452</v>
      </c>
      <c r="F4929" t="s">
        <v>77</v>
      </c>
      <c r="G4929" s="9">
        <v>45241</v>
      </c>
      <c r="H4929" s="7"/>
      <c r="I4929" s="7"/>
      <c r="J4929" s="7"/>
      <c r="K4929" s="7"/>
      <c r="L4929" s="10">
        <v>7.5</v>
      </c>
      <c r="M4929" s="9">
        <v>45248</v>
      </c>
      <c r="N4929" s="10">
        <v>9.5</v>
      </c>
      <c r="O4929" s="9">
        <v>45257</v>
      </c>
      <c r="P4929">
        <v>3</v>
      </c>
      <c r="Q4929" s="11" t="s">
        <v>49</v>
      </c>
      <c r="R4929" s="7"/>
      <c r="S4929" s="7"/>
      <c r="T4929" s="7"/>
      <c r="U4929" s="7"/>
      <c r="V4929" s="10">
        <v>9.5</v>
      </c>
      <c r="W4929" s="9">
        <v>45250</v>
      </c>
      <c r="X4929" s="10">
        <v>11.5</v>
      </c>
      <c r="Y4929" s="9">
        <v>45257</v>
      </c>
      <c r="Z4929">
        <v>3</v>
      </c>
      <c r="AA4929" s="11" t="s">
        <v>49</v>
      </c>
    </row>
    <row r="4930" spans="2:27" ht="16" x14ac:dyDescent="0.2">
      <c r="B4930" t="s">
        <v>35</v>
      </c>
      <c r="C4930">
        <v>40347772</v>
      </c>
      <c r="D4930" t="s">
        <v>409</v>
      </c>
      <c r="E4930">
        <v>1030782</v>
      </c>
      <c r="F4930" t="s">
        <v>80</v>
      </c>
      <c r="G4930" s="9">
        <v>45242</v>
      </c>
      <c r="H4930" s="7"/>
      <c r="I4930" s="7"/>
      <c r="J4930" s="7"/>
      <c r="K4930" s="7"/>
      <c r="L4930" s="10">
        <v>7.5</v>
      </c>
      <c r="M4930" s="9">
        <v>45249</v>
      </c>
      <c r="N4930" s="10">
        <v>9.5</v>
      </c>
      <c r="O4930" s="9">
        <v>45258</v>
      </c>
      <c r="P4930">
        <v>2</v>
      </c>
      <c r="Q4930" s="11" t="s">
        <v>694</v>
      </c>
      <c r="R4930" s="7"/>
      <c r="S4930" s="7"/>
      <c r="T4930" s="7"/>
      <c r="U4930" s="7"/>
      <c r="V4930" s="10">
        <v>9.5</v>
      </c>
      <c r="W4930" s="9">
        <v>45251</v>
      </c>
      <c r="X4930" s="10">
        <v>11.5</v>
      </c>
      <c r="Y4930" s="9">
        <v>45258</v>
      </c>
      <c r="Z4930">
        <v>2</v>
      </c>
      <c r="AA4930" s="11" t="s">
        <v>694</v>
      </c>
    </row>
    <row r="4931" spans="2:27" ht="16" x14ac:dyDescent="0.2">
      <c r="B4931" t="s">
        <v>35</v>
      </c>
      <c r="C4931">
        <v>40347772</v>
      </c>
      <c r="D4931" t="s">
        <v>409</v>
      </c>
      <c r="E4931">
        <v>1030376</v>
      </c>
      <c r="F4931" t="s">
        <v>357</v>
      </c>
      <c r="G4931" s="9">
        <v>45243</v>
      </c>
      <c r="H4931" s="7"/>
      <c r="I4931" s="7"/>
      <c r="J4931" s="7"/>
      <c r="K4931" s="7"/>
      <c r="L4931" s="10">
        <v>7.5</v>
      </c>
      <c r="M4931" s="9">
        <v>45250</v>
      </c>
      <c r="N4931" s="10">
        <v>9.5</v>
      </c>
      <c r="O4931" s="9">
        <v>45259</v>
      </c>
      <c r="P4931">
        <v>1</v>
      </c>
      <c r="Q4931" s="11" t="s">
        <v>694</v>
      </c>
      <c r="R4931" s="7"/>
      <c r="S4931" s="7"/>
      <c r="T4931" s="7"/>
      <c r="U4931" s="7"/>
      <c r="V4931" s="10">
        <v>9.5</v>
      </c>
      <c r="W4931" s="9">
        <v>45252</v>
      </c>
      <c r="X4931" s="10">
        <v>11.5</v>
      </c>
      <c r="Y4931" s="9">
        <v>45259</v>
      </c>
      <c r="Z4931">
        <v>1</v>
      </c>
      <c r="AA4931" s="11" t="s">
        <v>694</v>
      </c>
    </row>
    <row r="4932" spans="2:27" ht="16" x14ac:dyDescent="0.2">
      <c r="B4932" t="s">
        <v>35</v>
      </c>
      <c r="C4932">
        <v>40347772</v>
      </c>
      <c r="D4932" t="s">
        <v>409</v>
      </c>
      <c r="E4932">
        <v>1030321</v>
      </c>
      <c r="F4932" t="s">
        <v>349</v>
      </c>
      <c r="G4932" s="9">
        <v>45244</v>
      </c>
      <c r="H4932" s="7"/>
      <c r="I4932" s="7"/>
      <c r="J4932" s="7"/>
      <c r="K4932" s="7"/>
      <c r="L4932" s="10">
        <v>7.5</v>
      </c>
      <c r="M4932" s="9">
        <v>45251</v>
      </c>
      <c r="N4932" s="10">
        <v>9.5</v>
      </c>
      <c r="O4932" s="9">
        <v>45260</v>
      </c>
      <c r="P4932">
        <v>0</v>
      </c>
      <c r="Q4932" s="11" t="s">
        <v>694</v>
      </c>
      <c r="R4932" s="7"/>
      <c r="S4932" s="7"/>
      <c r="T4932" s="7"/>
      <c r="U4932" s="7"/>
      <c r="V4932" s="10">
        <v>9.5</v>
      </c>
      <c r="W4932" s="9">
        <v>45253</v>
      </c>
      <c r="X4932" s="10">
        <v>11.5</v>
      </c>
      <c r="Y4932" s="9">
        <v>45260</v>
      </c>
      <c r="Z4932">
        <v>0</v>
      </c>
      <c r="AA4932" s="11" t="s">
        <v>694</v>
      </c>
    </row>
    <row r="4933" spans="2:27" ht="16" x14ac:dyDescent="0.2">
      <c r="B4933" t="s">
        <v>35</v>
      </c>
      <c r="C4933">
        <v>40347772</v>
      </c>
      <c r="D4933" t="s">
        <v>409</v>
      </c>
      <c r="E4933">
        <v>1030366</v>
      </c>
      <c r="F4933" t="s">
        <v>353</v>
      </c>
      <c r="G4933" s="9">
        <v>45245</v>
      </c>
      <c r="H4933" s="7"/>
      <c r="I4933" s="7"/>
      <c r="J4933" s="7"/>
      <c r="K4933" s="7"/>
      <c r="L4933" s="10">
        <v>7.5</v>
      </c>
      <c r="M4933" s="9">
        <v>45252</v>
      </c>
      <c r="N4933" s="10">
        <v>9.5</v>
      </c>
      <c r="O4933" s="9">
        <v>45261</v>
      </c>
      <c r="P4933">
        <v>24</v>
      </c>
      <c r="Q4933" s="11" t="s">
        <v>49</v>
      </c>
      <c r="R4933" s="7"/>
      <c r="S4933" s="7"/>
      <c r="T4933" s="7"/>
      <c r="U4933" s="7"/>
      <c r="V4933" s="10">
        <v>9.5</v>
      </c>
      <c r="W4933" s="9">
        <v>45254</v>
      </c>
      <c r="X4933" s="10">
        <v>11.5</v>
      </c>
      <c r="Y4933" s="9">
        <v>45261</v>
      </c>
      <c r="Z4933">
        <v>24</v>
      </c>
      <c r="AA4933" s="11" t="s">
        <v>49</v>
      </c>
    </row>
    <row r="4934" spans="2:27" ht="16" x14ac:dyDescent="0.2">
      <c r="B4934" t="s">
        <v>35</v>
      </c>
      <c r="C4934">
        <v>40347772</v>
      </c>
      <c r="D4934" t="s">
        <v>409</v>
      </c>
      <c r="E4934">
        <v>1030785</v>
      </c>
      <c r="F4934" t="s">
        <v>365</v>
      </c>
      <c r="G4934" s="9">
        <v>45246</v>
      </c>
      <c r="H4934" s="7"/>
      <c r="I4934" s="7"/>
      <c r="J4934" s="7"/>
      <c r="K4934" s="7"/>
      <c r="L4934" s="10">
        <v>7.5</v>
      </c>
      <c r="M4934" s="9">
        <v>45253</v>
      </c>
      <c r="N4934" s="10">
        <v>9.5</v>
      </c>
      <c r="O4934" s="9">
        <v>45262</v>
      </c>
      <c r="P4934">
        <v>23</v>
      </c>
      <c r="Q4934" s="11" t="s">
        <v>49</v>
      </c>
      <c r="R4934" s="7"/>
      <c r="S4934" s="7"/>
      <c r="T4934" s="7"/>
      <c r="U4934" s="7"/>
      <c r="V4934" s="10">
        <v>9.5</v>
      </c>
      <c r="W4934" s="9">
        <v>45255</v>
      </c>
      <c r="X4934" s="10">
        <v>11.5</v>
      </c>
      <c r="Y4934" s="9">
        <v>45262</v>
      </c>
      <c r="Z4934">
        <v>23</v>
      </c>
      <c r="AA4934" s="11" t="s">
        <v>49</v>
      </c>
    </row>
    <row r="4935" spans="2:27" ht="16" x14ac:dyDescent="0.2">
      <c r="B4935" t="s">
        <v>35</v>
      </c>
      <c r="C4935">
        <v>40347772</v>
      </c>
      <c r="D4935" t="s">
        <v>409</v>
      </c>
      <c r="E4935">
        <v>1030784</v>
      </c>
      <c r="F4935" t="s">
        <v>363</v>
      </c>
      <c r="G4935" s="9">
        <v>45247</v>
      </c>
      <c r="H4935" s="7"/>
      <c r="I4935" s="7"/>
      <c r="J4935" s="7"/>
      <c r="K4935" s="7"/>
      <c r="L4935" s="10">
        <v>7.5</v>
      </c>
      <c r="M4935" s="9">
        <v>45254</v>
      </c>
      <c r="N4935" s="10">
        <v>9.5</v>
      </c>
      <c r="O4935" s="9">
        <v>45263</v>
      </c>
      <c r="P4935">
        <v>23</v>
      </c>
      <c r="Q4935" s="11" t="s">
        <v>49</v>
      </c>
      <c r="R4935" s="7"/>
      <c r="S4935" s="7"/>
      <c r="T4935" s="7"/>
      <c r="U4935" s="7"/>
      <c r="V4935" s="10">
        <v>9.5</v>
      </c>
      <c r="W4935" s="9">
        <v>45256</v>
      </c>
      <c r="X4935" s="10">
        <v>11.5</v>
      </c>
      <c r="Y4935" s="9">
        <v>45263</v>
      </c>
      <c r="Z4935">
        <v>23</v>
      </c>
      <c r="AA4935" s="11" t="s">
        <v>49</v>
      </c>
    </row>
    <row r="4936" spans="2:27" ht="16" x14ac:dyDescent="0.2">
      <c r="B4936" t="s">
        <v>35</v>
      </c>
      <c r="C4936">
        <v>40347772</v>
      </c>
      <c r="D4936" t="s">
        <v>409</v>
      </c>
      <c r="E4936">
        <v>1030360</v>
      </c>
      <c r="F4936" t="s">
        <v>351</v>
      </c>
      <c r="G4936" s="9">
        <v>45248</v>
      </c>
      <c r="H4936" s="7"/>
      <c r="I4936" s="7"/>
      <c r="J4936" s="7"/>
      <c r="K4936" s="7"/>
      <c r="L4936" s="10">
        <v>7.5</v>
      </c>
      <c r="M4936" s="9">
        <v>45255</v>
      </c>
      <c r="N4936" s="10">
        <v>9.5</v>
      </c>
      <c r="O4936" s="9">
        <v>45264</v>
      </c>
      <c r="P4936">
        <v>22</v>
      </c>
      <c r="Q4936" s="11" t="s">
        <v>49</v>
      </c>
      <c r="R4936" s="7"/>
      <c r="S4936" s="7"/>
      <c r="T4936" s="7"/>
      <c r="U4936" s="7"/>
      <c r="V4936" s="10">
        <v>9.5</v>
      </c>
      <c r="W4936" s="9">
        <v>45257</v>
      </c>
      <c r="X4936" s="10">
        <v>11.5</v>
      </c>
      <c r="Y4936" s="9">
        <v>45264</v>
      </c>
      <c r="Z4936">
        <v>22</v>
      </c>
      <c r="AA4936" s="11" t="s">
        <v>49</v>
      </c>
    </row>
    <row r="4937" spans="2:27" ht="16" x14ac:dyDescent="0.2">
      <c r="B4937" t="s">
        <v>35</v>
      </c>
      <c r="C4937">
        <v>40347135</v>
      </c>
      <c r="D4937" t="s">
        <v>423</v>
      </c>
      <c r="E4937">
        <v>1021555</v>
      </c>
      <c r="F4937" t="s">
        <v>422</v>
      </c>
      <c r="G4937" s="9">
        <v>45249</v>
      </c>
      <c r="H4937" s="7"/>
      <c r="I4937" s="7"/>
      <c r="J4937" s="7"/>
      <c r="K4937" s="7"/>
      <c r="L4937" s="10">
        <v>5.4496124031007751</v>
      </c>
      <c r="M4937" s="9">
        <v>45254</v>
      </c>
      <c r="N4937" s="10">
        <v>10</v>
      </c>
      <c r="O4937" s="9">
        <v>45264</v>
      </c>
      <c r="P4937">
        <v>22</v>
      </c>
      <c r="Q4937" s="11" t="s">
        <v>49</v>
      </c>
      <c r="R4937" s="7"/>
      <c r="S4937" s="7"/>
      <c r="T4937" s="7"/>
      <c r="U4937" s="7"/>
      <c r="V4937" s="10">
        <v>7.4496124031007751</v>
      </c>
      <c r="W4937" s="9">
        <v>45256</v>
      </c>
      <c r="X4937" s="10">
        <v>12</v>
      </c>
      <c r="Y4937" s="9">
        <v>45264</v>
      </c>
      <c r="Z4937">
        <v>22</v>
      </c>
      <c r="AA4937" s="11" t="s">
        <v>49</v>
      </c>
    </row>
    <row r="4938" spans="2:27" ht="16" x14ac:dyDescent="0.2">
      <c r="B4938" t="s">
        <v>35</v>
      </c>
      <c r="C4938">
        <v>40347114</v>
      </c>
      <c r="D4938" t="s">
        <v>423</v>
      </c>
      <c r="E4938">
        <v>1023218</v>
      </c>
      <c r="F4938" t="s">
        <v>265</v>
      </c>
      <c r="G4938" s="9">
        <v>45250</v>
      </c>
      <c r="H4938" s="7"/>
      <c r="I4938" s="7"/>
      <c r="J4938" s="7"/>
      <c r="K4938" s="7"/>
      <c r="L4938" s="10">
        <v>5.4496124031007751</v>
      </c>
      <c r="M4938" s="9">
        <v>45255</v>
      </c>
      <c r="N4938" s="10">
        <v>10</v>
      </c>
      <c r="O4938" s="9">
        <v>45265</v>
      </c>
      <c r="P4938">
        <v>21</v>
      </c>
      <c r="Q4938" s="11" t="s">
        <v>49</v>
      </c>
      <c r="R4938" s="7"/>
      <c r="S4938" s="7"/>
      <c r="T4938" s="7"/>
      <c r="U4938" s="7"/>
      <c r="V4938" s="10">
        <v>7.4496124031007751</v>
      </c>
      <c r="W4938" s="9">
        <v>45257</v>
      </c>
      <c r="X4938" s="10">
        <v>12</v>
      </c>
      <c r="Y4938" s="9">
        <v>45265</v>
      </c>
      <c r="Z4938">
        <v>21</v>
      </c>
      <c r="AA4938" s="11" t="s">
        <v>49</v>
      </c>
    </row>
    <row r="4939" spans="2:27" ht="16" x14ac:dyDescent="0.2">
      <c r="B4939" t="s">
        <v>35</v>
      </c>
      <c r="C4939">
        <v>40347114</v>
      </c>
      <c r="D4939" t="s">
        <v>423</v>
      </c>
      <c r="E4939">
        <v>1023218</v>
      </c>
      <c r="F4939" t="s">
        <v>265</v>
      </c>
      <c r="G4939" s="9">
        <v>45251</v>
      </c>
      <c r="H4939" s="7"/>
      <c r="I4939" s="7"/>
      <c r="J4939" s="7"/>
      <c r="K4939" s="7"/>
      <c r="L4939" s="10">
        <v>5.4496124031007751</v>
      </c>
      <c r="M4939" s="9">
        <v>45256</v>
      </c>
      <c r="N4939" s="10">
        <v>10</v>
      </c>
      <c r="O4939" s="9">
        <v>45266</v>
      </c>
      <c r="P4939">
        <v>20</v>
      </c>
      <c r="Q4939" s="11" t="s">
        <v>49</v>
      </c>
      <c r="R4939" s="7"/>
      <c r="S4939" s="7"/>
      <c r="T4939" s="7"/>
      <c r="U4939" s="7"/>
      <c r="V4939" s="10">
        <v>7.4496124031007751</v>
      </c>
      <c r="W4939" s="9">
        <v>45258</v>
      </c>
      <c r="X4939" s="10">
        <v>12</v>
      </c>
      <c r="Y4939" s="9">
        <v>45266</v>
      </c>
      <c r="Z4939">
        <v>20</v>
      </c>
      <c r="AA4939" s="11" t="s">
        <v>49</v>
      </c>
    </row>
    <row r="4940" spans="2:27" x14ac:dyDescent="0.2">
      <c r="B4940" t="s">
        <v>394</v>
      </c>
      <c r="C4940">
        <v>40346283</v>
      </c>
      <c r="D4940" t="s">
        <v>396</v>
      </c>
      <c r="E4940">
        <v>1022607</v>
      </c>
      <c r="F4940" t="s">
        <v>405</v>
      </c>
      <c r="G4940" s="9">
        <v>45252</v>
      </c>
      <c r="H4940" s="7"/>
      <c r="I4940" s="7"/>
      <c r="J4940" s="7"/>
      <c r="K4940" s="7"/>
      <c r="L4940" s="10"/>
      <c r="N4940" s="10"/>
      <c r="Q4940" s="11"/>
      <c r="R4940" s="7"/>
      <c r="S4940" s="7"/>
      <c r="T4940" s="7"/>
      <c r="U4940" s="7"/>
      <c r="V4940" s="10"/>
      <c r="X4940" s="10"/>
      <c r="AA4940" s="11"/>
    </row>
    <row r="4941" spans="2:27" x14ac:dyDescent="0.2">
      <c r="B4941" t="s">
        <v>394</v>
      </c>
      <c r="C4941">
        <v>40352332</v>
      </c>
      <c r="D4941" t="s">
        <v>485</v>
      </c>
      <c r="E4941">
        <v>1012719</v>
      </c>
      <c r="F4941" t="s">
        <v>545</v>
      </c>
      <c r="G4941" s="9">
        <v>45253</v>
      </c>
      <c r="H4941" s="7"/>
      <c r="I4941" s="7"/>
      <c r="J4941" s="7"/>
      <c r="K4941" s="7"/>
      <c r="L4941" s="10"/>
      <c r="N4941" s="10"/>
      <c r="Q4941" s="11"/>
      <c r="R4941" s="7"/>
      <c r="S4941" s="7"/>
      <c r="T4941" s="7"/>
      <c r="U4941" s="7"/>
      <c r="V4941" s="10"/>
      <c r="X4941" s="10"/>
      <c r="AA4941" s="11"/>
    </row>
    <row r="4942" spans="2:27" ht="16" x14ac:dyDescent="0.2">
      <c r="B4942" t="s">
        <v>35</v>
      </c>
      <c r="C4942">
        <v>40351975</v>
      </c>
      <c r="D4942" t="s">
        <v>423</v>
      </c>
      <c r="E4942">
        <v>1012278</v>
      </c>
      <c r="F4942" t="s">
        <v>230</v>
      </c>
      <c r="G4942" s="9">
        <v>45254</v>
      </c>
      <c r="H4942" s="7"/>
      <c r="I4942" s="7"/>
      <c r="J4942" s="7"/>
      <c r="K4942" s="7"/>
      <c r="L4942" s="10">
        <v>5.4496124031007751</v>
      </c>
      <c r="M4942" s="9">
        <v>45259</v>
      </c>
      <c r="N4942" s="10">
        <v>10</v>
      </c>
      <c r="O4942" s="9">
        <v>45269</v>
      </c>
      <c r="P4942">
        <v>17</v>
      </c>
      <c r="Q4942" s="11" t="s">
        <v>49</v>
      </c>
      <c r="R4942" s="7"/>
      <c r="S4942" s="7"/>
      <c r="T4942" s="7"/>
      <c r="U4942" s="7"/>
      <c r="V4942" s="10">
        <v>7.4496124031007751</v>
      </c>
      <c r="W4942" s="9">
        <v>45261</v>
      </c>
      <c r="X4942" s="10">
        <v>12</v>
      </c>
      <c r="Y4942" s="9">
        <v>45269</v>
      </c>
      <c r="Z4942">
        <v>17</v>
      </c>
      <c r="AA4942" s="11" t="s">
        <v>49</v>
      </c>
    </row>
    <row r="4943" spans="2:27" ht="16" x14ac:dyDescent="0.2">
      <c r="B4943" t="s">
        <v>35</v>
      </c>
      <c r="C4943">
        <v>40354283</v>
      </c>
      <c r="D4943" t="s">
        <v>409</v>
      </c>
      <c r="E4943">
        <v>1021538</v>
      </c>
      <c r="F4943" t="s">
        <v>256</v>
      </c>
      <c r="G4943" s="9">
        <v>45255</v>
      </c>
      <c r="H4943" s="7"/>
      <c r="I4943" s="7"/>
      <c r="J4943" s="7"/>
      <c r="K4943" s="7"/>
      <c r="L4943" s="10">
        <v>7.5</v>
      </c>
      <c r="M4943" s="9">
        <v>45262</v>
      </c>
      <c r="N4943" s="10">
        <v>9.5</v>
      </c>
      <c r="O4943" s="9">
        <v>45271</v>
      </c>
      <c r="P4943">
        <v>16</v>
      </c>
      <c r="Q4943" s="11" t="s">
        <v>49</v>
      </c>
      <c r="R4943" s="7"/>
      <c r="S4943" s="7"/>
      <c r="T4943" s="7"/>
      <c r="U4943" s="7"/>
      <c r="V4943" s="10">
        <v>9.5</v>
      </c>
      <c r="W4943" s="9">
        <v>45264</v>
      </c>
      <c r="X4943" s="10">
        <v>11.5</v>
      </c>
      <c r="Y4943" s="9">
        <v>45271</v>
      </c>
      <c r="Z4943">
        <v>16</v>
      </c>
      <c r="AA4943" s="11" t="s">
        <v>49</v>
      </c>
    </row>
    <row r="4944" spans="2:27" ht="16" x14ac:dyDescent="0.2">
      <c r="B4944" t="s">
        <v>35</v>
      </c>
      <c r="C4944">
        <v>40354283</v>
      </c>
      <c r="D4944" t="s">
        <v>409</v>
      </c>
      <c r="E4944">
        <v>1023446</v>
      </c>
      <c r="F4944" t="s">
        <v>614</v>
      </c>
      <c r="G4944" s="9">
        <v>45256</v>
      </c>
      <c r="H4944" s="7"/>
      <c r="I4944" s="7"/>
      <c r="J4944" s="7"/>
      <c r="K4944" s="7"/>
      <c r="L4944" s="10">
        <v>7.5</v>
      </c>
      <c r="M4944" s="9">
        <v>45263</v>
      </c>
      <c r="N4944" s="10">
        <v>9.5</v>
      </c>
      <c r="O4944" s="9">
        <v>45272</v>
      </c>
      <c r="P4944">
        <v>15</v>
      </c>
      <c r="Q4944" s="11" t="s">
        <v>49</v>
      </c>
      <c r="R4944" s="7"/>
      <c r="S4944" s="7"/>
      <c r="T4944" s="7"/>
      <c r="U4944" s="7"/>
      <c r="V4944" s="10">
        <v>9.5</v>
      </c>
      <c r="W4944" s="9">
        <v>45265</v>
      </c>
      <c r="X4944" s="10">
        <v>11.5</v>
      </c>
      <c r="Y4944" s="9">
        <v>45272</v>
      </c>
      <c r="Z4944">
        <v>15</v>
      </c>
      <c r="AA4944" s="11" t="s">
        <v>49</v>
      </c>
    </row>
    <row r="4945" spans="2:27" ht="16" x14ac:dyDescent="0.2">
      <c r="B4945" t="s">
        <v>35</v>
      </c>
      <c r="C4945">
        <v>40352510</v>
      </c>
      <c r="D4945" t="s">
        <v>409</v>
      </c>
      <c r="E4945">
        <v>1012161</v>
      </c>
      <c r="F4945" t="s">
        <v>101</v>
      </c>
      <c r="G4945" s="9">
        <v>45257</v>
      </c>
      <c r="H4945" s="7"/>
      <c r="I4945" s="7"/>
      <c r="J4945" s="7"/>
      <c r="K4945" s="7"/>
      <c r="L4945" s="10">
        <v>7.5</v>
      </c>
      <c r="M4945" s="9">
        <v>45264</v>
      </c>
      <c r="N4945" s="10">
        <v>9.5</v>
      </c>
      <c r="O4945" s="9">
        <v>45273</v>
      </c>
      <c r="P4945">
        <v>14</v>
      </c>
      <c r="Q4945" s="11" t="s">
        <v>49</v>
      </c>
      <c r="R4945" s="7"/>
      <c r="S4945" s="7"/>
      <c r="T4945" s="7"/>
      <c r="U4945" s="7"/>
      <c r="V4945" s="10">
        <v>9.5</v>
      </c>
      <c r="W4945" s="9">
        <v>45266</v>
      </c>
      <c r="X4945" s="10">
        <v>11.5</v>
      </c>
      <c r="Y4945" s="9">
        <v>45273</v>
      </c>
      <c r="Z4945">
        <v>14</v>
      </c>
      <c r="AA4945" s="11" t="s">
        <v>49</v>
      </c>
    </row>
    <row r="4946" spans="2:27" ht="16" x14ac:dyDescent="0.2">
      <c r="B4946" t="s">
        <v>35</v>
      </c>
      <c r="C4946">
        <v>40351714</v>
      </c>
      <c r="D4946" t="s">
        <v>409</v>
      </c>
      <c r="E4946">
        <v>1012163</v>
      </c>
      <c r="F4946" t="s">
        <v>140</v>
      </c>
      <c r="G4946" s="9">
        <v>45258</v>
      </c>
      <c r="H4946" s="7"/>
      <c r="I4946" s="7"/>
      <c r="J4946" s="7"/>
      <c r="K4946" s="7"/>
      <c r="L4946" s="10">
        <v>7.5</v>
      </c>
      <c r="M4946" s="9">
        <v>45265</v>
      </c>
      <c r="N4946" s="10">
        <v>9.5</v>
      </c>
      <c r="O4946" s="9">
        <v>45274</v>
      </c>
      <c r="P4946">
        <v>13</v>
      </c>
      <c r="Q4946" s="11" t="s">
        <v>49</v>
      </c>
      <c r="R4946" s="7"/>
      <c r="S4946" s="7"/>
      <c r="T4946" s="7"/>
      <c r="U4946" s="7"/>
      <c r="V4946" s="10">
        <v>9.5</v>
      </c>
      <c r="W4946" s="9">
        <v>45267</v>
      </c>
      <c r="X4946" s="10">
        <v>11.5</v>
      </c>
      <c r="Y4946" s="9">
        <v>45274</v>
      </c>
      <c r="Z4946">
        <v>13</v>
      </c>
      <c r="AA4946" s="11" t="s">
        <v>49</v>
      </c>
    </row>
    <row r="4947" spans="2:27" x14ac:dyDescent="0.2">
      <c r="B4947" t="s">
        <v>394</v>
      </c>
      <c r="C4947">
        <v>40347978</v>
      </c>
      <c r="D4947" t="s">
        <v>485</v>
      </c>
      <c r="E4947">
        <v>1021078</v>
      </c>
      <c r="F4947" t="s">
        <v>536</v>
      </c>
      <c r="G4947" s="9">
        <v>45259</v>
      </c>
      <c r="H4947" s="7"/>
      <c r="I4947" s="7"/>
      <c r="J4947" s="7"/>
      <c r="K4947" s="7"/>
      <c r="L4947" s="10"/>
      <c r="N4947" s="10"/>
      <c r="Q4947" s="11"/>
      <c r="R4947" s="7"/>
      <c r="S4947" s="7"/>
      <c r="T4947" s="7"/>
      <c r="U4947" s="7"/>
      <c r="V4947" s="10"/>
      <c r="X4947" s="10"/>
      <c r="AA4947" s="11"/>
    </row>
    <row r="4948" spans="2:27" x14ac:dyDescent="0.2">
      <c r="B4948" t="s">
        <v>394</v>
      </c>
      <c r="C4948">
        <v>40347978</v>
      </c>
      <c r="D4948" t="s">
        <v>485</v>
      </c>
      <c r="E4948">
        <v>1021078</v>
      </c>
      <c r="F4948" t="s">
        <v>536</v>
      </c>
      <c r="G4948" s="9">
        <v>45260</v>
      </c>
      <c r="H4948" s="7"/>
      <c r="I4948" s="7"/>
      <c r="J4948" s="7"/>
      <c r="K4948" s="7"/>
      <c r="L4948" s="10"/>
      <c r="N4948" s="10"/>
      <c r="Q4948" s="11"/>
      <c r="R4948" s="7"/>
      <c r="S4948" s="7"/>
      <c r="T4948" s="7"/>
      <c r="U4948" s="7"/>
      <c r="V4948" s="10"/>
      <c r="X4948" s="10"/>
      <c r="AA4948" s="11"/>
    </row>
    <row r="4949" spans="2:27" x14ac:dyDescent="0.2">
      <c r="B4949" t="s">
        <v>394</v>
      </c>
      <c r="C4949">
        <v>40352789</v>
      </c>
      <c r="D4949" t="s">
        <v>396</v>
      </c>
      <c r="E4949">
        <v>1022885</v>
      </c>
      <c r="F4949" t="s">
        <v>401</v>
      </c>
      <c r="G4949" s="9">
        <v>45261</v>
      </c>
      <c r="H4949" s="7"/>
      <c r="I4949" s="7"/>
      <c r="J4949" s="7"/>
      <c r="K4949" s="7"/>
      <c r="L4949" s="10"/>
      <c r="N4949" s="10"/>
      <c r="Q4949" s="11"/>
      <c r="R4949" s="7"/>
      <c r="S4949" s="7"/>
      <c r="T4949" s="7"/>
      <c r="U4949" s="7"/>
      <c r="V4949" s="10"/>
      <c r="X4949" s="10"/>
      <c r="AA4949" s="11"/>
    </row>
    <row r="4950" spans="2:27" ht="16" x14ac:dyDescent="0.2">
      <c r="B4950" t="s">
        <v>35</v>
      </c>
      <c r="C4950">
        <v>40351317</v>
      </c>
      <c r="D4950" t="s">
        <v>389</v>
      </c>
      <c r="E4950">
        <v>1021992</v>
      </c>
      <c r="F4950" t="s">
        <v>290</v>
      </c>
      <c r="G4950" s="9">
        <v>45262</v>
      </c>
      <c r="H4950" s="7"/>
      <c r="I4950" s="7"/>
      <c r="J4950" s="7"/>
      <c r="K4950" s="7"/>
      <c r="L4950" s="10">
        <v>5.5741092456127026</v>
      </c>
      <c r="M4950" s="9">
        <v>45267</v>
      </c>
      <c r="N4950" s="10">
        <v>5.5</v>
      </c>
      <c r="O4950" s="9">
        <v>45272</v>
      </c>
      <c r="P4950">
        <v>16</v>
      </c>
      <c r="Q4950" s="11" t="s">
        <v>49</v>
      </c>
      <c r="R4950" s="7"/>
      <c r="S4950" s="7"/>
      <c r="T4950" s="7"/>
      <c r="U4950" s="7"/>
      <c r="V4950" s="10">
        <v>7.5741092456127026</v>
      </c>
      <c r="W4950" s="9">
        <v>45269</v>
      </c>
      <c r="X4950" s="10">
        <v>7.5</v>
      </c>
      <c r="Y4950" s="9">
        <v>45272</v>
      </c>
      <c r="Z4950">
        <v>16</v>
      </c>
      <c r="AA4950" s="11" t="s">
        <v>49</v>
      </c>
    </row>
    <row r="4951" spans="2:27" ht="16" x14ac:dyDescent="0.2">
      <c r="B4951" t="s">
        <v>35</v>
      </c>
      <c r="C4951">
        <v>40351317</v>
      </c>
      <c r="D4951" t="s">
        <v>389</v>
      </c>
      <c r="E4951">
        <v>1021992</v>
      </c>
      <c r="F4951" t="s">
        <v>290</v>
      </c>
      <c r="G4951" s="9">
        <v>45263</v>
      </c>
      <c r="H4951" s="7"/>
      <c r="I4951" s="7"/>
      <c r="J4951" s="7"/>
      <c r="K4951" s="7"/>
      <c r="L4951" s="10">
        <v>5.5741092456127026</v>
      </c>
      <c r="M4951" s="9">
        <v>45268</v>
      </c>
      <c r="N4951" s="10">
        <v>5.5</v>
      </c>
      <c r="O4951" s="9">
        <v>45273</v>
      </c>
      <c r="P4951">
        <v>15</v>
      </c>
      <c r="Q4951" s="11" t="s">
        <v>49</v>
      </c>
      <c r="R4951" s="7"/>
      <c r="S4951" s="7"/>
      <c r="T4951" s="7"/>
      <c r="U4951" s="7"/>
      <c r="V4951" s="10">
        <v>7.5741092456127026</v>
      </c>
      <c r="W4951" s="9">
        <v>45270</v>
      </c>
      <c r="X4951" s="10">
        <v>7.5</v>
      </c>
      <c r="Y4951" s="9">
        <v>45273</v>
      </c>
      <c r="Z4951">
        <v>15</v>
      </c>
      <c r="AA4951" s="11" t="s">
        <v>49</v>
      </c>
    </row>
    <row r="4952" spans="2:27" ht="16" x14ac:dyDescent="0.2">
      <c r="B4952" t="s">
        <v>35</v>
      </c>
      <c r="C4952">
        <v>40351358</v>
      </c>
      <c r="D4952" t="s">
        <v>389</v>
      </c>
      <c r="E4952">
        <v>1021732</v>
      </c>
      <c r="F4952" t="s">
        <v>275</v>
      </c>
      <c r="G4952" s="9">
        <v>45264</v>
      </c>
      <c r="H4952" s="7"/>
      <c r="I4952" s="7"/>
      <c r="J4952" s="7"/>
      <c r="K4952" s="7"/>
      <c r="L4952" s="10">
        <v>5.5741092456127026</v>
      </c>
      <c r="M4952" s="9">
        <v>45269</v>
      </c>
      <c r="N4952" s="10">
        <v>5.5</v>
      </c>
      <c r="O4952" s="9">
        <v>45274</v>
      </c>
      <c r="P4952">
        <v>14</v>
      </c>
      <c r="Q4952" s="11" t="s">
        <v>49</v>
      </c>
      <c r="R4952" s="7"/>
      <c r="S4952" s="7"/>
      <c r="T4952" s="7"/>
      <c r="U4952" s="7"/>
      <c r="V4952" s="10">
        <v>7.5741092456127026</v>
      </c>
      <c r="W4952" s="9">
        <v>45271</v>
      </c>
      <c r="X4952" s="10">
        <v>7.5</v>
      </c>
      <c r="Y4952" s="9">
        <v>45274</v>
      </c>
      <c r="Z4952">
        <v>14</v>
      </c>
      <c r="AA4952" s="11" t="s">
        <v>49</v>
      </c>
    </row>
    <row r="4953" spans="2:27" ht="16" x14ac:dyDescent="0.2">
      <c r="B4953" t="s">
        <v>35</v>
      </c>
      <c r="C4953">
        <v>40351358</v>
      </c>
      <c r="D4953" t="s">
        <v>389</v>
      </c>
      <c r="E4953">
        <v>1021732</v>
      </c>
      <c r="F4953" t="s">
        <v>275</v>
      </c>
      <c r="G4953" s="9">
        <v>45265</v>
      </c>
      <c r="H4953" s="7"/>
      <c r="I4953" s="7"/>
      <c r="J4953" s="7"/>
      <c r="K4953" s="7"/>
      <c r="L4953" s="10">
        <v>5.5741092456127026</v>
      </c>
      <c r="M4953" s="9">
        <v>45270</v>
      </c>
      <c r="N4953" s="10">
        <v>5.5</v>
      </c>
      <c r="O4953" s="9">
        <v>45275</v>
      </c>
      <c r="P4953">
        <v>13</v>
      </c>
      <c r="Q4953" s="11" t="s">
        <v>49</v>
      </c>
      <c r="R4953" s="7"/>
      <c r="S4953" s="7"/>
      <c r="T4953" s="7"/>
      <c r="U4953" s="7"/>
      <c r="V4953" s="10">
        <v>7.5741092456127026</v>
      </c>
      <c r="W4953" s="9">
        <v>45272</v>
      </c>
      <c r="X4953" s="10">
        <v>7.5</v>
      </c>
      <c r="Y4953" s="9">
        <v>45275</v>
      </c>
      <c r="Z4953">
        <v>13</v>
      </c>
      <c r="AA4953" s="11" t="s">
        <v>49</v>
      </c>
    </row>
    <row r="4954" spans="2:27" ht="16" x14ac:dyDescent="0.2">
      <c r="B4954" t="s">
        <v>35</v>
      </c>
      <c r="C4954">
        <v>40355394</v>
      </c>
      <c r="D4954" t="s">
        <v>386</v>
      </c>
      <c r="E4954">
        <v>1030711</v>
      </c>
      <c r="F4954" t="s">
        <v>544</v>
      </c>
      <c r="G4954" s="9">
        <v>45276</v>
      </c>
      <c r="H4954" s="7"/>
      <c r="I4954" s="7"/>
      <c r="J4954" s="7"/>
      <c r="K4954" s="7"/>
      <c r="L4954" s="10">
        <v>5.1420118343195256</v>
      </c>
      <c r="M4954" s="9">
        <v>45281</v>
      </c>
      <c r="N4954" s="10">
        <v>7.5</v>
      </c>
      <c r="O4954" s="9">
        <v>45288</v>
      </c>
      <c r="P4954">
        <v>2</v>
      </c>
      <c r="Q4954" s="11" t="s">
        <v>652</v>
      </c>
      <c r="R4954" s="7"/>
      <c r="S4954" s="7"/>
      <c r="T4954" s="7"/>
      <c r="U4954" s="7"/>
      <c r="V4954" s="10">
        <v>7.1420118343195256</v>
      </c>
      <c r="W4954" s="9">
        <v>45283</v>
      </c>
      <c r="X4954" s="10">
        <v>9.5</v>
      </c>
      <c r="Y4954" s="9">
        <v>45288</v>
      </c>
      <c r="Z4954">
        <v>2</v>
      </c>
      <c r="AA4954" s="11" t="s">
        <v>652</v>
      </c>
    </row>
    <row r="4955" spans="2:27" x14ac:dyDescent="0.2">
      <c r="B4955" t="s">
        <v>394</v>
      </c>
      <c r="C4955">
        <v>40347977</v>
      </c>
      <c r="D4955" t="s">
        <v>485</v>
      </c>
      <c r="E4955">
        <v>1020848</v>
      </c>
      <c r="F4955" t="s">
        <v>503</v>
      </c>
      <c r="G4955" s="9">
        <v>45267</v>
      </c>
      <c r="H4955" s="7"/>
      <c r="I4955" s="7"/>
      <c r="J4955" s="7"/>
      <c r="K4955" s="7"/>
      <c r="L4955" s="10"/>
      <c r="N4955" s="10"/>
      <c r="Q4955" s="11"/>
      <c r="R4955" s="7"/>
      <c r="S4955" s="7"/>
      <c r="T4955" s="7"/>
      <c r="U4955" s="7"/>
      <c r="V4955" s="10"/>
      <c r="X4955" s="10"/>
      <c r="AA4955" s="11"/>
    </row>
    <row r="4956" spans="2:27" x14ac:dyDescent="0.2">
      <c r="B4956" t="s">
        <v>394</v>
      </c>
      <c r="C4956">
        <v>40348164</v>
      </c>
      <c r="D4956" t="s">
        <v>485</v>
      </c>
      <c r="E4956">
        <v>1020848</v>
      </c>
      <c r="F4956" t="s">
        <v>503</v>
      </c>
      <c r="G4956" s="9">
        <v>45268</v>
      </c>
      <c r="H4956" s="7"/>
      <c r="I4956" s="7"/>
      <c r="J4956" s="7"/>
      <c r="K4956" s="7"/>
      <c r="L4956" s="10"/>
      <c r="N4956" s="10"/>
      <c r="Q4956" s="11"/>
      <c r="R4956" s="7"/>
      <c r="S4956" s="7"/>
      <c r="T4956" s="7"/>
      <c r="U4956" s="7"/>
      <c r="V4956" s="10"/>
      <c r="X4956" s="10"/>
      <c r="AA4956" s="11"/>
    </row>
    <row r="4957" spans="2:27" x14ac:dyDescent="0.2">
      <c r="B4957" t="s">
        <v>394</v>
      </c>
      <c r="C4957">
        <v>40347986</v>
      </c>
      <c r="D4957" t="s">
        <v>485</v>
      </c>
      <c r="E4957">
        <v>1021092</v>
      </c>
      <c r="F4957" t="s">
        <v>525</v>
      </c>
      <c r="G4957" s="9">
        <v>45269</v>
      </c>
      <c r="H4957" s="7"/>
      <c r="I4957" s="7"/>
      <c r="J4957" s="7"/>
      <c r="K4957" s="7"/>
      <c r="L4957" s="10"/>
      <c r="N4957" s="10"/>
      <c r="Q4957" s="11"/>
      <c r="R4957" s="7"/>
      <c r="S4957" s="7"/>
      <c r="T4957" s="7"/>
      <c r="U4957" s="7"/>
      <c r="V4957" s="10"/>
      <c r="X4957" s="10"/>
      <c r="AA4957" s="11"/>
    </row>
    <row r="4958" spans="2:27" x14ac:dyDescent="0.2">
      <c r="B4958" t="s">
        <v>394</v>
      </c>
      <c r="C4958">
        <v>40347986</v>
      </c>
      <c r="D4958" t="s">
        <v>485</v>
      </c>
      <c r="E4958">
        <v>1021092</v>
      </c>
      <c r="F4958" t="s">
        <v>525</v>
      </c>
      <c r="G4958" s="9">
        <v>45270</v>
      </c>
      <c r="H4958" s="7"/>
      <c r="I4958" s="7"/>
      <c r="J4958" s="7"/>
      <c r="K4958" s="7"/>
      <c r="L4958" s="10"/>
      <c r="N4958" s="10"/>
      <c r="Q4958" s="11"/>
      <c r="R4958" s="7"/>
      <c r="S4958" s="7"/>
      <c r="T4958" s="7"/>
      <c r="U4958" s="7"/>
      <c r="V4958" s="10"/>
      <c r="X4958" s="10"/>
      <c r="AA4958" s="11"/>
    </row>
    <row r="4959" spans="2:27" x14ac:dyDescent="0.2">
      <c r="B4959" t="s">
        <v>394</v>
      </c>
      <c r="C4959">
        <v>40345944</v>
      </c>
      <c r="D4959" t="s">
        <v>485</v>
      </c>
      <c r="E4959">
        <v>1021078</v>
      </c>
      <c r="F4959" t="s">
        <v>536</v>
      </c>
      <c r="G4959" s="9">
        <v>45271</v>
      </c>
      <c r="H4959" s="7"/>
      <c r="I4959" s="7"/>
      <c r="J4959" s="7"/>
      <c r="K4959" s="7"/>
      <c r="L4959" s="10"/>
      <c r="N4959" s="10"/>
      <c r="Q4959" s="11"/>
      <c r="R4959" s="7"/>
      <c r="S4959" s="7"/>
      <c r="T4959" s="7"/>
      <c r="U4959" s="7"/>
      <c r="V4959" s="10"/>
      <c r="X4959" s="10"/>
      <c r="AA4959" s="11"/>
    </row>
    <row r="4960" spans="2:27" x14ac:dyDescent="0.2">
      <c r="B4960" t="s">
        <v>394</v>
      </c>
      <c r="C4960">
        <v>40314898</v>
      </c>
      <c r="D4960" t="s">
        <v>485</v>
      </c>
      <c r="E4960">
        <v>1023391</v>
      </c>
      <c r="F4960" t="s">
        <v>637</v>
      </c>
      <c r="G4960" s="9">
        <v>45272</v>
      </c>
      <c r="H4960" s="7"/>
      <c r="I4960" s="7"/>
      <c r="J4960" s="7"/>
      <c r="K4960" s="7"/>
      <c r="L4960" s="10"/>
      <c r="N4960" s="10"/>
      <c r="Q4960" s="11"/>
      <c r="R4960" s="7"/>
      <c r="S4960" s="7"/>
      <c r="T4960" s="7"/>
      <c r="U4960" s="7"/>
      <c r="V4960" s="10"/>
      <c r="X4960" s="10"/>
      <c r="AA4960" s="11"/>
    </row>
    <row r="4961" spans="2:27" x14ac:dyDescent="0.2">
      <c r="B4961" t="s">
        <v>394</v>
      </c>
      <c r="C4961">
        <v>40314898</v>
      </c>
      <c r="D4961" t="s">
        <v>485</v>
      </c>
      <c r="E4961">
        <v>1023319</v>
      </c>
      <c r="F4961" t="s">
        <v>695</v>
      </c>
      <c r="G4961" s="9">
        <v>45273</v>
      </c>
      <c r="H4961" s="7"/>
      <c r="I4961" s="7"/>
      <c r="J4961" s="7"/>
      <c r="K4961" s="7"/>
      <c r="L4961" s="10"/>
      <c r="N4961" s="10"/>
      <c r="Q4961" s="11"/>
      <c r="R4961" s="7"/>
      <c r="S4961" s="7"/>
      <c r="T4961" s="7"/>
      <c r="U4961" s="7"/>
      <c r="V4961" s="10"/>
      <c r="X4961" s="10"/>
      <c r="AA4961" s="11"/>
    </row>
    <row r="4962" spans="2:27" x14ac:dyDescent="0.2">
      <c r="B4962" t="s">
        <v>394</v>
      </c>
      <c r="C4962">
        <v>40314898</v>
      </c>
      <c r="D4962" t="s">
        <v>485</v>
      </c>
      <c r="E4962">
        <v>1023391</v>
      </c>
      <c r="F4962" t="s">
        <v>637</v>
      </c>
      <c r="G4962" s="9">
        <v>45274</v>
      </c>
      <c r="H4962" s="7"/>
      <c r="I4962" s="7"/>
      <c r="J4962" s="7"/>
      <c r="K4962" s="7"/>
      <c r="L4962" s="10"/>
      <c r="N4962" s="10"/>
      <c r="Q4962" s="11"/>
      <c r="R4962" s="7"/>
      <c r="S4962" s="7"/>
      <c r="T4962" s="7"/>
      <c r="U4962" s="7"/>
      <c r="V4962" s="10"/>
      <c r="X4962" s="10"/>
      <c r="AA4962" s="11"/>
    </row>
    <row r="4963" spans="2:27" x14ac:dyDescent="0.2">
      <c r="B4963" t="s">
        <v>394</v>
      </c>
      <c r="C4963">
        <v>40354475</v>
      </c>
      <c r="D4963" t="s">
        <v>485</v>
      </c>
      <c r="E4963">
        <v>1011558</v>
      </c>
      <c r="F4963" t="s">
        <v>603</v>
      </c>
      <c r="G4963" s="9">
        <v>45275</v>
      </c>
      <c r="H4963">
        <v>23984.560000000001</v>
      </c>
    </row>
  </sheetData>
  <mergeCells count="2">
    <mergeCell ref="H1:Q1"/>
    <mergeCell ref="R1:AA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73"/>
  <sheetViews>
    <sheetView topLeftCell="B1" workbookViewId="0">
      <selection activeCell="R10" sqref="R10"/>
    </sheetView>
  </sheetViews>
  <sheetFormatPr baseColWidth="10" defaultColWidth="8.83203125" defaultRowHeight="15" x14ac:dyDescent="0.2"/>
  <cols>
    <col min="2" max="2" width="10" customWidth="1"/>
    <col min="3" max="3" width="16" customWidth="1"/>
    <col min="4" max="4" width="10" customWidth="1"/>
    <col min="5" max="5" width="32" customWidth="1"/>
    <col min="6" max="6" width="18" customWidth="1"/>
    <col min="7" max="7" width="23" customWidth="1"/>
    <col min="8" max="8" width="10" customWidth="1"/>
    <col min="9" max="9" width="13" customWidth="1"/>
    <col min="10" max="14" width="10" customWidth="1"/>
  </cols>
  <sheetData>
    <row r="1" spans="1:18" ht="96" x14ac:dyDescent="0.2">
      <c r="A1" s="1" t="s">
        <v>696</v>
      </c>
      <c r="B1" s="1" t="s">
        <v>3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</v>
      </c>
      <c r="H1" s="1" t="s">
        <v>697</v>
      </c>
      <c r="I1" s="1" t="s">
        <v>698</v>
      </c>
      <c r="J1" s="1" t="s">
        <v>699</v>
      </c>
      <c r="K1" s="1" t="s">
        <v>700</v>
      </c>
      <c r="L1" s="1" t="s">
        <v>701</v>
      </c>
      <c r="M1" s="1" t="s">
        <v>702</v>
      </c>
      <c r="N1" s="1" t="s">
        <v>703</v>
      </c>
    </row>
    <row r="2" spans="1:18" x14ac:dyDescent="0.2">
      <c r="A2" s="2" t="s">
        <v>704</v>
      </c>
      <c r="B2" s="2" t="s">
        <v>56</v>
      </c>
      <c r="C2" s="2" t="s">
        <v>705</v>
      </c>
      <c r="D2" s="2">
        <v>1011042</v>
      </c>
      <c r="E2" s="2" t="s">
        <v>706</v>
      </c>
      <c r="F2" s="2" t="s">
        <v>707</v>
      </c>
      <c r="G2" s="2" t="s">
        <v>708</v>
      </c>
      <c r="H2" s="7">
        <v>91200</v>
      </c>
      <c r="I2">
        <v>25</v>
      </c>
      <c r="J2">
        <v>27</v>
      </c>
      <c r="K2" s="14">
        <v>0.6</v>
      </c>
      <c r="L2" s="7">
        <f t="shared" ref="L2:L65" si="0">K2 * H2</f>
        <v>54720</v>
      </c>
      <c r="M2" s="14">
        <v>0.72</v>
      </c>
      <c r="N2" s="7">
        <f t="shared" ref="N2:N65" si="1">M2 * H2</f>
        <v>65664</v>
      </c>
      <c r="Q2">
        <f>(I2-10)/10</f>
        <v>1.5</v>
      </c>
    </row>
    <row r="3" spans="1:18" x14ac:dyDescent="0.2">
      <c r="A3" s="2" t="s">
        <v>704</v>
      </c>
      <c r="B3" s="2" t="s">
        <v>56</v>
      </c>
      <c r="C3" s="2" t="s">
        <v>705</v>
      </c>
      <c r="D3" s="2">
        <v>1012719</v>
      </c>
      <c r="E3" s="2" t="s">
        <v>709</v>
      </c>
      <c r="F3" s="2" t="s">
        <v>710</v>
      </c>
      <c r="G3" s="2" t="s">
        <v>711</v>
      </c>
      <c r="H3" s="7">
        <v>384099.74400000001</v>
      </c>
      <c r="I3">
        <v>25</v>
      </c>
      <c r="J3">
        <v>27</v>
      </c>
      <c r="K3" s="14">
        <v>0.6</v>
      </c>
      <c r="L3" s="7">
        <f t="shared" si="0"/>
        <v>230459.84640000001</v>
      </c>
      <c r="M3" s="14">
        <v>0.72</v>
      </c>
      <c r="N3" s="7">
        <f t="shared" si="1"/>
        <v>276551.81568</v>
      </c>
    </row>
    <row r="4" spans="1:18" x14ac:dyDescent="0.2">
      <c r="A4" s="2" t="s">
        <v>704</v>
      </c>
      <c r="B4" s="2" t="s">
        <v>56</v>
      </c>
      <c r="C4" s="2" t="s">
        <v>52</v>
      </c>
      <c r="D4" s="2">
        <v>1011701</v>
      </c>
      <c r="E4" s="2" t="s">
        <v>83</v>
      </c>
      <c r="F4" s="2" t="s">
        <v>59</v>
      </c>
      <c r="G4" s="2" t="s">
        <v>82</v>
      </c>
      <c r="H4" s="7">
        <v>72555.38</v>
      </c>
      <c r="I4">
        <v>25</v>
      </c>
      <c r="J4">
        <v>27</v>
      </c>
      <c r="K4" s="14">
        <v>0.6</v>
      </c>
      <c r="L4" s="7">
        <f t="shared" si="0"/>
        <v>43533.228000000003</v>
      </c>
      <c r="M4" s="14">
        <v>0.72</v>
      </c>
      <c r="N4" s="7">
        <f t="shared" si="1"/>
        <v>52239.873599999999</v>
      </c>
    </row>
    <row r="5" spans="1:18" x14ac:dyDescent="0.2">
      <c r="A5" s="2" t="s">
        <v>704</v>
      </c>
      <c r="B5" s="2" t="s">
        <v>56</v>
      </c>
      <c r="C5" s="2" t="s">
        <v>52</v>
      </c>
      <c r="D5" s="2">
        <v>1012107</v>
      </c>
      <c r="E5" s="2" t="s">
        <v>216</v>
      </c>
      <c r="F5" s="2" t="s">
        <v>59</v>
      </c>
      <c r="G5" s="2" t="s">
        <v>215</v>
      </c>
      <c r="H5" s="7">
        <v>32659.200000000001</v>
      </c>
      <c r="I5">
        <v>25</v>
      </c>
      <c r="J5">
        <v>27</v>
      </c>
      <c r="K5" s="14">
        <v>0.6</v>
      </c>
      <c r="L5" s="7">
        <f t="shared" si="0"/>
        <v>19595.52</v>
      </c>
      <c r="M5" s="14">
        <v>0.72</v>
      </c>
      <c r="N5" s="7">
        <f t="shared" si="1"/>
        <v>23514.624</v>
      </c>
    </row>
    <row r="6" spans="1:18" x14ac:dyDescent="0.2">
      <c r="A6" s="2" t="s">
        <v>704</v>
      </c>
      <c r="B6" s="2" t="s">
        <v>56</v>
      </c>
      <c r="C6" s="2" t="s">
        <v>52</v>
      </c>
      <c r="D6" s="2">
        <v>1012108</v>
      </c>
      <c r="E6" s="2" t="s">
        <v>58</v>
      </c>
      <c r="F6" s="2" t="s">
        <v>59</v>
      </c>
      <c r="G6" s="2" t="s">
        <v>57</v>
      </c>
      <c r="H6" s="7">
        <v>79833.600000000006</v>
      </c>
      <c r="I6">
        <v>25</v>
      </c>
      <c r="J6">
        <v>27</v>
      </c>
      <c r="K6" s="14">
        <v>0.6</v>
      </c>
      <c r="L6" s="7">
        <f t="shared" si="0"/>
        <v>47900.160000000003</v>
      </c>
      <c r="M6" s="14">
        <v>0.72</v>
      </c>
      <c r="N6" s="7">
        <f t="shared" si="1"/>
        <v>57480.192000000003</v>
      </c>
    </row>
    <row r="7" spans="1:18" x14ac:dyDescent="0.2">
      <c r="A7" s="2" t="s">
        <v>704</v>
      </c>
      <c r="B7" s="2" t="s">
        <v>56</v>
      </c>
      <c r="C7" s="2" t="s">
        <v>52</v>
      </c>
      <c r="D7" s="2">
        <v>1012109</v>
      </c>
      <c r="E7" s="2" t="s">
        <v>69</v>
      </c>
      <c r="F7" s="2" t="s">
        <v>59</v>
      </c>
      <c r="G7" s="2" t="s">
        <v>68</v>
      </c>
      <c r="H7" s="7">
        <v>159667.20000000001</v>
      </c>
      <c r="I7">
        <v>25</v>
      </c>
      <c r="J7">
        <v>27</v>
      </c>
      <c r="K7" s="14">
        <v>0.6</v>
      </c>
      <c r="L7" s="7">
        <f t="shared" si="0"/>
        <v>95800.320000000007</v>
      </c>
      <c r="M7" s="14">
        <v>0.72</v>
      </c>
      <c r="N7" s="7">
        <f t="shared" si="1"/>
        <v>114960.38400000001</v>
      </c>
      <c r="R7" t="s">
        <v>979</v>
      </c>
    </row>
    <row r="8" spans="1:18" x14ac:dyDescent="0.2">
      <c r="A8" s="2" t="s">
        <v>704</v>
      </c>
      <c r="B8" s="2" t="s">
        <v>56</v>
      </c>
      <c r="C8" s="2" t="s">
        <v>52</v>
      </c>
      <c r="D8" s="2">
        <v>1012110</v>
      </c>
      <c r="E8" s="2" t="s">
        <v>110</v>
      </c>
      <c r="F8" s="2" t="s">
        <v>59</v>
      </c>
      <c r="G8" s="2" t="s">
        <v>109</v>
      </c>
      <c r="H8" s="7">
        <v>119750.39999999999</v>
      </c>
      <c r="I8">
        <v>25</v>
      </c>
      <c r="J8">
        <v>27</v>
      </c>
      <c r="K8" s="14">
        <v>0.6</v>
      </c>
      <c r="L8" s="7">
        <f t="shared" si="0"/>
        <v>71850.239999999991</v>
      </c>
      <c r="M8" s="14">
        <v>0.72</v>
      </c>
      <c r="N8" s="7">
        <f t="shared" si="1"/>
        <v>86220.287999999986</v>
      </c>
      <c r="R8">
        <v>1</v>
      </c>
    </row>
    <row r="9" spans="1:18" x14ac:dyDescent="0.2">
      <c r="A9" s="2" t="s">
        <v>704</v>
      </c>
      <c r="B9" s="2" t="s">
        <v>56</v>
      </c>
      <c r="C9" s="2" t="s">
        <v>52</v>
      </c>
      <c r="D9" s="2">
        <v>1012111</v>
      </c>
      <c r="E9" s="2" t="s">
        <v>117</v>
      </c>
      <c r="F9" s="2" t="s">
        <v>59</v>
      </c>
      <c r="G9" s="2" t="s">
        <v>137</v>
      </c>
      <c r="H9" s="7">
        <v>0</v>
      </c>
      <c r="I9">
        <v>25</v>
      </c>
      <c r="J9">
        <v>27</v>
      </c>
      <c r="K9" s="14">
        <v>0.6</v>
      </c>
      <c r="L9" s="7">
        <f t="shared" si="0"/>
        <v>0</v>
      </c>
      <c r="M9" s="14">
        <v>0.72</v>
      </c>
      <c r="N9" s="7">
        <f t="shared" si="1"/>
        <v>0</v>
      </c>
      <c r="R9">
        <f>93 * 1230</f>
        <v>114390</v>
      </c>
    </row>
    <row r="10" spans="1:18" x14ac:dyDescent="0.2">
      <c r="A10" s="2" t="s">
        <v>704</v>
      </c>
      <c r="B10" s="2" t="s">
        <v>56</v>
      </c>
      <c r="C10" s="2" t="s">
        <v>52</v>
      </c>
      <c r="D10" s="2">
        <v>1012112</v>
      </c>
      <c r="E10" s="2" t="s">
        <v>139</v>
      </c>
      <c r="F10" s="2" t="s">
        <v>59</v>
      </c>
      <c r="G10" s="2" t="s">
        <v>138</v>
      </c>
      <c r="H10" s="7">
        <v>0</v>
      </c>
      <c r="I10">
        <v>25</v>
      </c>
      <c r="J10">
        <v>27</v>
      </c>
      <c r="K10" s="14">
        <v>0.6</v>
      </c>
      <c r="L10" s="7">
        <f t="shared" si="0"/>
        <v>0</v>
      </c>
      <c r="M10" s="14">
        <v>0.72</v>
      </c>
      <c r="N10" s="7">
        <f t="shared" si="1"/>
        <v>0</v>
      </c>
    </row>
    <row r="11" spans="1:18" x14ac:dyDescent="0.2">
      <c r="A11" s="2" t="s">
        <v>704</v>
      </c>
      <c r="B11" s="2" t="s">
        <v>56</v>
      </c>
      <c r="C11" s="2" t="s">
        <v>52</v>
      </c>
      <c r="D11" s="2">
        <v>1012115</v>
      </c>
      <c r="E11" s="2" t="s">
        <v>712</v>
      </c>
      <c r="F11" s="2" t="s">
        <v>59</v>
      </c>
      <c r="G11" s="2" t="s">
        <v>649</v>
      </c>
      <c r="H11" s="7">
        <v>0</v>
      </c>
      <c r="I11">
        <v>25</v>
      </c>
      <c r="J11">
        <v>27</v>
      </c>
      <c r="K11" s="14">
        <v>0.6</v>
      </c>
      <c r="L11" s="7">
        <f t="shared" si="0"/>
        <v>0</v>
      </c>
      <c r="M11" s="14">
        <v>0.72</v>
      </c>
      <c r="N11" s="7">
        <f t="shared" si="1"/>
        <v>0</v>
      </c>
    </row>
    <row r="12" spans="1:18" x14ac:dyDescent="0.2">
      <c r="A12" s="2" t="s">
        <v>704</v>
      </c>
      <c r="B12" s="2" t="s">
        <v>56</v>
      </c>
      <c r="C12" s="2" t="s">
        <v>52</v>
      </c>
      <c r="D12" s="2">
        <v>1012145</v>
      </c>
      <c r="E12" s="2" t="s">
        <v>85</v>
      </c>
      <c r="F12" s="2" t="s">
        <v>59</v>
      </c>
      <c r="G12" s="2" t="s">
        <v>84</v>
      </c>
      <c r="H12" s="7">
        <v>79037.2</v>
      </c>
      <c r="I12">
        <v>25</v>
      </c>
      <c r="J12">
        <v>27</v>
      </c>
      <c r="K12" s="14">
        <v>0.6</v>
      </c>
      <c r="L12" s="7">
        <f t="shared" si="0"/>
        <v>47422.32</v>
      </c>
      <c r="M12" s="14">
        <v>0.72</v>
      </c>
      <c r="N12" s="7">
        <f t="shared" si="1"/>
        <v>56906.783999999992</v>
      </c>
    </row>
    <row r="13" spans="1:18" x14ac:dyDescent="0.2">
      <c r="A13" s="2" t="s">
        <v>704</v>
      </c>
      <c r="B13" s="2" t="s">
        <v>56</v>
      </c>
      <c r="C13" s="2" t="s">
        <v>52</v>
      </c>
      <c r="D13" s="2">
        <v>1012147</v>
      </c>
      <c r="E13" s="2" t="s">
        <v>218</v>
      </c>
      <c r="F13" s="2" t="s">
        <v>67</v>
      </c>
      <c r="G13" s="2" t="s">
        <v>217</v>
      </c>
      <c r="H13" s="7">
        <v>111962.4</v>
      </c>
      <c r="I13">
        <v>25</v>
      </c>
      <c r="J13">
        <v>27</v>
      </c>
      <c r="K13" s="14">
        <v>0.6</v>
      </c>
      <c r="L13" s="7">
        <f t="shared" si="0"/>
        <v>67177.439999999988</v>
      </c>
      <c r="M13" s="14">
        <v>0.72</v>
      </c>
      <c r="N13" s="7">
        <f t="shared" si="1"/>
        <v>80612.928</v>
      </c>
    </row>
    <row r="14" spans="1:18" x14ac:dyDescent="0.2">
      <c r="A14" s="2" t="s">
        <v>704</v>
      </c>
      <c r="B14" s="2" t="s">
        <v>56</v>
      </c>
      <c r="C14" s="2" t="s">
        <v>52</v>
      </c>
      <c r="D14" s="2">
        <v>1012148</v>
      </c>
      <c r="E14" s="2" t="s">
        <v>112</v>
      </c>
      <c r="F14" s="2" t="s">
        <v>63</v>
      </c>
      <c r="G14" s="2" t="s">
        <v>111</v>
      </c>
      <c r="H14" s="7">
        <v>0</v>
      </c>
      <c r="I14">
        <v>25</v>
      </c>
      <c r="J14">
        <v>27</v>
      </c>
      <c r="K14" s="14">
        <v>0.6</v>
      </c>
      <c r="L14" s="7">
        <f t="shared" si="0"/>
        <v>0</v>
      </c>
      <c r="M14" s="14">
        <v>0.72</v>
      </c>
      <c r="N14" s="7">
        <f t="shared" si="1"/>
        <v>0</v>
      </c>
    </row>
    <row r="15" spans="1:18" x14ac:dyDescent="0.2">
      <c r="A15" s="2" t="s">
        <v>704</v>
      </c>
      <c r="B15" s="2" t="s">
        <v>56</v>
      </c>
      <c r="C15" s="2" t="s">
        <v>52</v>
      </c>
      <c r="D15" s="2">
        <v>1012157</v>
      </c>
      <c r="E15" s="2" t="s">
        <v>100</v>
      </c>
      <c r="F15" s="2" t="s">
        <v>63</v>
      </c>
      <c r="G15" s="2" t="s">
        <v>99</v>
      </c>
      <c r="H15" s="7">
        <v>79833.600000000006</v>
      </c>
      <c r="I15">
        <v>25</v>
      </c>
      <c r="J15">
        <v>27</v>
      </c>
      <c r="K15" s="14">
        <v>0.6</v>
      </c>
      <c r="L15" s="7">
        <f t="shared" si="0"/>
        <v>47900.160000000003</v>
      </c>
      <c r="M15" s="14">
        <v>0.72</v>
      </c>
      <c r="N15" s="7">
        <f t="shared" si="1"/>
        <v>57480.192000000003</v>
      </c>
    </row>
    <row r="16" spans="1:18" x14ac:dyDescent="0.2">
      <c r="A16" s="2" t="s">
        <v>704</v>
      </c>
      <c r="B16" s="2" t="s">
        <v>56</v>
      </c>
      <c r="C16" s="2" t="s">
        <v>52</v>
      </c>
      <c r="D16" s="2">
        <v>1012158</v>
      </c>
      <c r="E16" s="2" t="s">
        <v>87</v>
      </c>
      <c r="F16" s="2" t="s">
        <v>67</v>
      </c>
      <c r="G16" s="2" t="s">
        <v>86</v>
      </c>
      <c r="H16" s="7">
        <v>243129.60000000001</v>
      </c>
      <c r="I16">
        <v>25</v>
      </c>
      <c r="J16">
        <v>27</v>
      </c>
      <c r="K16" s="14">
        <v>0.6</v>
      </c>
      <c r="L16" s="7">
        <f t="shared" si="0"/>
        <v>145877.76000000001</v>
      </c>
      <c r="M16" s="14">
        <v>0.72</v>
      </c>
      <c r="N16" s="7">
        <f t="shared" si="1"/>
        <v>175053.31200000001</v>
      </c>
    </row>
    <row r="17" spans="1:14" x14ac:dyDescent="0.2">
      <c r="A17" s="2" t="s">
        <v>704</v>
      </c>
      <c r="B17" s="2" t="s">
        <v>56</v>
      </c>
      <c r="C17" s="2" t="s">
        <v>52</v>
      </c>
      <c r="D17" s="2">
        <v>1012159</v>
      </c>
      <c r="E17" s="2" t="s">
        <v>89</v>
      </c>
      <c r="F17" s="2" t="s">
        <v>63</v>
      </c>
      <c r="G17" s="2" t="s">
        <v>88</v>
      </c>
      <c r="H17" s="7">
        <v>3628.8</v>
      </c>
      <c r="I17">
        <v>25</v>
      </c>
      <c r="J17">
        <v>27</v>
      </c>
      <c r="K17" s="14">
        <v>0.6</v>
      </c>
      <c r="L17" s="7">
        <f t="shared" si="0"/>
        <v>2177.2800000000002</v>
      </c>
      <c r="M17" s="14">
        <v>0.72</v>
      </c>
      <c r="N17" s="7">
        <f t="shared" si="1"/>
        <v>2612.7359999999999</v>
      </c>
    </row>
    <row r="18" spans="1:14" x14ac:dyDescent="0.2">
      <c r="A18" s="2" t="s">
        <v>704</v>
      </c>
      <c r="B18" s="2" t="s">
        <v>56</v>
      </c>
      <c r="C18" s="2" t="s">
        <v>52</v>
      </c>
      <c r="D18" s="2">
        <v>1012160</v>
      </c>
      <c r="E18" s="2" t="s">
        <v>73</v>
      </c>
      <c r="F18" s="2" t="s">
        <v>59</v>
      </c>
      <c r="G18" s="2" t="s">
        <v>72</v>
      </c>
      <c r="H18" s="7">
        <v>37376.639999999999</v>
      </c>
      <c r="I18">
        <v>25</v>
      </c>
      <c r="J18">
        <v>27</v>
      </c>
      <c r="K18" s="14">
        <v>0.6</v>
      </c>
      <c r="L18" s="7">
        <f t="shared" si="0"/>
        <v>22425.984</v>
      </c>
      <c r="M18" s="14">
        <v>0.72</v>
      </c>
      <c r="N18" s="7">
        <f t="shared" si="1"/>
        <v>26911.180799999998</v>
      </c>
    </row>
    <row r="19" spans="1:14" x14ac:dyDescent="0.2">
      <c r="A19" s="2" t="s">
        <v>704</v>
      </c>
      <c r="B19" s="2" t="s">
        <v>56</v>
      </c>
      <c r="C19" s="2" t="s">
        <v>52</v>
      </c>
      <c r="D19" s="2">
        <v>1012161</v>
      </c>
      <c r="E19" s="2" t="s">
        <v>102</v>
      </c>
      <c r="F19" s="2" t="s">
        <v>63</v>
      </c>
      <c r="G19" s="2" t="s">
        <v>101</v>
      </c>
      <c r="H19" s="7">
        <v>83462.399999999994</v>
      </c>
      <c r="I19">
        <v>25</v>
      </c>
      <c r="J19">
        <v>27</v>
      </c>
      <c r="K19" s="14">
        <v>0.6</v>
      </c>
      <c r="L19" s="7">
        <f t="shared" si="0"/>
        <v>50077.439999999995</v>
      </c>
      <c r="M19" s="14">
        <v>0.72</v>
      </c>
      <c r="N19" s="7">
        <f t="shared" si="1"/>
        <v>60092.927999999993</v>
      </c>
    </row>
    <row r="20" spans="1:14" x14ac:dyDescent="0.2">
      <c r="A20" s="2" t="s">
        <v>704</v>
      </c>
      <c r="B20" s="2" t="s">
        <v>56</v>
      </c>
      <c r="C20" s="2" t="s">
        <v>52</v>
      </c>
      <c r="D20" s="2">
        <v>1012163</v>
      </c>
      <c r="E20" s="2" t="s">
        <v>141</v>
      </c>
      <c r="F20" s="2" t="s">
        <v>67</v>
      </c>
      <c r="G20" s="2" t="s">
        <v>140</v>
      </c>
      <c r="H20" s="7">
        <v>159667.20000000001</v>
      </c>
      <c r="I20">
        <v>25</v>
      </c>
      <c r="J20">
        <v>27</v>
      </c>
      <c r="K20" s="14">
        <v>0.6</v>
      </c>
      <c r="L20" s="7">
        <f t="shared" si="0"/>
        <v>95800.320000000007</v>
      </c>
      <c r="M20" s="14">
        <v>0.72</v>
      </c>
      <c r="N20" s="7">
        <f t="shared" si="1"/>
        <v>114960.38400000001</v>
      </c>
    </row>
    <row r="21" spans="1:14" x14ac:dyDescent="0.2">
      <c r="A21" s="2" t="s">
        <v>704</v>
      </c>
      <c r="B21" s="2" t="s">
        <v>56</v>
      </c>
      <c r="C21" s="2" t="s">
        <v>52</v>
      </c>
      <c r="D21" s="2">
        <v>1012164</v>
      </c>
      <c r="E21" s="2" t="s">
        <v>143</v>
      </c>
      <c r="F21" s="2" t="s">
        <v>63</v>
      </c>
      <c r="G21" s="2" t="s">
        <v>142</v>
      </c>
      <c r="H21" s="7">
        <v>0</v>
      </c>
      <c r="I21">
        <v>25</v>
      </c>
      <c r="J21">
        <v>27</v>
      </c>
      <c r="K21" s="14">
        <v>0.6</v>
      </c>
      <c r="L21" s="7">
        <f t="shared" si="0"/>
        <v>0</v>
      </c>
      <c r="M21" s="14">
        <v>0.72</v>
      </c>
      <c r="N21" s="7">
        <f t="shared" si="1"/>
        <v>0</v>
      </c>
    </row>
    <row r="22" spans="1:14" x14ac:dyDescent="0.2">
      <c r="A22" s="2" t="s">
        <v>704</v>
      </c>
      <c r="B22" s="2" t="s">
        <v>56</v>
      </c>
      <c r="C22" s="2" t="s">
        <v>52</v>
      </c>
      <c r="D22" s="2">
        <v>1012165</v>
      </c>
      <c r="E22" s="2" t="s">
        <v>62</v>
      </c>
      <c r="F22" s="2" t="s">
        <v>63</v>
      </c>
      <c r="G22" s="2" t="s">
        <v>61</v>
      </c>
      <c r="H22" s="7">
        <v>210542.976</v>
      </c>
      <c r="I22">
        <v>25</v>
      </c>
      <c r="J22">
        <v>27</v>
      </c>
      <c r="K22" s="14">
        <v>0.6</v>
      </c>
      <c r="L22" s="7">
        <f t="shared" si="0"/>
        <v>126325.78559999999</v>
      </c>
      <c r="M22" s="14">
        <v>0.72</v>
      </c>
      <c r="N22" s="7">
        <f t="shared" si="1"/>
        <v>151590.94271999999</v>
      </c>
    </row>
    <row r="23" spans="1:14" x14ac:dyDescent="0.2">
      <c r="A23" s="2" t="s">
        <v>704</v>
      </c>
      <c r="B23" s="2" t="s">
        <v>56</v>
      </c>
      <c r="C23" s="2" t="s">
        <v>52</v>
      </c>
      <c r="D23" s="2">
        <v>1012167</v>
      </c>
      <c r="E23" s="2" t="s">
        <v>71</v>
      </c>
      <c r="F23" s="2" t="s">
        <v>59</v>
      </c>
      <c r="G23" s="2" t="s">
        <v>70</v>
      </c>
      <c r="H23" s="7">
        <v>520188.48</v>
      </c>
      <c r="I23">
        <v>25</v>
      </c>
      <c r="J23">
        <v>27</v>
      </c>
      <c r="K23" s="14">
        <v>0.6</v>
      </c>
      <c r="L23" s="7">
        <f t="shared" si="0"/>
        <v>312113.08799999999</v>
      </c>
      <c r="M23" s="14">
        <v>0.72</v>
      </c>
      <c r="N23" s="7">
        <f t="shared" si="1"/>
        <v>374535.70559999999</v>
      </c>
    </row>
    <row r="24" spans="1:14" x14ac:dyDescent="0.2">
      <c r="A24" s="2" t="s">
        <v>704</v>
      </c>
      <c r="B24" s="2" t="s">
        <v>56</v>
      </c>
      <c r="C24" s="2" t="s">
        <v>52</v>
      </c>
      <c r="D24" s="2">
        <v>1012310</v>
      </c>
      <c r="E24" s="2" t="s">
        <v>713</v>
      </c>
      <c r="F24" s="2" t="s">
        <v>124</v>
      </c>
      <c r="G24" s="2" t="s">
        <v>714</v>
      </c>
      <c r="H24" s="7">
        <v>0</v>
      </c>
      <c r="I24">
        <v>25</v>
      </c>
      <c r="J24">
        <v>27</v>
      </c>
      <c r="K24" s="14">
        <v>0.6</v>
      </c>
      <c r="L24" s="7">
        <f t="shared" si="0"/>
        <v>0</v>
      </c>
      <c r="M24" s="14">
        <v>0.72</v>
      </c>
      <c r="N24" s="7">
        <f t="shared" si="1"/>
        <v>0</v>
      </c>
    </row>
    <row r="25" spans="1:14" x14ac:dyDescent="0.2">
      <c r="A25" s="2" t="s">
        <v>704</v>
      </c>
      <c r="B25" s="2" t="s">
        <v>56</v>
      </c>
      <c r="C25" s="2" t="s">
        <v>52</v>
      </c>
      <c r="D25" s="2">
        <v>1012400</v>
      </c>
      <c r="E25" s="2" t="s">
        <v>220</v>
      </c>
      <c r="F25" s="2" t="s">
        <v>67</v>
      </c>
      <c r="G25" s="2" t="s">
        <v>219</v>
      </c>
      <c r="H25" s="7">
        <v>0</v>
      </c>
      <c r="I25">
        <v>25</v>
      </c>
      <c r="J25">
        <v>27</v>
      </c>
      <c r="K25" s="14">
        <v>0.6</v>
      </c>
      <c r="L25" s="7">
        <f t="shared" si="0"/>
        <v>0</v>
      </c>
      <c r="M25" s="14">
        <v>0.72</v>
      </c>
      <c r="N25" s="7">
        <f t="shared" si="1"/>
        <v>0</v>
      </c>
    </row>
    <row r="26" spans="1:14" x14ac:dyDescent="0.2">
      <c r="A26" s="2" t="s">
        <v>704</v>
      </c>
      <c r="B26" s="2" t="s">
        <v>56</v>
      </c>
      <c r="C26" s="2" t="s">
        <v>52</v>
      </c>
      <c r="D26" s="2">
        <v>1012483</v>
      </c>
      <c r="E26" s="2" t="s">
        <v>91</v>
      </c>
      <c r="F26" s="2" t="s">
        <v>63</v>
      </c>
      <c r="G26" s="2" t="s">
        <v>90</v>
      </c>
      <c r="H26" s="7">
        <v>239500.79999999999</v>
      </c>
      <c r="I26">
        <v>25</v>
      </c>
      <c r="J26">
        <v>27</v>
      </c>
      <c r="K26" s="14">
        <v>0.6</v>
      </c>
      <c r="L26" s="7">
        <f t="shared" si="0"/>
        <v>143700.47999999998</v>
      </c>
      <c r="M26" s="14">
        <v>0.72</v>
      </c>
      <c r="N26" s="7">
        <f t="shared" si="1"/>
        <v>172440.57599999997</v>
      </c>
    </row>
    <row r="27" spans="1:14" x14ac:dyDescent="0.2">
      <c r="A27" s="2" t="s">
        <v>704</v>
      </c>
      <c r="B27" s="2" t="s">
        <v>56</v>
      </c>
      <c r="C27" s="2" t="s">
        <v>52</v>
      </c>
      <c r="D27" s="2">
        <v>1012518</v>
      </c>
      <c r="E27" s="2" t="s">
        <v>66</v>
      </c>
      <c r="F27" s="2" t="s">
        <v>67</v>
      </c>
      <c r="G27" s="2" t="s">
        <v>65</v>
      </c>
      <c r="H27" s="7">
        <v>72576</v>
      </c>
      <c r="I27">
        <v>25</v>
      </c>
      <c r="J27">
        <v>27</v>
      </c>
      <c r="K27" s="14">
        <v>0.6</v>
      </c>
      <c r="L27" s="7">
        <f t="shared" si="0"/>
        <v>43545.599999999999</v>
      </c>
      <c r="M27" s="14">
        <v>0.72</v>
      </c>
      <c r="N27" s="7">
        <f t="shared" si="1"/>
        <v>52254.720000000001</v>
      </c>
    </row>
    <row r="28" spans="1:14" x14ac:dyDescent="0.2">
      <c r="A28" s="2" t="s">
        <v>704</v>
      </c>
      <c r="B28" s="2" t="s">
        <v>56</v>
      </c>
      <c r="C28" s="2" t="s">
        <v>52</v>
      </c>
      <c r="D28" s="2">
        <v>1012519</v>
      </c>
      <c r="E28" s="2" t="s">
        <v>216</v>
      </c>
      <c r="F28" s="2" t="s">
        <v>59</v>
      </c>
      <c r="G28" s="2" t="s">
        <v>221</v>
      </c>
      <c r="H28" s="7">
        <v>0</v>
      </c>
      <c r="I28">
        <v>25</v>
      </c>
      <c r="J28">
        <v>27</v>
      </c>
      <c r="K28" s="14">
        <v>0.6</v>
      </c>
      <c r="L28" s="7">
        <f t="shared" si="0"/>
        <v>0</v>
      </c>
      <c r="M28" s="14">
        <v>0.72</v>
      </c>
      <c r="N28" s="7">
        <f t="shared" si="1"/>
        <v>0</v>
      </c>
    </row>
    <row r="29" spans="1:14" x14ac:dyDescent="0.2">
      <c r="A29" s="2" t="s">
        <v>704</v>
      </c>
      <c r="B29" s="2" t="s">
        <v>56</v>
      </c>
      <c r="C29" s="2" t="s">
        <v>52</v>
      </c>
      <c r="D29" s="2">
        <v>1012520</v>
      </c>
      <c r="E29" s="2" t="s">
        <v>58</v>
      </c>
      <c r="F29" s="2" t="s">
        <v>59</v>
      </c>
      <c r="G29" s="2" t="s">
        <v>113</v>
      </c>
      <c r="H29" s="7">
        <v>0</v>
      </c>
      <c r="I29">
        <v>25</v>
      </c>
      <c r="J29">
        <v>27</v>
      </c>
      <c r="K29" s="14">
        <v>0.6</v>
      </c>
      <c r="L29" s="7">
        <f t="shared" si="0"/>
        <v>0</v>
      </c>
      <c r="M29" s="14">
        <v>0.72</v>
      </c>
      <c r="N29" s="7">
        <f t="shared" si="1"/>
        <v>0</v>
      </c>
    </row>
    <row r="30" spans="1:14" x14ac:dyDescent="0.2">
      <c r="A30" s="2" t="s">
        <v>704</v>
      </c>
      <c r="B30" s="2" t="s">
        <v>56</v>
      </c>
      <c r="C30" s="2" t="s">
        <v>52</v>
      </c>
      <c r="D30" s="2">
        <v>1012521</v>
      </c>
      <c r="E30" s="2" t="s">
        <v>69</v>
      </c>
      <c r="F30" s="2" t="s">
        <v>59</v>
      </c>
      <c r="G30" s="2" t="s">
        <v>114</v>
      </c>
      <c r="H30" s="7">
        <v>0</v>
      </c>
      <c r="I30">
        <v>25</v>
      </c>
      <c r="J30">
        <v>27</v>
      </c>
      <c r="K30" s="14">
        <v>0.6</v>
      </c>
      <c r="L30" s="7">
        <f t="shared" si="0"/>
        <v>0</v>
      </c>
      <c r="M30" s="14">
        <v>0.72</v>
      </c>
      <c r="N30" s="7">
        <f t="shared" si="1"/>
        <v>0</v>
      </c>
    </row>
    <row r="31" spans="1:14" x14ac:dyDescent="0.2">
      <c r="A31" s="2" t="s">
        <v>704</v>
      </c>
      <c r="B31" s="2" t="s">
        <v>56</v>
      </c>
      <c r="C31" s="2" t="s">
        <v>52</v>
      </c>
      <c r="D31" s="2">
        <v>1012522</v>
      </c>
      <c r="E31" s="2" t="s">
        <v>110</v>
      </c>
      <c r="F31" s="2" t="s">
        <v>59</v>
      </c>
      <c r="G31" s="2" t="s">
        <v>115</v>
      </c>
      <c r="H31" s="7">
        <v>0</v>
      </c>
      <c r="I31">
        <v>25</v>
      </c>
      <c r="J31">
        <v>27</v>
      </c>
      <c r="K31" s="14">
        <v>0.6</v>
      </c>
      <c r="L31" s="7">
        <f t="shared" si="0"/>
        <v>0</v>
      </c>
      <c r="M31" s="14">
        <v>0.72</v>
      </c>
      <c r="N31" s="7">
        <f t="shared" si="1"/>
        <v>0</v>
      </c>
    </row>
    <row r="32" spans="1:14" x14ac:dyDescent="0.2">
      <c r="A32" s="2" t="s">
        <v>704</v>
      </c>
      <c r="B32" s="2" t="s">
        <v>56</v>
      </c>
      <c r="C32" s="2" t="s">
        <v>52</v>
      </c>
      <c r="D32" s="2">
        <v>1012523</v>
      </c>
      <c r="E32" s="2" t="s">
        <v>117</v>
      </c>
      <c r="F32" s="2" t="s">
        <v>59</v>
      </c>
      <c r="G32" s="2" t="s">
        <v>116</v>
      </c>
      <c r="H32" s="7">
        <v>0</v>
      </c>
      <c r="I32">
        <v>25</v>
      </c>
      <c r="J32">
        <v>27</v>
      </c>
      <c r="K32" s="14">
        <v>0.6</v>
      </c>
      <c r="L32" s="7">
        <f t="shared" si="0"/>
        <v>0</v>
      </c>
      <c r="M32" s="14">
        <v>0.72</v>
      </c>
      <c r="N32" s="7">
        <f t="shared" si="1"/>
        <v>0</v>
      </c>
    </row>
    <row r="33" spans="1:14" x14ac:dyDescent="0.2">
      <c r="A33" s="2" t="s">
        <v>704</v>
      </c>
      <c r="B33" s="2" t="s">
        <v>56</v>
      </c>
      <c r="C33" s="2" t="s">
        <v>52</v>
      </c>
      <c r="D33" s="2">
        <v>1012524</v>
      </c>
      <c r="E33" s="2" t="s">
        <v>139</v>
      </c>
      <c r="F33" s="2" t="s">
        <v>59</v>
      </c>
      <c r="G33" s="2" t="s">
        <v>144</v>
      </c>
      <c r="H33" s="7">
        <v>0</v>
      </c>
      <c r="I33">
        <v>25</v>
      </c>
      <c r="J33">
        <v>27</v>
      </c>
      <c r="K33" s="14">
        <v>0.6</v>
      </c>
      <c r="L33" s="7">
        <f t="shared" si="0"/>
        <v>0</v>
      </c>
      <c r="M33" s="14">
        <v>0.72</v>
      </c>
      <c r="N33" s="7">
        <f t="shared" si="1"/>
        <v>0</v>
      </c>
    </row>
    <row r="34" spans="1:14" x14ac:dyDescent="0.2">
      <c r="A34" s="2" t="s">
        <v>704</v>
      </c>
      <c r="B34" s="2" t="s">
        <v>56</v>
      </c>
      <c r="C34" s="2" t="s">
        <v>52</v>
      </c>
      <c r="D34" s="2">
        <v>1012532</v>
      </c>
      <c r="E34" s="2" t="s">
        <v>715</v>
      </c>
      <c r="F34" s="2" t="s">
        <v>54</v>
      </c>
      <c r="G34" s="2" t="s">
        <v>558</v>
      </c>
      <c r="H34" s="7">
        <v>5624.64</v>
      </c>
      <c r="I34">
        <v>25</v>
      </c>
      <c r="J34">
        <v>27</v>
      </c>
      <c r="K34" s="14">
        <v>0.6</v>
      </c>
      <c r="L34" s="7">
        <f t="shared" si="0"/>
        <v>3374.7840000000001</v>
      </c>
      <c r="M34" s="14">
        <v>0.72</v>
      </c>
      <c r="N34" s="7">
        <f t="shared" si="1"/>
        <v>4049.7408</v>
      </c>
    </row>
    <row r="35" spans="1:14" x14ac:dyDescent="0.2">
      <c r="A35" s="2" t="s">
        <v>704</v>
      </c>
      <c r="B35" s="2" t="s">
        <v>56</v>
      </c>
      <c r="C35" s="2" t="s">
        <v>52</v>
      </c>
      <c r="D35" s="2">
        <v>1012579</v>
      </c>
      <c r="E35" s="2" t="s">
        <v>146</v>
      </c>
      <c r="F35" s="2" t="s">
        <v>59</v>
      </c>
      <c r="G35" s="2" t="s">
        <v>145</v>
      </c>
      <c r="H35" s="7">
        <v>0</v>
      </c>
      <c r="I35">
        <v>25</v>
      </c>
      <c r="J35">
        <v>27</v>
      </c>
      <c r="K35" s="14">
        <v>0.6</v>
      </c>
      <c r="L35" s="7">
        <f t="shared" si="0"/>
        <v>0</v>
      </c>
      <c r="M35" s="14">
        <v>0.72</v>
      </c>
      <c r="N35" s="7">
        <f t="shared" si="1"/>
        <v>0</v>
      </c>
    </row>
    <row r="36" spans="1:14" x14ac:dyDescent="0.2">
      <c r="A36" s="2" t="s">
        <v>704</v>
      </c>
      <c r="B36" s="2" t="s">
        <v>56</v>
      </c>
      <c r="C36" s="2" t="s">
        <v>52</v>
      </c>
      <c r="D36" s="2">
        <v>1012597</v>
      </c>
      <c r="E36" s="2" t="s">
        <v>148</v>
      </c>
      <c r="F36" s="2" t="s">
        <v>63</v>
      </c>
      <c r="G36" s="2" t="s">
        <v>147</v>
      </c>
      <c r="H36" s="7">
        <v>0</v>
      </c>
      <c r="I36">
        <v>25</v>
      </c>
      <c r="J36">
        <v>27</v>
      </c>
      <c r="K36" s="14">
        <v>0.6</v>
      </c>
      <c r="L36" s="7">
        <f t="shared" si="0"/>
        <v>0</v>
      </c>
      <c r="M36" s="14">
        <v>0.72</v>
      </c>
      <c r="N36" s="7">
        <f t="shared" si="1"/>
        <v>0</v>
      </c>
    </row>
    <row r="37" spans="1:14" x14ac:dyDescent="0.2">
      <c r="A37" s="2" t="s">
        <v>704</v>
      </c>
      <c r="B37" s="2" t="s">
        <v>56</v>
      </c>
      <c r="C37" s="2" t="s">
        <v>52</v>
      </c>
      <c r="D37" s="2">
        <v>1012601</v>
      </c>
      <c r="E37" s="2" t="s">
        <v>716</v>
      </c>
      <c r="F37" s="2" t="s">
        <v>54</v>
      </c>
      <c r="G37" s="2" t="s">
        <v>717</v>
      </c>
      <c r="H37" s="7">
        <v>0</v>
      </c>
      <c r="I37">
        <v>25</v>
      </c>
      <c r="J37">
        <v>27</v>
      </c>
      <c r="K37" s="14">
        <v>0.6</v>
      </c>
      <c r="L37" s="7">
        <f t="shared" si="0"/>
        <v>0</v>
      </c>
      <c r="M37" s="14">
        <v>0.72</v>
      </c>
      <c r="N37" s="7">
        <f t="shared" si="1"/>
        <v>0</v>
      </c>
    </row>
    <row r="38" spans="1:14" x14ac:dyDescent="0.2">
      <c r="A38" s="2" t="s">
        <v>704</v>
      </c>
      <c r="B38" s="2" t="s">
        <v>56</v>
      </c>
      <c r="C38" s="2" t="s">
        <v>52</v>
      </c>
      <c r="D38" s="2">
        <v>1012806</v>
      </c>
      <c r="E38" s="2" t="s">
        <v>223</v>
      </c>
      <c r="F38" s="2" t="s">
        <v>224</v>
      </c>
      <c r="G38" s="2" t="s">
        <v>222</v>
      </c>
      <c r="H38" s="7">
        <v>0</v>
      </c>
      <c r="I38">
        <v>25</v>
      </c>
      <c r="J38">
        <v>27</v>
      </c>
      <c r="K38" s="14">
        <v>0.6</v>
      </c>
      <c r="L38" s="7">
        <f t="shared" si="0"/>
        <v>0</v>
      </c>
      <c r="M38" s="14">
        <v>0.72</v>
      </c>
      <c r="N38" s="7">
        <f t="shared" si="1"/>
        <v>0</v>
      </c>
    </row>
    <row r="39" spans="1:14" x14ac:dyDescent="0.2">
      <c r="A39" s="2" t="s">
        <v>704</v>
      </c>
      <c r="B39" s="2" t="s">
        <v>56</v>
      </c>
      <c r="C39" s="2" t="s">
        <v>52</v>
      </c>
      <c r="D39" s="2">
        <v>1012837</v>
      </c>
      <c r="E39" s="2" t="s">
        <v>718</v>
      </c>
      <c r="F39" s="2" t="s">
        <v>63</v>
      </c>
      <c r="G39" s="2" t="s">
        <v>719</v>
      </c>
      <c r="H39" s="7">
        <v>0</v>
      </c>
      <c r="I39">
        <v>25</v>
      </c>
      <c r="J39">
        <v>27</v>
      </c>
      <c r="K39" s="14">
        <v>0.6</v>
      </c>
      <c r="L39" s="7">
        <f t="shared" si="0"/>
        <v>0</v>
      </c>
      <c r="M39" s="14">
        <v>0.72</v>
      </c>
      <c r="N39" s="7">
        <f t="shared" si="1"/>
        <v>0</v>
      </c>
    </row>
    <row r="40" spans="1:14" x14ac:dyDescent="0.2">
      <c r="A40" s="2" t="s">
        <v>704</v>
      </c>
      <c r="B40" s="2" t="s">
        <v>56</v>
      </c>
      <c r="C40" s="2" t="s">
        <v>226</v>
      </c>
      <c r="D40" s="2">
        <v>1010877</v>
      </c>
      <c r="E40" s="2" t="s">
        <v>720</v>
      </c>
      <c r="F40" s="2" t="s">
        <v>54</v>
      </c>
      <c r="G40" s="2" t="s">
        <v>387</v>
      </c>
      <c r="H40" s="7">
        <v>0</v>
      </c>
      <c r="I40">
        <v>25</v>
      </c>
      <c r="J40">
        <v>27</v>
      </c>
      <c r="K40" s="14">
        <v>0.6</v>
      </c>
      <c r="L40" s="7">
        <f t="shared" si="0"/>
        <v>0</v>
      </c>
      <c r="M40" s="14">
        <v>0.72</v>
      </c>
      <c r="N40" s="7">
        <f t="shared" si="1"/>
        <v>0</v>
      </c>
    </row>
    <row r="41" spans="1:14" x14ac:dyDescent="0.2">
      <c r="A41" s="2" t="s">
        <v>704</v>
      </c>
      <c r="B41" s="2" t="s">
        <v>56</v>
      </c>
      <c r="C41" s="2" t="s">
        <v>226</v>
      </c>
      <c r="D41" s="2">
        <v>1011748</v>
      </c>
      <c r="E41" s="2" t="s">
        <v>227</v>
      </c>
      <c r="F41" s="2" t="s">
        <v>59</v>
      </c>
      <c r="G41" s="2" t="s">
        <v>225</v>
      </c>
      <c r="H41" s="7">
        <v>338400</v>
      </c>
      <c r="I41">
        <v>25</v>
      </c>
      <c r="J41">
        <v>27</v>
      </c>
      <c r="K41" s="14">
        <v>0.6</v>
      </c>
      <c r="L41" s="7">
        <f t="shared" si="0"/>
        <v>203040</v>
      </c>
      <c r="M41" s="14">
        <v>0.72</v>
      </c>
      <c r="N41" s="7">
        <f t="shared" si="1"/>
        <v>243648</v>
      </c>
    </row>
    <row r="42" spans="1:14" x14ac:dyDescent="0.2">
      <c r="A42" s="2" t="s">
        <v>704</v>
      </c>
      <c r="B42" s="2" t="s">
        <v>56</v>
      </c>
      <c r="C42" s="2" t="s">
        <v>226</v>
      </c>
      <c r="D42" s="2">
        <v>1011749</v>
      </c>
      <c r="E42" s="2" t="s">
        <v>721</v>
      </c>
      <c r="F42" s="2" t="s">
        <v>59</v>
      </c>
      <c r="G42" s="2" t="s">
        <v>543</v>
      </c>
      <c r="H42" s="7">
        <v>0</v>
      </c>
      <c r="I42">
        <v>25</v>
      </c>
      <c r="J42">
        <v>27</v>
      </c>
      <c r="K42" s="14">
        <v>0.6</v>
      </c>
      <c r="L42" s="7">
        <f t="shared" si="0"/>
        <v>0</v>
      </c>
      <c r="M42" s="14">
        <v>0.72</v>
      </c>
      <c r="N42" s="7">
        <f t="shared" si="1"/>
        <v>0</v>
      </c>
    </row>
    <row r="43" spans="1:14" x14ac:dyDescent="0.2">
      <c r="A43" s="2" t="s">
        <v>704</v>
      </c>
      <c r="B43" s="2" t="s">
        <v>56</v>
      </c>
      <c r="C43" s="2" t="s">
        <v>226</v>
      </c>
      <c r="D43" s="2">
        <v>1011906</v>
      </c>
      <c r="E43" s="2" t="s">
        <v>722</v>
      </c>
      <c r="F43" s="2" t="s">
        <v>67</v>
      </c>
      <c r="G43" s="2" t="s">
        <v>540</v>
      </c>
      <c r="H43" s="7">
        <v>0</v>
      </c>
      <c r="I43">
        <v>25</v>
      </c>
      <c r="J43">
        <v>27</v>
      </c>
      <c r="K43" s="14">
        <v>0.6</v>
      </c>
      <c r="L43" s="7">
        <f t="shared" si="0"/>
        <v>0</v>
      </c>
      <c r="M43" s="14">
        <v>0.72</v>
      </c>
      <c r="N43" s="7">
        <f t="shared" si="1"/>
        <v>0</v>
      </c>
    </row>
    <row r="44" spans="1:14" x14ac:dyDescent="0.2">
      <c r="A44" s="2" t="s">
        <v>704</v>
      </c>
      <c r="B44" s="2" t="s">
        <v>56</v>
      </c>
      <c r="C44" s="2" t="s">
        <v>226</v>
      </c>
      <c r="D44" s="2">
        <v>1012207</v>
      </c>
      <c r="E44" s="2" t="s">
        <v>723</v>
      </c>
      <c r="F44" s="2" t="s">
        <v>54</v>
      </c>
      <c r="G44" s="2" t="s">
        <v>464</v>
      </c>
      <c r="H44" s="7">
        <v>0</v>
      </c>
      <c r="I44">
        <v>25</v>
      </c>
      <c r="J44">
        <v>27</v>
      </c>
      <c r="K44" s="14">
        <v>0.6</v>
      </c>
      <c r="L44" s="7">
        <f t="shared" si="0"/>
        <v>0</v>
      </c>
      <c r="M44" s="14">
        <v>0.72</v>
      </c>
      <c r="N44" s="7">
        <f t="shared" si="1"/>
        <v>0</v>
      </c>
    </row>
    <row r="45" spans="1:14" x14ac:dyDescent="0.2">
      <c r="A45" s="2" t="s">
        <v>704</v>
      </c>
      <c r="B45" s="2" t="s">
        <v>56</v>
      </c>
      <c r="C45" s="2" t="s">
        <v>226</v>
      </c>
      <c r="D45" s="2">
        <v>1012405</v>
      </c>
      <c r="E45" s="2" t="s">
        <v>724</v>
      </c>
      <c r="F45" s="2" t="s">
        <v>59</v>
      </c>
      <c r="G45" s="2" t="s">
        <v>725</v>
      </c>
      <c r="H45" s="7">
        <v>0</v>
      </c>
      <c r="I45">
        <v>25</v>
      </c>
      <c r="J45">
        <v>27</v>
      </c>
      <c r="K45" s="14">
        <v>0.6</v>
      </c>
      <c r="L45" s="7">
        <f t="shared" si="0"/>
        <v>0</v>
      </c>
      <c r="M45" s="14">
        <v>0.72</v>
      </c>
      <c r="N45" s="7">
        <f t="shared" si="1"/>
        <v>0</v>
      </c>
    </row>
    <row r="46" spans="1:14" x14ac:dyDescent="0.2">
      <c r="A46" s="2" t="s">
        <v>704</v>
      </c>
      <c r="B46" s="2" t="s">
        <v>56</v>
      </c>
      <c r="C46" s="2" t="s">
        <v>226</v>
      </c>
      <c r="D46" s="2">
        <v>1012432</v>
      </c>
      <c r="E46" s="2" t="s">
        <v>726</v>
      </c>
      <c r="F46" s="2" t="s">
        <v>59</v>
      </c>
      <c r="G46" s="2" t="s">
        <v>454</v>
      </c>
      <c r="H46" s="7">
        <v>129600</v>
      </c>
      <c r="I46">
        <v>25</v>
      </c>
      <c r="J46">
        <v>27</v>
      </c>
      <c r="K46" s="14">
        <v>0.6</v>
      </c>
      <c r="L46" s="7">
        <f t="shared" si="0"/>
        <v>77760</v>
      </c>
      <c r="M46" s="14">
        <v>0.72</v>
      </c>
      <c r="N46" s="7">
        <f t="shared" si="1"/>
        <v>93312</v>
      </c>
    </row>
    <row r="47" spans="1:14" x14ac:dyDescent="0.2">
      <c r="A47" s="2" t="s">
        <v>704</v>
      </c>
      <c r="B47" s="2" t="s">
        <v>56</v>
      </c>
      <c r="C47" s="2" t="s">
        <v>226</v>
      </c>
      <c r="D47" s="2">
        <v>1012724</v>
      </c>
      <c r="E47" s="2" t="s">
        <v>727</v>
      </c>
      <c r="F47" s="2" t="s">
        <v>54</v>
      </c>
      <c r="G47" s="2" t="s">
        <v>427</v>
      </c>
      <c r="H47" s="7">
        <v>14892.258</v>
      </c>
      <c r="I47">
        <v>25</v>
      </c>
      <c r="J47">
        <v>27</v>
      </c>
      <c r="K47" s="14">
        <v>0.6</v>
      </c>
      <c r="L47" s="7">
        <f t="shared" si="0"/>
        <v>8935.3547999999992</v>
      </c>
      <c r="M47" s="14">
        <v>0.72</v>
      </c>
      <c r="N47" s="7">
        <f t="shared" si="1"/>
        <v>10722.42576</v>
      </c>
    </row>
    <row r="48" spans="1:14" x14ac:dyDescent="0.2">
      <c r="A48" s="2" t="s">
        <v>704</v>
      </c>
      <c r="B48" s="2" t="s">
        <v>56</v>
      </c>
      <c r="C48" s="2" t="s">
        <v>226</v>
      </c>
      <c r="D48" s="2">
        <v>1012730</v>
      </c>
      <c r="E48" s="2" t="s">
        <v>728</v>
      </c>
      <c r="F48" s="2" t="s">
        <v>54</v>
      </c>
      <c r="G48" s="2" t="s">
        <v>426</v>
      </c>
      <c r="H48" s="7">
        <v>100958.38</v>
      </c>
      <c r="I48">
        <v>25</v>
      </c>
      <c r="J48">
        <v>27</v>
      </c>
      <c r="K48" s="14">
        <v>0.6</v>
      </c>
      <c r="L48" s="7">
        <f t="shared" si="0"/>
        <v>60575.027999999998</v>
      </c>
      <c r="M48" s="14">
        <v>0.72</v>
      </c>
      <c r="N48" s="7">
        <f t="shared" si="1"/>
        <v>72690.033599999995</v>
      </c>
    </row>
    <row r="49" spans="1:14" x14ac:dyDescent="0.2">
      <c r="A49" s="2" t="s">
        <v>704</v>
      </c>
      <c r="B49" s="2" t="s">
        <v>56</v>
      </c>
      <c r="C49" s="2" t="s">
        <v>226</v>
      </c>
      <c r="D49" s="2">
        <v>1012745</v>
      </c>
      <c r="E49" s="2" t="s">
        <v>729</v>
      </c>
      <c r="F49" s="2" t="s">
        <v>54</v>
      </c>
      <c r="G49" s="2" t="s">
        <v>425</v>
      </c>
      <c r="H49" s="7">
        <v>14801.816000000001</v>
      </c>
      <c r="I49">
        <v>25</v>
      </c>
      <c r="J49">
        <v>27</v>
      </c>
      <c r="K49" s="14">
        <v>0.6</v>
      </c>
      <c r="L49" s="7">
        <f t="shared" si="0"/>
        <v>8881.0895999999993</v>
      </c>
      <c r="M49" s="14">
        <v>0.72</v>
      </c>
      <c r="N49" s="7">
        <f t="shared" si="1"/>
        <v>10657.30752</v>
      </c>
    </row>
    <row r="50" spans="1:14" x14ac:dyDescent="0.2">
      <c r="A50" s="2" t="s">
        <v>704</v>
      </c>
      <c r="B50" s="2" t="s">
        <v>56</v>
      </c>
      <c r="C50" s="2" t="s">
        <v>226</v>
      </c>
      <c r="D50" s="2">
        <v>1012805</v>
      </c>
      <c r="E50" s="2" t="s">
        <v>730</v>
      </c>
      <c r="F50" s="2" t="s">
        <v>224</v>
      </c>
      <c r="G50" s="2" t="s">
        <v>669</v>
      </c>
      <c r="H50" s="7">
        <v>0</v>
      </c>
      <c r="I50">
        <v>25</v>
      </c>
      <c r="J50">
        <v>27</v>
      </c>
      <c r="K50" s="14">
        <v>0.6</v>
      </c>
      <c r="L50" s="7">
        <f t="shared" si="0"/>
        <v>0</v>
      </c>
      <c r="M50" s="14">
        <v>0.72</v>
      </c>
      <c r="N50" s="7">
        <f t="shared" si="1"/>
        <v>0</v>
      </c>
    </row>
    <row r="51" spans="1:14" x14ac:dyDescent="0.2">
      <c r="A51" s="2" t="s">
        <v>704</v>
      </c>
      <c r="B51" s="2" t="s">
        <v>56</v>
      </c>
      <c r="C51" s="2" t="s">
        <v>150</v>
      </c>
      <c r="D51" s="2">
        <v>1011127</v>
      </c>
      <c r="E51" s="2" t="s">
        <v>229</v>
      </c>
      <c r="F51" s="2" t="s">
        <v>59</v>
      </c>
      <c r="G51" s="2" t="s">
        <v>228</v>
      </c>
      <c r="H51" s="7">
        <v>2884800</v>
      </c>
      <c r="I51">
        <v>23</v>
      </c>
      <c r="J51">
        <v>27</v>
      </c>
      <c r="K51" s="14">
        <v>0.56521739130434778</v>
      </c>
      <c r="L51" s="7">
        <f t="shared" si="0"/>
        <v>1630539.1304347825</v>
      </c>
      <c r="M51" s="14">
        <v>0.69565217391304346</v>
      </c>
      <c r="N51" s="7">
        <f t="shared" si="1"/>
        <v>2006817.3913043477</v>
      </c>
    </row>
    <row r="52" spans="1:14" x14ac:dyDescent="0.2">
      <c r="A52" s="2" t="s">
        <v>704</v>
      </c>
      <c r="B52" s="2" t="s">
        <v>56</v>
      </c>
      <c r="C52" s="2" t="s">
        <v>150</v>
      </c>
      <c r="D52" s="2">
        <v>1011150</v>
      </c>
      <c r="E52" s="2" t="s">
        <v>151</v>
      </c>
      <c r="F52" s="2" t="s">
        <v>63</v>
      </c>
      <c r="G52" s="2" t="s">
        <v>149</v>
      </c>
      <c r="H52" s="7">
        <v>141588</v>
      </c>
      <c r="I52">
        <v>23</v>
      </c>
      <c r="J52">
        <v>27</v>
      </c>
      <c r="K52" s="14">
        <v>0.56521739130434778</v>
      </c>
      <c r="L52" s="7">
        <f t="shared" si="0"/>
        <v>80028</v>
      </c>
      <c r="M52" s="14">
        <v>0.69565217391304346</v>
      </c>
      <c r="N52" s="7">
        <f t="shared" si="1"/>
        <v>98496</v>
      </c>
    </row>
    <row r="53" spans="1:14" x14ac:dyDescent="0.2">
      <c r="A53" s="2" t="s">
        <v>704</v>
      </c>
      <c r="B53" s="2" t="s">
        <v>56</v>
      </c>
      <c r="C53" s="2" t="s">
        <v>150</v>
      </c>
      <c r="D53" s="2">
        <v>1011151</v>
      </c>
      <c r="E53" s="2" t="s">
        <v>153</v>
      </c>
      <c r="F53" s="2" t="s">
        <v>67</v>
      </c>
      <c r="G53" s="2" t="s">
        <v>152</v>
      </c>
      <c r="H53" s="7">
        <v>140049</v>
      </c>
      <c r="I53">
        <v>23</v>
      </c>
      <c r="J53">
        <v>27</v>
      </c>
      <c r="K53" s="14">
        <v>0.56521739130434778</v>
      </c>
      <c r="L53" s="7">
        <f t="shared" si="0"/>
        <v>79158.130434782608</v>
      </c>
      <c r="M53" s="14">
        <v>0.69565217391304346</v>
      </c>
      <c r="N53" s="7">
        <f t="shared" si="1"/>
        <v>97425.391304347824</v>
      </c>
    </row>
    <row r="54" spans="1:14" x14ac:dyDescent="0.2">
      <c r="A54" s="2" t="s">
        <v>704</v>
      </c>
      <c r="B54" s="2" t="s">
        <v>56</v>
      </c>
      <c r="C54" s="2" t="s">
        <v>150</v>
      </c>
      <c r="D54" s="2">
        <v>1011611</v>
      </c>
      <c r="E54" s="2" t="s">
        <v>731</v>
      </c>
      <c r="F54" s="2" t="s">
        <v>59</v>
      </c>
      <c r="G54" s="2" t="s">
        <v>533</v>
      </c>
      <c r="H54" s="7">
        <v>0</v>
      </c>
      <c r="I54">
        <v>23</v>
      </c>
      <c r="J54">
        <v>27</v>
      </c>
      <c r="K54" s="14">
        <v>0.56521739130434778</v>
      </c>
      <c r="L54" s="7">
        <f t="shared" si="0"/>
        <v>0</v>
      </c>
      <c r="M54" s="14">
        <v>0.69565217391304346</v>
      </c>
      <c r="N54" s="7">
        <f t="shared" si="1"/>
        <v>0</v>
      </c>
    </row>
    <row r="55" spans="1:14" x14ac:dyDescent="0.2">
      <c r="A55" s="2" t="s">
        <v>704</v>
      </c>
      <c r="B55" s="2" t="s">
        <v>56</v>
      </c>
      <c r="C55" s="2" t="s">
        <v>150</v>
      </c>
      <c r="D55" s="2">
        <v>1011614</v>
      </c>
      <c r="E55" s="2" t="s">
        <v>732</v>
      </c>
      <c r="F55" s="2" t="s">
        <v>59</v>
      </c>
      <c r="G55" s="2" t="s">
        <v>487</v>
      </c>
      <c r="H55" s="7">
        <v>139678</v>
      </c>
      <c r="I55">
        <v>23</v>
      </c>
      <c r="J55">
        <v>27</v>
      </c>
      <c r="K55" s="14">
        <v>0.56521739130434778</v>
      </c>
      <c r="L55" s="7">
        <f t="shared" si="0"/>
        <v>78948.434782608689</v>
      </c>
      <c r="M55" s="14">
        <v>0.69565217391304346</v>
      </c>
      <c r="N55" s="7">
        <f t="shared" si="1"/>
        <v>97167.304347826081</v>
      </c>
    </row>
    <row r="56" spans="1:14" x14ac:dyDescent="0.2">
      <c r="A56" s="2" t="s">
        <v>704</v>
      </c>
      <c r="B56" s="2" t="s">
        <v>56</v>
      </c>
      <c r="C56" s="2" t="s">
        <v>150</v>
      </c>
      <c r="D56" s="2">
        <v>1011748</v>
      </c>
      <c r="E56" s="2" t="s">
        <v>227</v>
      </c>
      <c r="F56" s="2" t="s">
        <v>59</v>
      </c>
      <c r="G56" s="2" t="s">
        <v>482</v>
      </c>
      <c r="H56" s="7">
        <v>0</v>
      </c>
      <c r="I56">
        <v>23</v>
      </c>
      <c r="J56">
        <v>27</v>
      </c>
      <c r="K56" s="14">
        <v>0.56521739130434778</v>
      </c>
      <c r="L56" s="7">
        <f t="shared" si="0"/>
        <v>0</v>
      </c>
      <c r="M56" s="14">
        <v>0.69565217391304346</v>
      </c>
      <c r="N56" s="7">
        <f t="shared" si="1"/>
        <v>0</v>
      </c>
    </row>
    <row r="57" spans="1:14" x14ac:dyDescent="0.2">
      <c r="A57" s="2" t="s">
        <v>704</v>
      </c>
      <c r="B57" s="2" t="s">
        <v>56</v>
      </c>
      <c r="C57" s="2" t="s">
        <v>150</v>
      </c>
      <c r="D57" s="2">
        <v>1012278</v>
      </c>
      <c r="E57" s="2" t="s">
        <v>231</v>
      </c>
      <c r="F57" s="2" t="s">
        <v>63</v>
      </c>
      <c r="G57" s="2" t="s">
        <v>230</v>
      </c>
      <c r="H57" s="7">
        <v>118908</v>
      </c>
      <c r="I57">
        <v>23</v>
      </c>
      <c r="J57">
        <v>27</v>
      </c>
      <c r="K57" s="14">
        <v>0.56521739130434778</v>
      </c>
      <c r="L57" s="7">
        <f t="shared" si="0"/>
        <v>67208.869565217392</v>
      </c>
      <c r="M57" s="14">
        <v>0.69565217391304346</v>
      </c>
      <c r="N57" s="7">
        <f t="shared" si="1"/>
        <v>82718.608695652176</v>
      </c>
    </row>
    <row r="58" spans="1:14" x14ac:dyDescent="0.2">
      <c r="A58" s="2" t="s">
        <v>704</v>
      </c>
      <c r="B58" s="2" t="s">
        <v>56</v>
      </c>
      <c r="C58" s="2" t="s">
        <v>150</v>
      </c>
      <c r="D58" s="2">
        <v>1012432</v>
      </c>
      <c r="E58" s="2" t="s">
        <v>726</v>
      </c>
      <c r="F58" s="2" t="s">
        <v>59</v>
      </c>
      <c r="G58" s="2" t="s">
        <v>654</v>
      </c>
      <c r="H58" s="7">
        <v>0</v>
      </c>
      <c r="I58">
        <v>23</v>
      </c>
      <c r="J58">
        <v>27</v>
      </c>
      <c r="K58" s="14">
        <v>0.56521739130434778</v>
      </c>
      <c r="L58" s="7">
        <f t="shared" si="0"/>
        <v>0</v>
      </c>
      <c r="M58" s="14">
        <v>0.69565217391304346</v>
      </c>
      <c r="N58" s="7">
        <f t="shared" si="1"/>
        <v>0</v>
      </c>
    </row>
    <row r="59" spans="1:14" x14ac:dyDescent="0.2">
      <c r="A59" s="2" t="s">
        <v>704</v>
      </c>
      <c r="B59" s="2" t="s">
        <v>56</v>
      </c>
      <c r="C59" s="2" t="s">
        <v>150</v>
      </c>
      <c r="D59" s="2">
        <v>1012534</v>
      </c>
      <c r="E59" s="2" t="s">
        <v>233</v>
      </c>
      <c r="F59" s="2" t="s">
        <v>234</v>
      </c>
      <c r="G59" s="2" t="s">
        <v>232</v>
      </c>
      <c r="H59" s="7">
        <v>159926.74600000001</v>
      </c>
      <c r="I59">
        <v>23</v>
      </c>
      <c r="J59">
        <v>27</v>
      </c>
      <c r="K59" s="14">
        <v>0.56521739130434778</v>
      </c>
      <c r="L59" s="7">
        <f t="shared" si="0"/>
        <v>90393.37817391305</v>
      </c>
      <c r="M59" s="14">
        <v>0.69565217391304346</v>
      </c>
      <c r="N59" s="7">
        <f t="shared" si="1"/>
        <v>111253.38852173914</v>
      </c>
    </row>
    <row r="60" spans="1:14" x14ac:dyDescent="0.2">
      <c r="A60" s="2" t="s">
        <v>704</v>
      </c>
      <c r="B60" s="2" t="s">
        <v>56</v>
      </c>
      <c r="C60" s="2" t="s">
        <v>150</v>
      </c>
      <c r="D60" s="2">
        <v>1012725</v>
      </c>
      <c r="E60" s="2" t="s">
        <v>155</v>
      </c>
      <c r="F60" s="2" t="s">
        <v>67</v>
      </c>
      <c r="G60" s="2" t="s">
        <v>154</v>
      </c>
      <c r="H60" s="7">
        <v>0</v>
      </c>
      <c r="I60">
        <v>23</v>
      </c>
      <c r="J60">
        <v>27</v>
      </c>
      <c r="K60" s="14">
        <v>0.56521739130434778</v>
      </c>
      <c r="L60" s="7">
        <f t="shared" si="0"/>
        <v>0</v>
      </c>
      <c r="M60" s="14">
        <v>0.69565217391304346</v>
      </c>
      <c r="N60" s="7">
        <f t="shared" si="1"/>
        <v>0</v>
      </c>
    </row>
    <row r="61" spans="1:14" x14ac:dyDescent="0.2">
      <c r="A61" s="2" t="s">
        <v>704</v>
      </c>
      <c r="B61" s="2" t="s">
        <v>56</v>
      </c>
      <c r="C61" s="2" t="s">
        <v>150</v>
      </c>
      <c r="D61" s="2">
        <v>1012764</v>
      </c>
      <c r="E61" s="2" t="s">
        <v>733</v>
      </c>
      <c r="F61" s="2" t="s">
        <v>710</v>
      </c>
      <c r="G61" s="2" t="s">
        <v>491</v>
      </c>
      <c r="H61" s="7">
        <v>68727.057000000001</v>
      </c>
      <c r="I61">
        <v>23</v>
      </c>
      <c r="J61">
        <v>27</v>
      </c>
      <c r="K61" s="14">
        <v>0.56521739130434778</v>
      </c>
      <c r="L61" s="7">
        <f t="shared" si="0"/>
        <v>38845.727869565213</v>
      </c>
      <c r="M61" s="14">
        <v>0.69565217391304346</v>
      </c>
      <c r="N61" s="7">
        <f t="shared" si="1"/>
        <v>47810.126608695653</v>
      </c>
    </row>
    <row r="62" spans="1:14" x14ac:dyDescent="0.2">
      <c r="A62" s="2" t="s">
        <v>704</v>
      </c>
      <c r="B62" s="2" t="s">
        <v>56</v>
      </c>
      <c r="C62" s="2" t="s">
        <v>150</v>
      </c>
      <c r="D62" s="2">
        <v>1012796</v>
      </c>
      <c r="E62" s="2" t="s">
        <v>734</v>
      </c>
      <c r="F62" s="2" t="s">
        <v>63</v>
      </c>
      <c r="G62" s="2" t="s">
        <v>523</v>
      </c>
      <c r="H62" s="7">
        <v>79971.851999999999</v>
      </c>
      <c r="I62">
        <v>23</v>
      </c>
      <c r="J62">
        <v>27</v>
      </c>
      <c r="K62" s="14">
        <v>0.56521739130434778</v>
      </c>
      <c r="L62" s="7">
        <f t="shared" si="0"/>
        <v>45201.481565217386</v>
      </c>
      <c r="M62" s="14">
        <v>0.69565217391304346</v>
      </c>
      <c r="N62" s="7">
        <f t="shared" si="1"/>
        <v>55632.592695652173</v>
      </c>
    </row>
    <row r="63" spans="1:14" x14ac:dyDescent="0.2">
      <c r="A63" s="2" t="s">
        <v>704</v>
      </c>
      <c r="B63" s="2" t="s">
        <v>56</v>
      </c>
      <c r="C63" s="2" t="s">
        <v>735</v>
      </c>
      <c r="D63" s="2">
        <v>1011421</v>
      </c>
      <c r="E63" s="2" t="s">
        <v>736</v>
      </c>
      <c r="F63" s="2" t="s">
        <v>710</v>
      </c>
      <c r="G63" s="2" t="s">
        <v>484</v>
      </c>
      <c r="H63" s="7">
        <v>1247516.824</v>
      </c>
      <c r="I63">
        <v>25</v>
      </c>
      <c r="J63">
        <v>27</v>
      </c>
      <c r="K63" s="14">
        <v>0.6</v>
      </c>
      <c r="L63" s="7">
        <f t="shared" si="0"/>
        <v>748510.09439999994</v>
      </c>
      <c r="M63" s="14">
        <v>0.72</v>
      </c>
      <c r="N63" s="7">
        <f t="shared" si="1"/>
        <v>898212.11327999993</v>
      </c>
    </row>
    <row r="64" spans="1:14" x14ac:dyDescent="0.2">
      <c r="A64" s="2" t="s">
        <v>704</v>
      </c>
      <c r="B64" s="2" t="s">
        <v>56</v>
      </c>
      <c r="C64" s="2" t="s">
        <v>735</v>
      </c>
      <c r="D64" s="2">
        <v>1011558</v>
      </c>
      <c r="E64" s="2" t="s">
        <v>737</v>
      </c>
      <c r="F64" s="2" t="s">
        <v>710</v>
      </c>
      <c r="G64" s="2" t="s">
        <v>603</v>
      </c>
      <c r="H64" s="7">
        <v>190147.18400000001</v>
      </c>
      <c r="I64">
        <v>25</v>
      </c>
      <c r="J64">
        <v>27</v>
      </c>
      <c r="K64" s="14">
        <v>0.6</v>
      </c>
      <c r="L64" s="7">
        <f t="shared" si="0"/>
        <v>114088.3104</v>
      </c>
      <c r="M64" s="14">
        <v>0.72</v>
      </c>
      <c r="N64" s="7">
        <f t="shared" si="1"/>
        <v>136905.97248</v>
      </c>
    </row>
    <row r="65" spans="1:14" x14ac:dyDescent="0.2">
      <c r="A65" s="2" t="s">
        <v>704</v>
      </c>
      <c r="B65" s="2" t="s">
        <v>56</v>
      </c>
      <c r="C65" s="2" t="s">
        <v>735</v>
      </c>
      <c r="D65" s="2">
        <v>1012552</v>
      </c>
      <c r="E65" s="2" t="s">
        <v>738</v>
      </c>
      <c r="F65" s="2" t="s">
        <v>59</v>
      </c>
      <c r="G65" s="2" t="s">
        <v>739</v>
      </c>
      <c r="H65" s="7">
        <v>23750</v>
      </c>
      <c r="I65">
        <v>25</v>
      </c>
      <c r="J65">
        <v>27</v>
      </c>
      <c r="K65" s="14">
        <v>0.6</v>
      </c>
      <c r="L65" s="7">
        <f t="shared" si="0"/>
        <v>14250</v>
      </c>
      <c r="M65" s="14">
        <v>0.72</v>
      </c>
      <c r="N65" s="7">
        <f t="shared" si="1"/>
        <v>17100</v>
      </c>
    </row>
    <row r="66" spans="1:14" x14ac:dyDescent="0.2">
      <c r="A66" s="2" t="s">
        <v>704</v>
      </c>
      <c r="B66" s="2" t="s">
        <v>56</v>
      </c>
      <c r="C66" s="2" t="s">
        <v>735</v>
      </c>
      <c r="D66" s="2">
        <v>1012556</v>
      </c>
      <c r="E66" s="2" t="s">
        <v>740</v>
      </c>
      <c r="F66" s="2" t="s">
        <v>710</v>
      </c>
      <c r="G66" s="2" t="s">
        <v>489</v>
      </c>
      <c r="H66" s="7">
        <v>192030.856</v>
      </c>
      <c r="I66">
        <v>25</v>
      </c>
      <c r="J66">
        <v>27</v>
      </c>
      <c r="K66" s="14">
        <v>0.6</v>
      </c>
      <c r="L66" s="7">
        <f t="shared" ref="L66:L129" si="2">K66 * H66</f>
        <v>115218.51359999999</v>
      </c>
      <c r="M66" s="14">
        <v>0.72</v>
      </c>
      <c r="N66" s="7">
        <f t="shared" ref="N66:N129" si="3">M66 * H66</f>
        <v>138262.21632000001</v>
      </c>
    </row>
    <row r="67" spans="1:14" x14ac:dyDescent="0.2">
      <c r="A67" s="2" t="s">
        <v>704</v>
      </c>
      <c r="B67" s="2" t="s">
        <v>56</v>
      </c>
      <c r="C67" s="2" t="s">
        <v>741</v>
      </c>
      <c r="D67" s="2">
        <v>1012612</v>
      </c>
      <c r="E67" s="2" t="s">
        <v>742</v>
      </c>
      <c r="F67" s="2" t="s">
        <v>710</v>
      </c>
      <c r="G67" s="2" t="s">
        <v>429</v>
      </c>
      <c r="H67" s="7">
        <v>488060.38400000002</v>
      </c>
      <c r="I67">
        <v>25</v>
      </c>
      <c r="J67">
        <v>27</v>
      </c>
      <c r="K67" s="14">
        <v>0.6</v>
      </c>
      <c r="L67" s="7">
        <f t="shared" si="2"/>
        <v>292836.2304</v>
      </c>
      <c r="M67" s="14">
        <v>0.72</v>
      </c>
      <c r="N67" s="7">
        <f t="shared" si="3"/>
        <v>351403.47648000001</v>
      </c>
    </row>
    <row r="68" spans="1:14" x14ac:dyDescent="0.2">
      <c r="A68" s="2" t="s">
        <v>704</v>
      </c>
      <c r="B68" s="2" t="s">
        <v>56</v>
      </c>
      <c r="C68" s="2" t="s">
        <v>46</v>
      </c>
      <c r="D68" s="2">
        <v>1011417</v>
      </c>
      <c r="E68" s="2" t="s">
        <v>743</v>
      </c>
      <c r="F68" s="2" t="s">
        <v>63</v>
      </c>
      <c r="G68" s="2" t="s">
        <v>421</v>
      </c>
      <c r="H68" s="7">
        <v>158400</v>
      </c>
      <c r="I68">
        <v>25</v>
      </c>
      <c r="J68">
        <v>27</v>
      </c>
      <c r="K68" s="14">
        <v>0.6</v>
      </c>
      <c r="L68" s="7">
        <f t="shared" si="2"/>
        <v>95040</v>
      </c>
      <c r="M68" s="14">
        <v>0.72</v>
      </c>
      <c r="N68" s="7">
        <f t="shared" si="3"/>
        <v>114048</v>
      </c>
    </row>
    <row r="69" spans="1:14" x14ac:dyDescent="0.2">
      <c r="A69" s="2" t="s">
        <v>704</v>
      </c>
      <c r="B69" s="2" t="s">
        <v>56</v>
      </c>
      <c r="C69" s="2" t="s">
        <v>46</v>
      </c>
      <c r="D69" s="2">
        <v>1011586</v>
      </c>
      <c r="E69" s="2" t="s">
        <v>744</v>
      </c>
      <c r="F69" s="2" t="s">
        <v>63</v>
      </c>
      <c r="G69" s="2" t="s">
        <v>420</v>
      </c>
      <c r="H69" s="7">
        <v>119724</v>
      </c>
      <c r="I69">
        <v>25</v>
      </c>
      <c r="J69">
        <v>27</v>
      </c>
      <c r="K69" s="14">
        <v>0.6</v>
      </c>
      <c r="L69" s="7">
        <f t="shared" si="2"/>
        <v>71834.399999999994</v>
      </c>
      <c r="M69" s="14">
        <v>0.72</v>
      </c>
      <c r="N69" s="7">
        <f t="shared" si="3"/>
        <v>86201.279999999999</v>
      </c>
    </row>
    <row r="70" spans="1:14" x14ac:dyDescent="0.2">
      <c r="A70" s="2" t="s">
        <v>704</v>
      </c>
      <c r="B70" s="2" t="s">
        <v>56</v>
      </c>
      <c r="C70" s="2" t="s">
        <v>46</v>
      </c>
      <c r="D70" s="2">
        <v>1011967</v>
      </c>
      <c r="E70" s="2" t="s">
        <v>244</v>
      </c>
      <c r="F70" s="2" t="s">
        <v>245</v>
      </c>
      <c r="G70" s="2" t="s">
        <v>418</v>
      </c>
      <c r="H70" s="7">
        <v>192000</v>
      </c>
      <c r="I70">
        <v>25</v>
      </c>
      <c r="J70">
        <v>27</v>
      </c>
      <c r="K70" s="14">
        <v>0.6</v>
      </c>
      <c r="L70" s="7">
        <f t="shared" si="2"/>
        <v>115200</v>
      </c>
      <c r="M70" s="14">
        <v>0.72</v>
      </c>
      <c r="N70" s="7">
        <f t="shared" si="3"/>
        <v>138240</v>
      </c>
    </row>
    <row r="71" spans="1:14" x14ac:dyDescent="0.2">
      <c r="A71" s="2" t="s">
        <v>704</v>
      </c>
      <c r="B71" s="2" t="s">
        <v>56</v>
      </c>
      <c r="C71" s="2" t="s">
        <v>46</v>
      </c>
      <c r="D71" s="2">
        <v>1011968</v>
      </c>
      <c r="E71" s="2" t="s">
        <v>247</v>
      </c>
      <c r="F71" s="2" t="s">
        <v>245</v>
      </c>
      <c r="G71" s="2" t="s">
        <v>438</v>
      </c>
      <c r="H71" s="7">
        <v>14260</v>
      </c>
      <c r="I71">
        <v>25</v>
      </c>
      <c r="J71">
        <v>27</v>
      </c>
      <c r="K71" s="14">
        <v>0.6</v>
      </c>
      <c r="L71" s="7">
        <f t="shared" si="2"/>
        <v>8556</v>
      </c>
      <c r="M71" s="14">
        <v>0.72</v>
      </c>
      <c r="N71" s="7">
        <f t="shared" si="3"/>
        <v>10267.199999999999</v>
      </c>
    </row>
    <row r="72" spans="1:14" x14ac:dyDescent="0.2">
      <c r="A72" s="2" t="s">
        <v>704</v>
      </c>
      <c r="B72" s="2" t="s">
        <v>56</v>
      </c>
      <c r="C72" s="2" t="s">
        <v>46</v>
      </c>
      <c r="D72" s="2">
        <v>1011969</v>
      </c>
      <c r="E72" s="2" t="s">
        <v>745</v>
      </c>
      <c r="F72" s="2" t="s">
        <v>245</v>
      </c>
      <c r="G72" s="2" t="s">
        <v>417</v>
      </c>
      <c r="H72" s="7">
        <v>288000</v>
      </c>
      <c r="I72">
        <v>25</v>
      </c>
      <c r="J72">
        <v>27</v>
      </c>
      <c r="K72" s="14">
        <v>0.6</v>
      </c>
      <c r="L72" s="7">
        <f t="shared" si="2"/>
        <v>172800</v>
      </c>
      <c r="M72" s="14">
        <v>0.72</v>
      </c>
      <c r="N72" s="7">
        <f t="shared" si="3"/>
        <v>207360</v>
      </c>
    </row>
    <row r="73" spans="1:14" x14ac:dyDescent="0.2">
      <c r="A73" s="2" t="s">
        <v>704</v>
      </c>
      <c r="B73" s="2" t="s">
        <v>56</v>
      </c>
      <c r="C73" s="2" t="s">
        <v>46</v>
      </c>
      <c r="D73" s="2">
        <v>1012005</v>
      </c>
      <c r="E73" s="2" t="s">
        <v>746</v>
      </c>
      <c r="F73" s="2" t="s">
        <v>245</v>
      </c>
      <c r="G73" s="2" t="s">
        <v>531</v>
      </c>
      <c r="H73" s="7">
        <v>0</v>
      </c>
      <c r="I73">
        <v>25</v>
      </c>
      <c r="J73">
        <v>27</v>
      </c>
      <c r="K73" s="14">
        <v>0.6</v>
      </c>
      <c r="L73" s="7">
        <f t="shared" si="2"/>
        <v>0</v>
      </c>
      <c r="M73" s="14">
        <v>0.72</v>
      </c>
      <c r="N73" s="7">
        <f t="shared" si="3"/>
        <v>0</v>
      </c>
    </row>
    <row r="74" spans="1:14" x14ac:dyDescent="0.2">
      <c r="A74" s="2" t="s">
        <v>704</v>
      </c>
      <c r="B74" s="2" t="s">
        <v>56</v>
      </c>
      <c r="C74" s="2" t="s">
        <v>46</v>
      </c>
      <c r="D74" s="2">
        <v>1012218</v>
      </c>
      <c r="E74" s="2" t="s">
        <v>236</v>
      </c>
      <c r="F74" s="2" t="s">
        <v>63</v>
      </c>
      <c r="G74" s="2" t="s">
        <v>235</v>
      </c>
      <c r="H74" s="7">
        <v>0</v>
      </c>
      <c r="I74">
        <v>25</v>
      </c>
      <c r="J74">
        <v>27</v>
      </c>
      <c r="K74" s="14">
        <v>0.6</v>
      </c>
      <c r="L74" s="7">
        <f t="shared" si="2"/>
        <v>0</v>
      </c>
      <c r="M74" s="14">
        <v>0.72</v>
      </c>
      <c r="N74" s="7">
        <f t="shared" si="3"/>
        <v>0</v>
      </c>
    </row>
    <row r="75" spans="1:14" x14ac:dyDescent="0.2">
      <c r="A75" s="2" t="s">
        <v>704</v>
      </c>
      <c r="B75" s="2" t="s">
        <v>56</v>
      </c>
      <c r="C75" s="2" t="s">
        <v>46</v>
      </c>
      <c r="D75" s="2">
        <v>1012275</v>
      </c>
      <c r="E75" s="2" t="s">
        <v>238</v>
      </c>
      <c r="F75" s="2" t="s">
        <v>63</v>
      </c>
      <c r="G75" s="2" t="s">
        <v>237</v>
      </c>
      <c r="H75" s="7">
        <v>0</v>
      </c>
      <c r="I75">
        <v>25</v>
      </c>
      <c r="J75">
        <v>27</v>
      </c>
      <c r="K75" s="14">
        <v>0.6</v>
      </c>
      <c r="L75" s="7">
        <f t="shared" si="2"/>
        <v>0</v>
      </c>
      <c r="M75" s="14">
        <v>0.72</v>
      </c>
      <c r="N75" s="7">
        <f t="shared" si="3"/>
        <v>0</v>
      </c>
    </row>
    <row r="76" spans="1:14" x14ac:dyDescent="0.2">
      <c r="A76" s="2" t="s">
        <v>704</v>
      </c>
      <c r="B76" s="2" t="s">
        <v>56</v>
      </c>
      <c r="C76" s="2" t="s">
        <v>46</v>
      </c>
      <c r="D76" s="2">
        <v>1012434</v>
      </c>
      <c r="E76" s="2" t="s">
        <v>240</v>
      </c>
      <c r="F76" s="2" t="s">
        <v>63</v>
      </c>
      <c r="G76" s="2" t="s">
        <v>239</v>
      </c>
      <c r="H76" s="7">
        <v>0</v>
      </c>
      <c r="I76">
        <v>25</v>
      </c>
      <c r="J76">
        <v>27</v>
      </c>
      <c r="K76" s="14">
        <v>0.6</v>
      </c>
      <c r="L76" s="7">
        <f t="shared" si="2"/>
        <v>0</v>
      </c>
      <c r="M76" s="14">
        <v>0.72</v>
      </c>
      <c r="N76" s="7">
        <f t="shared" si="3"/>
        <v>0</v>
      </c>
    </row>
    <row r="77" spans="1:14" x14ac:dyDescent="0.2">
      <c r="A77" s="2" t="s">
        <v>704</v>
      </c>
      <c r="B77" s="2" t="s">
        <v>56</v>
      </c>
      <c r="C77" s="2" t="s">
        <v>46</v>
      </c>
      <c r="D77" s="2">
        <v>1012448</v>
      </c>
      <c r="E77" s="2" t="s">
        <v>747</v>
      </c>
      <c r="F77" s="2" t="s">
        <v>245</v>
      </c>
      <c r="G77" s="2" t="s">
        <v>451</v>
      </c>
      <c r="H77" s="7">
        <v>144000</v>
      </c>
      <c r="I77">
        <v>25</v>
      </c>
      <c r="J77">
        <v>27</v>
      </c>
      <c r="K77" s="14">
        <v>0.6</v>
      </c>
      <c r="L77" s="7">
        <f t="shared" si="2"/>
        <v>86400</v>
      </c>
      <c r="M77" s="14">
        <v>0.72</v>
      </c>
      <c r="N77" s="7">
        <f t="shared" si="3"/>
        <v>103680</v>
      </c>
    </row>
    <row r="78" spans="1:14" x14ac:dyDescent="0.2">
      <c r="A78" s="2" t="s">
        <v>704</v>
      </c>
      <c r="B78" s="2" t="s">
        <v>56</v>
      </c>
      <c r="C78" s="2" t="s">
        <v>46</v>
      </c>
      <c r="D78" s="2">
        <v>1012451</v>
      </c>
      <c r="E78" s="2" t="s">
        <v>157</v>
      </c>
      <c r="F78" s="2" t="s">
        <v>63</v>
      </c>
      <c r="G78" s="2" t="s">
        <v>156</v>
      </c>
      <c r="H78" s="7">
        <v>0</v>
      </c>
      <c r="I78">
        <v>25</v>
      </c>
      <c r="J78">
        <v>27</v>
      </c>
      <c r="K78" s="14">
        <v>0.6</v>
      </c>
      <c r="L78" s="7">
        <f t="shared" si="2"/>
        <v>0</v>
      </c>
      <c r="M78" s="14">
        <v>0.72</v>
      </c>
      <c r="N78" s="7">
        <f t="shared" si="3"/>
        <v>0</v>
      </c>
    </row>
    <row r="79" spans="1:14" x14ac:dyDescent="0.2">
      <c r="A79" s="2" t="s">
        <v>704</v>
      </c>
      <c r="B79" s="2" t="s">
        <v>56</v>
      </c>
      <c r="C79" s="2" t="s">
        <v>46</v>
      </c>
      <c r="D79" s="2">
        <v>1012452</v>
      </c>
      <c r="E79" s="2" t="s">
        <v>748</v>
      </c>
      <c r="F79" s="2" t="s">
        <v>63</v>
      </c>
      <c r="G79" s="2" t="s">
        <v>419</v>
      </c>
      <c r="H79" s="7">
        <v>79904</v>
      </c>
      <c r="I79">
        <v>25</v>
      </c>
      <c r="J79">
        <v>27</v>
      </c>
      <c r="K79" s="14">
        <v>0.6</v>
      </c>
      <c r="L79" s="7">
        <f t="shared" si="2"/>
        <v>47942.400000000001</v>
      </c>
      <c r="M79" s="14">
        <v>0.72</v>
      </c>
      <c r="N79" s="7">
        <f t="shared" si="3"/>
        <v>57530.879999999997</v>
      </c>
    </row>
    <row r="80" spans="1:14" x14ac:dyDescent="0.2">
      <c r="A80" s="2" t="s">
        <v>704</v>
      </c>
      <c r="B80" s="2" t="s">
        <v>56</v>
      </c>
      <c r="C80" s="2" t="s">
        <v>46</v>
      </c>
      <c r="D80" s="2">
        <v>1012453</v>
      </c>
      <c r="E80" s="2" t="s">
        <v>242</v>
      </c>
      <c r="F80" s="2" t="s">
        <v>63</v>
      </c>
      <c r="G80" s="2" t="s">
        <v>241</v>
      </c>
      <c r="H80" s="7">
        <v>0</v>
      </c>
      <c r="I80">
        <v>25</v>
      </c>
      <c r="J80">
        <v>27</v>
      </c>
      <c r="K80" s="14">
        <v>0.6</v>
      </c>
      <c r="L80" s="7">
        <f t="shared" si="2"/>
        <v>0</v>
      </c>
      <c r="M80" s="14">
        <v>0.72</v>
      </c>
      <c r="N80" s="7">
        <f t="shared" si="3"/>
        <v>0</v>
      </c>
    </row>
    <row r="81" spans="1:14" x14ac:dyDescent="0.2">
      <c r="A81" s="2" t="s">
        <v>704</v>
      </c>
      <c r="B81" s="2" t="s">
        <v>56</v>
      </c>
      <c r="C81" s="2" t="s">
        <v>46</v>
      </c>
      <c r="D81" s="2">
        <v>1012455</v>
      </c>
      <c r="E81" s="2" t="s">
        <v>749</v>
      </c>
      <c r="F81" s="2" t="s">
        <v>63</v>
      </c>
      <c r="G81" s="2" t="s">
        <v>450</v>
      </c>
      <c r="H81" s="7">
        <v>96000</v>
      </c>
      <c r="I81">
        <v>25</v>
      </c>
      <c r="J81">
        <v>27</v>
      </c>
      <c r="K81" s="14">
        <v>0.6</v>
      </c>
      <c r="L81" s="7">
        <f t="shared" si="2"/>
        <v>57600</v>
      </c>
      <c r="M81" s="14">
        <v>0.72</v>
      </c>
      <c r="N81" s="7">
        <f t="shared" si="3"/>
        <v>69120</v>
      </c>
    </row>
    <row r="82" spans="1:14" x14ac:dyDescent="0.2">
      <c r="A82" s="2" t="s">
        <v>704</v>
      </c>
      <c r="B82" s="2" t="s">
        <v>56</v>
      </c>
      <c r="C82" s="2" t="s">
        <v>46</v>
      </c>
      <c r="D82" s="2">
        <v>1012503</v>
      </c>
      <c r="E82" s="2" t="s">
        <v>750</v>
      </c>
      <c r="F82" s="2" t="s">
        <v>245</v>
      </c>
      <c r="G82" s="2" t="s">
        <v>448</v>
      </c>
      <c r="H82" s="7">
        <v>384000</v>
      </c>
      <c r="I82">
        <v>25</v>
      </c>
      <c r="J82">
        <v>27</v>
      </c>
      <c r="K82" s="14">
        <v>0.6</v>
      </c>
      <c r="L82" s="7">
        <f t="shared" si="2"/>
        <v>230400</v>
      </c>
      <c r="M82" s="14">
        <v>0.72</v>
      </c>
      <c r="N82" s="7">
        <f t="shared" si="3"/>
        <v>276480</v>
      </c>
    </row>
    <row r="83" spans="1:14" x14ac:dyDescent="0.2">
      <c r="A83" s="2" t="s">
        <v>704</v>
      </c>
      <c r="B83" s="2" t="s">
        <v>56</v>
      </c>
      <c r="C83" s="2" t="s">
        <v>46</v>
      </c>
      <c r="D83" s="2">
        <v>1012504</v>
      </c>
      <c r="E83" s="2" t="s">
        <v>747</v>
      </c>
      <c r="F83" s="2" t="s">
        <v>245</v>
      </c>
      <c r="G83" s="2" t="s">
        <v>563</v>
      </c>
      <c r="H83" s="7">
        <v>96000</v>
      </c>
      <c r="I83">
        <v>25</v>
      </c>
      <c r="J83">
        <v>27</v>
      </c>
      <c r="K83" s="14">
        <v>0.6</v>
      </c>
      <c r="L83" s="7">
        <f t="shared" si="2"/>
        <v>57600</v>
      </c>
      <c r="M83" s="14">
        <v>0.72</v>
      </c>
      <c r="N83" s="7">
        <f t="shared" si="3"/>
        <v>69120</v>
      </c>
    </row>
    <row r="84" spans="1:14" x14ac:dyDescent="0.2">
      <c r="A84" s="2" t="s">
        <v>704</v>
      </c>
      <c r="B84" s="2" t="s">
        <v>56</v>
      </c>
      <c r="C84" s="2" t="s">
        <v>46</v>
      </c>
      <c r="D84" s="2">
        <v>1012526</v>
      </c>
      <c r="E84" s="2" t="s">
        <v>247</v>
      </c>
      <c r="F84" s="2" t="s">
        <v>245</v>
      </c>
      <c r="G84" s="2" t="s">
        <v>246</v>
      </c>
      <c r="H84" s="7">
        <v>9600</v>
      </c>
      <c r="I84">
        <v>25</v>
      </c>
      <c r="J84">
        <v>27</v>
      </c>
      <c r="K84" s="14">
        <v>0.6</v>
      </c>
      <c r="L84" s="7">
        <f t="shared" si="2"/>
        <v>5760</v>
      </c>
      <c r="M84" s="14">
        <v>0.72</v>
      </c>
      <c r="N84" s="7">
        <f t="shared" si="3"/>
        <v>6912</v>
      </c>
    </row>
    <row r="85" spans="1:14" x14ac:dyDescent="0.2">
      <c r="A85" s="2" t="s">
        <v>704</v>
      </c>
      <c r="B85" s="2" t="s">
        <v>56</v>
      </c>
      <c r="C85" s="2" t="s">
        <v>46</v>
      </c>
      <c r="D85" s="2">
        <v>1012527</v>
      </c>
      <c r="E85" s="2" t="s">
        <v>751</v>
      </c>
      <c r="F85" s="2" t="s">
        <v>245</v>
      </c>
      <c r="G85" s="2" t="s">
        <v>557</v>
      </c>
      <c r="H85" s="7">
        <v>72000</v>
      </c>
      <c r="I85">
        <v>25</v>
      </c>
      <c r="J85">
        <v>27</v>
      </c>
      <c r="K85" s="14">
        <v>0.6</v>
      </c>
      <c r="L85" s="7">
        <f t="shared" si="2"/>
        <v>43200</v>
      </c>
      <c r="M85" s="14">
        <v>0.72</v>
      </c>
      <c r="N85" s="7">
        <f t="shared" si="3"/>
        <v>51840</v>
      </c>
    </row>
    <row r="86" spans="1:14" x14ac:dyDescent="0.2">
      <c r="A86" s="2" t="s">
        <v>704</v>
      </c>
      <c r="B86" s="2" t="s">
        <v>56</v>
      </c>
      <c r="C86" s="2" t="s">
        <v>46</v>
      </c>
      <c r="D86" s="2">
        <v>1012595</v>
      </c>
      <c r="E86" s="2" t="s">
        <v>249</v>
      </c>
      <c r="F86" s="2" t="s">
        <v>59</v>
      </c>
      <c r="G86" s="2" t="s">
        <v>248</v>
      </c>
      <c r="H86" s="7">
        <v>0</v>
      </c>
      <c r="I86">
        <v>25</v>
      </c>
      <c r="J86">
        <v>27</v>
      </c>
      <c r="K86" s="14">
        <v>0.6</v>
      </c>
      <c r="L86" s="7">
        <f t="shared" si="2"/>
        <v>0</v>
      </c>
      <c r="M86" s="14">
        <v>0.72</v>
      </c>
      <c r="N86" s="7">
        <f t="shared" si="3"/>
        <v>0</v>
      </c>
    </row>
    <row r="87" spans="1:14" x14ac:dyDescent="0.2">
      <c r="A87" s="2" t="s">
        <v>704</v>
      </c>
      <c r="B87" s="2" t="s">
        <v>56</v>
      </c>
      <c r="C87" s="2" t="s">
        <v>46</v>
      </c>
      <c r="D87" s="2">
        <v>1012598</v>
      </c>
      <c r="E87" s="2" t="s">
        <v>752</v>
      </c>
      <c r="F87" s="2" t="s">
        <v>245</v>
      </c>
      <c r="G87" s="2" t="s">
        <v>651</v>
      </c>
      <c r="H87" s="7">
        <v>0</v>
      </c>
      <c r="I87">
        <v>25</v>
      </c>
      <c r="J87">
        <v>27</v>
      </c>
      <c r="K87" s="14">
        <v>0.6</v>
      </c>
      <c r="L87" s="7">
        <f t="shared" si="2"/>
        <v>0</v>
      </c>
      <c r="M87" s="14">
        <v>0.72</v>
      </c>
      <c r="N87" s="7">
        <f t="shared" si="3"/>
        <v>0</v>
      </c>
    </row>
    <row r="88" spans="1:14" x14ac:dyDescent="0.2">
      <c r="A88" s="2" t="s">
        <v>704</v>
      </c>
      <c r="B88" s="2" t="s">
        <v>56</v>
      </c>
      <c r="C88" s="2" t="s">
        <v>46</v>
      </c>
      <c r="D88" s="2">
        <v>1012622</v>
      </c>
      <c r="E88" s="2" t="s">
        <v>251</v>
      </c>
      <c r="F88" s="2" t="s">
        <v>124</v>
      </c>
      <c r="G88" s="2" t="s">
        <v>250</v>
      </c>
      <c r="H88" s="7">
        <v>0</v>
      </c>
      <c r="I88">
        <v>25</v>
      </c>
      <c r="J88">
        <v>27</v>
      </c>
      <c r="K88" s="14">
        <v>0.6</v>
      </c>
      <c r="L88" s="7">
        <f t="shared" si="2"/>
        <v>0</v>
      </c>
      <c r="M88" s="14">
        <v>0.72</v>
      </c>
      <c r="N88" s="7">
        <f t="shared" si="3"/>
        <v>0</v>
      </c>
    </row>
    <row r="89" spans="1:14" x14ac:dyDescent="0.2">
      <c r="A89" s="2" t="s">
        <v>704</v>
      </c>
      <c r="B89" s="2" t="s">
        <v>56</v>
      </c>
      <c r="C89" s="2" t="s">
        <v>46</v>
      </c>
      <c r="D89" s="2">
        <v>1012681</v>
      </c>
      <c r="E89" s="2" t="s">
        <v>753</v>
      </c>
      <c r="F89" s="2" t="s">
        <v>259</v>
      </c>
      <c r="G89" s="2" t="s">
        <v>449</v>
      </c>
      <c r="H89" s="7">
        <v>0</v>
      </c>
      <c r="I89">
        <v>25</v>
      </c>
      <c r="J89">
        <v>27</v>
      </c>
      <c r="K89" s="14">
        <v>0.6</v>
      </c>
      <c r="L89" s="7">
        <f t="shared" si="2"/>
        <v>0</v>
      </c>
      <c r="M89" s="14">
        <v>0.72</v>
      </c>
      <c r="N89" s="7">
        <f t="shared" si="3"/>
        <v>0</v>
      </c>
    </row>
    <row r="90" spans="1:14" x14ac:dyDescent="0.2">
      <c r="A90" s="2" t="s">
        <v>704</v>
      </c>
      <c r="B90" s="2" t="s">
        <v>56</v>
      </c>
      <c r="C90" s="2" t="s">
        <v>37</v>
      </c>
      <c r="D90" s="2">
        <v>1011948</v>
      </c>
      <c r="E90" s="2" t="s">
        <v>754</v>
      </c>
      <c r="F90" s="2" t="s">
        <v>54</v>
      </c>
      <c r="G90" s="2" t="s">
        <v>462</v>
      </c>
      <c r="H90" s="7">
        <v>0</v>
      </c>
      <c r="I90">
        <v>25</v>
      </c>
      <c r="J90">
        <v>27</v>
      </c>
      <c r="K90" s="14">
        <v>0.6</v>
      </c>
      <c r="L90" s="7">
        <f t="shared" si="2"/>
        <v>0</v>
      </c>
      <c r="M90" s="14">
        <v>0.72</v>
      </c>
      <c r="N90" s="7">
        <f t="shared" si="3"/>
        <v>0</v>
      </c>
    </row>
    <row r="91" spans="1:14" x14ac:dyDescent="0.2">
      <c r="A91" s="2" t="s">
        <v>704</v>
      </c>
      <c r="B91" s="2" t="s">
        <v>56</v>
      </c>
      <c r="C91" s="2" t="s">
        <v>37</v>
      </c>
      <c r="D91" s="2">
        <v>1012326</v>
      </c>
      <c r="E91" s="2" t="s">
        <v>253</v>
      </c>
      <c r="F91" s="2" t="s">
        <v>54</v>
      </c>
      <c r="G91" s="2" t="s">
        <v>252</v>
      </c>
      <c r="H91" s="7">
        <v>0</v>
      </c>
      <c r="I91">
        <v>25</v>
      </c>
      <c r="J91">
        <v>27</v>
      </c>
      <c r="K91" s="14">
        <v>0.6</v>
      </c>
      <c r="L91" s="7">
        <f t="shared" si="2"/>
        <v>0</v>
      </c>
      <c r="M91" s="14">
        <v>0.72</v>
      </c>
      <c r="N91" s="7">
        <f t="shared" si="3"/>
        <v>0</v>
      </c>
    </row>
    <row r="92" spans="1:14" x14ac:dyDescent="0.2">
      <c r="A92" s="2" t="s">
        <v>704</v>
      </c>
      <c r="B92" s="2" t="s">
        <v>56</v>
      </c>
      <c r="C92" s="2" t="s">
        <v>37</v>
      </c>
      <c r="D92" s="2">
        <v>1012682</v>
      </c>
      <c r="E92" s="2" t="s">
        <v>755</v>
      </c>
      <c r="F92" s="2" t="s">
        <v>54</v>
      </c>
      <c r="G92" s="2" t="s">
        <v>693</v>
      </c>
      <c r="H92" s="7">
        <v>0</v>
      </c>
      <c r="I92">
        <v>25</v>
      </c>
      <c r="J92">
        <v>27</v>
      </c>
      <c r="K92" s="14">
        <v>0.6</v>
      </c>
      <c r="L92" s="7">
        <f t="shared" si="2"/>
        <v>0</v>
      </c>
      <c r="M92" s="14">
        <v>0.72</v>
      </c>
      <c r="N92" s="7">
        <f t="shared" si="3"/>
        <v>0</v>
      </c>
    </row>
    <row r="93" spans="1:14" x14ac:dyDescent="0.2">
      <c r="A93" s="2" t="s">
        <v>704</v>
      </c>
      <c r="B93" s="2" t="s">
        <v>34</v>
      </c>
      <c r="C93" s="2" t="s">
        <v>52</v>
      </c>
      <c r="D93" s="2">
        <v>1020822</v>
      </c>
      <c r="E93" s="2" t="s">
        <v>255</v>
      </c>
      <c r="F93" s="2" t="s">
        <v>172</v>
      </c>
      <c r="G93" s="2" t="s">
        <v>254</v>
      </c>
      <c r="H93" s="7">
        <v>0</v>
      </c>
      <c r="I93">
        <v>25</v>
      </c>
      <c r="J93">
        <v>27</v>
      </c>
      <c r="K93" s="14">
        <v>0.6</v>
      </c>
      <c r="L93" s="7">
        <f t="shared" si="2"/>
        <v>0</v>
      </c>
      <c r="M93" s="14">
        <v>0.72</v>
      </c>
      <c r="N93" s="7">
        <f t="shared" si="3"/>
        <v>0</v>
      </c>
    </row>
    <row r="94" spans="1:14" x14ac:dyDescent="0.2">
      <c r="A94" s="2" t="s">
        <v>704</v>
      </c>
      <c r="B94" s="2" t="s">
        <v>34</v>
      </c>
      <c r="C94" s="2" t="s">
        <v>52</v>
      </c>
      <c r="D94" s="2">
        <v>1020828</v>
      </c>
      <c r="E94" s="2" t="s">
        <v>75</v>
      </c>
      <c r="F94" s="2" t="s">
        <v>76</v>
      </c>
      <c r="G94" s="2" t="s">
        <v>74</v>
      </c>
      <c r="H94" s="7">
        <v>0</v>
      </c>
      <c r="I94">
        <v>25</v>
      </c>
      <c r="J94">
        <v>27</v>
      </c>
      <c r="K94" s="14">
        <v>0.6</v>
      </c>
      <c r="L94" s="7">
        <f t="shared" si="2"/>
        <v>0</v>
      </c>
      <c r="M94" s="14">
        <v>0.72</v>
      </c>
      <c r="N94" s="7">
        <f t="shared" si="3"/>
        <v>0</v>
      </c>
    </row>
    <row r="95" spans="1:14" x14ac:dyDescent="0.2">
      <c r="A95" s="2" t="s">
        <v>704</v>
      </c>
      <c r="B95" s="2" t="s">
        <v>34</v>
      </c>
      <c r="C95" s="2" t="s">
        <v>52</v>
      </c>
      <c r="D95" s="2">
        <v>1021140</v>
      </c>
      <c r="E95" s="2" t="s">
        <v>756</v>
      </c>
      <c r="F95" s="2" t="s">
        <v>76</v>
      </c>
      <c r="G95" s="2" t="s">
        <v>412</v>
      </c>
      <c r="H95" s="7">
        <v>48026.976000000002</v>
      </c>
      <c r="I95">
        <v>25</v>
      </c>
      <c r="J95">
        <v>27</v>
      </c>
      <c r="K95" s="14">
        <v>0.6</v>
      </c>
      <c r="L95" s="7">
        <f t="shared" si="2"/>
        <v>28816.185600000001</v>
      </c>
      <c r="M95" s="14">
        <v>0.72</v>
      </c>
      <c r="N95" s="7">
        <f t="shared" si="3"/>
        <v>34579.422720000002</v>
      </c>
    </row>
    <row r="96" spans="1:14" x14ac:dyDescent="0.2">
      <c r="A96" s="2" t="s">
        <v>704</v>
      </c>
      <c r="B96" s="2" t="s">
        <v>34</v>
      </c>
      <c r="C96" s="2" t="s">
        <v>52</v>
      </c>
      <c r="D96" s="2">
        <v>1021260</v>
      </c>
      <c r="E96" s="2" t="s">
        <v>757</v>
      </c>
      <c r="F96" s="2" t="s">
        <v>259</v>
      </c>
      <c r="G96" s="2" t="s">
        <v>430</v>
      </c>
      <c r="H96" s="7">
        <v>96043.58</v>
      </c>
      <c r="I96">
        <v>25</v>
      </c>
      <c r="J96">
        <v>27</v>
      </c>
      <c r="K96" s="14">
        <v>0.6</v>
      </c>
      <c r="L96" s="7">
        <f t="shared" si="2"/>
        <v>57626.148000000001</v>
      </c>
      <c r="M96" s="14">
        <v>0.72</v>
      </c>
      <c r="N96" s="7">
        <f t="shared" si="3"/>
        <v>69151.377599999993</v>
      </c>
    </row>
    <row r="97" spans="1:14" x14ac:dyDescent="0.2">
      <c r="A97" s="2" t="s">
        <v>704</v>
      </c>
      <c r="B97" s="2" t="s">
        <v>34</v>
      </c>
      <c r="C97" s="2" t="s">
        <v>52</v>
      </c>
      <c r="D97" s="2">
        <v>1021398</v>
      </c>
      <c r="E97" s="2" t="s">
        <v>119</v>
      </c>
      <c r="F97" s="2" t="s">
        <v>67</v>
      </c>
      <c r="G97" s="2" t="s">
        <v>118</v>
      </c>
      <c r="H97" s="7">
        <v>0</v>
      </c>
      <c r="I97">
        <v>25</v>
      </c>
      <c r="J97">
        <v>27</v>
      </c>
      <c r="K97" s="14">
        <v>0.6</v>
      </c>
      <c r="L97" s="7">
        <f t="shared" si="2"/>
        <v>0</v>
      </c>
      <c r="M97" s="14">
        <v>0.72</v>
      </c>
      <c r="N97" s="7">
        <f t="shared" si="3"/>
        <v>0</v>
      </c>
    </row>
    <row r="98" spans="1:14" x14ac:dyDescent="0.2">
      <c r="A98" s="2" t="s">
        <v>704</v>
      </c>
      <c r="B98" s="2" t="s">
        <v>34</v>
      </c>
      <c r="C98" s="2" t="s">
        <v>52</v>
      </c>
      <c r="D98" s="2">
        <v>1021538</v>
      </c>
      <c r="E98" s="2" t="s">
        <v>177</v>
      </c>
      <c r="F98" s="2" t="s">
        <v>178</v>
      </c>
      <c r="G98" s="2" t="s">
        <v>256</v>
      </c>
      <c r="H98" s="7">
        <v>264108.74800000002</v>
      </c>
      <c r="I98">
        <v>25</v>
      </c>
      <c r="J98">
        <v>27</v>
      </c>
      <c r="K98" s="14">
        <v>0.6</v>
      </c>
      <c r="L98" s="7">
        <f t="shared" si="2"/>
        <v>158465.2488</v>
      </c>
      <c r="M98" s="14">
        <v>0.72</v>
      </c>
      <c r="N98" s="7">
        <f t="shared" si="3"/>
        <v>190158.29856</v>
      </c>
    </row>
    <row r="99" spans="1:14" x14ac:dyDescent="0.2">
      <c r="A99" s="2" t="s">
        <v>704</v>
      </c>
      <c r="B99" s="2" t="s">
        <v>34</v>
      </c>
      <c r="C99" s="2" t="s">
        <v>52</v>
      </c>
      <c r="D99" s="2">
        <v>1021539</v>
      </c>
      <c r="E99" s="2" t="s">
        <v>758</v>
      </c>
      <c r="F99" s="2" t="s">
        <v>178</v>
      </c>
      <c r="G99" s="2" t="s">
        <v>437</v>
      </c>
      <c r="H99" s="7">
        <v>12112.268</v>
      </c>
      <c r="I99">
        <v>25</v>
      </c>
      <c r="J99">
        <v>27</v>
      </c>
      <c r="K99" s="14">
        <v>0.6</v>
      </c>
      <c r="L99" s="7">
        <f t="shared" si="2"/>
        <v>7267.3607999999995</v>
      </c>
      <c r="M99" s="14">
        <v>0.72</v>
      </c>
      <c r="N99" s="7">
        <f t="shared" si="3"/>
        <v>8720.8329599999997</v>
      </c>
    </row>
    <row r="100" spans="1:14" x14ac:dyDescent="0.2">
      <c r="A100" s="2" t="s">
        <v>704</v>
      </c>
      <c r="B100" s="2" t="s">
        <v>34</v>
      </c>
      <c r="C100" s="2" t="s">
        <v>52</v>
      </c>
      <c r="D100" s="2">
        <v>1022619</v>
      </c>
      <c r="E100" s="2" t="s">
        <v>159</v>
      </c>
      <c r="F100" s="2" t="s">
        <v>160</v>
      </c>
      <c r="G100" s="2" t="s">
        <v>158</v>
      </c>
      <c r="H100" s="7">
        <v>4337.0659999999998</v>
      </c>
      <c r="I100">
        <v>25</v>
      </c>
      <c r="J100">
        <v>27</v>
      </c>
      <c r="K100" s="14">
        <v>0.6</v>
      </c>
      <c r="L100" s="7">
        <f t="shared" si="2"/>
        <v>2602.2395999999999</v>
      </c>
      <c r="M100" s="14">
        <v>0.72</v>
      </c>
      <c r="N100" s="7">
        <f t="shared" si="3"/>
        <v>3122.6875199999999</v>
      </c>
    </row>
    <row r="101" spans="1:14" x14ac:dyDescent="0.2">
      <c r="A101" s="2" t="s">
        <v>704</v>
      </c>
      <c r="B101" s="2" t="s">
        <v>34</v>
      </c>
      <c r="C101" s="2" t="s">
        <v>52</v>
      </c>
      <c r="D101" s="2">
        <v>1022814</v>
      </c>
      <c r="E101" s="2" t="s">
        <v>759</v>
      </c>
      <c r="F101" s="2" t="s">
        <v>124</v>
      </c>
      <c r="G101" s="2" t="s">
        <v>760</v>
      </c>
      <c r="H101" s="7">
        <v>0</v>
      </c>
      <c r="I101">
        <v>25</v>
      </c>
      <c r="J101">
        <v>27</v>
      </c>
      <c r="K101" s="14">
        <v>0.6</v>
      </c>
      <c r="L101" s="7">
        <f t="shared" si="2"/>
        <v>0</v>
      </c>
      <c r="M101" s="14">
        <v>0.72</v>
      </c>
      <c r="N101" s="7">
        <f t="shared" si="3"/>
        <v>0</v>
      </c>
    </row>
    <row r="102" spans="1:14" x14ac:dyDescent="0.2">
      <c r="A102" s="2" t="s">
        <v>704</v>
      </c>
      <c r="B102" s="2" t="s">
        <v>34</v>
      </c>
      <c r="C102" s="2" t="s">
        <v>52</v>
      </c>
      <c r="D102" s="2">
        <v>1022883</v>
      </c>
      <c r="E102" s="2" t="s">
        <v>121</v>
      </c>
      <c r="F102" s="2" t="s">
        <v>76</v>
      </c>
      <c r="G102" s="2" t="s">
        <v>120</v>
      </c>
      <c r="H102" s="7">
        <v>0</v>
      </c>
      <c r="I102">
        <v>25</v>
      </c>
      <c r="J102">
        <v>27</v>
      </c>
      <c r="K102" s="14">
        <v>0.6</v>
      </c>
      <c r="L102" s="7">
        <f t="shared" si="2"/>
        <v>0</v>
      </c>
      <c r="M102" s="14">
        <v>0.72</v>
      </c>
      <c r="N102" s="7">
        <f t="shared" si="3"/>
        <v>0</v>
      </c>
    </row>
    <row r="103" spans="1:14" x14ac:dyDescent="0.2">
      <c r="A103" s="2" t="s">
        <v>704</v>
      </c>
      <c r="B103" s="2" t="s">
        <v>34</v>
      </c>
      <c r="C103" s="2" t="s">
        <v>52</v>
      </c>
      <c r="D103" s="2">
        <v>1023050</v>
      </c>
      <c r="E103" s="2" t="s">
        <v>93</v>
      </c>
      <c r="F103" s="2" t="s">
        <v>43</v>
      </c>
      <c r="G103" s="2" t="s">
        <v>92</v>
      </c>
      <c r="H103" s="7">
        <v>0</v>
      </c>
      <c r="I103">
        <v>25</v>
      </c>
      <c r="J103">
        <v>27</v>
      </c>
      <c r="K103" s="14">
        <v>0.6</v>
      </c>
      <c r="L103" s="7">
        <f t="shared" si="2"/>
        <v>0</v>
      </c>
      <c r="M103" s="14">
        <v>0.72</v>
      </c>
      <c r="N103" s="7">
        <f t="shared" si="3"/>
        <v>0</v>
      </c>
    </row>
    <row r="104" spans="1:14" x14ac:dyDescent="0.2">
      <c r="A104" s="2" t="s">
        <v>704</v>
      </c>
      <c r="B104" s="2" t="s">
        <v>34</v>
      </c>
      <c r="C104" s="2" t="s">
        <v>52</v>
      </c>
      <c r="D104" s="2">
        <v>1023175</v>
      </c>
      <c r="E104" s="2" t="s">
        <v>123</v>
      </c>
      <c r="F104" s="2" t="s">
        <v>124</v>
      </c>
      <c r="G104" s="2" t="s">
        <v>122</v>
      </c>
      <c r="H104" s="7">
        <v>0</v>
      </c>
      <c r="I104">
        <v>25</v>
      </c>
      <c r="J104">
        <v>27</v>
      </c>
      <c r="K104" s="14">
        <v>0.6</v>
      </c>
      <c r="L104" s="7">
        <f t="shared" si="2"/>
        <v>0</v>
      </c>
      <c r="M104" s="14">
        <v>0.72</v>
      </c>
      <c r="N104" s="7">
        <f t="shared" si="3"/>
        <v>0</v>
      </c>
    </row>
    <row r="105" spans="1:14" x14ac:dyDescent="0.2">
      <c r="A105" s="2" t="s">
        <v>704</v>
      </c>
      <c r="B105" s="2" t="s">
        <v>34</v>
      </c>
      <c r="C105" s="2" t="s">
        <v>52</v>
      </c>
      <c r="D105" s="2">
        <v>1023190</v>
      </c>
      <c r="E105" s="2" t="s">
        <v>258</v>
      </c>
      <c r="F105" s="2" t="s">
        <v>259</v>
      </c>
      <c r="G105" s="2" t="s">
        <v>257</v>
      </c>
      <c r="H105" s="7">
        <v>0</v>
      </c>
      <c r="I105">
        <v>25</v>
      </c>
      <c r="J105">
        <v>27</v>
      </c>
      <c r="K105" s="14">
        <v>0.6</v>
      </c>
      <c r="L105" s="7">
        <f t="shared" si="2"/>
        <v>0</v>
      </c>
      <c r="M105" s="14">
        <v>0.72</v>
      </c>
      <c r="N105" s="7">
        <f t="shared" si="3"/>
        <v>0</v>
      </c>
    </row>
    <row r="106" spans="1:14" x14ac:dyDescent="0.2">
      <c r="A106" s="2" t="s">
        <v>704</v>
      </c>
      <c r="B106" s="2" t="s">
        <v>34</v>
      </c>
      <c r="C106" s="2" t="s">
        <v>52</v>
      </c>
      <c r="D106" s="2">
        <v>1023273</v>
      </c>
      <c r="E106" s="2" t="s">
        <v>261</v>
      </c>
      <c r="F106" s="2" t="s">
        <v>96</v>
      </c>
      <c r="G106" s="2" t="s">
        <v>260</v>
      </c>
      <c r="H106" s="7">
        <v>0</v>
      </c>
      <c r="I106">
        <v>25</v>
      </c>
      <c r="J106">
        <v>27</v>
      </c>
      <c r="K106" s="14">
        <v>0.6</v>
      </c>
      <c r="L106" s="7">
        <f t="shared" si="2"/>
        <v>0</v>
      </c>
      <c r="M106" s="14">
        <v>0.72</v>
      </c>
      <c r="N106" s="7">
        <f t="shared" si="3"/>
        <v>0</v>
      </c>
    </row>
    <row r="107" spans="1:14" x14ac:dyDescent="0.2">
      <c r="A107" s="2" t="s">
        <v>704</v>
      </c>
      <c r="B107" s="2" t="s">
        <v>34</v>
      </c>
      <c r="C107" s="2" t="s">
        <v>52</v>
      </c>
      <c r="D107" s="2">
        <v>1023274</v>
      </c>
      <c r="E107" s="2" t="s">
        <v>162</v>
      </c>
      <c r="F107" s="2" t="s">
        <v>96</v>
      </c>
      <c r="G107" s="2" t="s">
        <v>161</v>
      </c>
      <c r="H107" s="7">
        <v>0</v>
      </c>
      <c r="I107">
        <v>25</v>
      </c>
      <c r="J107">
        <v>27</v>
      </c>
      <c r="K107" s="14">
        <v>0.6</v>
      </c>
      <c r="L107" s="7">
        <f t="shared" si="2"/>
        <v>0</v>
      </c>
      <c r="M107" s="14">
        <v>0.72</v>
      </c>
      <c r="N107" s="7">
        <f t="shared" si="3"/>
        <v>0</v>
      </c>
    </row>
    <row r="108" spans="1:14" x14ac:dyDescent="0.2">
      <c r="A108" s="2" t="s">
        <v>704</v>
      </c>
      <c r="B108" s="2" t="s">
        <v>34</v>
      </c>
      <c r="C108" s="2" t="s">
        <v>52</v>
      </c>
      <c r="D108" s="2">
        <v>1023276</v>
      </c>
      <c r="E108" s="2" t="s">
        <v>95</v>
      </c>
      <c r="F108" s="2" t="s">
        <v>96</v>
      </c>
      <c r="G108" s="2" t="s">
        <v>94</v>
      </c>
      <c r="H108" s="7">
        <v>0</v>
      </c>
      <c r="I108">
        <v>25</v>
      </c>
      <c r="J108">
        <v>27</v>
      </c>
      <c r="K108" s="14">
        <v>0.6</v>
      </c>
      <c r="L108" s="7">
        <f t="shared" si="2"/>
        <v>0</v>
      </c>
      <c r="M108" s="14">
        <v>0.72</v>
      </c>
      <c r="N108" s="7">
        <f t="shared" si="3"/>
        <v>0</v>
      </c>
    </row>
    <row r="109" spans="1:14" x14ac:dyDescent="0.2">
      <c r="A109" s="2" t="s">
        <v>704</v>
      </c>
      <c r="B109" s="2" t="s">
        <v>34</v>
      </c>
      <c r="C109" s="2" t="s">
        <v>52</v>
      </c>
      <c r="D109" s="2">
        <v>1023410</v>
      </c>
      <c r="E109" s="2" t="s">
        <v>164</v>
      </c>
      <c r="F109" s="2" t="s">
        <v>67</v>
      </c>
      <c r="G109" s="2" t="s">
        <v>163</v>
      </c>
      <c r="H109" s="7">
        <v>0</v>
      </c>
      <c r="I109">
        <v>25</v>
      </c>
      <c r="J109">
        <v>27</v>
      </c>
      <c r="K109" s="14">
        <v>0.6</v>
      </c>
      <c r="L109" s="7">
        <f t="shared" si="2"/>
        <v>0</v>
      </c>
      <c r="M109" s="14">
        <v>0.72</v>
      </c>
      <c r="N109" s="7">
        <f t="shared" si="3"/>
        <v>0</v>
      </c>
    </row>
    <row r="110" spans="1:14" x14ac:dyDescent="0.2">
      <c r="A110" s="2" t="s">
        <v>704</v>
      </c>
      <c r="B110" s="2" t="s">
        <v>34</v>
      </c>
      <c r="C110" s="2" t="s">
        <v>52</v>
      </c>
      <c r="D110" s="2">
        <v>1023446</v>
      </c>
      <c r="E110" s="2" t="s">
        <v>761</v>
      </c>
      <c r="F110" s="2" t="s">
        <v>178</v>
      </c>
      <c r="G110" s="2" t="s">
        <v>614</v>
      </c>
      <c r="H110" s="7">
        <v>0</v>
      </c>
      <c r="I110">
        <v>25</v>
      </c>
      <c r="J110">
        <v>27</v>
      </c>
      <c r="K110" s="14">
        <v>0.6</v>
      </c>
      <c r="L110" s="7">
        <f t="shared" si="2"/>
        <v>0</v>
      </c>
      <c r="M110" s="14">
        <v>0.72</v>
      </c>
      <c r="N110" s="7">
        <f t="shared" si="3"/>
        <v>0</v>
      </c>
    </row>
    <row r="111" spans="1:14" x14ac:dyDescent="0.2">
      <c r="A111" s="2" t="s">
        <v>704</v>
      </c>
      <c r="B111" s="2" t="s">
        <v>34</v>
      </c>
      <c r="C111" s="2" t="s">
        <v>226</v>
      </c>
      <c r="D111" s="2">
        <v>1020853</v>
      </c>
      <c r="E111" s="2" t="s">
        <v>119</v>
      </c>
      <c r="F111" s="2" t="s">
        <v>67</v>
      </c>
      <c r="G111" s="2" t="s">
        <v>262</v>
      </c>
      <c r="H111" s="7">
        <v>320000</v>
      </c>
      <c r="I111">
        <v>25</v>
      </c>
      <c r="J111">
        <v>27</v>
      </c>
      <c r="K111" s="14">
        <v>0.6</v>
      </c>
      <c r="L111" s="7">
        <f t="shared" si="2"/>
        <v>192000</v>
      </c>
      <c r="M111" s="14">
        <v>0.72</v>
      </c>
      <c r="N111" s="7">
        <f t="shared" si="3"/>
        <v>230400</v>
      </c>
    </row>
    <row r="112" spans="1:14" x14ac:dyDescent="0.2">
      <c r="A112" s="2" t="s">
        <v>704</v>
      </c>
      <c r="B112" s="2" t="s">
        <v>34</v>
      </c>
      <c r="C112" s="2" t="s">
        <v>226</v>
      </c>
      <c r="D112" s="2">
        <v>1021550</v>
      </c>
      <c r="E112" s="2" t="s">
        <v>762</v>
      </c>
      <c r="F112" s="2" t="s">
        <v>181</v>
      </c>
      <c r="G112" s="2" t="s">
        <v>763</v>
      </c>
      <c r="H112" s="7">
        <v>3040</v>
      </c>
      <c r="I112">
        <v>25</v>
      </c>
      <c r="J112">
        <v>27</v>
      </c>
      <c r="K112" s="14">
        <v>0.6</v>
      </c>
      <c r="L112" s="7">
        <f t="shared" si="2"/>
        <v>1824</v>
      </c>
      <c r="M112" s="14">
        <v>0.72</v>
      </c>
      <c r="N112" s="7">
        <f t="shared" si="3"/>
        <v>2188.7999999999997</v>
      </c>
    </row>
    <row r="113" spans="1:14" x14ac:dyDescent="0.2">
      <c r="A113" s="2" t="s">
        <v>704</v>
      </c>
      <c r="B113" s="2" t="s">
        <v>34</v>
      </c>
      <c r="C113" s="2" t="s">
        <v>226</v>
      </c>
      <c r="D113" s="2">
        <v>1022816</v>
      </c>
      <c r="E113" s="2" t="s">
        <v>764</v>
      </c>
      <c r="F113" s="2" t="s">
        <v>124</v>
      </c>
      <c r="G113" s="2" t="s">
        <v>765</v>
      </c>
      <c r="H113" s="7">
        <v>36.64</v>
      </c>
      <c r="I113">
        <v>25</v>
      </c>
      <c r="J113">
        <v>27</v>
      </c>
      <c r="K113" s="14">
        <v>0.6</v>
      </c>
      <c r="L113" s="7">
        <f t="shared" si="2"/>
        <v>21.983999999999998</v>
      </c>
      <c r="M113" s="14">
        <v>0.72</v>
      </c>
      <c r="N113" s="7">
        <f t="shared" si="3"/>
        <v>26.380800000000001</v>
      </c>
    </row>
    <row r="114" spans="1:14" x14ac:dyDescent="0.2">
      <c r="A114" s="2" t="s">
        <v>704</v>
      </c>
      <c r="B114" s="2" t="s">
        <v>34</v>
      </c>
      <c r="C114" s="2" t="s">
        <v>226</v>
      </c>
      <c r="D114" s="2">
        <v>1022818</v>
      </c>
      <c r="E114" s="2" t="s">
        <v>766</v>
      </c>
      <c r="F114" s="2" t="s">
        <v>124</v>
      </c>
      <c r="G114" s="2" t="s">
        <v>767</v>
      </c>
      <c r="H114" s="7">
        <v>70.44</v>
      </c>
      <c r="I114">
        <v>25</v>
      </c>
      <c r="J114">
        <v>27</v>
      </c>
      <c r="K114" s="14">
        <v>0.6</v>
      </c>
      <c r="L114" s="7">
        <f t="shared" si="2"/>
        <v>42.263999999999996</v>
      </c>
      <c r="M114" s="14">
        <v>0.72</v>
      </c>
      <c r="N114" s="7">
        <f t="shared" si="3"/>
        <v>50.716799999999999</v>
      </c>
    </row>
    <row r="115" spans="1:14" x14ac:dyDescent="0.2">
      <c r="A115" s="2" t="s">
        <v>704</v>
      </c>
      <c r="B115" s="2" t="s">
        <v>34</v>
      </c>
      <c r="C115" s="2" t="s">
        <v>226</v>
      </c>
      <c r="D115" s="2">
        <v>1022858</v>
      </c>
      <c r="E115" s="2" t="s">
        <v>768</v>
      </c>
      <c r="F115" s="2" t="s">
        <v>43</v>
      </c>
      <c r="G115" s="2" t="s">
        <v>428</v>
      </c>
      <c r="H115" s="7">
        <v>0</v>
      </c>
      <c r="I115">
        <v>25</v>
      </c>
      <c r="J115">
        <v>27</v>
      </c>
      <c r="K115" s="14">
        <v>0.6</v>
      </c>
      <c r="L115" s="7">
        <f t="shared" si="2"/>
        <v>0</v>
      </c>
      <c r="M115" s="14">
        <v>0.72</v>
      </c>
      <c r="N115" s="7">
        <f t="shared" si="3"/>
        <v>0</v>
      </c>
    </row>
    <row r="116" spans="1:14" x14ac:dyDescent="0.2">
      <c r="A116" s="2" t="s">
        <v>704</v>
      </c>
      <c r="B116" s="2" t="s">
        <v>34</v>
      </c>
      <c r="C116" s="2" t="s">
        <v>226</v>
      </c>
      <c r="D116" s="2">
        <v>1023477</v>
      </c>
      <c r="E116" s="2" t="s">
        <v>769</v>
      </c>
      <c r="F116" s="2" t="s">
        <v>259</v>
      </c>
      <c r="G116" s="2" t="s">
        <v>770</v>
      </c>
      <c r="H116" s="7">
        <v>531400</v>
      </c>
      <c r="I116">
        <v>25</v>
      </c>
      <c r="J116">
        <v>27</v>
      </c>
      <c r="K116" s="14">
        <v>0.6</v>
      </c>
      <c r="L116" s="7">
        <f t="shared" si="2"/>
        <v>318840</v>
      </c>
      <c r="M116" s="14">
        <v>0.72</v>
      </c>
      <c r="N116" s="7">
        <f t="shared" si="3"/>
        <v>382608</v>
      </c>
    </row>
    <row r="117" spans="1:14" x14ac:dyDescent="0.2">
      <c r="A117" s="2" t="s">
        <v>704</v>
      </c>
      <c r="B117" s="2" t="s">
        <v>34</v>
      </c>
      <c r="C117" s="2" t="s">
        <v>150</v>
      </c>
      <c r="D117" s="2">
        <v>1020845</v>
      </c>
      <c r="E117" s="2" t="s">
        <v>771</v>
      </c>
      <c r="F117" s="2" t="s">
        <v>43</v>
      </c>
      <c r="G117" s="2" t="s">
        <v>496</v>
      </c>
      <c r="H117" s="7">
        <v>0</v>
      </c>
      <c r="I117">
        <v>23</v>
      </c>
      <c r="J117">
        <v>27</v>
      </c>
      <c r="K117" s="14">
        <v>0.56521739130434778</v>
      </c>
      <c r="L117" s="7">
        <f t="shared" si="2"/>
        <v>0</v>
      </c>
      <c r="M117" s="14">
        <v>0.69565217391304346</v>
      </c>
      <c r="N117" s="7">
        <f t="shared" si="3"/>
        <v>0</v>
      </c>
    </row>
    <row r="118" spans="1:14" x14ac:dyDescent="0.2">
      <c r="A118" s="2" t="s">
        <v>704</v>
      </c>
      <c r="B118" s="2" t="s">
        <v>34</v>
      </c>
      <c r="C118" s="2" t="s">
        <v>150</v>
      </c>
      <c r="D118" s="2">
        <v>1021020</v>
      </c>
      <c r="E118" s="2" t="s">
        <v>772</v>
      </c>
      <c r="F118" s="2" t="s">
        <v>773</v>
      </c>
      <c r="G118" s="2" t="s">
        <v>608</v>
      </c>
      <c r="H118" s="7">
        <v>72043.581000000006</v>
      </c>
      <c r="I118">
        <v>23</v>
      </c>
      <c r="J118">
        <v>27</v>
      </c>
      <c r="K118" s="14">
        <v>0.56521739130434778</v>
      </c>
      <c r="L118" s="7">
        <f t="shared" si="2"/>
        <v>40720.284913043477</v>
      </c>
      <c r="M118" s="14">
        <v>0.69565217391304346</v>
      </c>
      <c r="N118" s="7">
        <f t="shared" si="3"/>
        <v>50117.27373913044</v>
      </c>
    </row>
    <row r="119" spans="1:14" x14ac:dyDescent="0.2">
      <c r="A119" s="2" t="s">
        <v>704</v>
      </c>
      <c r="B119" s="2" t="s">
        <v>34</v>
      </c>
      <c r="C119" s="2" t="s">
        <v>150</v>
      </c>
      <c r="D119" s="2">
        <v>1021270</v>
      </c>
      <c r="E119" s="2" t="s">
        <v>774</v>
      </c>
      <c r="F119" s="2" t="s">
        <v>175</v>
      </c>
      <c r="G119" s="2" t="s">
        <v>424</v>
      </c>
      <c r="H119" s="7">
        <v>575938.70200000005</v>
      </c>
      <c r="I119">
        <v>23</v>
      </c>
      <c r="J119">
        <v>27</v>
      </c>
      <c r="K119" s="14">
        <v>0.56521739130434778</v>
      </c>
      <c r="L119" s="7">
        <f t="shared" si="2"/>
        <v>325530.57069565216</v>
      </c>
      <c r="M119" s="14">
        <v>0.69565217391304346</v>
      </c>
      <c r="N119" s="7">
        <f t="shared" si="3"/>
        <v>400653.01008695655</v>
      </c>
    </row>
    <row r="120" spans="1:14" x14ac:dyDescent="0.2">
      <c r="A120" s="2" t="s">
        <v>704</v>
      </c>
      <c r="B120" s="2" t="s">
        <v>34</v>
      </c>
      <c r="C120" s="2" t="s">
        <v>150</v>
      </c>
      <c r="D120" s="2">
        <v>1021272</v>
      </c>
      <c r="E120" s="2" t="s">
        <v>264</v>
      </c>
      <c r="F120" s="2" t="s">
        <v>175</v>
      </c>
      <c r="G120" s="2" t="s">
        <v>263</v>
      </c>
      <c r="H120" s="7">
        <v>432298.79599999997</v>
      </c>
      <c r="I120">
        <v>23</v>
      </c>
      <c r="J120">
        <v>27</v>
      </c>
      <c r="K120" s="14">
        <v>0.56521739130434778</v>
      </c>
      <c r="L120" s="7">
        <f t="shared" si="2"/>
        <v>244342.79773913039</v>
      </c>
      <c r="M120" s="14">
        <v>0.69565217391304346</v>
      </c>
      <c r="N120" s="7">
        <f t="shared" si="3"/>
        <v>300729.5972173913</v>
      </c>
    </row>
    <row r="121" spans="1:14" x14ac:dyDescent="0.2">
      <c r="A121" s="2" t="s">
        <v>704</v>
      </c>
      <c r="B121" s="2" t="s">
        <v>34</v>
      </c>
      <c r="C121" s="2" t="s">
        <v>150</v>
      </c>
      <c r="D121" s="2">
        <v>1021555</v>
      </c>
      <c r="E121" s="2" t="s">
        <v>775</v>
      </c>
      <c r="F121" s="2" t="s">
        <v>48</v>
      </c>
      <c r="G121" s="2" t="s">
        <v>422</v>
      </c>
      <c r="H121" s="7">
        <v>263470.33399999997</v>
      </c>
      <c r="I121">
        <v>23</v>
      </c>
      <c r="J121">
        <v>27</v>
      </c>
      <c r="K121" s="14">
        <v>0.56521739130434778</v>
      </c>
      <c r="L121" s="7">
        <f t="shared" si="2"/>
        <v>148918.0148695652</v>
      </c>
      <c r="M121" s="14">
        <v>0.69565217391304346</v>
      </c>
      <c r="N121" s="7">
        <f t="shared" si="3"/>
        <v>183283.71060869563</v>
      </c>
    </row>
    <row r="122" spans="1:14" x14ac:dyDescent="0.2">
      <c r="A122" s="2" t="s">
        <v>704</v>
      </c>
      <c r="B122" s="2" t="s">
        <v>34</v>
      </c>
      <c r="C122" s="2" t="s">
        <v>150</v>
      </c>
      <c r="D122" s="2">
        <v>1021874</v>
      </c>
      <c r="E122" s="2" t="s">
        <v>776</v>
      </c>
      <c r="F122" s="2" t="s">
        <v>48</v>
      </c>
      <c r="G122" s="2" t="s">
        <v>514</v>
      </c>
      <c r="H122" s="7">
        <v>1008262.249</v>
      </c>
      <c r="I122">
        <v>23</v>
      </c>
      <c r="J122">
        <v>27</v>
      </c>
      <c r="K122" s="14">
        <v>0.56521739130434778</v>
      </c>
      <c r="L122" s="7">
        <f t="shared" si="2"/>
        <v>569887.35813043476</v>
      </c>
      <c r="M122" s="14">
        <v>0.69565217391304346</v>
      </c>
      <c r="N122" s="7">
        <f t="shared" si="3"/>
        <v>701399.82539130433</v>
      </c>
    </row>
    <row r="123" spans="1:14" x14ac:dyDescent="0.2">
      <c r="A123" s="2" t="s">
        <v>704</v>
      </c>
      <c r="B123" s="2" t="s">
        <v>34</v>
      </c>
      <c r="C123" s="2" t="s">
        <v>150</v>
      </c>
      <c r="D123" s="2">
        <v>1023218</v>
      </c>
      <c r="E123" s="2" t="s">
        <v>266</v>
      </c>
      <c r="F123" s="2" t="s">
        <v>259</v>
      </c>
      <c r="G123" s="2" t="s">
        <v>265</v>
      </c>
      <c r="H123" s="7">
        <v>96000</v>
      </c>
      <c r="I123">
        <v>23</v>
      </c>
      <c r="J123">
        <v>27</v>
      </c>
      <c r="K123" s="14">
        <v>0.56521739130434778</v>
      </c>
      <c r="L123" s="7">
        <f t="shared" si="2"/>
        <v>54260.869565217385</v>
      </c>
      <c r="M123" s="14">
        <v>0.69565217391304346</v>
      </c>
      <c r="N123" s="7">
        <f t="shared" si="3"/>
        <v>66782.608695652176</v>
      </c>
    </row>
    <row r="124" spans="1:14" x14ac:dyDescent="0.2">
      <c r="A124" s="2" t="s">
        <v>704</v>
      </c>
      <c r="B124" s="2" t="s">
        <v>34</v>
      </c>
      <c r="C124" s="2" t="s">
        <v>150</v>
      </c>
      <c r="D124" s="2">
        <v>1023219</v>
      </c>
      <c r="E124" s="2" t="s">
        <v>166</v>
      </c>
      <c r="F124" s="2" t="s">
        <v>167</v>
      </c>
      <c r="G124" s="2" t="s">
        <v>267</v>
      </c>
      <c r="H124" s="7">
        <v>0</v>
      </c>
      <c r="I124">
        <v>23</v>
      </c>
      <c r="J124">
        <v>27</v>
      </c>
      <c r="K124" s="14">
        <v>0.56521739130434778</v>
      </c>
      <c r="L124" s="7">
        <f t="shared" si="2"/>
        <v>0</v>
      </c>
      <c r="M124" s="14">
        <v>0.69565217391304346</v>
      </c>
      <c r="N124" s="7">
        <f t="shared" si="3"/>
        <v>0</v>
      </c>
    </row>
    <row r="125" spans="1:14" x14ac:dyDescent="0.2">
      <c r="A125" s="2" t="s">
        <v>704</v>
      </c>
      <c r="B125" s="2" t="s">
        <v>34</v>
      </c>
      <c r="C125" s="2" t="s">
        <v>150</v>
      </c>
      <c r="D125" s="2">
        <v>1023302</v>
      </c>
      <c r="E125" s="2" t="s">
        <v>47</v>
      </c>
      <c r="F125" s="2" t="s">
        <v>48</v>
      </c>
      <c r="G125" s="2" t="s">
        <v>268</v>
      </c>
      <c r="H125" s="7">
        <v>539960</v>
      </c>
      <c r="I125">
        <v>23</v>
      </c>
      <c r="J125">
        <v>27</v>
      </c>
      <c r="K125" s="14">
        <v>0.56521739130434778</v>
      </c>
      <c r="L125" s="7">
        <f t="shared" si="2"/>
        <v>305194.78260869562</v>
      </c>
      <c r="M125" s="14">
        <v>0.69565217391304346</v>
      </c>
      <c r="N125" s="7">
        <f t="shared" si="3"/>
        <v>375624.34782608697</v>
      </c>
    </row>
    <row r="126" spans="1:14" x14ac:dyDescent="0.2">
      <c r="A126" s="2" t="s">
        <v>704</v>
      </c>
      <c r="B126" s="2" t="s">
        <v>34</v>
      </c>
      <c r="C126" s="2" t="s">
        <v>150</v>
      </c>
      <c r="D126" s="2">
        <v>1023318</v>
      </c>
      <c r="E126" s="2" t="s">
        <v>777</v>
      </c>
      <c r="F126" s="2" t="s">
        <v>181</v>
      </c>
      <c r="G126" s="2" t="s">
        <v>560</v>
      </c>
      <c r="H126" s="7">
        <v>168052.302</v>
      </c>
      <c r="I126">
        <v>23</v>
      </c>
      <c r="J126">
        <v>27</v>
      </c>
      <c r="K126" s="14">
        <v>0.56521739130434778</v>
      </c>
      <c r="L126" s="7">
        <f t="shared" si="2"/>
        <v>94986.083739130423</v>
      </c>
      <c r="M126" s="14">
        <v>0.69565217391304346</v>
      </c>
      <c r="N126" s="7">
        <f t="shared" si="3"/>
        <v>116905.9492173913</v>
      </c>
    </row>
    <row r="127" spans="1:14" x14ac:dyDescent="0.2">
      <c r="A127" s="2" t="s">
        <v>704</v>
      </c>
      <c r="B127" s="2" t="s">
        <v>34</v>
      </c>
      <c r="C127" s="2" t="s">
        <v>150</v>
      </c>
      <c r="D127" s="2">
        <v>1023319</v>
      </c>
      <c r="E127" s="2" t="s">
        <v>778</v>
      </c>
      <c r="F127" s="2" t="s">
        <v>181</v>
      </c>
      <c r="G127" s="2" t="s">
        <v>559</v>
      </c>
      <c r="H127" s="7">
        <v>94720</v>
      </c>
      <c r="I127">
        <v>23</v>
      </c>
      <c r="J127">
        <v>27</v>
      </c>
      <c r="K127" s="14">
        <v>0.56521739130434778</v>
      </c>
      <c r="L127" s="7">
        <f t="shared" si="2"/>
        <v>53537.391304347824</v>
      </c>
      <c r="M127" s="14">
        <v>0.69565217391304346</v>
      </c>
      <c r="N127" s="7">
        <f t="shared" si="3"/>
        <v>65892.173913043473</v>
      </c>
    </row>
    <row r="128" spans="1:14" x14ac:dyDescent="0.2">
      <c r="A128" s="2" t="s">
        <v>704</v>
      </c>
      <c r="B128" s="2" t="s">
        <v>34</v>
      </c>
      <c r="C128" s="2" t="s">
        <v>150</v>
      </c>
      <c r="D128" s="2">
        <v>1023324</v>
      </c>
      <c r="E128" s="2" t="s">
        <v>270</v>
      </c>
      <c r="F128" s="2" t="s">
        <v>96</v>
      </c>
      <c r="G128" s="2" t="s">
        <v>269</v>
      </c>
      <c r="H128" s="7">
        <v>264007.04599999997</v>
      </c>
      <c r="I128">
        <v>23</v>
      </c>
      <c r="J128">
        <v>27</v>
      </c>
      <c r="K128" s="14">
        <v>0.56521739130434778</v>
      </c>
      <c r="L128" s="7">
        <f t="shared" si="2"/>
        <v>149221.37382608693</v>
      </c>
      <c r="M128" s="14">
        <v>0.69565217391304346</v>
      </c>
      <c r="N128" s="7">
        <f t="shared" si="3"/>
        <v>183657.07547826084</v>
      </c>
    </row>
    <row r="129" spans="1:14" x14ac:dyDescent="0.2">
      <c r="A129" s="2" t="s">
        <v>704</v>
      </c>
      <c r="B129" s="2" t="s">
        <v>34</v>
      </c>
      <c r="C129" s="2" t="s">
        <v>150</v>
      </c>
      <c r="D129" s="2">
        <v>1023343</v>
      </c>
      <c r="E129" s="2" t="s">
        <v>779</v>
      </c>
      <c r="F129" s="2" t="s">
        <v>181</v>
      </c>
      <c r="G129" s="2" t="s">
        <v>483</v>
      </c>
      <c r="H129" s="7">
        <v>120089.25900000001</v>
      </c>
      <c r="I129">
        <v>23</v>
      </c>
      <c r="J129">
        <v>27</v>
      </c>
      <c r="K129" s="14">
        <v>0.56521739130434778</v>
      </c>
      <c r="L129" s="7">
        <f t="shared" si="2"/>
        <v>67876.537695652165</v>
      </c>
      <c r="M129" s="14">
        <v>0.69565217391304346</v>
      </c>
      <c r="N129" s="7">
        <f t="shared" si="3"/>
        <v>83540.354086956519</v>
      </c>
    </row>
    <row r="130" spans="1:14" x14ac:dyDescent="0.2">
      <c r="A130" s="2" t="s">
        <v>704</v>
      </c>
      <c r="B130" s="2" t="s">
        <v>34</v>
      </c>
      <c r="C130" s="2" t="s">
        <v>150</v>
      </c>
      <c r="D130" s="2">
        <v>1023421</v>
      </c>
      <c r="E130" s="2" t="s">
        <v>272</v>
      </c>
      <c r="F130" s="2" t="s">
        <v>191</v>
      </c>
      <c r="G130" s="2" t="s">
        <v>271</v>
      </c>
      <c r="H130" s="7">
        <v>0</v>
      </c>
      <c r="I130">
        <v>23</v>
      </c>
      <c r="J130">
        <v>27</v>
      </c>
      <c r="K130" s="14">
        <v>0.56521739130434778</v>
      </c>
      <c r="L130" s="7">
        <f t="shared" ref="L130:L193" si="4">K130 * H130</f>
        <v>0</v>
      </c>
      <c r="M130" s="14">
        <v>0.69565217391304346</v>
      </c>
      <c r="N130" s="7">
        <f t="shared" ref="N130:N193" si="5">M130 * H130</f>
        <v>0</v>
      </c>
    </row>
    <row r="131" spans="1:14" x14ac:dyDescent="0.2">
      <c r="A131" s="2" t="s">
        <v>704</v>
      </c>
      <c r="B131" s="2" t="s">
        <v>34</v>
      </c>
      <c r="C131" s="2" t="s">
        <v>150</v>
      </c>
      <c r="D131" s="2">
        <v>1023432</v>
      </c>
      <c r="E131" s="2" t="s">
        <v>780</v>
      </c>
      <c r="F131" s="2" t="s">
        <v>96</v>
      </c>
      <c r="G131" s="2" t="s">
        <v>655</v>
      </c>
      <c r="H131" s="7">
        <v>0</v>
      </c>
      <c r="I131">
        <v>23</v>
      </c>
      <c r="J131">
        <v>27</v>
      </c>
      <c r="K131" s="14">
        <v>0.56521739130434778</v>
      </c>
      <c r="L131" s="7">
        <f t="shared" si="4"/>
        <v>0</v>
      </c>
      <c r="M131" s="14">
        <v>0.69565217391304346</v>
      </c>
      <c r="N131" s="7">
        <f t="shared" si="5"/>
        <v>0</v>
      </c>
    </row>
    <row r="132" spans="1:14" x14ac:dyDescent="0.2">
      <c r="A132" s="2" t="s">
        <v>704</v>
      </c>
      <c r="B132" s="2" t="s">
        <v>34</v>
      </c>
      <c r="C132" s="2" t="s">
        <v>150</v>
      </c>
      <c r="D132" s="2">
        <v>1023434</v>
      </c>
      <c r="E132" s="2" t="s">
        <v>301</v>
      </c>
      <c r="F132" s="2" t="s">
        <v>196</v>
      </c>
      <c r="G132" s="2" t="s">
        <v>625</v>
      </c>
      <c r="H132" s="7">
        <v>0</v>
      </c>
      <c r="I132">
        <v>23</v>
      </c>
      <c r="J132">
        <v>27</v>
      </c>
      <c r="K132" s="14">
        <v>0.56521739130434778</v>
      </c>
      <c r="L132" s="7">
        <f t="shared" si="4"/>
        <v>0</v>
      </c>
      <c r="M132" s="14">
        <v>0.69565217391304346</v>
      </c>
      <c r="N132" s="7">
        <f t="shared" si="5"/>
        <v>0</v>
      </c>
    </row>
    <row r="133" spans="1:14" x14ac:dyDescent="0.2">
      <c r="A133" s="2" t="s">
        <v>704</v>
      </c>
      <c r="B133" s="2" t="s">
        <v>34</v>
      </c>
      <c r="C133" s="2" t="s">
        <v>150</v>
      </c>
      <c r="D133" s="2">
        <v>1023450</v>
      </c>
      <c r="E133" s="2" t="s">
        <v>781</v>
      </c>
      <c r="F133" s="2" t="s">
        <v>76</v>
      </c>
      <c r="G133" s="2" t="s">
        <v>532</v>
      </c>
      <c r="H133" s="7">
        <v>6088.6189999999997</v>
      </c>
      <c r="I133">
        <v>23</v>
      </c>
      <c r="J133">
        <v>27</v>
      </c>
      <c r="K133" s="14">
        <v>0.56521739130434778</v>
      </c>
      <c r="L133" s="7">
        <f t="shared" si="4"/>
        <v>3441.3933478260865</v>
      </c>
      <c r="M133" s="14">
        <v>0.69565217391304346</v>
      </c>
      <c r="N133" s="7">
        <f t="shared" si="5"/>
        <v>4235.5610434782602</v>
      </c>
    </row>
    <row r="134" spans="1:14" x14ac:dyDescent="0.2">
      <c r="A134" s="2" t="s">
        <v>704</v>
      </c>
      <c r="B134" s="2" t="s">
        <v>34</v>
      </c>
      <c r="C134" s="2" t="s">
        <v>735</v>
      </c>
      <c r="D134" s="2">
        <v>1020017</v>
      </c>
      <c r="E134" s="2" t="s">
        <v>781</v>
      </c>
      <c r="F134" s="2" t="s">
        <v>76</v>
      </c>
      <c r="G134" s="2" t="s">
        <v>524</v>
      </c>
      <c r="H134" s="7">
        <v>23995.455999999998</v>
      </c>
      <c r="I134">
        <v>25</v>
      </c>
      <c r="J134">
        <v>27</v>
      </c>
      <c r="K134" s="14">
        <v>0.6</v>
      </c>
      <c r="L134" s="7">
        <f t="shared" si="4"/>
        <v>14397.273599999999</v>
      </c>
      <c r="M134" s="14">
        <v>0.72</v>
      </c>
      <c r="N134" s="7">
        <f t="shared" si="5"/>
        <v>17276.728319999998</v>
      </c>
    </row>
    <row r="135" spans="1:14" x14ac:dyDescent="0.2">
      <c r="A135" s="2" t="s">
        <v>704</v>
      </c>
      <c r="B135" s="2" t="s">
        <v>34</v>
      </c>
      <c r="C135" s="2" t="s">
        <v>735</v>
      </c>
      <c r="D135" s="2">
        <v>1020352</v>
      </c>
      <c r="E135" s="2" t="s">
        <v>782</v>
      </c>
      <c r="F135" s="2" t="s">
        <v>175</v>
      </c>
      <c r="G135" s="2" t="s">
        <v>600</v>
      </c>
      <c r="H135" s="7">
        <v>60180.508000000002</v>
      </c>
      <c r="I135">
        <v>25</v>
      </c>
      <c r="J135">
        <v>27</v>
      </c>
      <c r="K135" s="14">
        <v>0.6</v>
      </c>
      <c r="L135" s="7">
        <f t="shared" si="4"/>
        <v>36108.304799999998</v>
      </c>
      <c r="M135" s="14">
        <v>0.72</v>
      </c>
      <c r="N135" s="7">
        <f t="shared" si="5"/>
        <v>43329.965759999999</v>
      </c>
    </row>
    <row r="136" spans="1:14" x14ac:dyDescent="0.2">
      <c r="A136" s="2" t="s">
        <v>704</v>
      </c>
      <c r="B136" s="2" t="s">
        <v>34</v>
      </c>
      <c r="C136" s="2" t="s">
        <v>735</v>
      </c>
      <c r="D136" s="2">
        <v>1020367</v>
      </c>
      <c r="E136" s="2" t="s">
        <v>783</v>
      </c>
      <c r="F136" s="2" t="s">
        <v>48</v>
      </c>
      <c r="G136" s="2" t="s">
        <v>596</v>
      </c>
      <c r="H136" s="7">
        <v>96287.236000000004</v>
      </c>
      <c r="I136">
        <v>25</v>
      </c>
      <c r="J136">
        <v>27</v>
      </c>
      <c r="K136" s="14">
        <v>0.6</v>
      </c>
      <c r="L136" s="7">
        <f t="shared" si="4"/>
        <v>57772.3416</v>
      </c>
      <c r="M136" s="14">
        <v>0.72</v>
      </c>
      <c r="N136" s="7">
        <f t="shared" si="5"/>
        <v>69326.80992</v>
      </c>
    </row>
    <row r="137" spans="1:14" x14ac:dyDescent="0.2">
      <c r="A137" s="2" t="s">
        <v>704</v>
      </c>
      <c r="B137" s="2" t="s">
        <v>34</v>
      </c>
      <c r="C137" s="2" t="s">
        <v>735</v>
      </c>
      <c r="D137" s="2">
        <v>1020412</v>
      </c>
      <c r="E137" s="2" t="s">
        <v>784</v>
      </c>
      <c r="F137" s="2" t="s">
        <v>181</v>
      </c>
      <c r="G137" s="2" t="s">
        <v>486</v>
      </c>
      <c r="H137" s="7">
        <v>96024.5</v>
      </c>
      <c r="I137">
        <v>25</v>
      </c>
      <c r="J137">
        <v>27</v>
      </c>
      <c r="K137" s="14">
        <v>0.6</v>
      </c>
      <c r="L137" s="7">
        <f t="shared" si="4"/>
        <v>57614.7</v>
      </c>
      <c r="M137" s="14">
        <v>0.72</v>
      </c>
      <c r="N137" s="7">
        <f t="shared" si="5"/>
        <v>69137.64</v>
      </c>
    </row>
    <row r="138" spans="1:14" x14ac:dyDescent="0.2">
      <c r="A138" s="2" t="s">
        <v>704</v>
      </c>
      <c r="B138" s="2" t="s">
        <v>34</v>
      </c>
      <c r="C138" s="2" t="s">
        <v>735</v>
      </c>
      <c r="D138" s="2">
        <v>1020848</v>
      </c>
      <c r="E138" s="2" t="s">
        <v>785</v>
      </c>
      <c r="F138" s="2" t="s">
        <v>43</v>
      </c>
      <c r="G138" s="2" t="s">
        <v>503</v>
      </c>
      <c r="H138" s="7">
        <v>96008.915999999997</v>
      </c>
      <c r="I138">
        <v>25</v>
      </c>
      <c r="J138">
        <v>27</v>
      </c>
      <c r="K138" s="14">
        <v>0.6</v>
      </c>
      <c r="L138" s="7">
        <f t="shared" si="4"/>
        <v>57605.349599999994</v>
      </c>
      <c r="M138" s="14">
        <v>0.72</v>
      </c>
      <c r="N138" s="7">
        <f t="shared" si="5"/>
        <v>69126.419519999996</v>
      </c>
    </row>
    <row r="139" spans="1:14" x14ac:dyDescent="0.2">
      <c r="A139" s="2" t="s">
        <v>704</v>
      </c>
      <c r="B139" s="2" t="s">
        <v>34</v>
      </c>
      <c r="C139" s="2" t="s">
        <v>735</v>
      </c>
      <c r="D139" s="2">
        <v>1020886</v>
      </c>
      <c r="E139" s="2" t="s">
        <v>786</v>
      </c>
      <c r="F139" s="2" t="s">
        <v>178</v>
      </c>
      <c r="G139" s="2" t="s">
        <v>609</v>
      </c>
      <c r="H139" s="7">
        <v>24810.752</v>
      </c>
      <c r="I139">
        <v>25</v>
      </c>
      <c r="J139">
        <v>27</v>
      </c>
      <c r="K139" s="14">
        <v>0.6</v>
      </c>
      <c r="L139" s="7">
        <f t="shared" si="4"/>
        <v>14886.4512</v>
      </c>
      <c r="M139" s="14">
        <v>0.72</v>
      </c>
      <c r="N139" s="7">
        <f t="shared" si="5"/>
        <v>17863.741439999998</v>
      </c>
    </row>
    <row r="140" spans="1:14" x14ac:dyDescent="0.2">
      <c r="A140" s="2" t="s">
        <v>704</v>
      </c>
      <c r="B140" s="2" t="s">
        <v>34</v>
      </c>
      <c r="C140" s="2" t="s">
        <v>735</v>
      </c>
      <c r="D140" s="2">
        <v>1020944</v>
      </c>
      <c r="E140" s="2" t="s">
        <v>787</v>
      </c>
      <c r="F140" s="2" t="s">
        <v>96</v>
      </c>
      <c r="G140" s="2" t="s">
        <v>498</v>
      </c>
      <c r="H140" s="7">
        <v>503753.64899999998</v>
      </c>
      <c r="I140">
        <v>25</v>
      </c>
      <c r="J140">
        <v>27</v>
      </c>
      <c r="K140" s="14">
        <v>0.6</v>
      </c>
      <c r="L140" s="7">
        <f t="shared" si="4"/>
        <v>302252.18939999997</v>
      </c>
      <c r="M140" s="14">
        <v>0.72</v>
      </c>
      <c r="N140" s="7">
        <f t="shared" si="5"/>
        <v>362702.62727999996</v>
      </c>
    </row>
    <row r="141" spans="1:14" x14ac:dyDescent="0.2">
      <c r="A141" s="2" t="s">
        <v>704</v>
      </c>
      <c r="B141" s="2" t="s">
        <v>34</v>
      </c>
      <c r="C141" s="2" t="s">
        <v>735</v>
      </c>
      <c r="D141" s="2">
        <v>1021077</v>
      </c>
      <c r="E141" s="2" t="s">
        <v>776</v>
      </c>
      <c r="F141" s="2" t="s">
        <v>48</v>
      </c>
      <c r="G141" s="2" t="s">
        <v>788</v>
      </c>
      <c r="H141" s="7">
        <v>123730.88</v>
      </c>
      <c r="I141">
        <v>25</v>
      </c>
      <c r="J141">
        <v>27</v>
      </c>
      <c r="K141" s="14">
        <v>0.6</v>
      </c>
      <c r="L141" s="7">
        <f t="shared" si="4"/>
        <v>74238.528000000006</v>
      </c>
      <c r="M141" s="14">
        <v>0.72</v>
      </c>
      <c r="N141" s="7">
        <f t="shared" si="5"/>
        <v>89086.233600000007</v>
      </c>
    </row>
    <row r="142" spans="1:14" x14ac:dyDescent="0.2">
      <c r="A142" s="2" t="s">
        <v>704</v>
      </c>
      <c r="B142" s="2" t="s">
        <v>34</v>
      </c>
      <c r="C142" s="2" t="s">
        <v>735</v>
      </c>
      <c r="D142" s="2">
        <v>1021105</v>
      </c>
      <c r="E142" s="2" t="s">
        <v>789</v>
      </c>
      <c r="F142" s="2" t="s">
        <v>259</v>
      </c>
      <c r="G142" s="2" t="s">
        <v>499</v>
      </c>
      <c r="H142" s="7">
        <v>15994.644</v>
      </c>
      <c r="I142">
        <v>25</v>
      </c>
      <c r="J142">
        <v>27</v>
      </c>
      <c r="K142" s="14">
        <v>0.6</v>
      </c>
      <c r="L142" s="7">
        <f t="shared" si="4"/>
        <v>9596.786399999999</v>
      </c>
      <c r="M142" s="14">
        <v>0.72</v>
      </c>
      <c r="N142" s="7">
        <f t="shared" si="5"/>
        <v>11516.143679999999</v>
      </c>
    </row>
    <row r="143" spans="1:14" x14ac:dyDescent="0.2">
      <c r="A143" s="2" t="s">
        <v>704</v>
      </c>
      <c r="B143" s="2" t="s">
        <v>34</v>
      </c>
      <c r="C143" s="2" t="s">
        <v>735</v>
      </c>
      <c r="D143" s="2">
        <v>1021187</v>
      </c>
      <c r="E143" s="2" t="s">
        <v>790</v>
      </c>
      <c r="F143" s="2" t="s">
        <v>175</v>
      </c>
      <c r="G143" s="2" t="s">
        <v>617</v>
      </c>
      <c r="H143" s="7">
        <v>26095.052</v>
      </c>
      <c r="I143">
        <v>25</v>
      </c>
      <c r="J143">
        <v>27</v>
      </c>
      <c r="K143" s="14">
        <v>0.6</v>
      </c>
      <c r="L143" s="7">
        <f t="shared" si="4"/>
        <v>15657.031199999999</v>
      </c>
      <c r="M143" s="14">
        <v>0.72</v>
      </c>
      <c r="N143" s="7">
        <f t="shared" si="5"/>
        <v>18788.437439999998</v>
      </c>
    </row>
    <row r="144" spans="1:14" x14ac:dyDescent="0.2">
      <c r="A144" s="2" t="s">
        <v>704</v>
      </c>
      <c r="B144" s="2" t="s">
        <v>34</v>
      </c>
      <c r="C144" s="2" t="s">
        <v>735</v>
      </c>
      <c r="D144" s="2">
        <v>1021385</v>
      </c>
      <c r="E144" s="2" t="s">
        <v>791</v>
      </c>
      <c r="F144" s="2" t="s">
        <v>175</v>
      </c>
      <c r="G144" s="2" t="s">
        <v>495</v>
      </c>
      <c r="H144" s="7">
        <v>95933.331999999995</v>
      </c>
      <c r="I144">
        <v>25</v>
      </c>
      <c r="J144">
        <v>27</v>
      </c>
      <c r="K144" s="14">
        <v>0.6</v>
      </c>
      <c r="L144" s="7">
        <f t="shared" si="4"/>
        <v>57559.999199999998</v>
      </c>
      <c r="M144" s="14">
        <v>0.72</v>
      </c>
      <c r="N144" s="7">
        <f t="shared" si="5"/>
        <v>69071.999039999995</v>
      </c>
    </row>
    <row r="145" spans="1:14" x14ac:dyDescent="0.2">
      <c r="A145" s="2" t="s">
        <v>704</v>
      </c>
      <c r="B145" s="2" t="s">
        <v>34</v>
      </c>
      <c r="C145" s="2" t="s">
        <v>735</v>
      </c>
      <c r="D145" s="2">
        <v>1021976</v>
      </c>
      <c r="E145" s="2" t="s">
        <v>792</v>
      </c>
      <c r="F145" s="2" t="s">
        <v>39</v>
      </c>
      <c r="G145" s="2" t="s">
        <v>512</v>
      </c>
      <c r="H145" s="7">
        <v>397174.23599999998</v>
      </c>
      <c r="I145">
        <v>25</v>
      </c>
      <c r="J145">
        <v>27</v>
      </c>
      <c r="K145" s="14">
        <v>0.6</v>
      </c>
      <c r="L145" s="7">
        <f t="shared" si="4"/>
        <v>238304.54159999997</v>
      </c>
      <c r="M145" s="14">
        <v>0.72</v>
      </c>
      <c r="N145" s="7">
        <f t="shared" si="5"/>
        <v>285965.44991999998</v>
      </c>
    </row>
    <row r="146" spans="1:14" x14ac:dyDescent="0.2">
      <c r="A146" s="2" t="s">
        <v>704</v>
      </c>
      <c r="B146" s="2" t="s">
        <v>34</v>
      </c>
      <c r="C146" s="2" t="s">
        <v>735</v>
      </c>
      <c r="D146" s="2">
        <v>1022102</v>
      </c>
      <c r="E146" s="2" t="s">
        <v>793</v>
      </c>
      <c r="F146" s="2" t="s">
        <v>191</v>
      </c>
      <c r="G146" s="2" t="s">
        <v>658</v>
      </c>
      <c r="H146" s="7">
        <v>11999.2</v>
      </c>
      <c r="I146">
        <v>25</v>
      </c>
      <c r="J146">
        <v>27</v>
      </c>
      <c r="K146" s="14">
        <v>0.6</v>
      </c>
      <c r="L146" s="7">
        <f t="shared" si="4"/>
        <v>7199.52</v>
      </c>
      <c r="M146" s="14">
        <v>0.72</v>
      </c>
      <c r="N146" s="7">
        <f t="shared" si="5"/>
        <v>8639.4240000000009</v>
      </c>
    </row>
    <row r="147" spans="1:14" x14ac:dyDescent="0.2">
      <c r="A147" s="2" t="s">
        <v>704</v>
      </c>
      <c r="B147" s="2" t="s">
        <v>34</v>
      </c>
      <c r="C147" s="2" t="s">
        <v>735</v>
      </c>
      <c r="D147" s="2">
        <v>1022149</v>
      </c>
      <c r="E147" s="2" t="s">
        <v>794</v>
      </c>
      <c r="F147" s="2" t="s">
        <v>773</v>
      </c>
      <c r="G147" s="2" t="s">
        <v>537</v>
      </c>
      <c r="H147" s="7">
        <v>48135.004000000001</v>
      </c>
      <c r="I147">
        <v>25</v>
      </c>
      <c r="J147">
        <v>27</v>
      </c>
      <c r="K147" s="14">
        <v>0.6</v>
      </c>
      <c r="L147" s="7">
        <f t="shared" si="4"/>
        <v>28881.002400000001</v>
      </c>
      <c r="M147" s="14">
        <v>0.72</v>
      </c>
      <c r="N147" s="7">
        <f t="shared" si="5"/>
        <v>34657.202879999997</v>
      </c>
    </row>
    <row r="148" spans="1:14" x14ac:dyDescent="0.2">
      <c r="A148" s="2" t="s">
        <v>704</v>
      </c>
      <c r="B148" s="2" t="s">
        <v>34</v>
      </c>
      <c r="C148" s="2" t="s">
        <v>735</v>
      </c>
      <c r="D148" s="2">
        <v>1022150</v>
      </c>
      <c r="E148" s="2" t="s">
        <v>776</v>
      </c>
      <c r="F148" s="2" t="s">
        <v>48</v>
      </c>
      <c r="G148" s="2" t="s">
        <v>500</v>
      </c>
      <c r="H148" s="7">
        <v>3768.64</v>
      </c>
      <c r="I148">
        <v>25</v>
      </c>
      <c r="J148">
        <v>27</v>
      </c>
      <c r="K148" s="14">
        <v>0.6</v>
      </c>
      <c r="L148" s="7">
        <f t="shared" si="4"/>
        <v>2261.1839999999997</v>
      </c>
      <c r="M148" s="14">
        <v>0.72</v>
      </c>
      <c r="N148" s="7">
        <f t="shared" si="5"/>
        <v>2713.4207999999999</v>
      </c>
    </row>
    <row r="149" spans="1:14" x14ac:dyDescent="0.2">
      <c r="A149" s="2" t="s">
        <v>704</v>
      </c>
      <c r="B149" s="2" t="s">
        <v>34</v>
      </c>
      <c r="C149" s="2" t="s">
        <v>735</v>
      </c>
      <c r="D149" s="2">
        <v>1022709</v>
      </c>
      <c r="E149" s="2" t="s">
        <v>780</v>
      </c>
      <c r="F149" s="2" t="s">
        <v>96</v>
      </c>
      <c r="G149" s="2" t="s">
        <v>493</v>
      </c>
      <c r="H149" s="7">
        <v>255038.66399999999</v>
      </c>
      <c r="I149">
        <v>25</v>
      </c>
      <c r="J149">
        <v>27</v>
      </c>
      <c r="K149" s="14">
        <v>0.6</v>
      </c>
      <c r="L149" s="7">
        <f t="shared" si="4"/>
        <v>153023.19839999999</v>
      </c>
      <c r="M149" s="14">
        <v>0.72</v>
      </c>
      <c r="N149" s="7">
        <f t="shared" si="5"/>
        <v>183627.83807999999</v>
      </c>
    </row>
    <row r="150" spans="1:14" x14ac:dyDescent="0.2">
      <c r="A150" s="2" t="s">
        <v>704</v>
      </c>
      <c r="B150" s="2" t="s">
        <v>34</v>
      </c>
      <c r="C150" s="2" t="s">
        <v>735</v>
      </c>
      <c r="D150" s="2">
        <v>1022847</v>
      </c>
      <c r="E150" s="2" t="s">
        <v>795</v>
      </c>
      <c r="F150" s="2" t="s">
        <v>178</v>
      </c>
      <c r="G150" s="2" t="s">
        <v>562</v>
      </c>
      <c r="H150" s="7">
        <v>51926.915999999997</v>
      </c>
      <c r="I150">
        <v>25</v>
      </c>
      <c r="J150">
        <v>27</v>
      </c>
      <c r="K150" s="14">
        <v>0.6</v>
      </c>
      <c r="L150" s="7">
        <f t="shared" si="4"/>
        <v>31156.149599999997</v>
      </c>
      <c r="M150" s="14">
        <v>0.72</v>
      </c>
      <c r="N150" s="7">
        <f t="shared" si="5"/>
        <v>37387.379519999995</v>
      </c>
    </row>
    <row r="151" spans="1:14" x14ac:dyDescent="0.2">
      <c r="A151" s="2" t="s">
        <v>704</v>
      </c>
      <c r="B151" s="2" t="s">
        <v>34</v>
      </c>
      <c r="C151" s="2" t="s">
        <v>735</v>
      </c>
      <c r="D151" s="2">
        <v>1023433</v>
      </c>
      <c r="E151" s="2" t="s">
        <v>796</v>
      </c>
      <c r="F151" s="2" t="s">
        <v>773</v>
      </c>
      <c r="G151" s="2" t="s">
        <v>490</v>
      </c>
      <c r="H151" s="7">
        <v>176045.98</v>
      </c>
      <c r="I151">
        <v>25</v>
      </c>
      <c r="J151">
        <v>27</v>
      </c>
      <c r="K151" s="14">
        <v>0.6</v>
      </c>
      <c r="L151" s="7">
        <f t="shared" si="4"/>
        <v>105627.588</v>
      </c>
      <c r="M151" s="14">
        <v>0.72</v>
      </c>
      <c r="N151" s="7">
        <f t="shared" si="5"/>
        <v>126753.10560000001</v>
      </c>
    </row>
    <row r="152" spans="1:14" x14ac:dyDescent="0.2">
      <c r="A152" s="2" t="s">
        <v>704</v>
      </c>
      <c r="B152" s="2" t="s">
        <v>34</v>
      </c>
      <c r="C152" s="2" t="s">
        <v>741</v>
      </c>
      <c r="D152" s="2">
        <v>1020860</v>
      </c>
      <c r="E152" s="2" t="s">
        <v>797</v>
      </c>
      <c r="F152" s="2" t="s">
        <v>43</v>
      </c>
      <c r="G152" s="2" t="s">
        <v>403</v>
      </c>
      <c r="H152" s="7">
        <v>88008.483999999997</v>
      </c>
      <c r="I152">
        <v>25</v>
      </c>
      <c r="J152">
        <v>27</v>
      </c>
      <c r="K152" s="14">
        <v>0.6</v>
      </c>
      <c r="L152" s="7">
        <f t="shared" si="4"/>
        <v>52805.090399999994</v>
      </c>
      <c r="M152" s="14">
        <v>0.72</v>
      </c>
      <c r="N152" s="7">
        <f t="shared" si="5"/>
        <v>63366.108479999995</v>
      </c>
    </row>
    <row r="153" spans="1:14" x14ac:dyDescent="0.2">
      <c r="A153" s="2" t="s">
        <v>704</v>
      </c>
      <c r="B153" s="2" t="s">
        <v>34</v>
      </c>
      <c r="C153" s="2" t="s">
        <v>741</v>
      </c>
      <c r="D153" s="2">
        <v>1020861</v>
      </c>
      <c r="E153" s="2" t="s">
        <v>798</v>
      </c>
      <c r="F153" s="2" t="s">
        <v>43</v>
      </c>
      <c r="G153" s="2" t="s">
        <v>400</v>
      </c>
      <c r="H153" s="7">
        <v>22007.432000000001</v>
      </c>
      <c r="I153">
        <v>25</v>
      </c>
      <c r="J153">
        <v>27</v>
      </c>
      <c r="K153" s="14">
        <v>0.6</v>
      </c>
      <c r="L153" s="7">
        <f t="shared" si="4"/>
        <v>13204.459199999999</v>
      </c>
      <c r="M153" s="14">
        <v>0.72</v>
      </c>
      <c r="N153" s="7">
        <f t="shared" si="5"/>
        <v>15845.35104</v>
      </c>
    </row>
    <row r="154" spans="1:14" x14ac:dyDescent="0.2">
      <c r="A154" s="2" t="s">
        <v>704</v>
      </c>
      <c r="B154" s="2" t="s">
        <v>34</v>
      </c>
      <c r="C154" s="2" t="s">
        <v>741</v>
      </c>
      <c r="D154" s="2">
        <v>1021156</v>
      </c>
      <c r="E154" s="2" t="s">
        <v>799</v>
      </c>
      <c r="F154" s="2" t="s">
        <v>172</v>
      </c>
      <c r="G154" s="2" t="s">
        <v>515</v>
      </c>
      <c r="H154" s="7">
        <v>96000</v>
      </c>
      <c r="I154">
        <v>25</v>
      </c>
      <c r="J154">
        <v>27</v>
      </c>
      <c r="K154" s="14">
        <v>0.6</v>
      </c>
      <c r="L154" s="7">
        <f t="shared" si="4"/>
        <v>57600</v>
      </c>
      <c r="M154" s="14">
        <v>0.72</v>
      </c>
      <c r="N154" s="7">
        <f t="shared" si="5"/>
        <v>69120</v>
      </c>
    </row>
    <row r="155" spans="1:14" x14ac:dyDescent="0.2">
      <c r="A155" s="2" t="s">
        <v>704</v>
      </c>
      <c r="B155" s="2" t="s">
        <v>34</v>
      </c>
      <c r="C155" s="2" t="s">
        <v>741</v>
      </c>
      <c r="D155" s="2">
        <v>1021655</v>
      </c>
      <c r="E155" s="2" t="s">
        <v>800</v>
      </c>
      <c r="F155" s="2" t="s">
        <v>259</v>
      </c>
      <c r="G155" s="2" t="s">
        <v>801</v>
      </c>
      <c r="H155" s="7">
        <v>96000</v>
      </c>
      <c r="I155">
        <v>25</v>
      </c>
      <c r="J155">
        <v>27</v>
      </c>
      <c r="K155" s="14">
        <v>0.6</v>
      </c>
      <c r="L155" s="7">
        <f t="shared" si="4"/>
        <v>57600</v>
      </c>
      <c r="M155" s="14">
        <v>0.72</v>
      </c>
      <c r="N155" s="7">
        <f t="shared" si="5"/>
        <v>69120</v>
      </c>
    </row>
    <row r="156" spans="1:14" x14ac:dyDescent="0.2">
      <c r="A156" s="2" t="s">
        <v>704</v>
      </c>
      <c r="B156" s="2" t="s">
        <v>34</v>
      </c>
      <c r="C156" s="2" t="s">
        <v>741</v>
      </c>
      <c r="D156" s="2">
        <v>1021664</v>
      </c>
      <c r="E156" s="2" t="s">
        <v>802</v>
      </c>
      <c r="F156" s="2" t="s">
        <v>191</v>
      </c>
      <c r="G156" s="2" t="s">
        <v>452</v>
      </c>
      <c r="H156" s="7">
        <v>87780.415999999997</v>
      </c>
      <c r="I156">
        <v>25</v>
      </c>
      <c r="J156">
        <v>27</v>
      </c>
      <c r="K156" s="14">
        <v>0.6</v>
      </c>
      <c r="L156" s="7">
        <f t="shared" si="4"/>
        <v>52668.249599999996</v>
      </c>
      <c r="M156" s="14">
        <v>0.72</v>
      </c>
      <c r="N156" s="7">
        <f t="shared" si="5"/>
        <v>63201.899519999999</v>
      </c>
    </row>
    <row r="157" spans="1:14" x14ac:dyDescent="0.2">
      <c r="A157" s="2" t="s">
        <v>704</v>
      </c>
      <c r="B157" s="2" t="s">
        <v>34</v>
      </c>
      <c r="C157" s="2" t="s">
        <v>741</v>
      </c>
      <c r="D157" s="2">
        <v>1021665</v>
      </c>
      <c r="E157" s="2" t="s">
        <v>803</v>
      </c>
      <c r="F157" s="2" t="s">
        <v>191</v>
      </c>
      <c r="G157" s="2" t="s">
        <v>453</v>
      </c>
      <c r="H157" s="7">
        <v>111668.402</v>
      </c>
      <c r="I157">
        <v>25</v>
      </c>
      <c r="J157">
        <v>27</v>
      </c>
      <c r="K157" s="14">
        <v>0.6</v>
      </c>
      <c r="L157" s="7">
        <f t="shared" si="4"/>
        <v>67001.041199999992</v>
      </c>
      <c r="M157" s="14">
        <v>0.72</v>
      </c>
      <c r="N157" s="7">
        <f t="shared" si="5"/>
        <v>80401.24944</v>
      </c>
    </row>
    <row r="158" spans="1:14" x14ac:dyDescent="0.2">
      <c r="A158" s="2" t="s">
        <v>704</v>
      </c>
      <c r="B158" s="2" t="s">
        <v>34</v>
      </c>
      <c r="C158" s="2" t="s">
        <v>741</v>
      </c>
      <c r="D158" s="2">
        <v>1022182</v>
      </c>
      <c r="E158" s="2" t="s">
        <v>804</v>
      </c>
      <c r="F158" s="2" t="s">
        <v>76</v>
      </c>
      <c r="G158" s="2" t="s">
        <v>519</v>
      </c>
      <c r="H158" s="7">
        <v>88000</v>
      </c>
      <c r="I158">
        <v>25</v>
      </c>
      <c r="J158">
        <v>27</v>
      </c>
      <c r="K158" s="14">
        <v>0.6</v>
      </c>
      <c r="L158" s="7">
        <f t="shared" si="4"/>
        <v>52800</v>
      </c>
      <c r="M158" s="14">
        <v>0.72</v>
      </c>
      <c r="N158" s="7">
        <f t="shared" si="5"/>
        <v>63360</v>
      </c>
    </row>
    <row r="159" spans="1:14" x14ac:dyDescent="0.2">
      <c r="A159" s="2" t="s">
        <v>704</v>
      </c>
      <c r="B159" s="2" t="s">
        <v>34</v>
      </c>
      <c r="C159" s="2" t="s">
        <v>741</v>
      </c>
      <c r="D159" s="2">
        <v>1022885</v>
      </c>
      <c r="E159" s="2" t="s">
        <v>805</v>
      </c>
      <c r="F159" s="2" t="s">
        <v>178</v>
      </c>
      <c r="G159" s="2" t="s">
        <v>401</v>
      </c>
      <c r="H159" s="7">
        <v>88032.751999999993</v>
      </c>
      <c r="I159">
        <v>25</v>
      </c>
      <c r="J159">
        <v>27</v>
      </c>
      <c r="K159" s="14">
        <v>0.6</v>
      </c>
      <c r="L159" s="7">
        <f t="shared" si="4"/>
        <v>52819.651199999993</v>
      </c>
      <c r="M159" s="14">
        <v>0.72</v>
      </c>
      <c r="N159" s="7">
        <f t="shared" si="5"/>
        <v>63383.581439999994</v>
      </c>
    </row>
    <row r="160" spans="1:14" x14ac:dyDescent="0.2">
      <c r="A160" s="2" t="s">
        <v>704</v>
      </c>
      <c r="B160" s="2" t="s">
        <v>34</v>
      </c>
      <c r="C160" s="2" t="s">
        <v>741</v>
      </c>
      <c r="D160" s="2">
        <v>1022887</v>
      </c>
      <c r="E160" s="2" t="s">
        <v>806</v>
      </c>
      <c r="F160" s="2" t="s">
        <v>178</v>
      </c>
      <c r="G160" s="2" t="s">
        <v>404</v>
      </c>
      <c r="H160" s="7">
        <v>528124.81999999995</v>
      </c>
      <c r="I160">
        <v>25</v>
      </c>
      <c r="J160">
        <v>27</v>
      </c>
      <c r="K160" s="14">
        <v>0.6</v>
      </c>
      <c r="L160" s="7">
        <f t="shared" si="4"/>
        <v>316874.89199999993</v>
      </c>
      <c r="M160" s="14">
        <v>0.72</v>
      </c>
      <c r="N160" s="7">
        <f t="shared" si="5"/>
        <v>380249.87039999996</v>
      </c>
    </row>
    <row r="161" spans="1:14" x14ac:dyDescent="0.2">
      <c r="A161" s="2" t="s">
        <v>704</v>
      </c>
      <c r="B161" s="2" t="s">
        <v>34</v>
      </c>
      <c r="C161" s="2" t="s">
        <v>741</v>
      </c>
      <c r="D161" s="2">
        <v>1022930</v>
      </c>
      <c r="E161" s="2" t="s">
        <v>807</v>
      </c>
      <c r="F161" s="2" t="s">
        <v>178</v>
      </c>
      <c r="G161" s="2" t="s">
        <v>456</v>
      </c>
      <c r="H161" s="7">
        <v>88037.372000000003</v>
      </c>
      <c r="I161">
        <v>25</v>
      </c>
      <c r="J161">
        <v>27</v>
      </c>
      <c r="K161" s="14">
        <v>0.6</v>
      </c>
      <c r="L161" s="7">
        <f t="shared" si="4"/>
        <v>52822.423199999997</v>
      </c>
      <c r="M161" s="14">
        <v>0.72</v>
      </c>
      <c r="N161" s="7">
        <f t="shared" si="5"/>
        <v>63386.90784</v>
      </c>
    </row>
    <row r="162" spans="1:14" x14ac:dyDescent="0.2">
      <c r="A162" s="2" t="s">
        <v>704</v>
      </c>
      <c r="B162" s="2" t="s">
        <v>34</v>
      </c>
      <c r="C162" s="2" t="s">
        <v>741</v>
      </c>
      <c r="D162" s="2">
        <v>1023037</v>
      </c>
      <c r="E162" s="2" t="s">
        <v>808</v>
      </c>
      <c r="F162" s="2" t="s">
        <v>178</v>
      </c>
      <c r="G162" s="2" t="s">
        <v>555</v>
      </c>
      <c r="H162" s="7">
        <v>264138.99200000003</v>
      </c>
      <c r="I162">
        <v>25</v>
      </c>
      <c r="J162">
        <v>27</v>
      </c>
      <c r="K162" s="14">
        <v>0.6</v>
      </c>
      <c r="L162" s="7">
        <f t="shared" si="4"/>
        <v>158483.3952</v>
      </c>
      <c r="M162" s="14">
        <v>0.72</v>
      </c>
      <c r="N162" s="7">
        <f t="shared" si="5"/>
        <v>190180.07424000002</v>
      </c>
    </row>
    <row r="163" spans="1:14" x14ac:dyDescent="0.2">
      <c r="A163" s="2" t="s">
        <v>704</v>
      </c>
      <c r="B163" s="2" t="s">
        <v>34</v>
      </c>
      <c r="C163" s="2" t="s">
        <v>741</v>
      </c>
      <c r="D163" s="2">
        <v>1023283</v>
      </c>
      <c r="E163" s="2" t="s">
        <v>809</v>
      </c>
      <c r="F163" s="2" t="s">
        <v>259</v>
      </c>
      <c r="G163" s="2" t="s">
        <v>468</v>
      </c>
      <c r="H163" s="7">
        <v>739.48800000000006</v>
      </c>
      <c r="I163">
        <v>25</v>
      </c>
      <c r="J163">
        <v>27</v>
      </c>
      <c r="K163" s="14">
        <v>0.6</v>
      </c>
      <c r="L163" s="7">
        <f t="shared" si="4"/>
        <v>443.69280000000003</v>
      </c>
      <c r="M163" s="14">
        <v>0.72</v>
      </c>
      <c r="N163" s="7">
        <f t="shared" si="5"/>
        <v>532.43136000000004</v>
      </c>
    </row>
    <row r="164" spans="1:14" x14ac:dyDescent="0.2">
      <c r="A164" s="2" t="s">
        <v>704</v>
      </c>
      <c r="B164" s="2" t="s">
        <v>34</v>
      </c>
      <c r="C164" s="2" t="s">
        <v>741</v>
      </c>
      <c r="D164" s="2">
        <v>1023305</v>
      </c>
      <c r="E164" s="2" t="s">
        <v>810</v>
      </c>
      <c r="F164" s="2" t="s">
        <v>259</v>
      </c>
      <c r="G164" s="2" t="s">
        <v>811</v>
      </c>
      <c r="H164" s="7">
        <v>157.88</v>
      </c>
      <c r="I164">
        <v>25</v>
      </c>
      <c r="J164">
        <v>27</v>
      </c>
      <c r="K164" s="14">
        <v>0.6</v>
      </c>
      <c r="L164" s="7">
        <f t="shared" si="4"/>
        <v>94.727999999999994</v>
      </c>
      <c r="M164" s="14">
        <v>0.72</v>
      </c>
      <c r="N164" s="7">
        <f t="shared" si="5"/>
        <v>113.67359999999999</v>
      </c>
    </row>
    <row r="165" spans="1:14" x14ac:dyDescent="0.2">
      <c r="A165" s="2" t="s">
        <v>704</v>
      </c>
      <c r="B165" s="2" t="s">
        <v>34</v>
      </c>
      <c r="C165" s="2" t="s">
        <v>812</v>
      </c>
      <c r="D165" s="2">
        <v>1021864</v>
      </c>
      <c r="E165" s="2" t="s">
        <v>813</v>
      </c>
      <c r="F165" s="2" t="s">
        <v>175</v>
      </c>
      <c r="G165" s="2" t="s">
        <v>814</v>
      </c>
      <c r="H165" s="7">
        <v>95945.088000000003</v>
      </c>
      <c r="I165">
        <v>25</v>
      </c>
      <c r="J165">
        <v>27</v>
      </c>
      <c r="K165" s="14">
        <v>0.6</v>
      </c>
      <c r="L165" s="7">
        <f t="shared" si="4"/>
        <v>57567.052799999998</v>
      </c>
      <c r="M165" s="14">
        <v>0.72</v>
      </c>
      <c r="N165" s="7">
        <f t="shared" si="5"/>
        <v>69080.463359999994</v>
      </c>
    </row>
    <row r="166" spans="1:14" x14ac:dyDescent="0.2">
      <c r="A166" s="2" t="s">
        <v>704</v>
      </c>
      <c r="B166" s="2" t="s">
        <v>34</v>
      </c>
      <c r="C166" s="2" t="s">
        <v>812</v>
      </c>
      <c r="D166" s="2">
        <v>1022217</v>
      </c>
      <c r="E166" s="2" t="s">
        <v>815</v>
      </c>
      <c r="F166" s="2" t="s">
        <v>48</v>
      </c>
      <c r="G166" s="2" t="s">
        <v>816</v>
      </c>
      <c r="H166" s="7">
        <v>47269.88</v>
      </c>
      <c r="I166">
        <v>25</v>
      </c>
      <c r="J166">
        <v>27</v>
      </c>
      <c r="K166" s="14">
        <v>0.6</v>
      </c>
      <c r="L166" s="7">
        <f t="shared" si="4"/>
        <v>28361.927999999996</v>
      </c>
      <c r="M166" s="14">
        <v>0.72</v>
      </c>
      <c r="N166" s="7">
        <f t="shared" si="5"/>
        <v>34034.313599999994</v>
      </c>
    </row>
    <row r="167" spans="1:14" x14ac:dyDescent="0.2">
      <c r="A167" s="2" t="s">
        <v>704</v>
      </c>
      <c r="B167" s="2" t="s">
        <v>34</v>
      </c>
      <c r="C167" s="2" t="s">
        <v>812</v>
      </c>
      <c r="D167" s="2">
        <v>1022290</v>
      </c>
      <c r="E167" s="2" t="s">
        <v>817</v>
      </c>
      <c r="F167" s="2" t="s">
        <v>48</v>
      </c>
      <c r="G167" s="2" t="s">
        <v>818</v>
      </c>
      <c r="H167" s="7">
        <v>12207.38</v>
      </c>
      <c r="I167">
        <v>25</v>
      </c>
      <c r="J167">
        <v>27</v>
      </c>
      <c r="K167" s="14">
        <v>0.6</v>
      </c>
      <c r="L167" s="7">
        <f t="shared" si="4"/>
        <v>7324.427999999999</v>
      </c>
      <c r="M167" s="14">
        <v>0.72</v>
      </c>
      <c r="N167" s="7">
        <f t="shared" si="5"/>
        <v>8789.3135999999995</v>
      </c>
    </row>
    <row r="168" spans="1:14" x14ac:dyDescent="0.2">
      <c r="A168" s="2" t="s">
        <v>704</v>
      </c>
      <c r="B168" s="2" t="s">
        <v>34</v>
      </c>
      <c r="C168" s="2" t="s">
        <v>812</v>
      </c>
      <c r="D168" s="2">
        <v>1023334</v>
      </c>
      <c r="E168" s="2" t="s">
        <v>819</v>
      </c>
      <c r="F168" s="2" t="s">
        <v>175</v>
      </c>
      <c r="G168" s="2" t="s">
        <v>820</v>
      </c>
      <c r="H168" s="7">
        <v>47980.284</v>
      </c>
      <c r="I168">
        <v>25</v>
      </c>
      <c r="J168">
        <v>27</v>
      </c>
      <c r="K168" s="14">
        <v>0.6</v>
      </c>
      <c r="L168" s="7">
        <f t="shared" si="4"/>
        <v>28788.170399999999</v>
      </c>
      <c r="M168" s="14">
        <v>0.72</v>
      </c>
      <c r="N168" s="7">
        <f t="shared" si="5"/>
        <v>34545.804479999999</v>
      </c>
    </row>
    <row r="169" spans="1:14" x14ac:dyDescent="0.2">
      <c r="A169" s="2" t="s">
        <v>704</v>
      </c>
      <c r="B169" s="2" t="s">
        <v>34</v>
      </c>
      <c r="C169" s="2" t="s">
        <v>46</v>
      </c>
      <c r="D169" s="2">
        <v>1021204</v>
      </c>
      <c r="E169" s="2" t="s">
        <v>291</v>
      </c>
      <c r="F169" s="2" t="s">
        <v>48</v>
      </c>
      <c r="G169" s="2" t="s">
        <v>821</v>
      </c>
      <c r="H169" s="7">
        <v>96000</v>
      </c>
      <c r="I169">
        <v>25</v>
      </c>
      <c r="J169">
        <v>27</v>
      </c>
      <c r="K169" s="14">
        <v>0.6</v>
      </c>
      <c r="L169" s="7">
        <f t="shared" si="4"/>
        <v>57600</v>
      </c>
      <c r="M169" s="14">
        <v>0.72</v>
      </c>
      <c r="N169" s="7">
        <f t="shared" si="5"/>
        <v>69120</v>
      </c>
    </row>
    <row r="170" spans="1:14" x14ac:dyDescent="0.2">
      <c r="A170" s="2" t="s">
        <v>704</v>
      </c>
      <c r="B170" s="2" t="s">
        <v>34</v>
      </c>
      <c r="C170" s="2" t="s">
        <v>46</v>
      </c>
      <c r="D170" s="2">
        <v>1021731</v>
      </c>
      <c r="E170" s="2" t="s">
        <v>274</v>
      </c>
      <c r="F170" s="2" t="s">
        <v>167</v>
      </c>
      <c r="G170" s="2" t="s">
        <v>273</v>
      </c>
      <c r="H170" s="7">
        <v>21960</v>
      </c>
      <c r="I170">
        <v>25</v>
      </c>
      <c r="J170">
        <v>27</v>
      </c>
      <c r="K170" s="14">
        <v>0.6</v>
      </c>
      <c r="L170" s="7">
        <f t="shared" si="4"/>
        <v>13176</v>
      </c>
      <c r="M170" s="14">
        <v>0.72</v>
      </c>
      <c r="N170" s="7">
        <f t="shared" si="5"/>
        <v>15811.199999999999</v>
      </c>
    </row>
    <row r="171" spans="1:14" x14ac:dyDescent="0.2">
      <c r="A171" s="2" t="s">
        <v>704</v>
      </c>
      <c r="B171" s="2" t="s">
        <v>34</v>
      </c>
      <c r="C171" s="2" t="s">
        <v>46</v>
      </c>
      <c r="D171" s="2">
        <v>1021732</v>
      </c>
      <c r="E171" s="2" t="s">
        <v>276</v>
      </c>
      <c r="F171" s="2" t="s">
        <v>172</v>
      </c>
      <c r="G171" s="2" t="s">
        <v>275</v>
      </c>
      <c r="H171" s="7">
        <v>419140</v>
      </c>
      <c r="I171">
        <v>25</v>
      </c>
      <c r="J171">
        <v>27</v>
      </c>
      <c r="K171" s="14">
        <v>0.6</v>
      </c>
      <c r="L171" s="7">
        <f t="shared" si="4"/>
        <v>251484</v>
      </c>
      <c r="M171" s="14">
        <v>0.72</v>
      </c>
      <c r="N171" s="7">
        <f t="shared" si="5"/>
        <v>301780.8</v>
      </c>
    </row>
    <row r="172" spans="1:14" x14ac:dyDescent="0.2">
      <c r="A172" s="2" t="s">
        <v>704</v>
      </c>
      <c r="B172" s="2" t="s">
        <v>34</v>
      </c>
      <c r="C172" s="2" t="s">
        <v>46</v>
      </c>
      <c r="D172" s="2">
        <v>1021733</v>
      </c>
      <c r="E172" s="2" t="s">
        <v>270</v>
      </c>
      <c r="F172" s="2" t="s">
        <v>96</v>
      </c>
      <c r="G172" s="2" t="s">
        <v>277</v>
      </c>
      <c r="H172" s="7">
        <v>409750.25799999997</v>
      </c>
      <c r="I172">
        <v>25</v>
      </c>
      <c r="J172">
        <v>27</v>
      </c>
      <c r="K172" s="14">
        <v>0.6</v>
      </c>
      <c r="L172" s="7">
        <f t="shared" si="4"/>
        <v>245850.15479999996</v>
      </c>
      <c r="M172" s="14">
        <v>0.72</v>
      </c>
      <c r="N172" s="7">
        <f t="shared" si="5"/>
        <v>295020.18575999996</v>
      </c>
    </row>
    <row r="173" spans="1:14" x14ac:dyDescent="0.2">
      <c r="A173" s="2" t="s">
        <v>704</v>
      </c>
      <c r="B173" s="2" t="s">
        <v>34</v>
      </c>
      <c r="C173" s="2" t="s">
        <v>46</v>
      </c>
      <c r="D173" s="2">
        <v>1021735</v>
      </c>
      <c r="E173" s="2" t="s">
        <v>279</v>
      </c>
      <c r="F173" s="2" t="s">
        <v>259</v>
      </c>
      <c r="G173" s="2" t="s">
        <v>278</v>
      </c>
      <c r="H173" s="7">
        <v>198160</v>
      </c>
      <c r="I173">
        <v>25</v>
      </c>
      <c r="J173">
        <v>27</v>
      </c>
      <c r="K173" s="14">
        <v>0.6</v>
      </c>
      <c r="L173" s="7">
        <f t="shared" si="4"/>
        <v>118896</v>
      </c>
      <c r="M173" s="14">
        <v>0.72</v>
      </c>
      <c r="N173" s="7">
        <f t="shared" si="5"/>
        <v>142675.19999999998</v>
      </c>
    </row>
    <row r="174" spans="1:14" x14ac:dyDescent="0.2">
      <c r="A174" s="2" t="s">
        <v>704</v>
      </c>
      <c r="B174" s="2" t="s">
        <v>34</v>
      </c>
      <c r="C174" s="2" t="s">
        <v>46</v>
      </c>
      <c r="D174" s="2">
        <v>1021737</v>
      </c>
      <c r="E174" s="2" t="s">
        <v>281</v>
      </c>
      <c r="F174" s="2" t="s">
        <v>259</v>
      </c>
      <c r="G174" s="2" t="s">
        <v>280</v>
      </c>
      <c r="H174" s="7">
        <v>0</v>
      </c>
      <c r="I174">
        <v>25</v>
      </c>
      <c r="J174">
        <v>27</v>
      </c>
      <c r="K174" s="14">
        <v>0.6</v>
      </c>
      <c r="L174" s="7">
        <f t="shared" si="4"/>
        <v>0</v>
      </c>
      <c r="M174" s="14">
        <v>0.72</v>
      </c>
      <c r="N174" s="7">
        <f t="shared" si="5"/>
        <v>0</v>
      </c>
    </row>
    <row r="175" spans="1:14" x14ac:dyDescent="0.2">
      <c r="A175" s="2" t="s">
        <v>704</v>
      </c>
      <c r="B175" s="2" t="s">
        <v>34</v>
      </c>
      <c r="C175" s="2" t="s">
        <v>46</v>
      </c>
      <c r="D175" s="2">
        <v>1021738</v>
      </c>
      <c r="E175" s="2" t="s">
        <v>283</v>
      </c>
      <c r="F175" s="2" t="s">
        <v>259</v>
      </c>
      <c r="G175" s="2" t="s">
        <v>282</v>
      </c>
      <c r="H175" s="7">
        <v>48200</v>
      </c>
      <c r="I175">
        <v>25</v>
      </c>
      <c r="J175">
        <v>27</v>
      </c>
      <c r="K175" s="14">
        <v>0.6</v>
      </c>
      <c r="L175" s="7">
        <f t="shared" si="4"/>
        <v>28920</v>
      </c>
      <c r="M175" s="14">
        <v>0.72</v>
      </c>
      <c r="N175" s="7">
        <f t="shared" si="5"/>
        <v>34704</v>
      </c>
    </row>
    <row r="176" spans="1:14" x14ac:dyDescent="0.2">
      <c r="A176" s="2" t="s">
        <v>704</v>
      </c>
      <c r="B176" s="2" t="s">
        <v>34</v>
      </c>
      <c r="C176" s="2" t="s">
        <v>46</v>
      </c>
      <c r="D176" s="2">
        <v>1021739</v>
      </c>
      <c r="E176" s="2" t="s">
        <v>822</v>
      </c>
      <c r="F176" s="2" t="s">
        <v>196</v>
      </c>
      <c r="G176" s="2" t="s">
        <v>416</v>
      </c>
      <c r="H176" s="7">
        <v>0</v>
      </c>
      <c r="I176">
        <v>25</v>
      </c>
      <c r="J176">
        <v>27</v>
      </c>
      <c r="K176" s="14">
        <v>0.6</v>
      </c>
      <c r="L176" s="7">
        <f t="shared" si="4"/>
        <v>0</v>
      </c>
      <c r="M176" s="14">
        <v>0.72</v>
      </c>
      <c r="N176" s="7">
        <f t="shared" si="5"/>
        <v>0</v>
      </c>
    </row>
    <row r="177" spans="1:14" x14ac:dyDescent="0.2">
      <c r="A177" s="2" t="s">
        <v>704</v>
      </c>
      <c r="B177" s="2" t="s">
        <v>34</v>
      </c>
      <c r="C177" s="2" t="s">
        <v>46</v>
      </c>
      <c r="D177" s="2">
        <v>1021740</v>
      </c>
      <c r="E177" s="2" t="s">
        <v>285</v>
      </c>
      <c r="F177" s="2" t="s">
        <v>259</v>
      </c>
      <c r="G177" s="2" t="s">
        <v>284</v>
      </c>
      <c r="H177" s="7">
        <v>0</v>
      </c>
      <c r="I177">
        <v>25</v>
      </c>
      <c r="J177">
        <v>27</v>
      </c>
      <c r="K177" s="14">
        <v>0.6</v>
      </c>
      <c r="L177" s="7">
        <f t="shared" si="4"/>
        <v>0</v>
      </c>
      <c r="M177" s="14">
        <v>0.72</v>
      </c>
      <c r="N177" s="7">
        <f t="shared" si="5"/>
        <v>0</v>
      </c>
    </row>
    <row r="178" spans="1:14" x14ac:dyDescent="0.2">
      <c r="A178" s="2" t="s">
        <v>704</v>
      </c>
      <c r="B178" s="2" t="s">
        <v>34</v>
      </c>
      <c r="C178" s="2" t="s">
        <v>46</v>
      </c>
      <c r="D178" s="2">
        <v>1021766</v>
      </c>
      <c r="E178" s="2" t="s">
        <v>287</v>
      </c>
      <c r="F178" s="2" t="s">
        <v>172</v>
      </c>
      <c r="G178" s="2" t="s">
        <v>286</v>
      </c>
      <c r="H178" s="7">
        <v>550278</v>
      </c>
      <c r="I178">
        <v>25</v>
      </c>
      <c r="J178">
        <v>27</v>
      </c>
      <c r="K178" s="14">
        <v>0.6</v>
      </c>
      <c r="L178" s="7">
        <f t="shared" si="4"/>
        <v>330166.8</v>
      </c>
      <c r="M178" s="14">
        <v>0.72</v>
      </c>
      <c r="N178" s="7">
        <f t="shared" si="5"/>
        <v>396200.16</v>
      </c>
    </row>
    <row r="179" spans="1:14" x14ac:dyDescent="0.2">
      <c r="A179" s="2" t="s">
        <v>704</v>
      </c>
      <c r="B179" s="2" t="s">
        <v>34</v>
      </c>
      <c r="C179" s="2" t="s">
        <v>46</v>
      </c>
      <c r="D179" s="2">
        <v>1021767</v>
      </c>
      <c r="E179" s="2" t="s">
        <v>289</v>
      </c>
      <c r="F179" s="2" t="s">
        <v>172</v>
      </c>
      <c r="G179" s="2" t="s">
        <v>288</v>
      </c>
      <c r="H179" s="7">
        <v>266058</v>
      </c>
      <c r="I179">
        <v>25</v>
      </c>
      <c r="J179">
        <v>27</v>
      </c>
      <c r="K179" s="14">
        <v>0.6</v>
      </c>
      <c r="L179" s="7">
        <f t="shared" si="4"/>
        <v>159634.79999999999</v>
      </c>
      <c r="M179" s="14">
        <v>0.72</v>
      </c>
      <c r="N179" s="7">
        <f t="shared" si="5"/>
        <v>191561.75999999998</v>
      </c>
    </row>
    <row r="180" spans="1:14" x14ac:dyDescent="0.2">
      <c r="A180" s="2" t="s">
        <v>704</v>
      </c>
      <c r="B180" s="2" t="s">
        <v>34</v>
      </c>
      <c r="C180" s="2" t="s">
        <v>46</v>
      </c>
      <c r="D180" s="2">
        <v>1021774</v>
      </c>
      <c r="E180" s="2" t="s">
        <v>823</v>
      </c>
      <c r="F180" s="2" t="s">
        <v>172</v>
      </c>
      <c r="G180" s="2" t="s">
        <v>443</v>
      </c>
      <c r="H180" s="7">
        <v>97600</v>
      </c>
      <c r="I180">
        <v>25</v>
      </c>
      <c r="J180">
        <v>27</v>
      </c>
      <c r="K180" s="14">
        <v>0.6</v>
      </c>
      <c r="L180" s="7">
        <f t="shared" si="4"/>
        <v>58560</v>
      </c>
      <c r="M180" s="14">
        <v>0.72</v>
      </c>
      <c r="N180" s="7">
        <f t="shared" si="5"/>
        <v>70272</v>
      </c>
    </row>
    <row r="181" spans="1:14" x14ac:dyDescent="0.2">
      <c r="A181" s="2" t="s">
        <v>704</v>
      </c>
      <c r="B181" s="2" t="s">
        <v>34</v>
      </c>
      <c r="C181" s="2" t="s">
        <v>46</v>
      </c>
      <c r="D181" s="2">
        <v>1021905</v>
      </c>
      <c r="E181" s="2" t="s">
        <v>824</v>
      </c>
      <c r="F181" s="2" t="s">
        <v>181</v>
      </c>
      <c r="G181" s="2" t="s">
        <v>554</v>
      </c>
      <c r="H181" s="7">
        <v>0</v>
      </c>
      <c r="I181">
        <v>25</v>
      </c>
      <c r="J181">
        <v>27</v>
      </c>
      <c r="K181" s="14">
        <v>0.6</v>
      </c>
      <c r="L181" s="7">
        <f t="shared" si="4"/>
        <v>0</v>
      </c>
      <c r="M181" s="14">
        <v>0.72</v>
      </c>
      <c r="N181" s="7">
        <f t="shared" si="5"/>
        <v>0</v>
      </c>
    </row>
    <row r="182" spans="1:14" x14ac:dyDescent="0.2">
      <c r="A182" s="2" t="s">
        <v>704</v>
      </c>
      <c r="B182" s="2" t="s">
        <v>34</v>
      </c>
      <c r="C182" s="2" t="s">
        <v>46</v>
      </c>
      <c r="D182" s="2">
        <v>1021971</v>
      </c>
      <c r="E182" s="2" t="s">
        <v>825</v>
      </c>
      <c r="F182" s="2" t="s">
        <v>175</v>
      </c>
      <c r="G182" s="2" t="s">
        <v>556</v>
      </c>
      <c r="H182" s="7">
        <v>100000</v>
      </c>
      <c r="I182">
        <v>25</v>
      </c>
      <c r="J182">
        <v>27</v>
      </c>
      <c r="K182" s="14">
        <v>0.6</v>
      </c>
      <c r="L182" s="7">
        <f t="shared" si="4"/>
        <v>60000</v>
      </c>
      <c r="M182" s="14">
        <v>0.72</v>
      </c>
      <c r="N182" s="7">
        <f t="shared" si="5"/>
        <v>72000</v>
      </c>
    </row>
    <row r="183" spans="1:14" x14ac:dyDescent="0.2">
      <c r="A183" s="2" t="s">
        <v>704</v>
      </c>
      <c r="B183" s="2" t="s">
        <v>34</v>
      </c>
      <c r="C183" s="2" t="s">
        <v>46</v>
      </c>
      <c r="D183" s="2">
        <v>1021992</v>
      </c>
      <c r="E183" s="2" t="s">
        <v>291</v>
      </c>
      <c r="F183" s="2" t="s">
        <v>48</v>
      </c>
      <c r="G183" s="2" t="s">
        <v>290</v>
      </c>
      <c r="H183" s="7">
        <v>143960</v>
      </c>
      <c r="I183">
        <v>25</v>
      </c>
      <c r="J183">
        <v>27</v>
      </c>
      <c r="K183" s="14">
        <v>0.6</v>
      </c>
      <c r="L183" s="7">
        <f t="shared" si="4"/>
        <v>86376</v>
      </c>
      <c r="M183" s="14">
        <v>0.72</v>
      </c>
      <c r="N183" s="7">
        <f t="shared" si="5"/>
        <v>103651.2</v>
      </c>
    </row>
    <row r="184" spans="1:14" x14ac:dyDescent="0.2">
      <c r="A184" s="2" t="s">
        <v>704</v>
      </c>
      <c r="B184" s="2" t="s">
        <v>34</v>
      </c>
      <c r="C184" s="2" t="s">
        <v>46</v>
      </c>
      <c r="D184" s="2">
        <v>1022033</v>
      </c>
      <c r="E184" s="2" t="s">
        <v>826</v>
      </c>
      <c r="F184" s="2" t="s">
        <v>196</v>
      </c>
      <c r="G184" s="2" t="s">
        <v>415</v>
      </c>
      <c r="H184" s="7">
        <v>0</v>
      </c>
      <c r="I184">
        <v>25</v>
      </c>
      <c r="J184">
        <v>27</v>
      </c>
      <c r="K184" s="14">
        <v>0.6</v>
      </c>
      <c r="L184" s="7">
        <f t="shared" si="4"/>
        <v>0</v>
      </c>
      <c r="M184" s="14">
        <v>0.72</v>
      </c>
      <c r="N184" s="7">
        <f t="shared" si="5"/>
        <v>0</v>
      </c>
    </row>
    <row r="185" spans="1:14" x14ac:dyDescent="0.2">
      <c r="A185" s="2" t="s">
        <v>704</v>
      </c>
      <c r="B185" s="2" t="s">
        <v>34</v>
      </c>
      <c r="C185" s="2" t="s">
        <v>46</v>
      </c>
      <c r="D185" s="2">
        <v>1022073</v>
      </c>
      <c r="E185" s="2" t="s">
        <v>47</v>
      </c>
      <c r="F185" s="2" t="s">
        <v>48</v>
      </c>
      <c r="G185" s="2" t="s">
        <v>45</v>
      </c>
      <c r="H185" s="7">
        <v>0</v>
      </c>
      <c r="I185">
        <v>25</v>
      </c>
      <c r="J185">
        <v>27</v>
      </c>
      <c r="K185" s="14">
        <v>0.6</v>
      </c>
      <c r="L185" s="7">
        <f t="shared" si="4"/>
        <v>0</v>
      </c>
      <c r="M185" s="14">
        <v>0.72</v>
      </c>
      <c r="N185" s="7">
        <f t="shared" si="5"/>
        <v>0</v>
      </c>
    </row>
    <row r="186" spans="1:14" x14ac:dyDescent="0.2">
      <c r="A186" s="2" t="s">
        <v>704</v>
      </c>
      <c r="B186" s="2" t="s">
        <v>34</v>
      </c>
      <c r="C186" s="2" t="s">
        <v>46</v>
      </c>
      <c r="D186" s="2">
        <v>1022080</v>
      </c>
      <c r="E186" s="2" t="s">
        <v>293</v>
      </c>
      <c r="F186" s="2" t="s">
        <v>259</v>
      </c>
      <c r="G186" s="2" t="s">
        <v>292</v>
      </c>
      <c r="H186" s="7">
        <v>96240</v>
      </c>
      <c r="I186">
        <v>25</v>
      </c>
      <c r="J186">
        <v>27</v>
      </c>
      <c r="K186" s="14">
        <v>0.6</v>
      </c>
      <c r="L186" s="7">
        <f t="shared" si="4"/>
        <v>57744</v>
      </c>
      <c r="M186" s="14">
        <v>0.72</v>
      </c>
      <c r="N186" s="7">
        <f t="shared" si="5"/>
        <v>69292.800000000003</v>
      </c>
    </row>
    <row r="187" spans="1:14" x14ac:dyDescent="0.2">
      <c r="A187" s="2" t="s">
        <v>704</v>
      </c>
      <c r="B187" s="2" t="s">
        <v>34</v>
      </c>
      <c r="C187" s="2" t="s">
        <v>46</v>
      </c>
      <c r="D187" s="2">
        <v>1022096</v>
      </c>
      <c r="E187" s="2" t="s">
        <v>827</v>
      </c>
      <c r="F187" s="2" t="s">
        <v>172</v>
      </c>
      <c r="G187" s="2" t="s">
        <v>440</v>
      </c>
      <c r="H187" s="7">
        <v>192240</v>
      </c>
      <c r="I187">
        <v>25</v>
      </c>
      <c r="J187">
        <v>27</v>
      </c>
      <c r="K187" s="14">
        <v>0.6</v>
      </c>
      <c r="L187" s="7">
        <f t="shared" si="4"/>
        <v>115344</v>
      </c>
      <c r="M187" s="14">
        <v>0.72</v>
      </c>
      <c r="N187" s="7">
        <f t="shared" si="5"/>
        <v>138412.79999999999</v>
      </c>
    </row>
    <row r="188" spans="1:14" x14ac:dyDescent="0.2">
      <c r="A188" s="2" t="s">
        <v>704</v>
      </c>
      <c r="B188" s="2" t="s">
        <v>34</v>
      </c>
      <c r="C188" s="2" t="s">
        <v>46</v>
      </c>
      <c r="D188" s="2">
        <v>1022099</v>
      </c>
      <c r="E188" s="2" t="s">
        <v>295</v>
      </c>
      <c r="F188" s="2" t="s">
        <v>172</v>
      </c>
      <c r="G188" s="2" t="s">
        <v>294</v>
      </c>
      <c r="H188" s="7">
        <v>170262</v>
      </c>
      <c r="I188">
        <v>25</v>
      </c>
      <c r="J188">
        <v>27</v>
      </c>
      <c r="K188" s="14">
        <v>0.6</v>
      </c>
      <c r="L188" s="7">
        <f t="shared" si="4"/>
        <v>102157.2</v>
      </c>
      <c r="M188" s="14">
        <v>0.72</v>
      </c>
      <c r="N188" s="7">
        <f t="shared" si="5"/>
        <v>122588.64</v>
      </c>
    </row>
    <row r="189" spans="1:14" x14ac:dyDescent="0.2">
      <c r="A189" s="2" t="s">
        <v>704</v>
      </c>
      <c r="B189" s="2" t="s">
        <v>34</v>
      </c>
      <c r="C189" s="2" t="s">
        <v>46</v>
      </c>
      <c r="D189" s="2">
        <v>1022125</v>
      </c>
      <c r="E189" s="2" t="s">
        <v>297</v>
      </c>
      <c r="F189" s="2" t="s">
        <v>167</v>
      </c>
      <c r="G189" s="2" t="s">
        <v>296</v>
      </c>
      <c r="H189" s="7">
        <v>221142.60399999999</v>
      </c>
      <c r="I189">
        <v>25</v>
      </c>
      <c r="J189">
        <v>27</v>
      </c>
      <c r="K189" s="14">
        <v>0.6</v>
      </c>
      <c r="L189" s="7">
        <f t="shared" si="4"/>
        <v>132685.5624</v>
      </c>
      <c r="M189" s="14">
        <v>0.72</v>
      </c>
      <c r="N189" s="7">
        <f t="shared" si="5"/>
        <v>159222.67487999998</v>
      </c>
    </row>
    <row r="190" spans="1:14" x14ac:dyDescent="0.2">
      <c r="A190" s="2" t="s">
        <v>704</v>
      </c>
      <c r="B190" s="2" t="s">
        <v>34</v>
      </c>
      <c r="C190" s="2" t="s">
        <v>46</v>
      </c>
      <c r="D190" s="2">
        <v>1022169</v>
      </c>
      <c r="E190" s="2" t="s">
        <v>299</v>
      </c>
      <c r="F190" s="2" t="s">
        <v>181</v>
      </c>
      <c r="G190" s="2" t="s">
        <v>298</v>
      </c>
      <c r="H190" s="7">
        <v>193240</v>
      </c>
      <c r="I190">
        <v>25</v>
      </c>
      <c r="J190">
        <v>27</v>
      </c>
      <c r="K190" s="14">
        <v>0.6</v>
      </c>
      <c r="L190" s="7">
        <f t="shared" si="4"/>
        <v>115944</v>
      </c>
      <c r="M190" s="14">
        <v>0.72</v>
      </c>
      <c r="N190" s="7">
        <f t="shared" si="5"/>
        <v>139132.79999999999</v>
      </c>
    </row>
    <row r="191" spans="1:14" x14ac:dyDescent="0.2">
      <c r="A191" s="2" t="s">
        <v>704</v>
      </c>
      <c r="B191" s="2" t="s">
        <v>34</v>
      </c>
      <c r="C191" s="2" t="s">
        <v>46</v>
      </c>
      <c r="D191" s="2">
        <v>1022183</v>
      </c>
      <c r="E191" s="2" t="s">
        <v>166</v>
      </c>
      <c r="F191" s="2" t="s">
        <v>167</v>
      </c>
      <c r="G191" s="2" t="s">
        <v>165</v>
      </c>
      <c r="H191" s="7">
        <v>791712.12199999997</v>
      </c>
      <c r="I191">
        <v>25</v>
      </c>
      <c r="J191">
        <v>27</v>
      </c>
      <c r="K191" s="14">
        <v>0.6</v>
      </c>
      <c r="L191" s="7">
        <f t="shared" si="4"/>
        <v>475027.27319999994</v>
      </c>
      <c r="M191" s="14">
        <v>0.72</v>
      </c>
      <c r="N191" s="7">
        <f t="shared" si="5"/>
        <v>570032.72783999995</v>
      </c>
    </row>
    <row r="192" spans="1:14" x14ac:dyDescent="0.2">
      <c r="A192" s="2" t="s">
        <v>704</v>
      </c>
      <c r="B192" s="2" t="s">
        <v>34</v>
      </c>
      <c r="C192" s="2" t="s">
        <v>46</v>
      </c>
      <c r="D192" s="2">
        <v>1022186</v>
      </c>
      <c r="E192" s="2" t="s">
        <v>828</v>
      </c>
      <c r="F192" s="2" t="s">
        <v>172</v>
      </c>
      <c r="G192" s="2" t="s">
        <v>388</v>
      </c>
      <c r="H192" s="7">
        <v>0</v>
      </c>
      <c r="I192">
        <v>25</v>
      </c>
      <c r="J192">
        <v>27</v>
      </c>
      <c r="K192" s="14">
        <v>0.6</v>
      </c>
      <c r="L192" s="7">
        <f t="shared" si="4"/>
        <v>0</v>
      </c>
      <c r="M192" s="14">
        <v>0.72</v>
      </c>
      <c r="N192" s="7">
        <f t="shared" si="5"/>
        <v>0</v>
      </c>
    </row>
    <row r="193" spans="1:14" x14ac:dyDescent="0.2">
      <c r="A193" s="2" t="s">
        <v>704</v>
      </c>
      <c r="B193" s="2" t="s">
        <v>34</v>
      </c>
      <c r="C193" s="2" t="s">
        <v>46</v>
      </c>
      <c r="D193" s="2">
        <v>1022193</v>
      </c>
      <c r="E193" s="2" t="s">
        <v>169</v>
      </c>
      <c r="F193" s="2" t="s">
        <v>43</v>
      </c>
      <c r="G193" s="2" t="s">
        <v>168</v>
      </c>
      <c r="H193" s="7">
        <v>0</v>
      </c>
      <c r="I193">
        <v>25</v>
      </c>
      <c r="J193">
        <v>27</v>
      </c>
      <c r="K193" s="14">
        <v>0.6</v>
      </c>
      <c r="L193" s="7">
        <f t="shared" si="4"/>
        <v>0</v>
      </c>
      <c r="M193" s="14">
        <v>0.72</v>
      </c>
      <c r="N193" s="7">
        <f t="shared" si="5"/>
        <v>0</v>
      </c>
    </row>
    <row r="194" spans="1:14" x14ac:dyDescent="0.2">
      <c r="A194" s="2" t="s">
        <v>704</v>
      </c>
      <c r="B194" s="2" t="s">
        <v>34</v>
      </c>
      <c r="C194" s="2" t="s">
        <v>46</v>
      </c>
      <c r="D194" s="2">
        <v>1022212</v>
      </c>
      <c r="E194" s="2" t="s">
        <v>301</v>
      </c>
      <c r="F194" s="2" t="s">
        <v>196</v>
      </c>
      <c r="G194" s="2" t="s">
        <v>300</v>
      </c>
      <c r="H194" s="7">
        <v>552334.21200000006</v>
      </c>
      <c r="I194">
        <v>25</v>
      </c>
      <c r="J194">
        <v>27</v>
      </c>
      <c r="K194" s="14">
        <v>0.6</v>
      </c>
      <c r="L194" s="7">
        <f t="shared" ref="L194:L257" si="6">K194 * H194</f>
        <v>331400.52720000001</v>
      </c>
      <c r="M194" s="14">
        <v>0.72</v>
      </c>
      <c r="N194" s="7">
        <f t="shared" ref="N194:N257" si="7">M194 * H194</f>
        <v>397680.63264000003</v>
      </c>
    </row>
    <row r="195" spans="1:14" x14ac:dyDescent="0.2">
      <c r="A195" s="2" t="s">
        <v>704</v>
      </c>
      <c r="B195" s="2" t="s">
        <v>34</v>
      </c>
      <c r="C195" s="2" t="s">
        <v>46</v>
      </c>
      <c r="D195" s="2">
        <v>1022291</v>
      </c>
      <c r="E195" s="2" t="s">
        <v>829</v>
      </c>
      <c r="F195" s="2" t="s">
        <v>167</v>
      </c>
      <c r="G195" s="2" t="s">
        <v>414</v>
      </c>
      <c r="H195" s="7">
        <v>96419.56</v>
      </c>
      <c r="I195">
        <v>25</v>
      </c>
      <c r="J195">
        <v>27</v>
      </c>
      <c r="K195" s="14">
        <v>0.6</v>
      </c>
      <c r="L195" s="7">
        <f t="shared" si="6"/>
        <v>57851.735999999997</v>
      </c>
      <c r="M195" s="14">
        <v>0.72</v>
      </c>
      <c r="N195" s="7">
        <f t="shared" si="7"/>
        <v>69422.083199999994</v>
      </c>
    </row>
    <row r="196" spans="1:14" x14ac:dyDescent="0.2">
      <c r="A196" s="2" t="s">
        <v>704</v>
      </c>
      <c r="B196" s="2" t="s">
        <v>34</v>
      </c>
      <c r="C196" s="2" t="s">
        <v>46</v>
      </c>
      <c r="D196" s="2">
        <v>1022373</v>
      </c>
      <c r="E196" s="2" t="s">
        <v>303</v>
      </c>
      <c r="F196" s="2" t="s">
        <v>181</v>
      </c>
      <c r="G196" s="2" t="s">
        <v>302</v>
      </c>
      <c r="H196" s="7">
        <v>0</v>
      </c>
      <c r="I196">
        <v>25</v>
      </c>
      <c r="J196">
        <v>27</v>
      </c>
      <c r="K196" s="14">
        <v>0.6</v>
      </c>
      <c r="L196" s="7">
        <f t="shared" si="6"/>
        <v>0</v>
      </c>
      <c r="M196" s="14">
        <v>0.72</v>
      </c>
      <c r="N196" s="7">
        <f t="shared" si="7"/>
        <v>0</v>
      </c>
    </row>
    <row r="197" spans="1:14" x14ac:dyDescent="0.2">
      <c r="A197" s="2" t="s">
        <v>704</v>
      </c>
      <c r="B197" s="2" t="s">
        <v>34</v>
      </c>
      <c r="C197" s="2" t="s">
        <v>46</v>
      </c>
      <c r="D197" s="2">
        <v>1022378</v>
      </c>
      <c r="E197" s="2" t="s">
        <v>305</v>
      </c>
      <c r="F197" s="2" t="s">
        <v>172</v>
      </c>
      <c r="G197" s="2" t="s">
        <v>304</v>
      </c>
      <c r="H197" s="7">
        <v>96000</v>
      </c>
      <c r="I197">
        <v>25</v>
      </c>
      <c r="J197">
        <v>27</v>
      </c>
      <c r="K197" s="14">
        <v>0.6</v>
      </c>
      <c r="L197" s="7">
        <f t="shared" si="6"/>
        <v>57600</v>
      </c>
      <c r="M197" s="14">
        <v>0.72</v>
      </c>
      <c r="N197" s="7">
        <f t="shared" si="7"/>
        <v>69120</v>
      </c>
    </row>
    <row r="198" spans="1:14" x14ac:dyDescent="0.2">
      <c r="A198" s="2" t="s">
        <v>704</v>
      </c>
      <c r="B198" s="2" t="s">
        <v>34</v>
      </c>
      <c r="C198" s="2" t="s">
        <v>46</v>
      </c>
      <c r="D198" s="2">
        <v>1022379</v>
      </c>
      <c r="E198" s="2" t="s">
        <v>307</v>
      </c>
      <c r="F198" s="2" t="s">
        <v>39</v>
      </c>
      <c r="G198" s="2" t="s">
        <v>306</v>
      </c>
      <c r="H198" s="7">
        <v>0</v>
      </c>
      <c r="I198">
        <v>25</v>
      </c>
      <c r="J198">
        <v>27</v>
      </c>
      <c r="K198" s="14">
        <v>0.6</v>
      </c>
      <c r="L198" s="7">
        <f t="shared" si="6"/>
        <v>0</v>
      </c>
      <c r="M198" s="14">
        <v>0.72</v>
      </c>
      <c r="N198" s="7">
        <f t="shared" si="7"/>
        <v>0</v>
      </c>
    </row>
    <row r="199" spans="1:14" x14ac:dyDescent="0.2">
      <c r="A199" s="2" t="s">
        <v>704</v>
      </c>
      <c r="B199" s="2" t="s">
        <v>34</v>
      </c>
      <c r="C199" s="2" t="s">
        <v>46</v>
      </c>
      <c r="D199" s="2">
        <v>1022381</v>
      </c>
      <c r="E199" s="2" t="s">
        <v>830</v>
      </c>
      <c r="F199" s="2" t="s">
        <v>48</v>
      </c>
      <c r="G199" s="2" t="s">
        <v>447</v>
      </c>
      <c r="H199" s="7">
        <v>97040</v>
      </c>
      <c r="I199">
        <v>25</v>
      </c>
      <c r="J199">
        <v>27</v>
      </c>
      <c r="K199" s="14">
        <v>0.6</v>
      </c>
      <c r="L199" s="7">
        <f t="shared" si="6"/>
        <v>58224</v>
      </c>
      <c r="M199" s="14">
        <v>0.72</v>
      </c>
      <c r="N199" s="7">
        <f t="shared" si="7"/>
        <v>69868.800000000003</v>
      </c>
    </row>
    <row r="200" spans="1:14" x14ac:dyDescent="0.2">
      <c r="A200" s="2" t="s">
        <v>704</v>
      </c>
      <c r="B200" s="2" t="s">
        <v>34</v>
      </c>
      <c r="C200" s="2" t="s">
        <v>46</v>
      </c>
      <c r="D200" s="2">
        <v>1022388</v>
      </c>
      <c r="E200" s="2" t="s">
        <v>171</v>
      </c>
      <c r="F200" s="2" t="s">
        <v>172</v>
      </c>
      <c r="G200" s="2" t="s">
        <v>170</v>
      </c>
      <c r="H200" s="7">
        <v>192120</v>
      </c>
      <c r="I200">
        <v>25</v>
      </c>
      <c r="J200">
        <v>27</v>
      </c>
      <c r="K200" s="14">
        <v>0.6</v>
      </c>
      <c r="L200" s="7">
        <f t="shared" si="6"/>
        <v>115272</v>
      </c>
      <c r="M200" s="14">
        <v>0.72</v>
      </c>
      <c r="N200" s="7">
        <f t="shared" si="7"/>
        <v>138326.39999999999</v>
      </c>
    </row>
    <row r="201" spans="1:14" x14ac:dyDescent="0.2">
      <c r="A201" s="2" t="s">
        <v>704</v>
      </c>
      <c r="B201" s="2" t="s">
        <v>34</v>
      </c>
      <c r="C201" s="2" t="s">
        <v>46</v>
      </c>
      <c r="D201" s="2">
        <v>1022389</v>
      </c>
      <c r="E201" s="2" t="s">
        <v>831</v>
      </c>
      <c r="F201" s="2" t="s">
        <v>175</v>
      </c>
      <c r="G201" s="2" t="s">
        <v>832</v>
      </c>
      <c r="H201" s="7">
        <v>9600</v>
      </c>
      <c r="I201">
        <v>25</v>
      </c>
      <c r="J201">
        <v>27</v>
      </c>
      <c r="K201" s="14">
        <v>0.6</v>
      </c>
      <c r="L201" s="7">
        <f t="shared" si="6"/>
        <v>5760</v>
      </c>
      <c r="M201" s="14">
        <v>0.72</v>
      </c>
      <c r="N201" s="7">
        <f t="shared" si="7"/>
        <v>6912</v>
      </c>
    </row>
    <row r="202" spans="1:14" x14ac:dyDescent="0.2">
      <c r="A202" s="2" t="s">
        <v>704</v>
      </c>
      <c r="B202" s="2" t="s">
        <v>34</v>
      </c>
      <c r="C202" s="2" t="s">
        <v>46</v>
      </c>
      <c r="D202" s="2">
        <v>1022414</v>
      </c>
      <c r="E202" s="2" t="s">
        <v>309</v>
      </c>
      <c r="F202" s="2" t="s">
        <v>76</v>
      </c>
      <c r="G202" s="2" t="s">
        <v>308</v>
      </c>
      <c r="H202" s="7">
        <v>436600</v>
      </c>
      <c r="I202">
        <v>25</v>
      </c>
      <c r="J202">
        <v>27</v>
      </c>
      <c r="K202" s="14">
        <v>0.6</v>
      </c>
      <c r="L202" s="7">
        <f t="shared" si="6"/>
        <v>261960</v>
      </c>
      <c r="M202" s="14">
        <v>0.72</v>
      </c>
      <c r="N202" s="7">
        <f t="shared" si="7"/>
        <v>314352</v>
      </c>
    </row>
    <row r="203" spans="1:14" x14ac:dyDescent="0.2">
      <c r="A203" s="2" t="s">
        <v>704</v>
      </c>
      <c r="B203" s="2" t="s">
        <v>34</v>
      </c>
      <c r="C203" s="2" t="s">
        <v>46</v>
      </c>
      <c r="D203" s="2">
        <v>1022416</v>
      </c>
      <c r="E203" s="2" t="s">
        <v>833</v>
      </c>
      <c r="F203" s="2" t="s">
        <v>76</v>
      </c>
      <c r="G203" s="2" t="s">
        <v>834</v>
      </c>
      <c r="H203" s="7">
        <v>0</v>
      </c>
      <c r="I203">
        <v>25</v>
      </c>
      <c r="J203">
        <v>27</v>
      </c>
      <c r="K203" s="14">
        <v>0.6</v>
      </c>
      <c r="L203" s="7">
        <f t="shared" si="6"/>
        <v>0</v>
      </c>
      <c r="M203" s="14">
        <v>0.72</v>
      </c>
      <c r="N203" s="7">
        <f t="shared" si="7"/>
        <v>0</v>
      </c>
    </row>
    <row r="204" spans="1:14" x14ac:dyDescent="0.2">
      <c r="A204" s="2" t="s">
        <v>704</v>
      </c>
      <c r="B204" s="2" t="s">
        <v>34</v>
      </c>
      <c r="C204" s="2" t="s">
        <v>46</v>
      </c>
      <c r="D204" s="2">
        <v>1022417</v>
      </c>
      <c r="E204" s="2" t="s">
        <v>174</v>
      </c>
      <c r="F204" s="2" t="s">
        <v>175</v>
      </c>
      <c r="G204" s="2" t="s">
        <v>173</v>
      </c>
      <c r="H204" s="7">
        <v>0</v>
      </c>
      <c r="I204">
        <v>25</v>
      </c>
      <c r="J204">
        <v>27</v>
      </c>
      <c r="K204" s="14">
        <v>0.6</v>
      </c>
      <c r="L204" s="7">
        <f t="shared" si="6"/>
        <v>0</v>
      </c>
      <c r="M204" s="14">
        <v>0.72</v>
      </c>
      <c r="N204" s="7">
        <f t="shared" si="7"/>
        <v>0</v>
      </c>
    </row>
    <row r="205" spans="1:14" x14ac:dyDescent="0.2">
      <c r="A205" s="2" t="s">
        <v>704</v>
      </c>
      <c r="B205" s="2" t="s">
        <v>34</v>
      </c>
      <c r="C205" s="2" t="s">
        <v>46</v>
      </c>
      <c r="D205" s="2">
        <v>1022541</v>
      </c>
      <c r="E205" s="2" t="s">
        <v>835</v>
      </c>
      <c r="F205" s="2" t="s">
        <v>48</v>
      </c>
      <c r="G205" s="2" t="s">
        <v>445</v>
      </c>
      <c r="H205" s="7">
        <v>296498.734</v>
      </c>
      <c r="I205">
        <v>25</v>
      </c>
      <c r="J205">
        <v>27</v>
      </c>
      <c r="K205" s="14">
        <v>0.6</v>
      </c>
      <c r="L205" s="7">
        <f t="shared" si="6"/>
        <v>177899.24039999998</v>
      </c>
      <c r="M205" s="14">
        <v>0.72</v>
      </c>
      <c r="N205" s="7">
        <f t="shared" si="7"/>
        <v>213479.08847999998</v>
      </c>
    </row>
    <row r="206" spans="1:14" x14ac:dyDescent="0.2">
      <c r="A206" s="2" t="s">
        <v>704</v>
      </c>
      <c r="B206" s="2" t="s">
        <v>34</v>
      </c>
      <c r="C206" s="2" t="s">
        <v>46</v>
      </c>
      <c r="D206" s="2">
        <v>1022568</v>
      </c>
      <c r="E206" s="2" t="s">
        <v>311</v>
      </c>
      <c r="F206" s="2" t="s">
        <v>178</v>
      </c>
      <c r="G206" s="2" t="s">
        <v>310</v>
      </c>
      <c r="H206" s="7">
        <v>0</v>
      </c>
      <c r="I206">
        <v>25</v>
      </c>
      <c r="J206">
        <v>27</v>
      </c>
      <c r="K206" s="14">
        <v>0.6</v>
      </c>
      <c r="L206" s="7">
        <f t="shared" si="6"/>
        <v>0</v>
      </c>
      <c r="M206" s="14">
        <v>0.72</v>
      </c>
      <c r="N206" s="7">
        <f t="shared" si="7"/>
        <v>0</v>
      </c>
    </row>
    <row r="207" spans="1:14" x14ac:dyDescent="0.2">
      <c r="A207" s="2" t="s">
        <v>704</v>
      </c>
      <c r="B207" s="2" t="s">
        <v>34</v>
      </c>
      <c r="C207" s="2" t="s">
        <v>46</v>
      </c>
      <c r="D207" s="2">
        <v>1022636</v>
      </c>
      <c r="E207" s="2" t="s">
        <v>313</v>
      </c>
      <c r="F207" s="2" t="s">
        <v>172</v>
      </c>
      <c r="G207" s="2" t="s">
        <v>312</v>
      </c>
      <c r="H207" s="7">
        <v>86040</v>
      </c>
      <c r="I207">
        <v>25</v>
      </c>
      <c r="J207">
        <v>27</v>
      </c>
      <c r="K207" s="14">
        <v>0.6</v>
      </c>
      <c r="L207" s="7">
        <f t="shared" si="6"/>
        <v>51624</v>
      </c>
      <c r="M207" s="14">
        <v>0.72</v>
      </c>
      <c r="N207" s="7">
        <f t="shared" si="7"/>
        <v>61948.799999999996</v>
      </c>
    </row>
    <row r="208" spans="1:14" x14ac:dyDescent="0.2">
      <c r="A208" s="2" t="s">
        <v>704</v>
      </c>
      <c r="B208" s="2" t="s">
        <v>34</v>
      </c>
      <c r="C208" s="2" t="s">
        <v>46</v>
      </c>
      <c r="D208" s="2">
        <v>1022637</v>
      </c>
      <c r="E208" s="2" t="s">
        <v>315</v>
      </c>
      <c r="F208" s="2" t="s">
        <v>172</v>
      </c>
      <c r="G208" s="2" t="s">
        <v>314</v>
      </c>
      <c r="H208" s="7">
        <v>175020</v>
      </c>
      <c r="I208">
        <v>25</v>
      </c>
      <c r="J208">
        <v>27</v>
      </c>
      <c r="K208" s="14">
        <v>0.6</v>
      </c>
      <c r="L208" s="7">
        <f t="shared" si="6"/>
        <v>105012</v>
      </c>
      <c r="M208" s="14">
        <v>0.72</v>
      </c>
      <c r="N208" s="7">
        <f t="shared" si="7"/>
        <v>126014.39999999999</v>
      </c>
    </row>
    <row r="209" spans="1:14" x14ac:dyDescent="0.2">
      <c r="A209" s="2" t="s">
        <v>704</v>
      </c>
      <c r="B209" s="2" t="s">
        <v>34</v>
      </c>
      <c r="C209" s="2" t="s">
        <v>46</v>
      </c>
      <c r="D209" s="2">
        <v>1022639</v>
      </c>
      <c r="E209" s="2" t="s">
        <v>317</v>
      </c>
      <c r="F209" s="2" t="s">
        <v>196</v>
      </c>
      <c r="G209" s="2" t="s">
        <v>316</v>
      </c>
      <c r="H209" s="7">
        <v>936777.68</v>
      </c>
      <c r="I209">
        <v>25</v>
      </c>
      <c r="J209">
        <v>27</v>
      </c>
      <c r="K209" s="14">
        <v>0.6</v>
      </c>
      <c r="L209" s="7">
        <f t="shared" si="6"/>
        <v>562066.60800000001</v>
      </c>
      <c r="M209" s="14">
        <v>0.72</v>
      </c>
      <c r="N209" s="7">
        <f t="shared" si="7"/>
        <v>674479.92960000003</v>
      </c>
    </row>
    <row r="210" spans="1:14" x14ac:dyDescent="0.2">
      <c r="A210" s="2" t="s">
        <v>704</v>
      </c>
      <c r="B210" s="2" t="s">
        <v>34</v>
      </c>
      <c r="C210" s="2" t="s">
        <v>46</v>
      </c>
      <c r="D210" s="2">
        <v>1022640</v>
      </c>
      <c r="E210" s="2" t="s">
        <v>319</v>
      </c>
      <c r="F210" s="2" t="s">
        <v>196</v>
      </c>
      <c r="G210" s="2" t="s">
        <v>318</v>
      </c>
      <c r="H210" s="7">
        <v>95281.207999999999</v>
      </c>
      <c r="I210">
        <v>25</v>
      </c>
      <c r="J210">
        <v>27</v>
      </c>
      <c r="K210" s="14">
        <v>0.6</v>
      </c>
      <c r="L210" s="7">
        <f t="shared" si="6"/>
        <v>57168.724799999996</v>
      </c>
      <c r="M210" s="14">
        <v>0.72</v>
      </c>
      <c r="N210" s="7">
        <f t="shared" si="7"/>
        <v>68602.469759999993</v>
      </c>
    </row>
    <row r="211" spans="1:14" x14ac:dyDescent="0.2">
      <c r="A211" s="2" t="s">
        <v>704</v>
      </c>
      <c r="B211" s="2" t="s">
        <v>34</v>
      </c>
      <c r="C211" s="2" t="s">
        <v>46</v>
      </c>
      <c r="D211" s="2">
        <v>1022645</v>
      </c>
      <c r="E211" s="2" t="s">
        <v>758</v>
      </c>
      <c r="F211" s="2" t="s">
        <v>178</v>
      </c>
      <c r="G211" s="2" t="s">
        <v>622</v>
      </c>
      <c r="H211" s="7">
        <v>0</v>
      </c>
      <c r="I211">
        <v>25</v>
      </c>
      <c r="J211">
        <v>27</v>
      </c>
      <c r="K211" s="14">
        <v>0.6</v>
      </c>
      <c r="L211" s="7">
        <f t="shared" si="6"/>
        <v>0</v>
      </c>
      <c r="M211" s="14">
        <v>0.72</v>
      </c>
      <c r="N211" s="7">
        <f t="shared" si="7"/>
        <v>0</v>
      </c>
    </row>
    <row r="212" spans="1:14" x14ac:dyDescent="0.2">
      <c r="A212" s="2" t="s">
        <v>704</v>
      </c>
      <c r="B212" s="2" t="s">
        <v>34</v>
      </c>
      <c r="C212" s="2" t="s">
        <v>46</v>
      </c>
      <c r="D212" s="2">
        <v>1022646</v>
      </c>
      <c r="E212" s="2" t="s">
        <v>177</v>
      </c>
      <c r="F212" s="2" t="s">
        <v>178</v>
      </c>
      <c r="G212" s="2" t="s">
        <v>176</v>
      </c>
      <c r="H212" s="7">
        <v>0</v>
      </c>
      <c r="I212">
        <v>25</v>
      </c>
      <c r="J212">
        <v>27</v>
      </c>
      <c r="K212" s="14">
        <v>0.6</v>
      </c>
      <c r="L212" s="7">
        <f t="shared" si="6"/>
        <v>0</v>
      </c>
      <c r="M212" s="14">
        <v>0.72</v>
      </c>
      <c r="N212" s="7">
        <f t="shared" si="7"/>
        <v>0</v>
      </c>
    </row>
    <row r="213" spans="1:14" x14ac:dyDescent="0.2">
      <c r="A213" s="2" t="s">
        <v>704</v>
      </c>
      <c r="B213" s="2" t="s">
        <v>34</v>
      </c>
      <c r="C213" s="2" t="s">
        <v>46</v>
      </c>
      <c r="D213" s="2">
        <v>1022748</v>
      </c>
      <c r="E213" s="2" t="s">
        <v>836</v>
      </c>
      <c r="F213" s="2" t="s">
        <v>259</v>
      </c>
      <c r="G213" s="2" t="s">
        <v>444</v>
      </c>
      <c r="H213" s="7">
        <v>95560</v>
      </c>
      <c r="I213">
        <v>25</v>
      </c>
      <c r="J213">
        <v>27</v>
      </c>
      <c r="K213" s="14">
        <v>0.6</v>
      </c>
      <c r="L213" s="7">
        <f t="shared" si="6"/>
        <v>57336</v>
      </c>
      <c r="M213" s="14">
        <v>0.72</v>
      </c>
      <c r="N213" s="7">
        <f t="shared" si="7"/>
        <v>68803.199999999997</v>
      </c>
    </row>
    <row r="214" spans="1:14" x14ac:dyDescent="0.2">
      <c r="A214" s="2" t="s">
        <v>704</v>
      </c>
      <c r="B214" s="2" t="s">
        <v>34</v>
      </c>
      <c r="C214" s="2" t="s">
        <v>46</v>
      </c>
      <c r="D214" s="2">
        <v>1022753</v>
      </c>
      <c r="E214" s="2" t="s">
        <v>321</v>
      </c>
      <c r="F214" s="2" t="s">
        <v>167</v>
      </c>
      <c r="G214" s="2" t="s">
        <v>320</v>
      </c>
      <c r="H214" s="7">
        <v>152080</v>
      </c>
      <c r="I214">
        <v>25</v>
      </c>
      <c r="J214">
        <v>27</v>
      </c>
      <c r="K214" s="14">
        <v>0.6</v>
      </c>
      <c r="L214" s="7">
        <f t="shared" si="6"/>
        <v>91248</v>
      </c>
      <c r="M214" s="14">
        <v>0.72</v>
      </c>
      <c r="N214" s="7">
        <f t="shared" si="7"/>
        <v>109497.59999999999</v>
      </c>
    </row>
    <row r="215" spans="1:14" x14ac:dyDescent="0.2">
      <c r="A215" s="2" t="s">
        <v>704</v>
      </c>
      <c r="B215" s="2" t="s">
        <v>34</v>
      </c>
      <c r="C215" s="2" t="s">
        <v>46</v>
      </c>
      <c r="D215" s="2">
        <v>1022851</v>
      </c>
      <c r="E215" s="2" t="s">
        <v>323</v>
      </c>
      <c r="F215" s="2" t="s">
        <v>39</v>
      </c>
      <c r="G215" s="2" t="s">
        <v>322</v>
      </c>
      <c r="H215" s="7">
        <v>0</v>
      </c>
      <c r="I215">
        <v>25</v>
      </c>
      <c r="J215">
        <v>27</v>
      </c>
      <c r="K215" s="14">
        <v>0.6</v>
      </c>
      <c r="L215" s="7">
        <f t="shared" si="6"/>
        <v>0</v>
      </c>
      <c r="M215" s="14">
        <v>0.72</v>
      </c>
      <c r="N215" s="7">
        <f t="shared" si="7"/>
        <v>0</v>
      </c>
    </row>
    <row r="216" spans="1:14" x14ac:dyDescent="0.2">
      <c r="A216" s="2" t="s">
        <v>704</v>
      </c>
      <c r="B216" s="2" t="s">
        <v>34</v>
      </c>
      <c r="C216" s="2" t="s">
        <v>46</v>
      </c>
      <c r="D216" s="2">
        <v>1022856</v>
      </c>
      <c r="E216" s="2" t="s">
        <v>837</v>
      </c>
      <c r="F216" s="2" t="s">
        <v>48</v>
      </c>
      <c r="G216" s="2" t="s">
        <v>446</v>
      </c>
      <c r="H216" s="7">
        <v>3914.944</v>
      </c>
      <c r="I216">
        <v>25</v>
      </c>
      <c r="J216">
        <v>27</v>
      </c>
      <c r="K216" s="14">
        <v>0.6</v>
      </c>
      <c r="L216" s="7">
        <f t="shared" si="6"/>
        <v>2348.9663999999998</v>
      </c>
      <c r="M216" s="14">
        <v>0.72</v>
      </c>
      <c r="N216" s="7">
        <f t="shared" si="7"/>
        <v>2818.7596799999997</v>
      </c>
    </row>
    <row r="217" spans="1:14" x14ac:dyDescent="0.2">
      <c r="A217" s="2" t="s">
        <v>704</v>
      </c>
      <c r="B217" s="2" t="s">
        <v>34</v>
      </c>
      <c r="C217" s="2" t="s">
        <v>46</v>
      </c>
      <c r="D217" s="2">
        <v>1022932</v>
      </c>
      <c r="E217" s="2" t="s">
        <v>75</v>
      </c>
      <c r="F217" s="2" t="s">
        <v>76</v>
      </c>
      <c r="G217" s="2" t="s">
        <v>467</v>
      </c>
      <c r="H217" s="7">
        <v>0</v>
      </c>
      <c r="I217">
        <v>25</v>
      </c>
      <c r="J217">
        <v>27</v>
      </c>
      <c r="K217" s="14">
        <v>0.6</v>
      </c>
      <c r="L217" s="7">
        <f t="shared" si="6"/>
        <v>0</v>
      </c>
      <c r="M217" s="14">
        <v>0.72</v>
      </c>
      <c r="N217" s="7">
        <f t="shared" si="7"/>
        <v>0</v>
      </c>
    </row>
    <row r="218" spans="1:14" x14ac:dyDescent="0.2">
      <c r="A218" s="2" t="s">
        <v>704</v>
      </c>
      <c r="B218" s="2" t="s">
        <v>34</v>
      </c>
      <c r="C218" s="2" t="s">
        <v>46</v>
      </c>
      <c r="D218" s="2">
        <v>1022936</v>
      </c>
      <c r="E218" s="2" t="s">
        <v>119</v>
      </c>
      <c r="F218" s="2" t="s">
        <v>67</v>
      </c>
      <c r="G218" s="2" t="s">
        <v>676</v>
      </c>
      <c r="H218" s="7">
        <v>0</v>
      </c>
      <c r="I218">
        <v>25</v>
      </c>
      <c r="J218">
        <v>27</v>
      </c>
      <c r="K218" s="14">
        <v>0.6</v>
      </c>
      <c r="L218" s="7">
        <f t="shared" si="6"/>
        <v>0</v>
      </c>
      <c r="M218" s="14">
        <v>0.72</v>
      </c>
      <c r="N218" s="7">
        <f t="shared" si="7"/>
        <v>0</v>
      </c>
    </row>
    <row r="219" spans="1:14" x14ac:dyDescent="0.2">
      <c r="A219" s="2" t="s">
        <v>704</v>
      </c>
      <c r="B219" s="2" t="s">
        <v>34</v>
      </c>
      <c r="C219" s="2" t="s">
        <v>46</v>
      </c>
      <c r="D219" s="2">
        <v>1022939</v>
      </c>
      <c r="E219" s="2" t="s">
        <v>838</v>
      </c>
      <c r="F219" s="2" t="s">
        <v>191</v>
      </c>
      <c r="G219" s="2" t="s">
        <v>505</v>
      </c>
      <c r="H219" s="7">
        <v>100000</v>
      </c>
      <c r="I219">
        <v>25</v>
      </c>
      <c r="J219">
        <v>27</v>
      </c>
      <c r="K219" s="14">
        <v>0.6</v>
      </c>
      <c r="L219" s="7">
        <f t="shared" si="6"/>
        <v>60000</v>
      </c>
      <c r="M219" s="14">
        <v>0.72</v>
      </c>
      <c r="N219" s="7">
        <f t="shared" si="7"/>
        <v>72000</v>
      </c>
    </row>
    <row r="220" spans="1:14" x14ac:dyDescent="0.2">
      <c r="A220" s="2" t="s">
        <v>704</v>
      </c>
      <c r="B220" s="2" t="s">
        <v>34</v>
      </c>
      <c r="C220" s="2" t="s">
        <v>46</v>
      </c>
      <c r="D220" s="2">
        <v>1022940</v>
      </c>
      <c r="E220" s="2" t="s">
        <v>839</v>
      </c>
      <c r="F220" s="2" t="s">
        <v>167</v>
      </c>
      <c r="G220" s="2" t="s">
        <v>477</v>
      </c>
      <c r="H220" s="7">
        <v>0</v>
      </c>
      <c r="I220">
        <v>25</v>
      </c>
      <c r="J220">
        <v>27</v>
      </c>
      <c r="K220" s="14">
        <v>0.6</v>
      </c>
      <c r="L220" s="7">
        <f t="shared" si="6"/>
        <v>0</v>
      </c>
      <c r="M220" s="14">
        <v>0.72</v>
      </c>
      <c r="N220" s="7">
        <f t="shared" si="7"/>
        <v>0</v>
      </c>
    </row>
    <row r="221" spans="1:14" x14ac:dyDescent="0.2">
      <c r="A221" s="2" t="s">
        <v>704</v>
      </c>
      <c r="B221" s="2" t="s">
        <v>34</v>
      </c>
      <c r="C221" s="2" t="s">
        <v>46</v>
      </c>
      <c r="D221" s="2">
        <v>1022941</v>
      </c>
      <c r="E221" s="2" t="s">
        <v>840</v>
      </c>
      <c r="F221" s="2" t="s">
        <v>167</v>
      </c>
      <c r="G221" s="2" t="s">
        <v>392</v>
      </c>
      <c r="H221" s="7">
        <v>0</v>
      </c>
      <c r="I221">
        <v>25</v>
      </c>
      <c r="J221">
        <v>27</v>
      </c>
      <c r="K221" s="14">
        <v>0.6</v>
      </c>
      <c r="L221" s="7">
        <f t="shared" si="6"/>
        <v>0</v>
      </c>
      <c r="M221" s="14">
        <v>0.72</v>
      </c>
      <c r="N221" s="7">
        <f t="shared" si="7"/>
        <v>0</v>
      </c>
    </row>
    <row r="222" spans="1:14" x14ac:dyDescent="0.2">
      <c r="A222" s="2" t="s">
        <v>704</v>
      </c>
      <c r="B222" s="2" t="s">
        <v>34</v>
      </c>
      <c r="C222" s="2" t="s">
        <v>46</v>
      </c>
      <c r="D222" s="2">
        <v>1022943</v>
      </c>
      <c r="E222" s="2" t="s">
        <v>325</v>
      </c>
      <c r="F222" s="2" t="s">
        <v>43</v>
      </c>
      <c r="G222" s="2" t="s">
        <v>324</v>
      </c>
      <c r="H222" s="7">
        <v>47808.343999999997</v>
      </c>
      <c r="I222">
        <v>25</v>
      </c>
      <c r="J222">
        <v>27</v>
      </c>
      <c r="K222" s="14">
        <v>0.6</v>
      </c>
      <c r="L222" s="7">
        <f t="shared" si="6"/>
        <v>28685.006399999998</v>
      </c>
      <c r="M222" s="14">
        <v>0.72</v>
      </c>
      <c r="N222" s="7">
        <f t="shared" si="7"/>
        <v>34422.007679999995</v>
      </c>
    </row>
    <row r="223" spans="1:14" x14ac:dyDescent="0.2">
      <c r="A223" s="2" t="s">
        <v>704</v>
      </c>
      <c r="B223" s="2" t="s">
        <v>34</v>
      </c>
      <c r="C223" s="2" t="s">
        <v>46</v>
      </c>
      <c r="D223" s="2">
        <v>1022945</v>
      </c>
      <c r="E223" s="2" t="s">
        <v>47</v>
      </c>
      <c r="F223" s="2" t="s">
        <v>48</v>
      </c>
      <c r="G223" s="2" t="s">
        <v>442</v>
      </c>
      <c r="H223" s="7">
        <v>216620</v>
      </c>
      <c r="I223">
        <v>25</v>
      </c>
      <c r="J223">
        <v>27</v>
      </c>
      <c r="K223" s="14">
        <v>0.6</v>
      </c>
      <c r="L223" s="7">
        <f t="shared" si="6"/>
        <v>129972</v>
      </c>
      <c r="M223" s="14">
        <v>0.72</v>
      </c>
      <c r="N223" s="7">
        <f t="shared" si="7"/>
        <v>155966.39999999999</v>
      </c>
    </row>
    <row r="224" spans="1:14" x14ac:dyDescent="0.2">
      <c r="A224" s="2" t="s">
        <v>704</v>
      </c>
      <c r="B224" s="2" t="s">
        <v>34</v>
      </c>
      <c r="C224" s="2" t="s">
        <v>46</v>
      </c>
      <c r="D224" s="2">
        <v>1023034</v>
      </c>
      <c r="E224" s="2" t="s">
        <v>774</v>
      </c>
      <c r="F224" s="2" t="s">
        <v>175</v>
      </c>
      <c r="G224" s="2" t="s">
        <v>441</v>
      </c>
      <c r="H224" s="7">
        <v>0</v>
      </c>
      <c r="I224">
        <v>25</v>
      </c>
      <c r="J224">
        <v>27</v>
      </c>
      <c r="K224" s="14">
        <v>0.6</v>
      </c>
      <c r="L224" s="7">
        <f t="shared" si="6"/>
        <v>0</v>
      </c>
      <c r="M224" s="14">
        <v>0.72</v>
      </c>
      <c r="N224" s="7">
        <f t="shared" si="7"/>
        <v>0</v>
      </c>
    </row>
    <row r="225" spans="1:14" x14ac:dyDescent="0.2">
      <c r="A225" s="2" t="s">
        <v>704</v>
      </c>
      <c r="B225" s="2" t="s">
        <v>34</v>
      </c>
      <c r="C225" s="2" t="s">
        <v>46</v>
      </c>
      <c r="D225" s="2">
        <v>1023035</v>
      </c>
      <c r="E225" s="2" t="s">
        <v>327</v>
      </c>
      <c r="F225" s="2" t="s">
        <v>181</v>
      </c>
      <c r="G225" s="2" t="s">
        <v>326</v>
      </c>
      <c r="H225" s="7">
        <v>0</v>
      </c>
      <c r="I225">
        <v>25</v>
      </c>
      <c r="J225">
        <v>27</v>
      </c>
      <c r="K225" s="14">
        <v>0.6</v>
      </c>
      <c r="L225" s="7">
        <f t="shared" si="6"/>
        <v>0</v>
      </c>
      <c r="M225" s="14">
        <v>0.72</v>
      </c>
      <c r="N225" s="7">
        <f t="shared" si="7"/>
        <v>0</v>
      </c>
    </row>
    <row r="226" spans="1:14" x14ac:dyDescent="0.2">
      <c r="A226" s="2" t="s">
        <v>704</v>
      </c>
      <c r="B226" s="2" t="s">
        <v>34</v>
      </c>
      <c r="C226" s="2" t="s">
        <v>46</v>
      </c>
      <c r="D226" s="2">
        <v>1023066</v>
      </c>
      <c r="E226" s="2" t="s">
        <v>841</v>
      </c>
      <c r="F226" s="2" t="s">
        <v>76</v>
      </c>
      <c r="G226" s="2" t="s">
        <v>529</v>
      </c>
      <c r="H226" s="7">
        <v>0</v>
      </c>
      <c r="I226">
        <v>25</v>
      </c>
      <c r="J226">
        <v>27</v>
      </c>
      <c r="K226" s="14">
        <v>0.6</v>
      </c>
      <c r="L226" s="7">
        <f t="shared" si="6"/>
        <v>0</v>
      </c>
      <c r="M226" s="14">
        <v>0.72</v>
      </c>
      <c r="N226" s="7">
        <f t="shared" si="7"/>
        <v>0</v>
      </c>
    </row>
    <row r="227" spans="1:14" x14ac:dyDescent="0.2">
      <c r="A227" s="2" t="s">
        <v>704</v>
      </c>
      <c r="B227" s="2" t="s">
        <v>34</v>
      </c>
      <c r="C227" s="2" t="s">
        <v>46</v>
      </c>
      <c r="D227" s="2">
        <v>1023093</v>
      </c>
      <c r="E227" s="2" t="s">
        <v>180</v>
      </c>
      <c r="F227" s="2" t="s">
        <v>181</v>
      </c>
      <c r="G227" s="2" t="s">
        <v>179</v>
      </c>
      <c r="H227" s="7">
        <v>0</v>
      </c>
      <c r="I227">
        <v>25</v>
      </c>
      <c r="J227">
        <v>27</v>
      </c>
      <c r="K227" s="14">
        <v>0.6</v>
      </c>
      <c r="L227" s="7">
        <f t="shared" si="6"/>
        <v>0</v>
      </c>
      <c r="M227" s="14">
        <v>0.72</v>
      </c>
      <c r="N227" s="7">
        <f t="shared" si="7"/>
        <v>0</v>
      </c>
    </row>
    <row r="228" spans="1:14" x14ac:dyDescent="0.2">
      <c r="A228" s="2" t="s">
        <v>704</v>
      </c>
      <c r="B228" s="2" t="s">
        <v>34</v>
      </c>
      <c r="C228" s="2" t="s">
        <v>46</v>
      </c>
      <c r="D228" s="2">
        <v>1023109</v>
      </c>
      <c r="E228" s="2" t="s">
        <v>835</v>
      </c>
      <c r="F228" s="2" t="s">
        <v>48</v>
      </c>
      <c r="G228" s="2" t="s">
        <v>466</v>
      </c>
      <c r="H228" s="7">
        <v>0</v>
      </c>
      <c r="I228">
        <v>25</v>
      </c>
      <c r="J228">
        <v>27</v>
      </c>
      <c r="K228" s="14">
        <v>0.6</v>
      </c>
      <c r="L228" s="7">
        <f t="shared" si="6"/>
        <v>0</v>
      </c>
      <c r="M228" s="14">
        <v>0.72</v>
      </c>
      <c r="N228" s="7">
        <f t="shared" si="7"/>
        <v>0</v>
      </c>
    </row>
    <row r="229" spans="1:14" x14ac:dyDescent="0.2">
      <c r="A229" s="2" t="s">
        <v>704</v>
      </c>
      <c r="B229" s="2" t="s">
        <v>34</v>
      </c>
      <c r="C229" s="2" t="s">
        <v>46</v>
      </c>
      <c r="D229" s="2">
        <v>1023110</v>
      </c>
      <c r="E229" s="2" t="s">
        <v>264</v>
      </c>
      <c r="F229" s="2" t="s">
        <v>175</v>
      </c>
      <c r="G229" s="2" t="s">
        <v>569</v>
      </c>
      <c r="H229" s="7">
        <v>0</v>
      </c>
      <c r="I229">
        <v>25</v>
      </c>
      <c r="J229">
        <v>27</v>
      </c>
      <c r="K229" s="14">
        <v>0.6</v>
      </c>
      <c r="L229" s="7">
        <f t="shared" si="6"/>
        <v>0</v>
      </c>
      <c r="M229" s="14">
        <v>0.72</v>
      </c>
      <c r="N229" s="7">
        <f t="shared" si="7"/>
        <v>0</v>
      </c>
    </row>
    <row r="230" spans="1:14" x14ac:dyDescent="0.2">
      <c r="A230" s="2" t="s">
        <v>704</v>
      </c>
      <c r="B230" s="2" t="s">
        <v>34</v>
      </c>
      <c r="C230" s="2" t="s">
        <v>46</v>
      </c>
      <c r="D230" s="2">
        <v>1023111</v>
      </c>
      <c r="E230" s="2" t="s">
        <v>329</v>
      </c>
      <c r="F230" s="2" t="s">
        <v>48</v>
      </c>
      <c r="G230" s="2" t="s">
        <v>328</v>
      </c>
      <c r="H230" s="7">
        <v>0</v>
      </c>
      <c r="I230">
        <v>25</v>
      </c>
      <c r="J230">
        <v>27</v>
      </c>
      <c r="K230" s="14">
        <v>0.6</v>
      </c>
      <c r="L230" s="7">
        <f t="shared" si="6"/>
        <v>0</v>
      </c>
      <c r="M230" s="14">
        <v>0.72</v>
      </c>
      <c r="N230" s="7">
        <f t="shared" si="7"/>
        <v>0</v>
      </c>
    </row>
    <row r="231" spans="1:14" x14ac:dyDescent="0.2">
      <c r="A231" s="2" t="s">
        <v>704</v>
      </c>
      <c r="B231" s="2" t="s">
        <v>34</v>
      </c>
      <c r="C231" s="2" t="s">
        <v>46</v>
      </c>
      <c r="D231" s="2">
        <v>1023143</v>
      </c>
      <c r="E231" s="2" t="s">
        <v>183</v>
      </c>
      <c r="F231" s="2" t="s">
        <v>160</v>
      </c>
      <c r="G231" s="2" t="s">
        <v>182</v>
      </c>
      <c r="H231" s="7">
        <v>0</v>
      </c>
      <c r="I231">
        <v>25</v>
      </c>
      <c r="J231">
        <v>27</v>
      </c>
      <c r="K231" s="14">
        <v>0.6</v>
      </c>
      <c r="L231" s="7">
        <f t="shared" si="6"/>
        <v>0</v>
      </c>
      <c r="M231" s="14">
        <v>0.72</v>
      </c>
      <c r="N231" s="7">
        <f t="shared" si="7"/>
        <v>0</v>
      </c>
    </row>
    <row r="232" spans="1:14" x14ac:dyDescent="0.2">
      <c r="A232" s="2" t="s">
        <v>704</v>
      </c>
      <c r="B232" s="2" t="s">
        <v>34</v>
      </c>
      <c r="C232" s="2" t="s">
        <v>46</v>
      </c>
      <c r="D232" s="2">
        <v>1023291</v>
      </c>
      <c r="E232" s="2" t="s">
        <v>842</v>
      </c>
      <c r="F232" s="2" t="s">
        <v>172</v>
      </c>
      <c r="G232" s="2" t="s">
        <v>530</v>
      </c>
      <c r="H232" s="7">
        <v>96000</v>
      </c>
      <c r="I232">
        <v>25</v>
      </c>
      <c r="J232">
        <v>27</v>
      </c>
      <c r="K232" s="14">
        <v>0.6</v>
      </c>
      <c r="L232" s="7">
        <f t="shared" si="6"/>
        <v>57600</v>
      </c>
      <c r="M232" s="14">
        <v>0.72</v>
      </c>
      <c r="N232" s="7">
        <f t="shared" si="7"/>
        <v>69120</v>
      </c>
    </row>
    <row r="233" spans="1:14" x14ac:dyDescent="0.2">
      <c r="A233" s="2" t="s">
        <v>704</v>
      </c>
      <c r="B233" s="2" t="s">
        <v>34</v>
      </c>
      <c r="C233" s="2" t="s">
        <v>46</v>
      </c>
      <c r="D233" s="2">
        <v>1023306</v>
      </c>
      <c r="E233" s="2" t="s">
        <v>174</v>
      </c>
      <c r="F233" s="2" t="s">
        <v>175</v>
      </c>
      <c r="G233" s="2" t="s">
        <v>330</v>
      </c>
      <c r="H233" s="7">
        <v>435640</v>
      </c>
      <c r="I233">
        <v>25</v>
      </c>
      <c r="J233">
        <v>27</v>
      </c>
      <c r="K233" s="14">
        <v>0.6</v>
      </c>
      <c r="L233" s="7">
        <f t="shared" si="6"/>
        <v>261384</v>
      </c>
      <c r="M233" s="14">
        <v>0.72</v>
      </c>
      <c r="N233" s="7">
        <f t="shared" si="7"/>
        <v>313660.79999999999</v>
      </c>
    </row>
    <row r="234" spans="1:14" x14ac:dyDescent="0.2">
      <c r="A234" s="2" t="s">
        <v>704</v>
      </c>
      <c r="B234" s="2" t="s">
        <v>34</v>
      </c>
      <c r="C234" s="2" t="s">
        <v>46</v>
      </c>
      <c r="D234" s="2">
        <v>1023354</v>
      </c>
      <c r="E234" s="2" t="s">
        <v>843</v>
      </c>
      <c r="F234" s="2" t="s">
        <v>167</v>
      </c>
      <c r="G234" s="2" t="s">
        <v>621</v>
      </c>
      <c r="H234" s="7">
        <v>0</v>
      </c>
      <c r="I234">
        <v>25</v>
      </c>
      <c r="J234">
        <v>27</v>
      </c>
      <c r="K234" s="14">
        <v>0.6</v>
      </c>
      <c r="L234" s="7">
        <f t="shared" si="6"/>
        <v>0</v>
      </c>
      <c r="M234" s="14">
        <v>0.72</v>
      </c>
      <c r="N234" s="7">
        <f t="shared" si="7"/>
        <v>0</v>
      </c>
    </row>
    <row r="235" spans="1:14" x14ac:dyDescent="0.2">
      <c r="A235" s="2" t="s">
        <v>704</v>
      </c>
      <c r="B235" s="2" t="s">
        <v>34</v>
      </c>
      <c r="C235" s="2" t="s">
        <v>46</v>
      </c>
      <c r="D235" s="2">
        <v>1023373</v>
      </c>
      <c r="E235" s="2" t="s">
        <v>844</v>
      </c>
      <c r="F235" s="2" t="s">
        <v>167</v>
      </c>
      <c r="G235" s="2" t="s">
        <v>459</v>
      </c>
      <c r="H235" s="7">
        <v>0</v>
      </c>
      <c r="I235">
        <v>25</v>
      </c>
      <c r="J235">
        <v>27</v>
      </c>
      <c r="K235" s="14">
        <v>0.6</v>
      </c>
      <c r="L235" s="7">
        <f t="shared" si="6"/>
        <v>0</v>
      </c>
      <c r="M235" s="14">
        <v>0.72</v>
      </c>
      <c r="N235" s="7">
        <f t="shared" si="7"/>
        <v>0</v>
      </c>
    </row>
    <row r="236" spans="1:14" x14ac:dyDescent="0.2">
      <c r="A236" s="2" t="s">
        <v>704</v>
      </c>
      <c r="B236" s="2" t="s">
        <v>34</v>
      </c>
      <c r="C236" s="2" t="s">
        <v>46</v>
      </c>
      <c r="D236" s="2">
        <v>1023411</v>
      </c>
      <c r="E236" s="2" t="s">
        <v>332</v>
      </c>
      <c r="F236" s="2" t="s">
        <v>96</v>
      </c>
      <c r="G236" s="2" t="s">
        <v>331</v>
      </c>
      <c r="H236" s="7">
        <v>97219.907999999996</v>
      </c>
      <c r="I236">
        <v>25</v>
      </c>
      <c r="J236">
        <v>27</v>
      </c>
      <c r="K236" s="14">
        <v>0.6</v>
      </c>
      <c r="L236" s="7">
        <f t="shared" si="6"/>
        <v>58331.944799999997</v>
      </c>
      <c r="M236" s="14">
        <v>0.72</v>
      </c>
      <c r="N236" s="7">
        <f t="shared" si="7"/>
        <v>69998.333759999994</v>
      </c>
    </row>
    <row r="237" spans="1:14" x14ac:dyDescent="0.2">
      <c r="A237" s="2" t="s">
        <v>704</v>
      </c>
      <c r="B237" s="2" t="s">
        <v>34</v>
      </c>
      <c r="C237" s="2" t="s">
        <v>46</v>
      </c>
      <c r="D237" s="2">
        <v>1023412</v>
      </c>
      <c r="E237" s="2" t="s">
        <v>334</v>
      </c>
      <c r="F237" s="2" t="s">
        <v>96</v>
      </c>
      <c r="G237" s="2" t="s">
        <v>333</v>
      </c>
      <c r="H237" s="7">
        <v>95839.8</v>
      </c>
      <c r="I237">
        <v>25</v>
      </c>
      <c r="J237">
        <v>27</v>
      </c>
      <c r="K237" s="14">
        <v>0.6</v>
      </c>
      <c r="L237" s="7">
        <f t="shared" si="6"/>
        <v>57503.88</v>
      </c>
      <c r="M237" s="14">
        <v>0.72</v>
      </c>
      <c r="N237" s="7">
        <f t="shared" si="7"/>
        <v>69004.656000000003</v>
      </c>
    </row>
    <row r="238" spans="1:14" x14ac:dyDescent="0.2">
      <c r="A238" s="2" t="s">
        <v>704</v>
      </c>
      <c r="B238" s="2" t="s">
        <v>34</v>
      </c>
      <c r="C238" s="2" t="s">
        <v>37</v>
      </c>
      <c r="D238" s="2">
        <v>1021204</v>
      </c>
      <c r="E238" s="2" t="s">
        <v>291</v>
      </c>
      <c r="F238" s="2" t="s">
        <v>48</v>
      </c>
      <c r="G238" s="2" t="s">
        <v>393</v>
      </c>
      <c r="H238" s="7">
        <v>0</v>
      </c>
      <c r="I238">
        <v>25</v>
      </c>
      <c r="J238">
        <v>27</v>
      </c>
      <c r="K238" s="14">
        <v>0.6</v>
      </c>
      <c r="L238" s="7">
        <f t="shared" si="6"/>
        <v>0</v>
      </c>
      <c r="M238" s="14">
        <v>0.72</v>
      </c>
      <c r="N238" s="7">
        <f t="shared" si="7"/>
        <v>0</v>
      </c>
    </row>
    <row r="239" spans="1:14" x14ac:dyDescent="0.2">
      <c r="A239" s="2" t="s">
        <v>704</v>
      </c>
      <c r="B239" s="2" t="s">
        <v>34</v>
      </c>
      <c r="C239" s="2" t="s">
        <v>37</v>
      </c>
      <c r="D239" s="2">
        <v>1021921</v>
      </c>
      <c r="E239" s="2" t="s">
        <v>185</v>
      </c>
      <c r="F239" s="2" t="s">
        <v>43</v>
      </c>
      <c r="G239" s="2" t="s">
        <v>184</v>
      </c>
      <c r="H239" s="7">
        <v>0</v>
      </c>
      <c r="I239">
        <v>25</v>
      </c>
      <c r="J239">
        <v>27</v>
      </c>
      <c r="K239" s="14">
        <v>0.6</v>
      </c>
      <c r="L239" s="7">
        <f t="shared" si="6"/>
        <v>0</v>
      </c>
      <c r="M239" s="14">
        <v>0.72</v>
      </c>
      <c r="N239" s="7">
        <f t="shared" si="7"/>
        <v>0</v>
      </c>
    </row>
    <row r="240" spans="1:14" x14ac:dyDescent="0.2">
      <c r="A240" s="2" t="s">
        <v>704</v>
      </c>
      <c r="B240" s="2" t="s">
        <v>34</v>
      </c>
      <c r="C240" s="2" t="s">
        <v>37</v>
      </c>
      <c r="D240" s="2">
        <v>1021922</v>
      </c>
      <c r="E240" s="2" t="s">
        <v>119</v>
      </c>
      <c r="F240" s="2" t="s">
        <v>67</v>
      </c>
      <c r="G240" s="2" t="s">
        <v>186</v>
      </c>
      <c r="H240" s="7">
        <v>0</v>
      </c>
      <c r="I240">
        <v>25</v>
      </c>
      <c r="J240">
        <v>27</v>
      </c>
      <c r="K240" s="14">
        <v>0.6</v>
      </c>
      <c r="L240" s="7">
        <f t="shared" si="6"/>
        <v>0</v>
      </c>
      <c r="M240" s="14">
        <v>0.72</v>
      </c>
      <c r="N240" s="7">
        <f t="shared" si="7"/>
        <v>0</v>
      </c>
    </row>
    <row r="241" spans="1:14" x14ac:dyDescent="0.2">
      <c r="A241" s="2" t="s">
        <v>704</v>
      </c>
      <c r="B241" s="2" t="s">
        <v>34</v>
      </c>
      <c r="C241" s="2" t="s">
        <v>37</v>
      </c>
      <c r="D241" s="2">
        <v>1021924</v>
      </c>
      <c r="E241" s="2" t="s">
        <v>188</v>
      </c>
      <c r="F241" s="2" t="s">
        <v>43</v>
      </c>
      <c r="G241" s="2" t="s">
        <v>187</v>
      </c>
      <c r="H241" s="7">
        <v>20027.027999999998</v>
      </c>
      <c r="I241">
        <v>25</v>
      </c>
      <c r="J241">
        <v>27</v>
      </c>
      <c r="K241" s="14">
        <v>0.6</v>
      </c>
      <c r="L241" s="7">
        <f t="shared" si="6"/>
        <v>12016.216799999998</v>
      </c>
      <c r="M241" s="14">
        <v>0.72</v>
      </c>
      <c r="N241" s="7">
        <f t="shared" si="7"/>
        <v>14419.460159999999</v>
      </c>
    </row>
    <row r="242" spans="1:14" x14ac:dyDescent="0.2">
      <c r="A242" s="2" t="s">
        <v>704</v>
      </c>
      <c r="B242" s="2" t="s">
        <v>34</v>
      </c>
      <c r="C242" s="2" t="s">
        <v>37</v>
      </c>
      <c r="D242" s="2">
        <v>1021925</v>
      </c>
      <c r="E242" s="2" t="s">
        <v>845</v>
      </c>
      <c r="F242" s="2" t="s">
        <v>43</v>
      </c>
      <c r="G242" s="2" t="s">
        <v>432</v>
      </c>
      <c r="H242" s="7">
        <v>24023.040000000001</v>
      </c>
      <c r="I242">
        <v>25</v>
      </c>
      <c r="J242">
        <v>27</v>
      </c>
      <c r="K242" s="14">
        <v>0.6</v>
      </c>
      <c r="L242" s="7">
        <f t="shared" si="6"/>
        <v>14413.824000000001</v>
      </c>
      <c r="M242" s="14">
        <v>0.72</v>
      </c>
      <c r="N242" s="7">
        <f t="shared" si="7"/>
        <v>17296.588800000001</v>
      </c>
    </row>
    <row r="243" spans="1:14" x14ac:dyDescent="0.2">
      <c r="A243" s="2" t="s">
        <v>704</v>
      </c>
      <c r="B243" s="2" t="s">
        <v>34</v>
      </c>
      <c r="C243" s="2" t="s">
        <v>37</v>
      </c>
      <c r="D243" s="2">
        <v>1021929</v>
      </c>
      <c r="E243" s="2" t="s">
        <v>336</v>
      </c>
      <c r="F243" s="2" t="s">
        <v>178</v>
      </c>
      <c r="G243" s="2" t="s">
        <v>335</v>
      </c>
      <c r="H243" s="7">
        <v>0</v>
      </c>
      <c r="I243">
        <v>25</v>
      </c>
      <c r="J243">
        <v>27</v>
      </c>
      <c r="K243" s="14">
        <v>0.6</v>
      </c>
      <c r="L243" s="7">
        <f t="shared" si="6"/>
        <v>0</v>
      </c>
      <c r="M243" s="14">
        <v>0.72</v>
      </c>
      <c r="N243" s="7">
        <f t="shared" si="7"/>
        <v>0</v>
      </c>
    </row>
    <row r="244" spans="1:14" x14ac:dyDescent="0.2">
      <c r="A244" s="2" t="s">
        <v>704</v>
      </c>
      <c r="B244" s="2" t="s">
        <v>34</v>
      </c>
      <c r="C244" s="2" t="s">
        <v>37</v>
      </c>
      <c r="D244" s="2">
        <v>1021931</v>
      </c>
      <c r="E244" s="2" t="s">
        <v>190</v>
      </c>
      <c r="F244" s="2" t="s">
        <v>191</v>
      </c>
      <c r="G244" s="2" t="s">
        <v>189</v>
      </c>
      <c r="H244" s="7">
        <v>32132.966</v>
      </c>
      <c r="I244">
        <v>25</v>
      </c>
      <c r="J244">
        <v>27</v>
      </c>
      <c r="K244" s="14">
        <v>0.6</v>
      </c>
      <c r="L244" s="7">
        <f t="shared" si="6"/>
        <v>19279.779599999998</v>
      </c>
      <c r="M244" s="14">
        <v>0.72</v>
      </c>
      <c r="N244" s="7">
        <f t="shared" si="7"/>
        <v>23135.735519999998</v>
      </c>
    </row>
    <row r="245" spans="1:14" x14ac:dyDescent="0.2">
      <c r="A245" s="2" t="s">
        <v>704</v>
      </c>
      <c r="B245" s="2" t="s">
        <v>34</v>
      </c>
      <c r="C245" s="2" t="s">
        <v>37</v>
      </c>
      <c r="D245" s="2">
        <v>1021936</v>
      </c>
      <c r="E245" s="2" t="s">
        <v>846</v>
      </c>
      <c r="F245" s="2" t="s">
        <v>39</v>
      </c>
      <c r="G245" s="2" t="s">
        <v>411</v>
      </c>
      <c r="H245" s="7">
        <v>480000</v>
      </c>
      <c r="I245">
        <v>25</v>
      </c>
      <c r="J245">
        <v>27</v>
      </c>
      <c r="K245" s="14">
        <v>0.6</v>
      </c>
      <c r="L245" s="7">
        <f t="shared" si="6"/>
        <v>288000</v>
      </c>
      <c r="M245" s="14">
        <v>0.72</v>
      </c>
      <c r="N245" s="7">
        <f t="shared" si="7"/>
        <v>345600</v>
      </c>
    </row>
    <row r="246" spans="1:14" x14ac:dyDescent="0.2">
      <c r="A246" s="2" t="s">
        <v>704</v>
      </c>
      <c r="B246" s="2" t="s">
        <v>34</v>
      </c>
      <c r="C246" s="2" t="s">
        <v>37</v>
      </c>
      <c r="D246" s="2">
        <v>1021944</v>
      </c>
      <c r="E246" s="2" t="s">
        <v>193</v>
      </c>
      <c r="F246" s="2" t="s">
        <v>181</v>
      </c>
      <c r="G246" s="2" t="s">
        <v>192</v>
      </c>
      <c r="H246" s="7">
        <v>8000</v>
      </c>
      <c r="I246">
        <v>25</v>
      </c>
      <c r="J246">
        <v>27</v>
      </c>
      <c r="K246" s="14">
        <v>0.6</v>
      </c>
      <c r="L246" s="7">
        <f t="shared" si="6"/>
        <v>4800</v>
      </c>
      <c r="M246" s="14">
        <v>0.72</v>
      </c>
      <c r="N246" s="7">
        <f t="shared" si="7"/>
        <v>5760</v>
      </c>
    </row>
    <row r="247" spans="1:14" x14ac:dyDescent="0.2">
      <c r="A247" s="2" t="s">
        <v>704</v>
      </c>
      <c r="B247" s="2" t="s">
        <v>34</v>
      </c>
      <c r="C247" s="2" t="s">
        <v>37</v>
      </c>
      <c r="D247" s="2">
        <v>1021945</v>
      </c>
      <c r="E247" s="2" t="s">
        <v>195</v>
      </c>
      <c r="F247" s="2" t="s">
        <v>196</v>
      </c>
      <c r="G247" s="2" t="s">
        <v>194</v>
      </c>
      <c r="H247" s="7">
        <v>0</v>
      </c>
      <c r="I247">
        <v>25</v>
      </c>
      <c r="J247">
        <v>27</v>
      </c>
      <c r="K247" s="14">
        <v>0.6</v>
      </c>
      <c r="L247" s="7">
        <f t="shared" si="6"/>
        <v>0</v>
      </c>
      <c r="M247" s="14">
        <v>0.72</v>
      </c>
      <c r="N247" s="7">
        <f t="shared" si="7"/>
        <v>0</v>
      </c>
    </row>
    <row r="248" spans="1:14" x14ac:dyDescent="0.2">
      <c r="A248" s="2" t="s">
        <v>704</v>
      </c>
      <c r="B248" s="2" t="s">
        <v>34</v>
      </c>
      <c r="C248" s="2" t="s">
        <v>37</v>
      </c>
      <c r="D248" s="2">
        <v>1021952</v>
      </c>
      <c r="E248" s="2" t="s">
        <v>75</v>
      </c>
      <c r="F248" s="2" t="s">
        <v>76</v>
      </c>
      <c r="G248" s="2" t="s">
        <v>125</v>
      </c>
      <c r="H248" s="7">
        <v>0</v>
      </c>
      <c r="I248">
        <v>25</v>
      </c>
      <c r="J248">
        <v>27</v>
      </c>
      <c r="K248" s="14">
        <v>0.6</v>
      </c>
      <c r="L248" s="7">
        <f t="shared" si="6"/>
        <v>0</v>
      </c>
      <c r="M248" s="14">
        <v>0.72</v>
      </c>
      <c r="N248" s="7">
        <f t="shared" si="7"/>
        <v>0</v>
      </c>
    </row>
    <row r="249" spans="1:14" x14ac:dyDescent="0.2">
      <c r="A249" s="2" t="s">
        <v>704</v>
      </c>
      <c r="B249" s="2" t="s">
        <v>34</v>
      </c>
      <c r="C249" s="2" t="s">
        <v>37</v>
      </c>
      <c r="D249" s="2">
        <v>1021987</v>
      </c>
      <c r="E249" s="2" t="s">
        <v>847</v>
      </c>
      <c r="F249" s="2" t="s">
        <v>259</v>
      </c>
      <c r="G249" s="2" t="s">
        <v>435</v>
      </c>
      <c r="H249" s="7">
        <v>4000</v>
      </c>
      <c r="I249">
        <v>25</v>
      </c>
      <c r="J249">
        <v>27</v>
      </c>
      <c r="K249" s="14">
        <v>0.6</v>
      </c>
      <c r="L249" s="7">
        <f t="shared" si="6"/>
        <v>2400</v>
      </c>
      <c r="M249" s="14">
        <v>0.72</v>
      </c>
      <c r="N249" s="7">
        <f t="shared" si="7"/>
        <v>2880</v>
      </c>
    </row>
    <row r="250" spans="1:14" x14ac:dyDescent="0.2">
      <c r="A250" s="2" t="s">
        <v>704</v>
      </c>
      <c r="B250" s="2" t="s">
        <v>34</v>
      </c>
      <c r="C250" s="2" t="s">
        <v>37</v>
      </c>
      <c r="D250" s="2">
        <v>1022101</v>
      </c>
      <c r="E250" s="2" t="s">
        <v>338</v>
      </c>
      <c r="F250" s="2" t="s">
        <v>43</v>
      </c>
      <c r="G250" s="2" t="s">
        <v>337</v>
      </c>
      <c r="H250" s="7">
        <v>3309.72</v>
      </c>
      <c r="I250">
        <v>25</v>
      </c>
      <c r="J250">
        <v>27</v>
      </c>
      <c r="K250" s="14">
        <v>0.6</v>
      </c>
      <c r="L250" s="7">
        <f t="shared" si="6"/>
        <v>1985.8319999999999</v>
      </c>
      <c r="M250" s="14">
        <v>0.72</v>
      </c>
      <c r="N250" s="7">
        <f t="shared" si="7"/>
        <v>2382.9983999999999</v>
      </c>
    </row>
    <row r="251" spans="1:14" x14ac:dyDescent="0.2">
      <c r="A251" s="2" t="s">
        <v>704</v>
      </c>
      <c r="B251" s="2" t="s">
        <v>34</v>
      </c>
      <c r="C251" s="2" t="s">
        <v>37</v>
      </c>
      <c r="D251" s="2">
        <v>1022128</v>
      </c>
      <c r="E251" s="2" t="s">
        <v>848</v>
      </c>
      <c r="F251" s="2" t="s">
        <v>96</v>
      </c>
      <c r="G251" s="2" t="s">
        <v>469</v>
      </c>
      <c r="H251" s="7">
        <v>0</v>
      </c>
      <c r="I251">
        <v>25</v>
      </c>
      <c r="J251">
        <v>27</v>
      </c>
      <c r="K251" s="14">
        <v>0.6</v>
      </c>
      <c r="L251" s="7">
        <f t="shared" si="6"/>
        <v>0</v>
      </c>
      <c r="M251" s="14">
        <v>0.72</v>
      </c>
      <c r="N251" s="7">
        <f t="shared" si="7"/>
        <v>0</v>
      </c>
    </row>
    <row r="252" spans="1:14" x14ac:dyDescent="0.2">
      <c r="A252" s="2" t="s">
        <v>704</v>
      </c>
      <c r="B252" s="2" t="s">
        <v>34</v>
      </c>
      <c r="C252" s="2" t="s">
        <v>37</v>
      </c>
      <c r="D252" s="2">
        <v>1022141</v>
      </c>
      <c r="E252" s="2" t="s">
        <v>127</v>
      </c>
      <c r="F252" s="2" t="s">
        <v>96</v>
      </c>
      <c r="G252" s="2" t="s">
        <v>126</v>
      </c>
      <c r="H252" s="7">
        <v>8027.348</v>
      </c>
      <c r="I252">
        <v>25</v>
      </c>
      <c r="J252">
        <v>27</v>
      </c>
      <c r="K252" s="14">
        <v>0.6</v>
      </c>
      <c r="L252" s="7">
        <f t="shared" si="6"/>
        <v>4816.4088000000002</v>
      </c>
      <c r="M252" s="14">
        <v>0.72</v>
      </c>
      <c r="N252" s="7">
        <f t="shared" si="7"/>
        <v>5779.69056</v>
      </c>
    </row>
    <row r="253" spans="1:14" x14ac:dyDescent="0.2">
      <c r="A253" s="2" t="s">
        <v>704</v>
      </c>
      <c r="B253" s="2" t="s">
        <v>34</v>
      </c>
      <c r="C253" s="2" t="s">
        <v>37</v>
      </c>
      <c r="D253" s="2">
        <v>1022142</v>
      </c>
      <c r="E253" s="2" t="s">
        <v>849</v>
      </c>
      <c r="F253" s="2" t="s">
        <v>96</v>
      </c>
      <c r="G253" s="2" t="s">
        <v>390</v>
      </c>
      <c r="H253" s="7">
        <v>0</v>
      </c>
      <c r="I253">
        <v>25</v>
      </c>
      <c r="J253">
        <v>27</v>
      </c>
      <c r="K253" s="14">
        <v>0.6</v>
      </c>
      <c r="L253" s="7">
        <f t="shared" si="6"/>
        <v>0</v>
      </c>
      <c r="M253" s="14">
        <v>0.72</v>
      </c>
      <c r="N253" s="7">
        <f t="shared" si="7"/>
        <v>0</v>
      </c>
    </row>
    <row r="254" spans="1:14" x14ac:dyDescent="0.2">
      <c r="A254" s="2" t="s">
        <v>704</v>
      </c>
      <c r="B254" s="2" t="s">
        <v>34</v>
      </c>
      <c r="C254" s="2" t="s">
        <v>37</v>
      </c>
      <c r="D254" s="2">
        <v>1022293</v>
      </c>
      <c r="E254" s="2" t="s">
        <v>340</v>
      </c>
      <c r="F254" s="2" t="s">
        <v>160</v>
      </c>
      <c r="G254" s="2" t="s">
        <v>339</v>
      </c>
      <c r="H254" s="7">
        <v>3960</v>
      </c>
      <c r="I254">
        <v>25</v>
      </c>
      <c r="J254">
        <v>27</v>
      </c>
      <c r="K254" s="14">
        <v>0.6</v>
      </c>
      <c r="L254" s="7">
        <f t="shared" si="6"/>
        <v>2376</v>
      </c>
      <c r="M254" s="14">
        <v>0.72</v>
      </c>
      <c r="N254" s="7">
        <f t="shared" si="7"/>
        <v>2851.2</v>
      </c>
    </row>
    <row r="255" spans="1:14" x14ac:dyDescent="0.2">
      <c r="A255" s="2" t="s">
        <v>704</v>
      </c>
      <c r="B255" s="2" t="s">
        <v>34</v>
      </c>
      <c r="C255" s="2" t="s">
        <v>37</v>
      </c>
      <c r="D255" s="2">
        <v>1022398</v>
      </c>
      <c r="E255" s="2" t="s">
        <v>850</v>
      </c>
      <c r="F255" s="2" t="s">
        <v>96</v>
      </c>
      <c r="G255" s="2" t="s">
        <v>431</v>
      </c>
      <c r="H255" s="7">
        <v>62867.64</v>
      </c>
      <c r="I255">
        <v>25</v>
      </c>
      <c r="J255">
        <v>27</v>
      </c>
      <c r="K255" s="14">
        <v>0.6</v>
      </c>
      <c r="L255" s="7">
        <f t="shared" si="6"/>
        <v>37720.583999999995</v>
      </c>
      <c r="M255" s="14">
        <v>0.72</v>
      </c>
      <c r="N255" s="7">
        <f t="shared" si="7"/>
        <v>45264.700799999999</v>
      </c>
    </row>
    <row r="256" spans="1:14" x14ac:dyDescent="0.2">
      <c r="A256" s="2" t="s">
        <v>704</v>
      </c>
      <c r="B256" s="2" t="s">
        <v>34</v>
      </c>
      <c r="C256" s="2" t="s">
        <v>37</v>
      </c>
      <c r="D256" s="2">
        <v>1022413</v>
      </c>
      <c r="E256" s="2" t="s">
        <v>851</v>
      </c>
      <c r="F256" s="2" t="s">
        <v>259</v>
      </c>
      <c r="G256" s="2" t="s">
        <v>434</v>
      </c>
      <c r="H256" s="7">
        <v>6000</v>
      </c>
      <c r="I256">
        <v>25</v>
      </c>
      <c r="J256">
        <v>27</v>
      </c>
      <c r="K256" s="14">
        <v>0.6</v>
      </c>
      <c r="L256" s="7">
        <f t="shared" si="6"/>
        <v>3600</v>
      </c>
      <c r="M256" s="14">
        <v>0.72</v>
      </c>
      <c r="N256" s="7">
        <f t="shared" si="7"/>
        <v>4320</v>
      </c>
    </row>
    <row r="257" spans="1:14" x14ac:dyDescent="0.2">
      <c r="A257" s="2" t="s">
        <v>704</v>
      </c>
      <c r="B257" s="2" t="s">
        <v>34</v>
      </c>
      <c r="C257" s="2" t="s">
        <v>37</v>
      </c>
      <c r="D257" s="2">
        <v>1022515</v>
      </c>
      <c r="E257" s="2" t="s">
        <v>198</v>
      </c>
      <c r="F257" s="2" t="s">
        <v>178</v>
      </c>
      <c r="G257" s="2" t="s">
        <v>197</v>
      </c>
      <c r="H257" s="7">
        <v>12009.748</v>
      </c>
      <c r="I257">
        <v>25</v>
      </c>
      <c r="J257">
        <v>27</v>
      </c>
      <c r="K257" s="14">
        <v>0.6</v>
      </c>
      <c r="L257" s="7">
        <f t="shared" si="6"/>
        <v>7205.8487999999998</v>
      </c>
      <c r="M257" s="14">
        <v>0.72</v>
      </c>
      <c r="N257" s="7">
        <f t="shared" si="7"/>
        <v>8647.0185599999986</v>
      </c>
    </row>
    <row r="258" spans="1:14" x14ac:dyDescent="0.2">
      <c r="A258" s="2" t="s">
        <v>704</v>
      </c>
      <c r="B258" s="2" t="s">
        <v>34</v>
      </c>
      <c r="C258" s="2" t="s">
        <v>37</v>
      </c>
      <c r="D258" s="2">
        <v>1022570</v>
      </c>
      <c r="E258" s="2" t="s">
        <v>852</v>
      </c>
      <c r="F258" s="2" t="s">
        <v>178</v>
      </c>
      <c r="G258" s="2" t="s">
        <v>476</v>
      </c>
      <c r="H258" s="7">
        <v>0</v>
      </c>
      <c r="I258">
        <v>25</v>
      </c>
      <c r="J258">
        <v>27</v>
      </c>
      <c r="K258" s="14">
        <v>0.6</v>
      </c>
      <c r="L258" s="7">
        <f t="shared" ref="L258:L321" si="8">K258 * H258</f>
        <v>0</v>
      </c>
      <c r="M258" s="14">
        <v>0.72</v>
      </c>
      <c r="N258" s="7">
        <f t="shared" ref="N258:N321" si="9">M258 * H258</f>
        <v>0</v>
      </c>
    </row>
    <row r="259" spans="1:14" x14ac:dyDescent="0.2">
      <c r="A259" s="2" t="s">
        <v>704</v>
      </c>
      <c r="B259" s="2" t="s">
        <v>34</v>
      </c>
      <c r="C259" s="2" t="s">
        <v>37</v>
      </c>
      <c r="D259" s="2">
        <v>1022621</v>
      </c>
      <c r="E259" s="2" t="s">
        <v>200</v>
      </c>
      <c r="F259" s="2" t="s">
        <v>178</v>
      </c>
      <c r="G259" s="2" t="s">
        <v>199</v>
      </c>
      <c r="H259" s="7">
        <v>76639.876000000004</v>
      </c>
      <c r="I259">
        <v>25</v>
      </c>
      <c r="J259">
        <v>27</v>
      </c>
      <c r="K259" s="14">
        <v>0.6</v>
      </c>
      <c r="L259" s="7">
        <f t="shared" si="8"/>
        <v>45983.925600000002</v>
      </c>
      <c r="M259" s="14">
        <v>0.72</v>
      </c>
      <c r="N259" s="7">
        <f t="shared" si="9"/>
        <v>55180.710720000003</v>
      </c>
    </row>
    <row r="260" spans="1:14" x14ac:dyDescent="0.2">
      <c r="A260" s="2" t="s">
        <v>704</v>
      </c>
      <c r="B260" s="2" t="s">
        <v>34</v>
      </c>
      <c r="C260" s="2" t="s">
        <v>37</v>
      </c>
      <c r="D260" s="2">
        <v>1022751</v>
      </c>
      <c r="E260" s="2" t="s">
        <v>38</v>
      </c>
      <c r="F260" s="2" t="s">
        <v>39</v>
      </c>
      <c r="G260" s="2" t="s">
        <v>36</v>
      </c>
      <c r="H260" s="7">
        <v>40040</v>
      </c>
      <c r="I260">
        <v>25</v>
      </c>
      <c r="J260">
        <v>27</v>
      </c>
      <c r="K260" s="14">
        <v>0.6</v>
      </c>
      <c r="L260" s="7">
        <f t="shared" si="8"/>
        <v>24024</v>
      </c>
      <c r="M260" s="14">
        <v>0.72</v>
      </c>
      <c r="N260" s="7">
        <f t="shared" si="9"/>
        <v>28828.799999999999</v>
      </c>
    </row>
    <row r="261" spans="1:14" x14ac:dyDescent="0.2">
      <c r="A261" s="2" t="s">
        <v>704</v>
      </c>
      <c r="B261" s="2" t="s">
        <v>34</v>
      </c>
      <c r="C261" s="2" t="s">
        <v>37</v>
      </c>
      <c r="D261" s="2">
        <v>1022767</v>
      </c>
      <c r="E261" s="2" t="s">
        <v>853</v>
      </c>
      <c r="F261" s="2" t="s">
        <v>48</v>
      </c>
      <c r="G261" s="2" t="s">
        <v>465</v>
      </c>
      <c r="H261" s="7">
        <v>0</v>
      </c>
      <c r="I261">
        <v>25</v>
      </c>
      <c r="J261">
        <v>27</v>
      </c>
      <c r="K261" s="14">
        <v>0.6</v>
      </c>
      <c r="L261" s="7">
        <f t="shared" si="8"/>
        <v>0</v>
      </c>
      <c r="M261" s="14">
        <v>0.72</v>
      </c>
      <c r="N261" s="7">
        <f t="shared" si="9"/>
        <v>0</v>
      </c>
    </row>
    <row r="262" spans="1:14" x14ac:dyDescent="0.2">
      <c r="A262" s="2" t="s">
        <v>704</v>
      </c>
      <c r="B262" s="2" t="s">
        <v>34</v>
      </c>
      <c r="C262" s="2" t="s">
        <v>37</v>
      </c>
      <c r="D262" s="2">
        <v>1022791</v>
      </c>
      <c r="E262" s="2" t="s">
        <v>854</v>
      </c>
      <c r="F262" s="2" t="s">
        <v>124</v>
      </c>
      <c r="G262" s="2" t="s">
        <v>501</v>
      </c>
      <c r="H262" s="7">
        <v>0</v>
      </c>
      <c r="I262">
        <v>25</v>
      </c>
      <c r="J262">
        <v>27</v>
      </c>
      <c r="K262" s="14">
        <v>0.6</v>
      </c>
      <c r="L262" s="7">
        <f t="shared" si="8"/>
        <v>0</v>
      </c>
      <c r="M262" s="14">
        <v>0.72</v>
      </c>
      <c r="N262" s="7">
        <f t="shared" si="9"/>
        <v>0</v>
      </c>
    </row>
    <row r="263" spans="1:14" x14ac:dyDescent="0.2">
      <c r="A263" s="2" t="s">
        <v>704</v>
      </c>
      <c r="B263" s="2" t="s">
        <v>34</v>
      </c>
      <c r="C263" s="2" t="s">
        <v>37</v>
      </c>
      <c r="D263" s="2">
        <v>1022819</v>
      </c>
      <c r="E263" s="2" t="s">
        <v>855</v>
      </c>
      <c r="F263" s="2" t="s">
        <v>124</v>
      </c>
      <c r="G263" s="2" t="s">
        <v>692</v>
      </c>
      <c r="H263" s="7">
        <v>0</v>
      </c>
      <c r="I263">
        <v>25</v>
      </c>
      <c r="J263">
        <v>27</v>
      </c>
      <c r="K263" s="14">
        <v>0.6</v>
      </c>
      <c r="L263" s="7">
        <f t="shared" si="8"/>
        <v>0</v>
      </c>
      <c r="M263" s="14">
        <v>0.72</v>
      </c>
      <c r="N263" s="7">
        <f t="shared" si="9"/>
        <v>0</v>
      </c>
    </row>
    <row r="264" spans="1:14" x14ac:dyDescent="0.2">
      <c r="A264" s="2" t="s">
        <v>704</v>
      </c>
      <c r="B264" s="2" t="s">
        <v>34</v>
      </c>
      <c r="C264" s="2" t="s">
        <v>37</v>
      </c>
      <c r="D264" s="2">
        <v>1022823</v>
      </c>
      <c r="E264" s="2" t="s">
        <v>856</v>
      </c>
      <c r="F264" s="2" t="s">
        <v>124</v>
      </c>
      <c r="G264" s="2" t="s">
        <v>691</v>
      </c>
      <c r="H264" s="7">
        <v>0</v>
      </c>
      <c r="I264">
        <v>25</v>
      </c>
      <c r="J264">
        <v>27</v>
      </c>
      <c r="K264" s="14">
        <v>0.6</v>
      </c>
      <c r="L264" s="7">
        <f t="shared" si="8"/>
        <v>0</v>
      </c>
      <c r="M264" s="14">
        <v>0.72</v>
      </c>
      <c r="N264" s="7">
        <f t="shared" si="9"/>
        <v>0</v>
      </c>
    </row>
    <row r="265" spans="1:14" x14ac:dyDescent="0.2">
      <c r="A265" s="2" t="s">
        <v>704</v>
      </c>
      <c r="B265" s="2" t="s">
        <v>34</v>
      </c>
      <c r="C265" s="2" t="s">
        <v>37</v>
      </c>
      <c r="D265" s="2">
        <v>1022836</v>
      </c>
      <c r="E265" s="2" t="s">
        <v>857</v>
      </c>
      <c r="F265" s="2" t="s">
        <v>124</v>
      </c>
      <c r="G265" s="2" t="s">
        <v>690</v>
      </c>
      <c r="H265" s="7">
        <v>0</v>
      </c>
      <c r="I265">
        <v>25</v>
      </c>
      <c r="J265">
        <v>27</v>
      </c>
      <c r="K265" s="14">
        <v>0.6</v>
      </c>
      <c r="L265" s="7">
        <f t="shared" si="8"/>
        <v>0</v>
      </c>
      <c r="M265" s="14">
        <v>0.72</v>
      </c>
      <c r="N265" s="7">
        <f t="shared" si="9"/>
        <v>0</v>
      </c>
    </row>
    <row r="266" spans="1:14" x14ac:dyDescent="0.2">
      <c r="A266" s="2" t="s">
        <v>704</v>
      </c>
      <c r="B266" s="2" t="s">
        <v>34</v>
      </c>
      <c r="C266" s="2" t="s">
        <v>37</v>
      </c>
      <c r="D266" s="2">
        <v>1022863</v>
      </c>
      <c r="E266" s="2" t="s">
        <v>202</v>
      </c>
      <c r="F266" s="2" t="s">
        <v>43</v>
      </c>
      <c r="G266" s="2" t="s">
        <v>201</v>
      </c>
      <c r="H266" s="7">
        <v>72075.212</v>
      </c>
      <c r="I266">
        <v>25</v>
      </c>
      <c r="J266">
        <v>27</v>
      </c>
      <c r="K266" s="14">
        <v>0.6</v>
      </c>
      <c r="L266" s="7">
        <f t="shared" si="8"/>
        <v>43245.127199999995</v>
      </c>
      <c r="M266" s="14">
        <v>0.72</v>
      </c>
      <c r="N266" s="7">
        <f t="shared" si="9"/>
        <v>51894.15264</v>
      </c>
    </row>
    <row r="267" spans="1:14" x14ac:dyDescent="0.2">
      <c r="A267" s="2" t="s">
        <v>704</v>
      </c>
      <c r="B267" s="2" t="s">
        <v>34</v>
      </c>
      <c r="C267" s="2" t="s">
        <v>37</v>
      </c>
      <c r="D267" s="2">
        <v>1022864</v>
      </c>
      <c r="E267" s="2" t="s">
        <v>42</v>
      </c>
      <c r="F267" s="2" t="s">
        <v>43</v>
      </c>
      <c r="G267" s="2" t="s">
        <v>41</v>
      </c>
      <c r="H267" s="7">
        <v>40887.432000000001</v>
      </c>
      <c r="I267">
        <v>25</v>
      </c>
      <c r="J267">
        <v>27</v>
      </c>
      <c r="K267" s="14">
        <v>0.6</v>
      </c>
      <c r="L267" s="7">
        <f t="shared" si="8"/>
        <v>24532.459200000001</v>
      </c>
      <c r="M267" s="14">
        <v>0.72</v>
      </c>
      <c r="N267" s="7">
        <f t="shared" si="9"/>
        <v>29438.95104</v>
      </c>
    </row>
    <row r="268" spans="1:14" x14ac:dyDescent="0.2">
      <c r="A268" s="2" t="s">
        <v>704</v>
      </c>
      <c r="B268" s="2" t="s">
        <v>34</v>
      </c>
      <c r="C268" s="2" t="s">
        <v>37</v>
      </c>
      <c r="D268" s="2">
        <v>1022865</v>
      </c>
      <c r="E268" s="2" t="s">
        <v>344</v>
      </c>
      <c r="F268" s="2" t="s">
        <v>178</v>
      </c>
      <c r="G268" s="2" t="s">
        <v>343</v>
      </c>
      <c r="H268" s="7">
        <v>76676.635999999999</v>
      </c>
      <c r="I268">
        <v>25</v>
      </c>
      <c r="J268">
        <v>27</v>
      </c>
      <c r="K268" s="14">
        <v>0.6</v>
      </c>
      <c r="L268" s="7">
        <f t="shared" si="8"/>
        <v>46005.981599999999</v>
      </c>
      <c r="M268" s="14">
        <v>0.72</v>
      </c>
      <c r="N268" s="7">
        <f t="shared" si="9"/>
        <v>55207.177919999995</v>
      </c>
    </row>
    <row r="269" spans="1:14" x14ac:dyDescent="0.2">
      <c r="A269" s="2" t="s">
        <v>704</v>
      </c>
      <c r="B269" s="2" t="s">
        <v>34</v>
      </c>
      <c r="C269" s="2" t="s">
        <v>37</v>
      </c>
      <c r="D269" s="2">
        <v>1022866</v>
      </c>
      <c r="E269" s="2" t="s">
        <v>204</v>
      </c>
      <c r="F269" s="2" t="s">
        <v>178</v>
      </c>
      <c r="G269" s="2" t="s">
        <v>203</v>
      </c>
      <c r="H269" s="7">
        <v>68056.676000000007</v>
      </c>
      <c r="I269">
        <v>25</v>
      </c>
      <c r="J269">
        <v>27</v>
      </c>
      <c r="K269" s="14">
        <v>0.6</v>
      </c>
      <c r="L269" s="7">
        <f t="shared" si="8"/>
        <v>40834.005600000004</v>
      </c>
      <c r="M269" s="14">
        <v>0.72</v>
      </c>
      <c r="N269" s="7">
        <f t="shared" si="9"/>
        <v>49000.80672</v>
      </c>
    </row>
    <row r="270" spans="1:14" x14ac:dyDescent="0.2">
      <c r="A270" s="2" t="s">
        <v>704</v>
      </c>
      <c r="B270" s="2" t="s">
        <v>34</v>
      </c>
      <c r="C270" s="2" t="s">
        <v>37</v>
      </c>
      <c r="D270" s="2">
        <v>1022914</v>
      </c>
      <c r="E270" s="2" t="s">
        <v>858</v>
      </c>
      <c r="F270" s="2" t="s">
        <v>48</v>
      </c>
      <c r="G270" s="2" t="s">
        <v>460</v>
      </c>
      <c r="H270" s="7">
        <v>0</v>
      </c>
      <c r="I270">
        <v>25</v>
      </c>
      <c r="J270">
        <v>27</v>
      </c>
      <c r="K270" s="14">
        <v>0.6</v>
      </c>
      <c r="L270" s="7">
        <f t="shared" si="8"/>
        <v>0</v>
      </c>
      <c r="M270" s="14">
        <v>0.72</v>
      </c>
      <c r="N270" s="7">
        <f t="shared" si="9"/>
        <v>0</v>
      </c>
    </row>
    <row r="271" spans="1:14" x14ac:dyDescent="0.2">
      <c r="A271" s="2" t="s">
        <v>704</v>
      </c>
      <c r="B271" s="2" t="s">
        <v>34</v>
      </c>
      <c r="C271" s="2" t="s">
        <v>37</v>
      </c>
      <c r="D271" s="2">
        <v>1022918</v>
      </c>
      <c r="E271" s="2" t="s">
        <v>859</v>
      </c>
      <c r="F271" s="2" t="s">
        <v>48</v>
      </c>
      <c r="G271" s="2" t="s">
        <v>410</v>
      </c>
      <c r="H271" s="7">
        <v>190960</v>
      </c>
      <c r="I271">
        <v>25</v>
      </c>
      <c r="J271">
        <v>27</v>
      </c>
      <c r="K271" s="14">
        <v>0.6</v>
      </c>
      <c r="L271" s="7">
        <f t="shared" si="8"/>
        <v>114576</v>
      </c>
      <c r="M271" s="14">
        <v>0.72</v>
      </c>
      <c r="N271" s="7">
        <f t="shared" si="9"/>
        <v>137491.19999999998</v>
      </c>
    </row>
    <row r="272" spans="1:14" x14ac:dyDescent="0.2">
      <c r="A272" s="2" t="s">
        <v>704</v>
      </c>
      <c r="B272" s="2" t="s">
        <v>34</v>
      </c>
      <c r="C272" s="2" t="s">
        <v>37</v>
      </c>
      <c r="D272" s="2">
        <v>1022975</v>
      </c>
      <c r="E272" s="2" t="s">
        <v>860</v>
      </c>
      <c r="F272" s="2" t="s">
        <v>172</v>
      </c>
      <c r="G272" s="2" t="s">
        <v>433</v>
      </c>
      <c r="H272" s="7">
        <v>36160</v>
      </c>
      <c r="I272">
        <v>25</v>
      </c>
      <c r="J272">
        <v>27</v>
      </c>
      <c r="K272" s="14">
        <v>0.6</v>
      </c>
      <c r="L272" s="7">
        <f t="shared" si="8"/>
        <v>21696</v>
      </c>
      <c r="M272" s="14">
        <v>0.72</v>
      </c>
      <c r="N272" s="7">
        <f t="shared" si="9"/>
        <v>26035.200000000001</v>
      </c>
    </row>
    <row r="273" spans="1:14" x14ac:dyDescent="0.2">
      <c r="A273" s="2" t="s">
        <v>704</v>
      </c>
      <c r="B273" s="2" t="s">
        <v>34</v>
      </c>
      <c r="C273" s="2" t="s">
        <v>37</v>
      </c>
      <c r="D273" s="2">
        <v>1022989</v>
      </c>
      <c r="E273" s="2" t="s">
        <v>861</v>
      </c>
      <c r="F273" s="2" t="s">
        <v>43</v>
      </c>
      <c r="G273" s="2" t="s">
        <v>561</v>
      </c>
      <c r="H273" s="7">
        <v>72518.748000000007</v>
      </c>
      <c r="I273">
        <v>25</v>
      </c>
      <c r="J273">
        <v>27</v>
      </c>
      <c r="K273" s="14">
        <v>0.6</v>
      </c>
      <c r="L273" s="7">
        <f t="shared" si="8"/>
        <v>43511.248800000001</v>
      </c>
      <c r="M273" s="14">
        <v>0.72</v>
      </c>
      <c r="N273" s="7">
        <f t="shared" si="9"/>
        <v>52213.49856</v>
      </c>
    </row>
    <row r="274" spans="1:14" x14ac:dyDescent="0.2">
      <c r="A274" s="2" t="s">
        <v>704</v>
      </c>
      <c r="B274" s="2" t="s">
        <v>34</v>
      </c>
      <c r="C274" s="2" t="s">
        <v>37</v>
      </c>
      <c r="D274" s="2">
        <v>1023102</v>
      </c>
      <c r="E274" s="2" t="s">
        <v>862</v>
      </c>
      <c r="F274" s="2" t="s">
        <v>43</v>
      </c>
      <c r="G274" s="2" t="s">
        <v>679</v>
      </c>
      <c r="H274" s="7">
        <v>0</v>
      </c>
      <c r="I274">
        <v>25</v>
      </c>
      <c r="J274">
        <v>27</v>
      </c>
      <c r="K274" s="14">
        <v>0.6</v>
      </c>
      <c r="L274" s="7">
        <f t="shared" si="8"/>
        <v>0</v>
      </c>
      <c r="M274" s="14">
        <v>0.72</v>
      </c>
      <c r="N274" s="7">
        <f t="shared" si="9"/>
        <v>0</v>
      </c>
    </row>
    <row r="275" spans="1:14" x14ac:dyDescent="0.2">
      <c r="A275" s="2" t="s">
        <v>704</v>
      </c>
      <c r="B275" s="2" t="s">
        <v>34</v>
      </c>
      <c r="C275" s="2" t="s">
        <v>37</v>
      </c>
      <c r="D275" s="2">
        <v>1023123</v>
      </c>
      <c r="E275" s="2" t="s">
        <v>346</v>
      </c>
      <c r="F275" s="2" t="s">
        <v>43</v>
      </c>
      <c r="G275" s="2" t="s">
        <v>345</v>
      </c>
      <c r="H275" s="7">
        <v>8219.8520000000008</v>
      </c>
      <c r="I275">
        <v>25</v>
      </c>
      <c r="J275">
        <v>27</v>
      </c>
      <c r="K275" s="14">
        <v>0.6</v>
      </c>
      <c r="L275" s="7">
        <f t="shared" si="8"/>
        <v>4931.9112000000005</v>
      </c>
      <c r="M275" s="14">
        <v>0.72</v>
      </c>
      <c r="N275" s="7">
        <f t="shared" si="9"/>
        <v>5918.2934400000004</v>
      </c>
    </row>
    <row r="276" spans="1:14" x14ac:dyDescent="0.2">
      <c r="A276" s="2" t="s">
        <v>704</v>
      </c>
      <c r="B276" s="2" t="s">
        <v>34</v>
      </c>
      <c r="C276" s="2" t="s">
        <v>37</v>
      </c>
      <c r="D276" s="2">
        <v>1023184</v>
      </c>
      <c r="E276" s="2" t="s">
        <v>863</v>
      </c>
      <c r="F276" s="2" t="s">
        <v>43</v>
      </c>
      <c r="G276" s="2" t="s">
        <v>864</v>
      </c>
      <c r="H276" s="7">
        <v>0</v>
      </c>
      <c r="I276">
        <v>25</v>
      </c>
      <c r="J276">
        <v>27</v>
      </c>
      <c r="K276" s="14">
        <v>0.6</v>
      </c>
      <c r="L276" s="7">
        <f t="shared" si="8"/>
        <v>0</v>
      </c>
      <c r="M276" s="14">
        <v>0.72</v>
      </c>
      <c r="N276" s="7">
        <f t="shared" si="9"/>
        <v>0</v>
      </c>
    </row>
    <row r="277" spans="1:14" x14ac:dyDescent="0.2">
      <c r="A277" s="2" t="s">
        <v>704</v>
      </c>
      <c r="B277" s="2" t="s">
        <v>34</v>
      </c>
      <c r="C277" s="2" t="s">
        <v>37</v>
      </c>
      <c r="D277" s="2">
        <v>1023247</v>
      </c>
      <c r="E277" s="2" t="s">
        <v>865</v>
      </c>
      <c r="F277" s="2" t="s">
        <v>178</v>
      </c>
      <c r="G277" s="2" t="s">
        <v>478</v>
      </c>
      <c r="H277" s="7">
        <v>0</v>
      </c>
      <c r="I277">
        <v>25</v>
      </c>
      <c r="J277">
        <v>27</v>
      </c>
      <c r="K277" s="14">
        <v>0.6</v>
      </c>
      <c r="L277" s="7">
        <f t="shared" si="8"/>
        <v>0</v>
      </c>
      <c r="M277" s="14">
        <v>0.72</v>
      </c>
      <c r="N277" s="7">
        <f t="shared" si="9"/>
        <v>0</v>
      </c>
    </row>
    <row r="278" spans="1:14" x14ac:dyDescent="0.2">
      <c r="A278" s="2" t="s">
        <v>704</v>
      </c>
      <c r="B278" s="2" t="s">
        <v>34</v>
      </c>
      <c r="C278" s="2" t="s">
        <v>37</v>
      </c>
      <c r="D278" s="2">
        <v>1023265</v>
      </c>
      <c r="E278" s="2" t="s">
        <v>348</v>
      </c>
      <c r="F278" s="2" t="s">
        <v>191</v>
      </c>
      <c r="G278" s="2" t="s">
        <v>347</v>
      </c>
      <c r="H278" s="7">
        <v>16079.977999999999</v>
      </c>
      <c r="I278">
        <v>25</v>
      </c>
      <c r="J278">
        <v>27</v>
      </c>
      <c r="K278" s="14">
        <v>0.6</v>
      </c>
      <c r="L278" s="7">
        <f t="shared" si="8"/>
        <v>9647.9867999999988</v>
      </c>
      <c r="M278" s="14">
        <v>0.72</v>
      </c>
      <c r="N278" s="7">
        <f t="shared" si="9"/>
        <v>11577.584159999999</v>
      </c>
    </row>
    <row r="279" spans="1:14" x14ac:dyDescent="0.2">
      <c r="A279" s="2" t="s">
        <v>704</v>
      </c>
      <c r="B279" s="2" t="s">
        <v>34</v>
      </c>
      <c r="C279" s="2" t="s">
        <v>37</v>
      </c>
      <c r="D279" s="2">
        <v>1023269</v>
      </c>
      <c r="E279" s="2" t="s">
        <v>866</v>
      </c>
      <c r="F279" s="2" t="s">
        <v>96</v>
      </c>
      <c r="G279" s="2" t="s">
        <v>436</v>
      </c>
      <c r="H279" s="7">
        <v>0</v>
      </c>
      <c r="I279">
        <v>25</v>
      </c>
      <c r="J279">
        <v>27</v>
      </c>
      <c r="K279" s="14">
        <v>0.6</v>
      </c>
      <c r="L279" s="7">
        <f t="shared" si="8"/>
        <v>0</v>
      </c>
      <c r="M279" s="14">
        <v>0.72</v>
      </c>
      <c r="N279" s="7">
        <f t="shared" si="9"/>
        <v>0</v>
      </c>
    </row>
    <row r="280" spans="1:14" x14ac:dyDescent="0.2">
      <c r="A280" s="2" t="s">
        <v>704</v>
      </c>
      <c r="B280" s="2" t="s">
        <v>34</v>
      </c>
      <c r="C280" s="2" t="s">
        <v>37</v>
      </c>
      <c r="D280" s="2">
        <v>1023357</v>
      </c>
      <c r="E280" s="2" t="s">
        <v>47</v>
      </c>
      <c r="F280" s="2" t="s">
        <v>124</v>
      </c>
      <c r="G280" s="2" t="s">
        <v>689</v>
      </c>
      <c r="H280" s="7">
        <v>0</v>
      </c>
      <c r="I280">
        <v>25</v>
      </c>
      <c r="J280">
        <v>27</v>
      </c>
      <c r="K280" s="14">
        <v>0.6</v>
      </c>
      <c r="L280" s="7">
        <f t="shared" si="8"/>
        <v>0</v>
      </c>
      <c r="M280" s="14">
        <v>0.72</v>
      </c>
      <c r="N280" s="7">
        <f t="shared" si="9"/>
        <v>0</v>
      </c>
    </row>
    <row r="281" spans="1:14" x14ac:dyDescent="0.2">
      <c r="A281" s="2" t="s">
        <v>704</v>
      </c>
      <c r="B281" s="2" t="s">
        <v>34</v>
      </c>
      <c r="C281" s="2" t="s">
        <v>867</v>
      </c>
      <c r="D281" s="2">
        <v>1020105</v>
      </c>
      <c r="E281" s="2" t="s">
        <v>868</v>
      </c>
      <c r="F281" s="2" t="s">
        <v>43</v>
      </c>
      <c r="G281" s="2" t="s">
        <v>869</v>
      </c>
      <c r="H281" s="7">
        <v>19597.562000000002</v>
      </c>
      <c r="I281">
        <v>25</v>
      </c>
      <c r="J281">
        <v>27</v>
      </c>
      <c r="K281" s="14">
        <v>0.6</v>
      </c>
      <c r="L281" s="7">
        <f t="shared" si="8"/>
        <v>11758.537200000001</v>
      </c>
      <c r="M281" s="14">
        <v>0.72</v>
      </c>
      <c r="N281" s="7">
        <f t="shared" si="9"/>
        <v>14110.244640000001</v>
      </c>
    </row>
    <row r="282" spans="1:14" x14ac:dyDescent="0.2">
      <c r="A282" s="2" t="s">
        <v>704</v>
      </c>
      <c r="B282" s="2" t="s">
        <v>34</v>
      </c>
      <c r="C282" s="2" t="s">
        <v>867</v>
      </c>
      <c r="D282" s="2">
        <v>1020110</v>
      </c>
      <c r="E282" s="2" t="s">
        <v>870</v>
      </c>
      <c r="F282" s="2" t="s">
        <v>43</v>
      </c>
      <c r="G282" s="2" t="s">
        <v>871</v>
      </c>
      <c r="H282" s="7">
        <v>35980.684000000001</v>
      </c>
      <c r="I282">
        <v>25</v>
      </c>
      <c r="J282">
        <v>27</v>
      </c>
      <c r="K282" s="14">
        <v>0.6</v>
      </c>
      <c r="L282" s="7">
        <f t="shared" si="8"/>
        <v>21588.410400000001</v>
      </c>
      <c r="M282" s="14">
        <v>0.72</v>
      </c>
      <c r="N282" s="7">
        <f t="shared" si="9"/>
        <v>25906.092479999999</v>
      </c>
    </row>
    <row r="283" spans="1:14" x14ac:dyDescent="0.2">
      <c r="A283" s="2" t="s">
        <v>704</v>
      </c>
      <c r="B283" s="2" t="s">
        <v>34</v>
      </c>
      <c r="C283" s="2" t="s">
        <v>867</v>
      </c>
      <c r="D283" s="2">
        <v>1020589</v>
      </c>
      <c r="E283" s="2" t="s">
        <v>872</v>
      </c>
      <c r="F283" s="2" t="s">
        <v>43</v>
      </c>
      <c r="G283" s="2" t="s">
        <v>873</v>
      </c>
      <c r="H283" s="7">
        <v>2560.2689999999998</v>
      </c>
      <c r="I283">
        <v>25</v>
      </c>
      <c r="J283">
        <v>27</v>
      </c>
      <c r="K283" s="14">
        <v>0.6</v>
      </c>
      <c r="L283" s="7">
        <f t="shared" si="8"/>
        <v>1536.1613999999997</v>
      </c>
      <c r="M283" s="14">
        <v>0.72</v>
      </c>
      <c r="N283" s="7">
        <f t="shared" si="9"/>
        <v>1843.3936799999997</v>
      </c>
    </row>
    <row r="284" spans="1:14" x14ac:dyDescent="0.2">
      <c r="A284" s="2" t="s">
        <v>704</v>
      </c>
      <c r="B284" s="2" t="s">
        <v>34</v>
      </c>
      <c r="C284" s="2" t="s">
        <v>867</v>
      </c>
      <c r="D284" s="2">
        <v>1020592</v>
      </c>
      <c r="E284" s="2" t="s">
        <v>874</v>
      </c>
      <c r="F284" s="2" t="s">
        <v>43</v>
      </c>
      <c r="G284" s="2" t="s">
        <v>875</v>
      </c>
      <c r="H284" s="7">
        <v>23529.067999999999</v>
      </c>
      <c r="I284">
        <v>25</v>
      </c>
      <c r="J284">
        <v>27</v>
      </c>
      <c r="K284" s="14">
        <v>0.6</v>
      </c>
      <c r="L284" s="7">
        <f t="shared" si="8"/>
        <v>14117.440799999998</v>
      </c>
      <c r="M284" s="14">
        <v>0.72</v>
      </c>
      <c r="N284" s="7">
        <f t="shared" si="9"/>
        <v>16940.928959999997</v>
      </c>
    </row>
    <row r="285" spans="1:14" x14ac:dyDescent="0.2">
      <c r="A285" s="2" t="s">
        <v>704</v>
      </c>
      <c r="B285" s="2" t="s">
        <v>34</v>
      </c>
      <c r="C285" s="2" t="s">
        <v>867</v>
      </c>
      <c r="D285" s="2">
        <v>1020636</v>
      </c>
      <c r="E285" s="2" t="s">
        <v>876</v>
      </c>
      <c r="F285" s="2" t="s">
        <v>67</v>
      </c>
      <c r="G285" s="2" t="s">
        <v>877</v>
      </c>
      <c r="H285" s="7">
        <v>3500</v>
      </c>
      <c r="I285">
        <v>25</v>
      </c>
      <c r="J285">
        <v>27</v>
      </c>
      <c r="K285" s="14">
        <v>0.6</v>
      </c>
      <c r="L285" s="7">
        <f t="shared" si="8"/>
        <v>2100</v>
      </c>
      <c r="M285" s="14">
        <v>0.72</v>
      </c>
      <c r="N285" s="7">
        <f t="shared" si="9"/>
        <v>2520</v>
      </c>
    </row>
    <row r="286" spans="1:14" x14ac:dyDescent="0.2">
      <c r="A286" s="2" t="s">
        <v>704</v>
      </c>
      <c r="B286" s="2" t="s">
        <v>34</v>
      </c>
      <c r="C286" s="2" t="s">
        <v>867</v>
      </c>
      <c r="D286" s="2">
        <v>1020637</v>
      </c>
      <c r="E286" s="2" t="s">
        <v>878</v>
      </c>
      <c r="F286" s="2" t="s">
        <v>178</v>
      </c>
      <c r="G286" s="2" t="s">
        <v>879</v>
      </c>
      <c r="H286" s="7">
        <v>10409.892</v>
      </c>
      <c r="I286">
        <v>25</v>
      </c>
      <c r="J286">
        <v>27</v>
      </c>
      <c r="K286" s="14">
        <v>0.6</v>
      </c>
      <c r="L286" s="7">
        <f t="shared" si="8"/>
        <v>6245.9351999999999</v>
      </c>
      <c r="M286" s="14">
        <v>0.72</v>
      </c>
      <c r="N286" s="7">
        <f t="shared" si="9"/>
        <v>7495.1222399999997</v>
      </c>
    </row>
    <row r="287" spans="1:14" x14ac:dyDescent="0.2">
      <c r="A287" s="2" t="s">
        <v>704</v>
      </c>
      <c r="B287" s="2" t="s">
        <v>34</v>
      </c>
      <c r="C287" s="2" t="s">
        <v>867</v>
      </c>
      <c r="D287" s="2">
        <v>1022600</v>
      </c>
      <c r="E287" s="2" t="s">
        <v>880</v>
      </c>
      <c r="F287" s="2" t="s">
        <v>43</v>
      </c>
      <c r="G287" s="2" t="s">
        <v>881</v>
      </c>
      <c r="H287" s="7">
        <v>2045.5409999999999</v>
      </c>
      <c r="I287">
        <v>25</v>
      </c>
      <c r="J287">
        <v>27</v>
      </c>
      <c r="K287" s="14">
        <v>0.6</v>
      </c>
      <c r="L287" s="7">
        <f t="shared" si="8"/>
        <v>1227.3245999999999</v>
      </c>
      <c r="M287" s="14">
        <v>0.72</v>
      </c>
      <c r="N287" s="7">
        <f t="shared" si="9"/>
        <v>1472.7895199999998</v>
      </c>
    </row>
    <row r="288" spans="1:14" x14ac:dyDescent="0.2">
      <c r="A288" s="2" t="s">
        <v>704</v>
      </c>
      <c r="B288" s="2" t="s">
        <v>34</v>
      </c>
      <c r="C288" s="2" t="s">
        <v>867</v>
      </c>
      <c r="D288" s="2">
        <v>1022931</v>
      </c>
      <c r="E288" s="2" t="s">
        <v>882</v>
      </c>
      <c r="F288" s="2" t="s">
        <v>67</v>
      </c>
      <c r="G288" s="2" t="s">
        <v>883</v>
      </c>
      <c r="H288" s="7">
        <v>12254.448</v>
      </c>
      <c r="I288">
        <v>25</v>
      </c>
      <c r="J288">
        <v>27</v>
      </c>
      <c r="K288" s="14">
        <v>0.6</v>
      </c>
      <c r="L288" s="7">
        <f t="shared" si="8"/>
        <v>7352.6688000000004</v>
      </c>
      <c r="M288" s="14">
        <v>0.72</v>
      </c>
      <c r="N288" s="7">
        <f t="shared" si="9"/>
        <v>8823.2025599999997</v>
      </c>
    </row>
    <row r="289" spans="1:14" x14ac:dyDescent="0.2">
      <c r="A289" s="2" t="s">
        <v>704</v>
      </c>
      <c r="B289" s="2" t="s">
        <v>34</v>
      </c>
      <c r="C289" s="2" t="s">
        <v>867</v>
      </c>
      <c r="D289" s="2">
        <v>1023350</v>
      </c>
      <c r="E289" s="2" t="s">
        <v>884</v>
      </c>
      <c r="F289" s="2" t="s">
        <v>43</v>
      </c>
      <c r="G289" s="2" t="s">
        <v>885</v>
      </c>
      <c r="H289" s="7">
        <v>2529.8560000000002</v>
      </c>
      <c r="I289">
        <v>25</v>
      </c>
      <c r="J289">
        <v>27</v>
      </c>
      <c r="K289" s="14">
        <v>0.6</v>
      </c>
      <c r="L289" s="7">
        <f t="shared" si="8"/>
        <v>1517.9136000000001</v>
      </c>
      <c r="M289" s="14">
        <v>0.72</v>
      </c>
      <c r="N289" s="7">
        <f t="shared" si="9"/>
        <v>1821.4963200000002</v>
      </c>
    </row>
    <row r="290" spans="1:14" x14ac:dyDescent="0.2">
      <c r="A290" s="2" t="s">
        <v>704</v>
      </c>
      <c r="B290" s="2" t="s">
        <v>34</v>
      </c>
      <c r="C290" s="2" t="s">
        <v>867</v>
      </c>
      <c r="D290" s="2">
        <v>1023352</v>
      </c>
      <c r="E290" s="2" t="s">
        <v>886</v>
      </c>
      <c r="F290" s="2" t="s">
        <v>178</v>
      </c>
      <c r="G290" s="2" t="s">
        <v>887</v>
      </c>
      <c r="H290" s="7">
        <v>15946.088</v>
      </c>
      <c r="I290">
        <v>25</v>
      </c>
      <c r="J290">
        <v>27</v>
      </c>
      <c r="K290" s="14">
        <v>0.6</v>
      </c>
      <c r="L290" s="7">
        <f t="shared" si="8"/>
        <v>9567.6527999999998</v>
      </c>
      <c r="M290" s="14">
        <v>0.72</v>
      </c>
      <c r="N290" s="7">
        <f t="shared" si="9"/>
        <v>11481.183359999999</v>
      </c>
    </row>
    <row r="291" spans="1:14" x14ac:dyDescent="0.2">
      <c r="A291" s="2" t="s">
        <v>704</v>
      </c>
      <c r="B291" s="2" t="s">
        <v>50</v>
      </c>
      <c r="C291" s="2" t="s">
        <v>52</v>
      </c>
      <c r="D291" s="2">
        <v>1030228</v>
      </c>
      <c r="E291" s="2" t="s">
        <v>206</v>
      </c>
      <c r="F291" s="2" t="s">
        <v>207</v>
      </c>
      <c r="G291" s="2" t="s">
        <v>205</v>
      </c>
      <c r="H291" s="7">
        <v>0</v>
      </c>
      <c r="I291">
        <v>25</v>
      </c>
      <c r="J291">
        <v>27</v>
      </c>
      <c r="K291" s="14">
        <v>0.6</v>
      </c>
      <c r="L291" s="7">
        <f t="shared" si="8"/>
        <v>0</v>
      </c>
      <c r="M291" s="14">
        <v>0.72</v>
      </c>
      <c r="N291" s="7">
        <f t="shared" si="9"/>
        <v>0</v>
      </c>
    </row>
    <row r="292" spans="1:14" x14ac:dyDescent="0.2">
      <c r="A292" s="2" t="s">
        <v>704</v>
      </c>
      <c r="B292" s="2" t="s">
        <v>50</v>
      </c>
      <c r="C292" s="2" t="s">
        <v>52</v>
      </c>
      <c r="D292" s="2">
        <v>1030239</v>
      </c>
      <c r="E292" s="2" t="s">
        <v>209</v>
      </c>
      <c r="F292" s="2" t="s">
        <v>63</v>
      </c>
      <c r="G292" s="2" t="s">
        <v>208</v>
      </c>
      <c r="H292" s="7">
        <v>0</v>
      </c>
      <c r="I292">
        <v>25</v>
      </c>
      <c r="J292">
        <v>27</v>
      </c>
      <c r="K292" s="14">
        <v>0.6</v>
      </c>
      <c r="L292" s="7">
        <f t="shared" si="8"/>
        <v>0</v>
      </c>
      <c r="M292" s="14">
        <v>0.72</v>
      </c>
      <c r="N292" s="7">
        <f t="shared" si="9"/>
        <v>0</v>
      </c>
    </row>
    <row r="293" spans="1:14" x14ac:dyDescent="0.2">
      <c r="A293" s="2" t="s">
        <v>704</v>
      </c>
      <c r="B293" s="2" t="s">
        <v>50</v>
      </c>
      <c r="C293" s="2" t="s">
        <v>52</v>
      </c>
      <c r="D293" s="2">
        <v>1030370</v>
      </c>
      <c r="E293" s="2" t="s">
        <v>356</v>
      </c>
      <c r="F293" s="2" t="s">
        <v>181</v>
      </c>
      <c r="G293" s="2" t="s">
        <v>355</v>
      </c>
      <c r="H293" s="7">
        <v>0</v>
      </c>
      <c r="I293">
        <v>25</v>
      </c>
      <c r="J293">
        <v>27</v>
      </c>
      <c r="K293" s="14">
        <v>0.6</v>
      </c>
      <c r="L293" s="7">
        <f t="shared" si="8"/>
        <v>0</v>
      </c>
      <c r="M293" s="14">
        <v>0.72</v>
      </c>
      <c r="N293" s="7">
        <f t="shared" si="9"/>
        <v>0</v>
      </c>
    </row>
    <row r="294" spans="1:14" x14ac:dyDescent="0.2">
      <c r="A294" s="2" t="s">
        <v>704</v>
      </c>
      <c r="B294" s="2" t="s">
        <v>50</v>
      </c>
      <c r="C294" s="2" t="s">
        <v>52</v>
      </c>
      <c r="D294" s="2">
        <v>1030379</v>
      </c>
      <c r="E294" s="2" t="s">
        <v>98</v>
      </c>
      <c r="F294" s="2" t="s">
        <v>79</v>
      </c>
      <c r="G294" s="2" t="s">
        <v>97</v>
      </c>
      <c r="H294" s="7">
        <v>312044.28000000003</v>
      </c>
      <c r="I294">
        <v>25</v>
      </c>
      <c r="J294">
        <v>27</v>
      </c>
      <c r="K294" s="14">
        <v>0.6</v>
      </c>
      <c r="L294" s="7">
        <f t="shared" si="8"/>
        <v>187226.568</v>
      </c>
      <c r="M294" s="14">
        <v>0.72</v>
      </c>
      <c r="N294" s="7">
        <f t="shared" si="9"/>
        <v>224671.88160000002</v>
      </c>
    </row>
    <row r="295" spans="1:14" x14ac:dyDescent="0.2">
      <c r="A295" s="2" t="s">
        <v>704</v>
      </c>
      <c r="B295" s="2" t="s">
        <v>50</v>
      </c>
      <c r="C295" s="2" t="s">
        <v>52</v>
      </c>
      <c r="D295" s="2">
        <v>1030424</v>
      </c>
      <c r="E295" s="2" t="s">
        <v>360</v>
      </c>
      <c r="F295" s="2" t="s">
        <v>79</v>
      </c>
      <c r="G295" s="2" t="s">
        <v>359</v>
      </c>
      <c r="H295" s="7">
        <v>90336.08</v>
      </c>
      <c r="I295">
        <v>25</v>
      </c>
      <c r="J295">
        <v>27</v>
      </c>
      <c r="K295" s="14">
        <v>0.6</v>
      </c>
      <c r="L295" s="7">
        <f t="shared" si="8"/>
        <v>54201.648000000001</v>
      </c>
      <c r="M295" s="14">
        <v>0.72</v>
      </c>
      <c r="N295" s="7">
        <f t="shared" si="9"/>
        <v>65041.977599999998</v>
      </c>
    </row>
    <row r="296" spans="1:14" x14ac:dyDescent="0.2">
      <c r="A296" s="2" t="s">
        <v>704</v>
      </c>
      <c r="B296" s="2" t="s">
        <v>50</v>
      </c>
      <c r="C296" s="2" t="s">
        <v>52</v>
      </c>
      <c r="D296" s="2">
        <v>1030452</v>
      </c>
      <c r="E296" s="2" t="s">
        <v>78</v>
      </c>
      <c r="F296" s="2" t="s">
        <v>79</v>
      </c>
      <c r="G296" s="2" t="s">
        <v>77</v>
      </c>
      <c r="H296" s="7">
        <v>51206.207999999999</v>
      </c>
      <c r="I296">
        <v>25</v>
      </c>
      <c r="J296">
        <v>27</v>
      </c>
      <c r="K296" s="14">
        <v>0.6</v>
      </c>
      <c r="L296" s="7">
        <f t="shared" si="8"/>
        <v>30723.724799999996</v>
      </c>
      <c r="M296" s="14">
        <v>0.72</v>
      </c>
      <c r="N296" s="7">
        <f t="shared" si="9"/>
        <v>36868.46976</v>
      </c>
    </row>
    <row r="297" spans="1:14" x14ac:dyDescent="0.2">
      <c r="A297" s="2" t="s">
        <v>704</v>
      </c>
      <c r="B297" s="2" t="s">
        <v>50</v>
      </c>
      <c r="C297" s="2" t="s">
        <v>52</v>
      </c>
      <c r="D297" s="2">
        <v>1030461</v>
      </c>
      <c r="E297" s="2" t="s">
        <v>129</v>
      </c>
      <c r="F297" s="2" t="s">
        <v>79</v>
      </c>
      <c r="G297" s="2" t="s">
        <v>128</v>
      </c>
      <c r="H297" s="7">
        <v>31981.392</v>
      </c>
      <c r="I297">
        <v>25</v>
      </c>
      <c r="J297">
        <v>27</v>
      </c>
      <c r="K297" s="14">
        <v>0.6</v>
      </c>
      <c r="L297" s="7">
        <f t="shared" si="8"/>
        <v>19188.835199999998</v>
      </c>
      <c r="M297" s="14">
        <v>0.72</v>
      </c>
      <c r="N297" s="7">
        <f t="shared" si="9"/>
        <v>23026.60224</v>
      </c>
    </row>
    <row r="298" spans="1:14" x14ac:dyDescent="0.2">
      <c r="A298" s="2" t="s">
        <v>704</v>
      </c>
      <c r="B298" s="2" t="s">
        <v>50</v>
      </c>
      <c r="C298" s="2" t="s">
        <v>52</v>
      </c>
      <c r="D298" s="2">
        <v>1030735</v>
      </c>
      <c r="E298" s="2" t="s">
        <v>362</v>
      </c>
      <c r="F298" s="2" t="s">
        <v>54</v>
      </c>
      <c r="G298" s="2" t="s">
        <v>361</v>
      </c>
      <c r="H298" s="7">
        <v>0</v>
      </c>
      <c r="I298">
        <v>25</v>
      </c>
      <c r="J298">
        <v>27</v>
      </c>
      <c r="K298" s="14">
        <v>0.6</v>
      </c>
      <c r="L298" s="7">
        <f t="shared" si="8"/>
        <v>0</v>
      </c>
      <c r="M298" s="14">
        <v>0.72</v>
      </c>
      <c r="N298" s="7">
        <f t="shared" si="9"/>
        <v>0</v>
      </c>
    </row>
    <row r="299" spans="1:14" x14ac:dyDescent="0.2">
      <c r="A299" s="2" t="s">
        <v>704</v>
      </c>
      <c r="B299" s="2" t="s">
        <v>50</v>
      </c>
      <c r="C299" s="2" t="s">
        <v>52</v>
      </c>
      <c r="D299" s="2">
        <v>1030745</v>
      </c>
      <c r="E299" s="2" t="s">
        <v>53</v>
      </c>
      <c r="F299" s="2" t="s">
        <v>54</v>
      </c>
      <c r="G299" s="2" t="s">
        <v>51</v>
      </c>
      <c r="H299" s="7">
        <v>0</v>
      </c>
      <c r="I299">
        <v>25</v>
      </c>
      <c r="J299">
        <v>27</v>
      </c>
      <c r="K299" s="14">
        <v>0.6</v>
      </c>
      <c r="L299" s="7">
        <f t="shared" si="8"/>
        <v>0</v>
      </c>
      <c r="M299" s="14">
        <v>0.72</v>
      </c>
      <c r="N299" s="7">
        <f t="shared" si="9"/>
        <v>0</v>
      </c>
    </row>
    <row r="300" spans="1:14" x14ac:dyDescent="0.2">
      <c r="A300" s="2" t="s">
        <v>704</v>
      </c>
      <c r="B300" s="2" t="s">
        <v>50</v>
      </c>
      <c r="C300" s="2" t="s">
        <v>52</v>
      </c>
      <c r="D300" s="2">
        <v>1030773</v>
      </c>
      <c r="E300" s="2" t="s">
        <v>211</v>
      </c>
      <c r="F300" s="2" t="s">
        <v>79</v>
      </c>
      <c r="G300" s="2" t="s">
        <v>210</v>
      </c>
      <c r="H300" s="7">
        <v>0</v>
      </c>
      <c r="I300">
        <v>25</v>
      </c>
      <c r="J300">
        <v>27</v>
      </c>
      <c r="K300" s="14">
        <v>0.6</v>
      </c>
      <c r="L300" s="7">
        <f t="shared" si="8"/>
        <v>0</v>
      </c>
      <c r="M300" s="14">
        <v>0.72</v>
      </c>
      <c r="N300" s="7">
        <f t="shared" si="9"/>
        <v>0</v>
      </c>
    </row>
    <row r="301" spans="1:14" x14ac:dyDescent="0.2">
      <c r="A301" s="2" t="s">
        <v>704</v>
      </c>
      <c r="B301" s="2" t="s">
        <v>50</v>
      </c>
      <c r="C301" s="2" t="s">
        <v>52</v>
      </c>
      <c r="D301" s="2">
        <v>1030782</v>
      </c>
      <c r="E301" s="2" t="s">
        <v>81</v>
      </c>
      <c r="F301" s="2" t="s">
        <v>79</v>
      </c>
      <c r="G301" s="2" t="s">
        <v>80</v>
      </c>
      <c r="H301" s="7">
        <v>0</v>
      </c>
      <c r="I301">
        <v>25</v>
      </c>
      <c r="J301">
        <v>27</v>
      </c>
      <c r="K301" s="14">
        <v>0.6</v>
      </c>
      <c r="L301" s="7">
        <f t="shared" si="8"/>
        <v>0</v>
      </c>
      <c r="M301" s="14">
        <v>0.72</v>
      </c>
      <c r="N301" s="7">
        <f t="shared" si="9"/>
        <v>0</v>
      </c>
    </row>
    <row r="302" spans="1:14" x14ac:dyDescent="0.2">
      <c r="A302" s="2" t="s">
        <v>704</v>
      </c>
      <c r="B302" s="2" t="s">
        <v>50</v>
      </c>
      <c r="C302" s="2" t="s">
        <v>52</v>
      </c>
      <c r="D302" s="2">
        <v>1030783</v>
      </c>
      <c r="E302" s="2" t="s">
        <v>131</v>
      </c>
      <c r="F302" s="2" t="s">
        <v>132</v>
      </c>
      <c r="G302" s="2" t="s">
        <v>130</v>
      </c>
      <c r="H302" s="7">
        <v>0</v>
      </c>
      <c r="I302">
        <v>25</v>
      </c>
      <c r="J302">
        <v>27</v>
      </c>
      <c r="K302" s="14">
        <v>0.6</v>
      </c>
      <c r="L302" s="7">
        <f t="shared" si="8"/>
        <v>0</v>
      </c>
      <c r="M302" s="14">
        <v>0.72</v>
      </c>
      <c r="N302" s="7">
        <f t="shared" si="9"/>
        <v>0</v>
      </c>
    </row>
    <row r="303" spans="1:14" x14ac:dyDescent="0.2">
      <c r="A303" s="2" t="s">
        <v>704</v>
      </c>
      <c r="B303" s="2" t="s">
        <v>50</v>
      </c>
      <c r="C303" s="2" t="s">
        <v>52</v>
      </c>
      <c r="D303" s="2">
        <v>1030818</v>
      </c>
      <c r="E303" s="2" t="s">
        <v>134</v>
      </c>
      <c r="F303" s="2" t="s">
        <v>79</v>
      </c>
      <c r="G303" s="2" t="s">
        <v>133</v>
      </c>
      <c r="H303" s="7">
        <v>0</v>
      </c>
      <c r="I303">
        <v>25</v>
      </c>
      <c r="J303">
        <v>27</v>
      </c>
      <c r="K303" s="14">
        <v>0.6</v>
      </c>
      <c r="L303" s="7">
        <f t="shared" si="8"/>
        <v>0</v>
      </c>
      <c r="M303" s="14">
        <v>0.72</v>
      </c>
      <c r="N303" s="7">
        <f t="shared" si="9"/>
        <v>0</v>
      </c>
    </row>
    <row r="304" spans="1:14" x14ac:dyDescent="0.2">
      <c r="A304" s="2" t="s">
        <v>704</v>
      </c>
      <c r="B304" s="2" t="s">
        <v>50</v>
      </c>
      <c r="C304" s="2" t="s">
        <v>52</v>
      </c>
      <c r="D304" s="2">
        <v>1030837</v>
      </c>
      <c r="E304" s="2" t="s">
        <v>888</v>
      </c>
      <c r="F304" s="2" t="s">
        <v>79</v>
      </c>
      <c r="G304" s="2" t="s">
        <v>408</v>
      </c>
      <c r="H304" s="7">
        <v>0</v>
      </c>
      <c r="I304">
        <v>25</v>
      </c>
      <c r="J304">
        <v>27</v>
      </c>
      <c r="K304" s="14">
        <v>0.6</v>
      </c>
      <c r="L304" s="7">
        <f t="shared" si="8"/>
        <v>0</v>
      </c>
      <c r="M304" s="14">
        <v>0.72</v>
      </c>
      <c r="N304" s="7">
        <f t="shared" si="9"/>
        <v>0</v>
      </c>
    </row>
    <row r="305" spans="1:14" x14ac:dyDescent="0.2">
      <c r="A305" s="2" t="s">
        <v>704</v>
      </c>
      <c r="B305" s="2" t="s">
        <v>50</v>
      </c>
      <c r="C305" s="2" t="s">
        <v>226</v>
      </c>
      <c r="D305" s="2">
        <v>1030224</v>
      </c>
      <c r="E305" s="2" t="s">
        <v>380</v>
      </c>
      <c r="F305" s="2" t="s">
        <v>214</v>
      </c>
      <c r="G305" s="2" t="s">
        <v>527</v>
      </c>
      <c r="H305" s="7">
        <v>214828.43599999999</v>
      </c>
      <c r="I305">
        <v>25</v>
      </c>
      <c r="J305">
        <v>27</v>
      </c>
      <c r="K305" s="14">
        <v>0.6</v>
      </c>
      <c r="L305" s="7">
        <f t="shared" si="8"/>
        <v>128897.06159999999</v>
      </c>
      <c r="M305" s="14">
        <v>0.72</v>
      </c>
      <c r="N305" s="7">
        <f t="shared" si="9"/>
        <v>154676.47391999999</v>
      </c>
    </row>
    <row r="306" spans="1:14" x14ac:dyDescent="0.2">
      <c r="A306" s="2" t="s">
        <v>704</v>
      </c>
      <c r="B306" s="2" t="s">
        <v>50</v>
      </c>
      <c r="C306" s="2" t="s">
        <v>226</v>
      </c>
      <c r="D306" s="2">
        <v>1030265</v>
      </c>
      <c r="E306" s="2" t="s">
        <v>368</v>
      </c>
      <c r="F306" s="2" t="s">
        <v>79</v>
      </c>
      <c r="G306" s="2" t="s">
        <v>367</v>
      </c>
      <c r="H306" s="7">
        <v>86400</v>
      </c>
      <c r="I306">
        <v>25</v>
      </c>
      <c r="J306">
        <v>27</v>
      </c>
      <c r="K306" s="14">
        <v>0.6</v>
      </c>
      <c r="L306" s="7">
        <f t="shared" si="8"/>
        <v>51840</v>
      </c>
      <c r="M306" s="14">
        <v>0.72</v>
      </c>
      <c r="N306" s="7">
        <f t="shared" si="9"/>
        <v>62208</v>
      </c>
    </row>
    <row r="307" spans="1:14" x14ac:dyDescent="0.2">
      <c r="A307" s="2" t="s">
        <v>704</v>
      </c>
      <c r="B307" s="2" t="s">
        <v>50</v>
      </c>
      <c r="C307" s="2" t="s">
        <v>226</v>
      </c>
      <c r="D307" s="2">
        <v>1030279</v>
      </c>
      <c r="E307" s="2" t="s">
        <v>889</v>
      </c>
      <c r="F307" s="2" t="s">
        <v>207</v>
      </c>
      <c r="G307" s="2" t="s">
        <v>461</v>
      </c>
      <c r="H307" s="7">
        <v>43200</v>
      </c>
      <c r="I307">
        <v>25</v>
      </c>
      <c r="J307">
        <v>27</v>
      </c>
      <c r="K307" s="14">
        <v>0.6</v>
      </c>
      <c r="L307" s="7">
        <f t="shared" si="8"/>
        <v>25920</v>
      </c>
      <c r="M307" s="14">
        <v>0.72</v>
      </c>
      <c r="N307" s="7">
        <f t="shared" si="9"/>
        <v>31104</v>
      </c>
    </row>
    <row r="308" spans="1:14" x14ac:dyDescent="0.2">
      <c r="A308" s="2" t="s">
        <v>704</v>
      </c>
      <c r="B308" s="2" t="s">
        <v>50</v>
      </c>
      <c r="C308" s="2" t="s">
        <v>226</v>
      </c>
      <c r="D308" s="2">
        <v>1030355</v>
      </c>
      <c r="E308" s="2" t="s">
        <v>890</v>
      </c>
      <c r="F308" s="2" t="s">
        <v>891</v>
      </c>
      <c r="G308" s="2" t="s">
        <v>385</v>
      </c>
      <c r="H308" s="7">
        <v>24000</v>
      </c>
      <c r="I308">
        <v>25</v>
      </c>
      <c r="J308">
        <v>27</v>
      </c>
      <c r="K308" s="14">
        <v>0.6</v>
      </c>
      <c r="L308" s="7">
        <f t="shared" si="8"/>
        <v>14400</v>
      </c>
      <c r="M308" s="14">
        <v>0.72</v>
      </c>
      <c r="N308" s="7">
        <f t="shared" si="9"/>
        <v>17280</v>
      </c>
    </row>
    <row r="309" spans="1:14" x14ac:dyDescent="0.2">
      <c r="A309" s="2" t="s">
        <v>704</v>
      </c>
      <c r="B309" s="2" t="s">
        <v>50</v>
      </c>
      <c r="C309" s="2" t="s">
        <v>226</v>
      </c>
      <c r="D309" s="2">
        <v>1030388</v>
      </c>
      <c r="E309" s="2" t="s">
        <v>892</v>
      </c>
      <c r="F309" s="2" t="s">
        <v>245</v>
      </c>
      <c r="G309" s="2" t="s">
        <v>455</v>
      </c>
      <c r="H309" s="7">
        <v>0</v>
      </c>
      <c r="I309">
        <v>25</v>
      </c>
      <c r="J309">
        <v>27</v>
      </c>
      <c r="K309" s="14">
        <v>0.6</v>
      </c>
      <c r="L309" s="7">
        <f t="shared" si="8"/>
        <v>0</v>
      </c>
      <c r="M309" s="14">
        <v>0.72</v>
      </c>
      <c r="N309" s="7">
        <f t="shared" si="9"/>
        <v>0</v>
      </c>
    </row>
    <row r="310" spans="1:14" x14ac:dyDescent="0.2">
      <c r="A310" s="2" t="s">
        <v>704</v>
      </c>
      <c r="B310" s="2" t="s">
        <v>50</v>
      </c>
      <c r="C310" s="2" t="s">
        <v>226</v>
      </c>
      <c r="D310" s="2">
        <v>1030498</v>
      </c>
      <c r="E310" s="2" t="s">
        <v>893</v>
      </c>
      <c r="F310" s="2" t="s">
        <v>54</v>
      </c>
      <c r="G310" s="2" t="s">
        <v>471</v>
      </c>
      <c r="H310" s="7">
        <v>96000</v>
      </c>
      <c r="I310">
        <v>25</v>
      </c>
      <c r="J310">
        <v>27</v>
      </c>
      <c r="K310" s="14">
        <v>0.6</v>
      </c>
      <c r="L310" s="7">
        <f t="shared" si="8"/>
        <v>57600</v>
      </c>
      <c r="M310" s="14">
        <v>0.72</v>
      </c>
      <c r="N310" s="7">
        <f t="shared" si="9"/>
        <v>69120</v>
      </c>
    </row>
    <row r="311" spans="1:14" x14ac:dyDescent="0.2">
      <c r="A311" s="2" t="s">
        <v>704</v>
      </c>
      <c r="B311" s="2" t="s">
        <v>50</v>
      </c>
      <c r="C311" s="2" t="s">
        <v>226</v>
      </c>
      <c r="D311" s="2">
        <v>1030635</v>
      </c>
      <c r="E311" s="2" t="s">
        <v>894</v>
      </c>
      <c r="F311" s="2" t="s">
        <v>54</v>
      </c>
      <c r="G311" s="2" t="s">
        <v>470</v>
      </c>
      <c r="H311" s="7">
        <v>0</v>
      </c>
      <c r="I311">
        <v>25</v>
      </c>
      <c r="J311">
        <v>27</v>
      </c>
      <c r="K311" s="14">
        <v>0.6</v>
      </c>
      <c r="L311" s="7">
        <f t="shared" si="8"/>
        <v>0</v>
      </c>
      <c r="M311" s="14">
        <v>0.72</v>
      </c>
      <c r="N311" s="7">
        <f t="shared" si="9"/>
        <v>0</v>
      </c>
    </row>
    <row r="312" spans="1:14" x14ac:dyDescent="0.2">
      <c r="A312" s="2" t="s">
        <v>704</v>
      </c>
      <c r="B312" s="2" t="s">
        <v>50</v>
      </c>
      <c r="C312" s="2" t="s">
        <v>150</v>
      </c>
      <c r="D312" s="2">
        <v>1030337</v>
      </c>
      <c r="E312" s="2" t="s">
        <v>370</v>
      </c>
      <c r="F312" s="2" t="s">
        <v>79</v>
      </c>
      <c r="G312" s="2" t="s">
        <v>369</v>
      </c>
      <c r="H312" s="7">
        <v>72000</v>
      </c>
      <c r="I312">
        <v>23</v>
      </c>
      <c r="J312">
        <v>27</v>
      </c>
      <c r="K312" s="14">
        <v>0.56521739130434778</v>
      </c>
      <c r="L312" s="7">
        <f t="shared" si="8"/>
        <v>40695.65217391304</v>
      </c>
      <c r="M312" s="14">
        <v>0.69565217391304346</v>
      </c>
      <c r="N312" s="7">
        <f t="shared" si="9"/>
        <v>50086.956521739128</v>
      </c>
    </row>
    <row r="313" spans="1:14" x14ac:dyDescent="0.2">
      <c r="A313" s="2" t="s">
        <v>704</v>
      </c>
      <c r="B313" s="2" t="s">
        <v>50</v>
      </c>
      <c r="C313" s="2" t="s">
        <v>150</v>
      </c>
      <c r="D313" s="2">
        <v>1030658</v>
      </c>
      <c r="E313" s="2" t="s">
        <v>372</v>
      </c>
      <c r="F313" s="2" t="s">
        <v>207</v>
      </c>
      <c r="G313" s="2" t="s">
        <v>371</v>
      </c>
      <c r="H313" s="7">
        <v>744538.16</v>
      </c>
      <c r="I313">
        <v>23</v>
      </c>
      <c r="J313">
        <v>27</v>
      </c>
      <c r="K313" s="14">
        <v>0.56521739130434778</v>
      </c>
      <c r="L313" s="7">
        <f t="shared" si="8"/>
        <v>420825.9165217391</v>
      </c>
      <c r="M313" s="14">
        <v>0.69565217391304346</v>
      </c>
      <c r="N313" s="7">
        <f t="shared" si="9"/>
        <v>517939.58956521738</v>
      </c>
    </row>
    <row r="314" spans="1:14" x14ac:dyDescent="0.2">
      <c r="A314" s="2" t="s">
        <v>704</v>
      </c>
      <c r="B314" s="2" t="s">
        <v>50</v>
      </c>
      <c r="C314" s="2" t="s">
        <v>150</v>
      </c>
      <c r="D314" s="2">
        <v>1030792</v>
      </c>
      <c r="E314" s="2" t="s">
        <v>374</v>
      </c>
      <c r="F314" s="2" t="s">
        <v>79</v>
      </c>
      <c r="G314" s="2" t="s">
        <v>373</v>
      </c>
      <c r="H314" s="7">
        <v>0</v>
      </c>
      <c r="I314">
        <v>23</v>
      </c>
      <c r="J314">
        <v>27</v>
      </c>
      <c r="K314" s="14">
        <v>0.56521739130434778</v>
      </c>
      <c r="L314" s="7">
        <f t="shared" si="8"/>
        <v>0</v>
      </c>
      <c r="M314" s="14">
        <v>0.69565217391304346</v>
      </c>
      <c r="N314" s="7">
        <f t="shared" si="9"/>
        <v>0</v>
      </c>
    </row>
    <row r="315" spans="1:14" x14ac:dyDescent="0.2">
      <c r="A315" s="2" t="s">
        <v>704</v>
      </c>
      <c r="B315" s="2" t="s">
        <v>50</v>
      </c>
      <c r="C315" s="2" t="s">
        <v>150</v>
      </c>
      <c r="D315" s="2">
        <v>1030802</v>
      </c>
      <c r="E315" s="2" t="s">
        <v>895</v>
      </c>
      <c r="F315" s="2" t="s">
        <v>710</v>
      </c>
      <c r="G315" s="2" t="s">
        <v>492</v>
      </c>
      <c r="H315" s="7">
        <v>335974.777</v>
      </c>
      <c r="I315">
        <v>23</v>
      </c>
      <c r="J315">
        <v>27</v>
      </c>
      <c r="K315" s="14">
        <v>0.56521739130434778</v>
      </c>
      <c r="L315" s="7">
        <f t="shared" si="8"/>
        <v>189898.78699999998</v>
      </c>
      <c r="M315" s="14">
        <v>0.69565217391304346</v>
      </c>
      <c r="N315" s="7">
        <f t="shared" si="9"/>
        <v>233721.584</v>
      </c>
    </row>
    <row r="316" spans="1:14" x14ac:dyDescent="0.2">
      <c r="A316" s="2" t="s">
        <v>704</v>
      </c>
      <c r="B316" s="2" t="s">
        <v>50</v>
      </c>
      <c r="C316" s="2" t="s">
        <v>150</v>
      </c>
      <c r="D316" s="2">
        <v>1030810</v>
      </c>
      <c r="E316" s="2" t="s">
        <v>376</v>
      </c>
      <c r="F316" s="2" t="s">
        <v>214</v>
      </c>
      <c r="G316" s="2" t="s">
        <v>375</v>
      </c>
      <c r="H316" s="7">
        <v>0</v>
      </c>
      <c r="I316">
        <v>23</v>
      </c>
      <c r="J316">
        <v>27</v>
      </c>
      <c r="K316" s="14">
        <v>0.56521739130434778</v>
      </c>
      <c r="L316" s="7">
        <f t="shared" si="8"/>
        <v>0</v>
      </c>
      <c r="M316" s="14">
        <v>0.69565217391304346</v>
      </c>
      <c r="N316" s="7">
        <f t="shared" si="9"/>
        <v>0</v>
      </c>
    </row>
    <row r="317" spans="1:14" x14ac:dyDescent="0.2">
      <c r="A317" s="2" t="s">
        <v>704</v>
      </c>
      <c r="B317" s="2" t="s">
        <v>50</v>
      </c>
      <c r="C317" s="2" t="s">
        <v>735</v>
      </c>
      <c r="D317" s="2">
        <v>1030817</v>
      </c>
      <c r="E317" s="2" t="s">
        <v>380</v>
      </c>
      <c r="F317" s="2" t="s">
        <v>214</v>
      </c>
      <c r="G317" s="2" t="s">
        <v>504</v>
      </c>
      <c r="H317" s="7">
        <v>96042.627999999997</v>
      </c>
      <c r="I317">
        <v>25</v>
      </c>
      <c r="J317">
        <v>27</v>
      </c>
      <c r="K317" s="14">
        <v>0.6</v>
      </c>
      <c r="L317" s="7">
        <f t="shared" si="8"/>
        <v>57625.576799999995</v>
      </c>
      <c r="M317" s="14">
        <v>0.72</v>
      </c>
      <c r="N317" s="7">
        <f t="shared" si="9"/>
        <v>69150.692159999991</v>
      </c>
    </row>
    <row r="318" spans="1:14" x14ac:dyDescent="0.2">
      <c r="A318" s="2" t="s">
        <v>704</v>
      </c>
      <c r="B318" s="2" t="s">
        <v>50</v>
      </c>
      <c r="C318" s="2" t="s">
        <v>46</v>
      </c>
      <c r="D318" s="2">
        <v>1030388</v>
      </c>
      <c r="E318" s="2" t="s">
        <v>892</v>
      </c>
      <c r="F318" s="2" t="s">
        <v>245</v>
      </c>
      <c r="G318" s="2" t="s">
        <v>896</v>
      </c>
      <c r="H318" s="7">
        <v>334500</v>
      </c>
      <c r="I318">
        <v>25</v>
      </c>
      <c r="J318">
        <v>27</v>
      </c>
      <c r="K318" s="14">
        <v>0.6</v>
      </c>
      <c r="L318" s="7">
        <f t="shared" si="8"/>
        <v>200700</v>
      </c>
      <c r="M318" s="14">
        <v>0.72</v>
      </c>
      <c r="N318" s="7">
        <f t="shared" si="9"/>
        <v>240840</v>
      </c>
    </row>
    <row r="319" spans="1:14" x14ac:dyDescent="0.2">
      <c r="A319" s="2" t="s">
        <v>704</v>
      </c>
      <c r="B319" s="2" t="s">
        <v>50</v>
      </c>
      <c r="C319" s="2" t="s">
        <v>46</v>
      </c>
      <c r="D319" s="2">
        <v>1030506</v>
      </c>
      <c r="E319" s="2" t="s">
        <v>897</v>
      </c>
      <c r="F319" s="2" t="s">
        <v>79</v>
      </c>
      <c r="G319" s="2" t="s">
        <v>506</v>
      </c>
      <c r="H319" s="7">
        <v>192000</v>
      </c>
      <c r="I319">
        <v>25</v>
      </c>
      <c r="J319">
        <v>27</v>
      </c>
      <c r="K319" s="14">
        <v>0.6</v>
      </c>
      <c r="L319" s="7">
        <f t="shared" si="8"/>
        <v>115200</v>
      </c>
      <c r="M319" s="14">
        <v>0.72</v>
      </c>
      <c r="N319" s="7">
        <f t="shared" si="9"/>
        <v>138240</v>
      </c>
    </row>
    <row r="320" spans="1:14" x14ac:dyDescent="0.2">
      <c r="A320" s="2" t="s">
        <v>704</v>
      </c>
      <c r="B320" s="2" t="s">
        <v>50</v>
      </c>
      <c r="C320" s="2" t="s">
        <v>46</v>
      </c>
      <c r="D320" s="2">
        <v>1030525</v>
      </c>
      <c r="E320" s="2" t="s">
        <v>378</v>
      </c>
      <c r="F320" s="2" t="s">
        <v>63</v>
      </c>
      <c r="G320" s="2" t="s">
        <v>377</v>
      </c>
      <c r="H320" s="7">
        <v>0</v>
      </c>
      <c r="I320">
        <v>25</v>
      </c>
      <c r="J320">
        <v>27</v>
      </c>
      <c r="K320" s="14">
        <v>0.6</v>
      </c>
      <c r="L320" s="7">
        <f t="shared" si="8"/>
        <v>0</v>
      </c>
      <c r="M320" s="14">
        <v>0.72</v>
      </c>
      <c r="N320" s="7">
        <f t="shared" si="9"/>
        <v>0</v>
      </c>
    </row>
    <row r="321" spans="1:14" x14ac:dyDescent="0.2">
      <c r="A321" s="2" t="s">
        <v>704</v>
      </c>
      <c r="B321" s="2" t="s">
        <v>50</v>
      </c>
      <c r="C321" s="2" t="s">
        <v>46</v>
      </c>
      <c r="D321" s="2">
        <v>1030566</v>
      </c>
      <c r="E321" s="2" t="s">
        <v>898</v>
      </c>
      <c r="F321" s="2" t="s">
        <v>63</v>
      </c>
      <c r="G321" s="2" t="s">
        <v>439</v>
      </c>
      <c r="H321" s="7">
        <v>0</v>
      </c>
      <c r="I321">
        <v>25</v>
      </c>
      <c r="J321">
        <v>27</v>
      </c>
      <c r="K321" s="14">
        <v>0.6</v>
      </c>
      <c r="L321" s="7">
        <f t="shared" si="8"/>
        <v>0</v>
      </c>
      <c r="M321" s="14">
        <v>0.72</v>
      </c>
      <c r="N321" s="7">
        <f t="shared" si="9"/>
        <v>0</v>
      </c>
    </row>
    <row r="322" spans="1:14" x14ac:dyDescent="0.2">
      <c r="A322" s="2" t="s">
        <v>704</v>
      </c>
      <c r="B322" s="2" t="s">
        <v>50</v>
      </c>
      <c r="C322" s="2" t="s">
        <v>46</v>
      </c>
      <c r="D322" s="2">
        <v>1030683</v>
      </c>
      <c r="E322" s="2" t="s">
        <v>380</v>
      </c>
      <c r="F322" s="2" t="s">
        <v>214</v>
      </c>
      <c r="G322" s="2" t="s">
        <v>379</v>
      </c>
      <c r="H322" s="7">
        <v>288000</v>
      </c>
      <c r="I322">
        <v>25</v>
      </c>
      <c r="J322">
        <v>27</v>
      </c>
      <c r="K322" s="14">
        <v>0.6</v>
      </c>
      <c r="L322" s="7">
        <f t="shared" ref="L322:L385" si="10">K322 * H322</f>
        <v>172800</v>
      </c>
      <c r="M322" s="14">
        <v>0.72</v>
      </c>
      <c r="N322" s="7">
        <f t="shared" ref="N322:N385" si="11">M322 * H322</f>
        <v>207360</v>
      </c>
    </row>
    <row r="323" spans="1:14" x14ac:dyDescent="0.2">
      <c r="A323" s="2" t="s">
        <v>704</v>
      </c>
      <c r="B323" s="2" t="s">
        <v>50</v>
      </c>
      <c r="C323" s="2" t="s">
        <v>46</v>
      </c>
      <c r="D323" s="2">
        <v>1030685</v>
      </c>
      <c r="E323" s="2" t="s">
        <v>899</v>
      </c>
      <c r="F323" s="2" t="s">
        <v>63</v>
      </c>
      <c r="G323" s="2" t="s">
        <v>413</v>
      </c>
      <c r="H323" s="7">
        <v>192000</v>
      </c>
      <c r="I323">
        <v>25</v>
      </c>
      <c r="J323">
        <v>27</v>
      </c>
      <c r="K323" s="14">
        <v>0.6</v>
      </c>
      <c r="L323" s="7">
        <f t="shared" si="10"/>
        <v>115200</v>
      </c>
      <c r="M323" s="14">
        <v>0.72</v>
      </c>
      <c r="N323" s="7">
        <f t="shared" si="11"/>
        <v>138240</v>
      </c>
    </row>
    <row r="324" spans="1:14" x14ac:dyDescent="0.2">
      <c r="A324" s="2" t="s">
        <v>704</v>
      </c>
      <c r="B324" s="2" t="s">
        <v>50</v>
      </c>
      <c r="C324" s="2" t="s">
        <v>46</v>
      </c>
      <c r="D324" s="2">
        <v>1030686</v>
      </c>
      <c r="E324" s="2" t="s">
        <v>382</v>
      </c>
      <c r="F324" s="2" t="s">
        <v>54</v>
      </c>
      <c r="G324" s="2" t="s">
        <v>381</v>
      </c>
      <c r="H324" s="7">
        <v>192000</v>
      </c>
      <c r="I324">
        <v>25</v>
      </c>
      <c r="J324">
        <v>27</v>
      </c>
      <c r="K324" s="14">
        <v>0.6</v>
      </c>
      <c r="L324" s="7">
        <f t="shared" si="10"/>
        <v>115200</v>
      </c>
      <c r="M324" s="14">
        <v>0.72</v>
      </c>
      <c r="N324" s="7">
        <f t="shared" si="11"/>
        <v>138240</v>
      </c>
    </row>
    <row r="325" spans="1:14" x14ac:dyDescent="0.2">
      <c r="A325" s="2" t="s">
        <v>704</v>
      </c>
      <c r="B325" s="2" t="s">
        <v>50</v>
      </c>
      <c r="C325" s="2" t="s">
        <v>46</v>
      </c>
      <c r="D325" s="2">
        <v>1030791</v>
      </c>
      <c r="E325" s="2" t="s">
        <v>213</v>
      </c>
      <c r="F325" s="2" t="s">
        <v>214</v>
      </c>
      <c r="G325" s="2" t="s">
        <v>212</v>
      </c>
      <c r="H325" s="7">
        <v>0</v>
      </c>
      <c r="I325">
        <v>25</v>
      </c>
      <c r="J325">
        <v>27</v>
      </c>
      <c r="K325" s="14">
        <v>0.6</v>
      </c>
      <c r="L325" s="7">
        <f t="shared" si="10"/>
        <v>0</v>
      </c>
      <c r="M325" s="14">
        <v>0.72</v>
      </c>
      <c r="N325" s="7">
        <f t="shared" si="11"/>
        <v>0</v>
      </c>
    </row>
    <row r="326" spans="1:14" x14ac:dyDescent="0.2">
      <c r="A326" s="2" t="s">
        <v>704</v>
      </c>
      <c r="B326" s="2" t="s">
        <v>103</v>
      </c>
      <c r="C326" s="2" t="s">
        <v>52</v>
      </c>
      <c r="D326" s="2">
        <v>1100570</v>
      </c>
      <c r="E326" s="2" t="s">
        <v>105</v>
      </c>
      <c r="F326" s="2" t="s">
        <v>106</v>
      </c>
      <c r="G326" s="2" t="s">
        <v>104</v>
      </c>
      <c r="H326" s="7">
        <v>0</v>
      </c>
      <c r="I326">
        <v>25</v>
      </c>
      <c r="J326">
        <v>27</v>
      </c>
      <c r="K326" s="14">
        <v>0.6</v>
      </c>
      <c r="L326" s="7">
        <f t="shared" si="10"/>
        <v>0</v>
      </c>
      <c r="M326" s="14">
        <v>0.72</v>
      </c>
      <c r="N326" s="7">
        <f t="shared" si="11"/>
        <v>0</v>
      </c>
    </row>
    <row r="327" spans="1:14" x14ac:dyDescent="0.2">
      <c r="A327" s="2" t="s">
        <v>704</v>
      </c>
      <c r="B327" s="2" t="s">
        <v>103</v>
      </c>
      <c r="C327" s="2" t="s">
        <v>52</v>
      </c>
      <c r="D327" s="2">
        <v>1100572</v>
      </c>
      <c r="E327" s="2" t="s">
        <v>900</v>
      </c>
      <c r="F327" s="2" t="s">
        <v>106</v>
      </c>
      <c r="G327" s="2" t="s">
        <v>472</v>
      </c>
      <c r="H327" s="7">
        <v>0</v>
      </c>
      <c r="I327">
        <v>25</v>
      </c>
      <c r="J327">
        <v>27</v>
      </c>
      <c r="K327" s="14">
        <v>0.6</v>
      </c>
      <c r="L327" s="7">
        <f t="shared" si="10"/>
        <v>0</v>
      </c>
      <c r="M327" s="14">
        <v>0.72</v>
      </c>
      <c r="N327" s="7">
        <f t="shared" si="11"/>
        <v>0</v>
      </c>
    </row>
    <row r="328" spans="1:14" x14ac:dyDescent="0.2">
      <c r="A328" s="2" t="s">
        <v>704</v>
      </c>
      <c r="B328" s="2" t="s">
        <v>103</v>
      </c>
      <c r="C328" s="2" t="s">
        <v>52</v>
      </c>
      <c r="D328" s="2">
        <v>1100573</v>
      </c>
      <c r="E328" s="2" t="s">
        <v>136</v>
      </c>
      <c r="F328" s="2" t="s">
        <v>106</v>
      </c>
      <c r="G328" s="2" t="s">
        <v>135</v>
      </c>
      <c r="H328" s="7">
        <v>0</v>
      </c>
      <c r="I328">
        <v>25</v>
      </c>
      <c r="J328">
        <v>27</v>
      </c>
      <c r="K328" s="14">
        <v>0.6</v>
      </c>
      <c r="L328" s="7">
        <f t="shared" si="10"/>
        <v>0</v>
      </c>
      <c r="M328" s="14">
        <v>0.72</v>
      </c>
      <c r="N328" s="7">
        <f t="shared" si="11"/>
        <v>0</v>
      </c>
    </row>
    <row r="329" spans="1:14" x14ac:dyDescent="0.2">
      <c r="A329" s="2" t="s">
        <v>704</v>
      </c>
      <c r="B329" s="2" t="s">
        <v>103</v>
      </c>
      <c r="C329" s="2" t="s">
        <v>52</v>
      </c>
      <c r="D329" s="2">
        <v>1100574</v>
      </c>
      <c r="E329" s="2" t="s">
        <v>384</v>
      </c>
      <c r="F329" s="2" t="s">
        <v>106</v>
      </c>
      <c r="G329" s="2" t="s">
        <v>383</v>
      </c>
      <c r="H329" s="7">
        <v>22032</v>
      </c>
      <c r="I329">
        <v>25</v>
      </c>
      <c r="J329">
        <v>27</v>
      </c>
      <c r="K329" s="14">
        <v>0.6</v>
      </c>
      <c r="L329" s="7">
        <f t="shared" si="10"/>
        <v>13219.199999999999</v>
      </c>
      <c r="M329" s="14">
        <v>0.72</v>
      </c>
      <c r="N329" s="7">
        <f t="shared" si="11"/>
        <v>15863.039999999999</v>
      </c>
    </row>
    <row r="330" spans="1:14" x14ac:dyDescent="0.2">
      <c r="A330" s="2" t="s">
        <v>704</v>
      </c>
      <c r="B330" s="2" t="s">
        <v>103</v>
      </c>
      <c r="C330" s="2" t="s">
        <v>52</v>
      </c>
      <c r="D330" s="2">
        <v>1100602</v>
      </c>
      <c r="E330" s="2" t="s">
        <v>108</v>
      </c>
      <c r="F330" s="2" t="s">
        <v>106</v>
      </c>
      <c r="G330" s="2" t="s">
        <v>107</v>
      </c>
      <c r="H330" s="7">
        <v>0</v>
      </c>
      <c r="I330">
        <v>25</v>
      </c>
      <c r="J330">
        <v>27</v>
      </c>
      <c r="K330" s="14">
        <v>0.6</v>
      </c>
      <c r="L330" s="7">
        <f t="shared" si="10"/>
        <v>0</v>
      </c>
      <c r="M330" s="14">
        <v>0.72</v>
      </c>
      <c r="N330" s="7">
        <f t="shared" si="11"/>
        <v>0</v>
      </c>
    </row>
    <row r="331" spans="1:14" x14ac:dyDescent="0.2">
      <c r="A331" s="2" t="s">
        <v>901</v>
      </c>
      <c r="B331" s="2" t="s">
        <v>56</v>
      </c>
      <c r="C331" s="2" t="s">
        <v>705</v>
      </c>
      <c r="D331" s="2">
        <v>1010877</v>
      </c>
      <c r="E331" s="2" t="s">
        <v>720</v>
      </c>
      <c r="F331" s="2" t="s">
        <v>54</v>
      </c>
      <c r="G331" s="2" t="s">
        <v>457</v>
      </c>
      <c r="H331" s="7">
        <v>96000</v>
      </c>
      <c r="I331">
        <v>25</v>
      </c>
      <c r="J331">
        <v>27</v>
      </c>
      <c r="K331" s="14">
        <v>0.6</v>
      </c>
      <c r="L331" s="7">
        <f t="shared" si="10"/>
        <v>57600</v>
      </c>
      <c r="M331" s="14">
        <v>0.72</v>
      </c>
      <c r="N331" s="7">
        <f t="shared" si="11"/>
        <v>69120</v>
      </c>
    </row>
    <row r="332" spans="1:14" x14ac:dyDescent="0.2">
      <c r="A332" s="2" t="s">
        <v>901</v>
      </c>
      <c r="B332" s="2" t="s">
        <v>56</v>
      </c>
      <c r="C332" s="2" t="s">
        <v>705</v>
      </c>
      <c r="D332" s="2">
        <v>1011042</v>
      </c>
      <c r="E332" s="2" t="s">
        <v>706</v>
      </c>
      <c r="F332" s="2" t="s">
        <v>707</v>
      </c>
      <c r="G332" s="2" t="s">
        <v>708</v>
      </c>
      <c r="H332" s="7">
        <v>91200</v>
      </c>
      <c r="I332">
        <v>25</v>
      </c>
      <c r="J332">
        <v>27</v>
      </c>
      <c r="K332" s="14">
        <v>0.6</v>
      </c>
      <c r="L332" s="7">
        <f t="shared" si="10"/>
        <v>54720</v>
      </c>
      <c r="M332" s="14">
        <v>0.72</v>
      </c>
      <c r="N332" s="7">
        <f t="shared" si="11"/>
        <v>65664</v>
      </c>
    </row>
    <row r="333" spans="1:14" x14ac:dyDescent="0.2">
      <c r="A333" s="2" t="s">
        <v>901</v>
      </c>
      <c r="B333" s="2" t="s">
        <v>56</v>
      </c>
      <c r="C333" s="2" t="s">
        <v>705</v>
      </c>
      <c r="D333" s="2">
        <v>1012719</v>
      </c>
      <c r="E333" s="2" t="s">
        <v>709</v>
      </c>
      <c r="F333" s="2" t="s">
        <v>710</v>
      </c>
      <c r="G333" s="2" t="s">
        <v>711</v>
      </c>
      <c r="H333" s="7">
        <v>95976.392000000007</v>
      </c>
      <c r="I333">
        <v>25</v>
      </c>
      <c r="J333">
        <v>27</v>
      </c>
      <c r="K333" s="14">
        <v>0.6</v>
      </c>
      <c r="L333" s="7">
        <f t="shared" si="10"/>
        <v>57585.835200000001</v>
      </c>
      <c r="M333" s="14">
        <v>0.72</v>
      </c>
      <c r="N333" s="7">
        <f t="shared" si="11"/>
        <v>69103.002240000002</v>
      </c>
    </row>
    <row r="334" spans="1:14" x14ac:dyDescent="0.2">
      <c r="A334" s="2" t="s">
        <v>901</v>
      </c>
      <c r="B334" s="2" t="s">
        <v>56</v>
      </c>
      <c r="C334" s="2" t="s">
        <v>52</v>
      </c>
      <c r="D334" s="2">
        <v>1010888</v>
      </c>
      <c r="E334" s="2" t="s">
        <v>902</v>
      </c>
      <c r="F334" s="2" t="s">
        <v>59</v>
      </c>
      <c r="G334" s="2" t="s">
        <v>903</v>
      </c>
      <c r="H334" s="7">
        <v>0</v>
      </c>
      <c r="I334">
        <v>25</v>
      </c>
      <c r="J334">
        <v>27</v>
      </c>
      <c r="K334" s="14">
        <v>0.6</v>
      </c>
      <c r="L334" s="7">
        <f t="shared" si="10"/>
        <v>0</v>
      </c>
      <c r="M334" s="14">
        <v>0.72</v>
      </c>
      <c r="N334" s="7">
        <f t="shared" si="11"/>
        <v>0</v>
      </c>
    </row>
    <row r="335" spans="1:14" x14ac:dyDescent="0.2">
      <c r="A335" s="2" t="s">
        <v>901</v>
      </c>
      <c r="B335" s="2" t="s">
        <v>56</v>
      </c>
      <c r="C335" s="2" t="s">
        <v>52</v>
      </c>
      <c r="D335" s="2">
        <v>1011105</v>
      </c>
      <c r="E335" s="2" t="s">
        <v>904</v>
      </c>
      <c r="F335" s="2" t="s">
        <v>63</v>
      </c>
      <c r="G335" s="2" t="s">
        <v>905</v>
      </c>
      <c r="H335" s="7">
        <v>159632</v>
      </c>
      <c r="I335">
        <v>25</v>
      </c>
      <c r="J335">
        <v>27</v>
      </c>
      <c r="K335" s="14">
        <v>0.6</v>
      </c>
      <c r="L335" s="7">
        <f t="shared" si="10"/>
        <v>95779.199999999997</v>
      </c>
      <c r="M335" s="14">
        <v>0.72</v>
      </c>
      <c r="N335" s="7">
        <f t="shared" si="11"/>
        <v>114935.03999999999</v>
      </c>
    </row>
    <row r="336" spans="1:14" x14ac:dyDescent="0.2">
      <c r="A336" s="2" t="s">
        <v>901</v>
      </c>
      <c r="B336" s="2" t="s">
        <v>56</v>
      </c>
      <c r="C336" s="2" t="s">
        <v>52</v>
      </c>
      <c r="D336" s="2">
        <v>1011701</v>
      </c>
      <c r="E336" s="2" t="s">
        <v>83</v>
      </c>
      <c r="F336" s="2" t="s">
        <v>59</v>
      </c>
      <c r="G336" s="2" t="s">
        <v>82</v>
      </c>
      <c r="H336" s="7">
        <v>0</v>
      </c>
      <c r="I336">
        <v>25</v>
      </c>
      <c r="J336">
        <v>27</v>
      </c>
      <c r="K336" s="14">
        <v>0.6</v>
      </c>
      <c r="L336" s="7">
        <f t="shared" si="10"/>
        <v>0</v>
      </c>
      <c r="M336" s="14">
        <v>0.72</v>
      </c>
      <c r="N336" s="7">
        <f t="shared" si="11"/>
        <v>0</v>
      </c>
    </row>
    <row r="337" spans="1:14" x14ac:dyDescent="0.2">
      <c r="A337" s="2" t="s">
        <v>901</v>
      </c>
      <c r="B337" s="2" t="s">
        <v>56</v>
      </c>
      <c r="C337" s="2" t="s">
        <v>52</v>
      </c>
      <c r="D337" s="2">
        <v>1012107</v>
      </c>
      <c r="E337" s="2" t="s">
        <v>216</v>
      </c>
      <c r="F337" s="2" t="s">
        <v>59</v>
      </c>
      <c r="G337" s="2" t="s">
        <v>215</v>
      </c>
      <c r="H337" s="7">
        <v>79833.600000000006</v>
      </c>
      <c r="I337">
        <v>25</v>
      </c>
      <c r="J337">
        <v>27</v>
      </c>
      <c r="K337" s="14">
        <v>0.6</v>
      </c>
      <c r="L337" s="7">
        <f t="shared" si="10"/>
        <v>47900.160000000003</v>
      </c>
      <c r="M337" s="14">
        <v>0.72</v>
      </c>
      <c r="N337" s="7">
        <f t="shared" si="11"/>
        <v>57480.192000000003</v>
      </c>
    </row>
    <row r="338" spans="1:14" x14ac:dyDescent="0.2">
      <c r="A338" s="2" t="s">
        <v>901</v>
      </c>
      <c r="B338" s="2" t="s">
        <v>56</v>
      </c>
      <c r="C338" s="2" t="s">
        <v>52</v>
      </c>
      <c r="D338" s="2">
        <v>1012108</v>
      </c>
      <c r="E338" s="2" t="s">
        <v>58</v>
      </c>
      <c r="F338" s="2" t="s">
        <v>59</v>
      </c>
      <c r="G338" s="2" t="s">
        <v>57</v>
      </c>
      <c r="H338" s="7">
        <v>119750.39999999999</v>
      </c>
      <c r="I338">
        <v>25</v>
      </c>
      <c r="J338">
        <v>27</v>
      </c>
      <c r="K338" s="14">
        <v>0.6</v>
      </c>
      <c r="L338" s="7">
        <f t="shared" si="10"/>
        <v>71850.239999999991</v>
      </c>
      <c r="M338" s="14">
        <v>0.72</v>
      </c>
      <c r="N338" s="7">
        <f t="shared" si="11"/>
        <v>86220.287999999986</v>
      </c>
    </row>
    <row r="339" spans="1:14" x14ac:dyDescent="0.2">
      <c r="A339" s="2" t="s">
        <v>901</v>
      </c>
      <c r="B339" s="2" t="s">
        <v>56</v>
      </c>
      <c r="C339" s="2" t="s">
        <v>52</v>
      </c>
      <c r="D339" s="2">
        <v>1012109</v>
      </c>
      <c r="E339" s="2" t="s">
        <v>69</v>
      </c>
      <c r="F339" s="2" t="s">
        <v>59</v>
      </c>
      <c r="G339" s="2" t="s">
        <v>68</v>
      </c>
      <c r="H339" s="7">
        <v>439084.79999999999</v>
      </c>
      <c r="I339">
        <v>25</v>
      </c>
      <c r="J339">
        <v>27</v>
      </c>
      <c r="K339" s="14">
        <v>0.6</v>
      </c>
      <c r="L339" s="7">
        <f t="shared" si="10"/>
        <v>263450.88</v>
      </c>
      <c r="M339" s="14">
        <v>0.72</v>
      </c>
      <c r="N339" s="7">
        <f t="shared" si="11"/>
        <v>316141.05599999998</v>
      </c>
    </row>
    <row r="340" spans="1:14" x14ac:dyDescent="0.2">
      <c r="A340" s="2" t="s">
        <v>901</v>
      </c>
      <c r="B340" s="2" t="s">
        <v>56</v>
      </c>
      <c r="C340" s="2" t="s">
        <v>52</v>
      </c>
      <c r="D340" s="2">
        <v>1012110</v>
      </c>
      <c r="E340" s="2" t="s">
        <v>110</v>
      </c>
      <c r="F340" s="2" t="s">
        <v>59</v>
      </c>
      <c r="G340" s="2" t="s">
        <v>109</v>
      </c>
      <c r="H340" s="7">
        <v>0</v>
      </c>
      <c r="I340">
        <v>25</v>
      </c>
      <c r="J340">
        <v>27</v>
      </c>
      <c r="K340" s="14">
        <v>0.6</v>
      </c>
      <c r="L340" s="7">
        <f t="shared" si="10"/>
        <v>0</v>
      </c>
      <c r="M340" s="14">
        <v>0.72</v>
      </c>
      <c r="N340" s="7">
        <f t="shared" si="11"/>
        <v>0</v>
      </c>
    </row>
    <row r="341" spans="1:14" x14ac:dyDescent="0.2">
      <c r="A341" s="2" t="s">
        <v>901</v>
      </c>
      <c r="B341" s="2" t="s">
        <v>56</v>
      </c>
      <c r="C341" s="2" t="s">
        <v>52</v>
      </c>
      <c r="D341" s="2">
        <v>1012111</v>
      </c>
      <c r="E341" s="2" t="s">
        <v>117</v>
      </c>
      <c r="F341" s="2" t="s">
        <v>59</v>
      </c>
      <c r="G341" s="2" t="s">
        <v>137</v>
      </c>
      <c r="H341" s="7">
        <v>39916.800000000003</v>
      </c>
      <c r="I341">
        <v>25</v>
      </c>
      <c r="J341">
        <v>27</v>
      </c>
      <c r="K341" s="14">
        <v>0.6</v>
      </c>
      <c r="L341" s="7">
        <f t="shared" si="10"/>
        <v>23950.080000000002</v>
      </c>
      <c r="M341" s="14">
        <v>0.72</v>
      </c>
      <c r="N341" s="7">
        <f t="shared" si="11"/>
        <v>28740.096000000001</v>
      </c>
    </row>
    <row r="342" spans="1:14" x14ac:dyDescent="0.2">
      <c r="A342" s="2" t="s">
        <v>901</v>
      </c>
      <c r="B342" s="2" t="s">
        <v>56</v>
      </c>
      <c r="C342" s="2" t="s">
        <v>52</v>
      </c>
      <c r="D342" s="2">
        <v>1012112</v>
      </c>
      <c r="E342" s="2" t="s">
        <v>139</v>
      </c>
      <c r="F342" s="2" t="s">
        <v>59</v>
      </c>
      <c r="G342" s="2" t="s">
        <v>138</v>
      </c>
      <c r="H342" s="7">
        <v>0</v>
      </c>
      <c r="I342">
        <v>25</v>
      </c>
      <c r="J342">
        <v>27</v>
      </c>
      <c r="K342" s="14">
        <v>0.6</v>
      </c>
      <c r="L342" s="7">
        <f t="shared" si="10"/>
        <v>0</v>
      </c>
      <c r="M342" s="14">
        <v>0.72</v>
      </c>
      <c r="N342" s="7">
        <f t="shared" si="11"/>
        <v>0</v>
      </c>
    </row>
    <row r="343" spans="1:14" x14ac:dyDescent="0.2">
      <c r="A343" s="2" t="s">
        <v>901</v>
      </c>
      <c r="B343" s="2" t="s">
        <v>56</v>
      </c>
      <c r="C343" s="2" t="s">
        <v>52</v>
      </c>
      <c r="D343" s="2">
        <v>1012145</v>
      </c>
      <c r="E343" s="2" t="s">
        <v>85</v>
      </c>
      <c r="F343" s="2" t="s">
        <v>59</v>
      </c>
      <c r="G343" s="2" t="s">
        <v>84</v>
      </c>
      <c r="H343" s="7">
        <v>0</v>
      </c>
      <c r="I343">
        <v>25</v>
      </c>
      <c r="J343">
        <v>27</v>
      </c>
      <c r="K343" s="14">
        <v>0.6</v>
      </c>
      <c r="L343" s="7">
        <f t="shared" si="10"/>
        <v>0</v>
      </c>
      <c r="M343" s="14">
        <v>0.72</v>
      </c>
      <c r="N343" s="7">
        <f t="shared" si="11"/>
        <v>0</v>
      </c>
    </row>
    <row r="344" spans="1:14" x14ac:dyDescent="0.2">
      <c r="A344" s="2" t="s">
        <v>901</v>
      </c>
      <c r="B344" s="2" t="s">
        <v>56</v>
      </c>
      <c r="C344" s="2" t="s">
        <v>52</v>
      </c>
      <c r="D344" s="2">
        <v>1012147</v>
      </c>
      <c r="E344" s="2" t="s">
        <v>218</v>
      </c>
      <c r="F344" s="2" t="s">
        <v>67</v>
      </c>
      <c r="G344" s="2" t="s">
        <v>217</v>
      </c>
      <c r="H344" s="7">
        <v>74641.600000000006</v>
      </c>
      <c r="I344">
        <v>25</v>
      </c>
      <c r="J344">
        <v>27</v>
      </c>
      <c r="K344" s="14">
        <v>0.6</v>
      </c>
      <c r="L344" s="7">
        <f t="shared" si="10"/>
        <v>44784.959999999999</v>
      </c>
      <c r="M344" s="14">
        <v>0.72</v>
      </c>
      <c r="N344" s="7">
        <f t="shared" si="11"/>
        <v>53741.952000000005</v>
      </c>
    </row>
    <row r="345" spans="1:14" x14ac:dyDescent="0.2">
      <c r="A345" s="2" t="s">
        <v>901</v>
      </c>
      <c r="B345" s="2" t="s">
        <v>56</v>
      </c>
      <c r="C345" s="2" t="s">
        <v>52</v>
      </c>
      <c r="D345" s="2">
        <v>1012148</v>
      </c>
      <c r="E345" s="2" t="s">
        <v>112</v>
      </c>
      <c r="F345" s="2" t="s">
        <v>63</v>
      </c>
      <c r="G345" s="2" t="s">
        <v>111</v>
      </c>
      <c r="H345" s="7">
        <v>0</v>
      </c>
      <c r="I345">
        <v>25</v>
      </c>
      <c r="J345">
        <v>27</v>
      </c>
      <c r="K345" s="14">
        <v>0.6</v>
      </c>
      <c r="L345" s="7">
        <f t="shared" si="10"/>
        <v>0</v>
      </c>
      <c r="M345" s="14">
        <v>0.72</v>
      </c>
      <c r="N345" s="7">
        <f t="shared" si="11"/>
        <v>0</v>
      </c>
    </row>
    <row r="346" spans="1:14" x14ac:dyDescent="0.2">
      <c r="A346" s="2" t="s">
        <v>901</v>
      </c>
      <c r="B346" s="2" t="s">
        <v>56</v>
      </c>
      <c r="C346" s="2" t="s">
        <v>52</v>
      </c>
      <c r="D346" s="2">
        <v>1012157</v>
      </c>
      <c r="E346" s="2" t="s">
        <v>100</v>
      </c>
      <c r="F346" s="2" t="s">
        <v>63</v>
      </c>
      <c r="G346" s="2" t="s">
        <v>99</v>
      </c>
      <c r="H346" s="7">
        <v>0</v>
      </c>
      <c r="I346">
        <v>25</v>
      </c>
      <c r="J346">
        <v>27</v>
      </c>
      <c r="K346" s="14">
        <v>0.6</v>
      </c>
      <c r="L346" s="7">
        <f t="shared" si="10"/>
        <v>0</v>
      </c>
      <c r="M346" s="14">
        <v>0.72</v>
      </c>
      <c r="N346" s="7">
        <f t="shared" si="11"/>
        <v>0</v>
      </c>
    </row>
    <row r="347" spans="1:14" x14ac:dyDescent="0.2">
      <c r="A347" s="2" t="s">
        <v>901</v>
      </c>
      <c r="B347" s="2" t="s">
        <v>56</v>
      </c>
      <c r="C347" s="2" t="s">
        <v>52</v>
      </c>
      <c r="D347" s="2">
        <v>1012158</v>
      </c>
      <c r="E347" s="2" t="s">
        <v>87</v>
      </c>
      <c r="F347" s="2" t="s">
        <v>67</v>
      </c>
      <c r="G347" s="2" t="s">
        <v>86</v>
      </c>
      <c r="H347" s="7">
        <v>0</v>
      </c>
      <c r="I347">
        <v>25</v>
      </c>
      <c r="J347">
        <v>27</v>
      </c>
      <c r="K347" s="14">
        <v>0.6</v>
      </c>
      <c r="L347" s="7">
        <f t="shared" si="10"/>
        <v>0</v>
      </c>
      <c r="M347" s="14">
        <v>0.72</v>
      </c>
      <c r="N347" s="7">
        <f t="shared" si="11"/>
        <v>0</v>
      </c>
    </row>
    <row r="348" spans="1:14" x14ac:dyDescent="0.2">
      <c r="A348" s="2" t="s">
        <v>901</v>
      </c>
      <c r="B348" s="2" t="s">
        <v>56</v>
      </c>
      <c r="C348" s="2" t="s">
        <v>52</v>
      </c>
      <c r="D348" s="2">
        <v>1012159</v>
      </c>
      <c r="E348" s="2" t="s">
        <v>89</v>
      </c>
      <c r="F348" s="2" t="s">
        <v>63</v>
      </c>
      <c r="G348" s="2" t="s">
        <v>88</v>
      </c>
      <c r="H348" s="7">
        <v>0</v>
      </c>
      <c r="I348">
        <v>25</v>
      </c>
      <c r="J348">
        <v>27</v>
      </c>
      <c r="K348" s="14">
        <v>0.6</v>
      </c>
      <c r="L348" s="7">
        <f t="shared" si="10"/>
        <v>0</v>
      </c>
      <c r="M348" s="14">
        <v>0.72</v>
      </c>
      <c r="N348" s="7">
        <f t="shared" si="11"/>
        <v>0</v>
      </c>
    </row>
    <row r="349" spans="1:14" x14ac:dyDescent="0.2">
      <c r="A349" s="2" t="s">
        <v>901</v>
      </c>
      <c r="B349" s="2" t="s">
        <v>56</v>
      </c>
      <c r="C349" s="2" t="s">
        <v>52</v>
      </c>
      <c r="D349" s="2">
        <v>1012160</v>
      </c>
      <c r="E349" s="2" t="s">
        <v>73</v>
      </c>
      <c r="F349" s="2" t="s">
        <v>59</v>
      </c>
      <c r="G349" s="2" t="s">
        <v>72</v>
      </c>
      <c r="H349" s="7">
        <v>60201.792000000001</v>
      </c>
      <c r="I349">
        <v>25</v>
      </c>
      <c r="J349">
        <v>27</v>
      </c>
      <c r="K349" s="14">
        <v>0.6</v>
      </c>
      <c r="L349" s="7">
        <f t="shared" si="10"/>
        <v>36121.075199999999</v>
      </c>
      <c r="M349" s="14">
        <v>0.72</v>
      </c>
      <c r="N349" s="7">
        <f t="shared" si="11"/>
        <v>43345.290240000002</v>
      </c>
    </row>
    <row r="350" spans="1:14" x14ac:dyDescent="0.2">
      <c r="A350" s="2" t="s">
        <v>901</v>
      </c>
      <c r="B350" s="2" t="s">
        <v>56</v>
      </c>
      <c r="C350" s="2" t="s">
        <v>52</v>
      </c>
      <c r="D350" s="2">
        <v>1012161</v>
      </c>
      <c r="E350" s="2" t="s">
        <v>102</v>
      </c>
      <c r="F350" s="2" t="s">
        <v>63</v>
      </c>
      <c r="G350" s="2" t="s">
        <v>101</v>
      </c>
      <c r="H350" s="7">
        <v>79833.600000000006</v>
      </c>
      <c r="I350">
        <v>25</v>
      </c>
      <c r="J350">
        <v>27</v>
      </c>
      <c r="K350" s="14">
        <v>0.6</v>
      </c>
      <c r="L350" s="7">
        <f t="shared" si="10"/>
        <v>47900.160000000003</v>
      </c>
      <c r="M350" s="14">
        <v>0.72</v>
      </c>
      <c r="N350" s="7">
        <f t="shared" si="11"/>
        <v>57480.192000000003</v>
      </c>
    </row>
    <row r="351" spans="1:14" x14ac:dyDescent="0.2">
      <c r="A351" s="2" t="s">
        <v>901</v>
      </c>
      <c r="B351" s="2" t="s">
        <v>56</v>
      </c>
      <c r="C351" s="2" t="s">
        <v>52</v>
      </c>
      <c r="D351" s="2">
        <v>1012163</v>
      </c>
      <c r="E351" s="2" t="s">
        <v>141</v>
      </c>
      <c r="F351" s="2" t="s">
        <v>67</v>
      </c>
      <c r="G351" s="2" t="s">
        <v>140</v>
      </c>
      <c r="H351" s="7">
        <v>79833.600000000006</v>
      </c>
      <c r="I351">
        <v>25</v>
      </c>
      <c r="J351">
        <v>27</v>
      </c>
      <c r="K351" s="14">
        <v>0.6</v>
      </c>
      <c r="L351" s="7">
        <f t="shared" si="10"/>
        <v>47900.160000000003</v>
      </c>
      <c r="M351" s="14">
        <v>0.72</v>
      </c>
      <c r="N351" s="7">
        <f t="shared" si="11"/>
        <v>57480.192000000003</v>
      </c>
    </row>
    <row r="352" spans="1:14" x14ac:dyDescent="0.2">
      <c r="A352" s="2" t="s">
        <v>901</v>
      </c>
      <c r="B352" s="2" t="s">
        <v>56</v>
      </c>
      <c r="C352" s="2" t="s">
        <v>52</v>
      </c>
      <c r="D352" s="2">
        <v>1012164</v>
      </c>
      <c r="E352" s="2" t="s">
        <v>143</v>
      </c>
      <c r="F352" s="2" t="s">
        <v>63</v>
      </c>
      <c r="G352" s="2" t="s">
        <v>142</v>
      </c>
      <c r="H352" s="7">
        <v>0</v>
      </c>
      <c r="I352">
        <v>25</v>
      </c>
      <c r="J352">
        <v>27</v>
      </c>
      <c r="K352" s="14">
        <v>0.6</v>
      </c>
      <c r="L352" s="7">
        <f t="shared" si="10"/>
        <v>0</v>
      </c>
      <c r="M352" s="14">
        <v>0.72</v>
      </c>
      <c r="N352" s="7">
        <f t="shared" si="11"/>
        <v>0</v>
      </c>
    </row>
    <row r="353" spans="1:14" x14ac:dyDescent="0.2">
      <c r="A353" s="2" t="s">
        <v>901</v>
      </c>
      <c r="B353" s="2" t="s">
        <v>56</v>
      </c>
      <c r="C353" s="2" t="s">
        <v>52</v>
      </c>
      <c r="D353" s="2">
        <v>1012165</v>
      </c>
      <c r="E353" s="2" t="s">
        <v>62</v>
      </c>
      <c r="F353" s="2" t="s">
        <v>63</v>
      </c>
      <c r="G353" s="2" t="s">
        <v>61</v>
      </c>
      <c r="H353" s="7">
        <v>319334.40000000002</v>
      </c>
      <c r="I353">
        <v>25</v>
      </c>
      <c r="J353">
        <v>27</v>
      </c>
      <c r="K353" s="14">
        <v>0.6</v>
      </c>
      <c r="L353" s="7">
        <f t="shared" si="10"/>
        <v>191600.64000000001</v>
      </c>
      <c r="M353" s="14">
        <v>0.72</v>
      </c>
      <c r="N353" s="7">
        <f t="shared" si="11"/>
        <v>229920.76800000001</v>
      </c>
    </row>
    <row r="354" spans="1:14" x14ac:dyDescent="0.2">
      <c r="A354" s="2" t="s">
        <v>901</v>
      </c>
      <c r="B354" s="2" t="s">
        <v>56</v>
      </c>
      <c r="C354" s="2" t="s">
        <v>52</v>
      </c>
      <c r="D354" s="2">
        <v>1012167</v>
      </c>
      <c r="E354" s="2" t="s">
        <v>71</v>
      </c>
      <c r="F354" s="2" t="s">
        <v>59</v>
      </c>
      <c r="G354" s="2" t="s">
        <v>70</v>
      </c>
      <c r="H354" s="7">
        <v>79833.600000000006</v>
      </c>
      <c r="I354">
        <v>25</v>
      </c>
      <c r="J354">
        <v>27</v>
      </c>
      <c r="K354" s="14">
        <v>0.6</v>
      </c>
      <c r="L354" s="7">
        <f t="shared" si="10"/>
        <v>47900.160000000003</v>
      </c>
      <c r="M354" s="14">
        <v>0.72</v>
      </c>
      <c r="N354" s="7">
        <f t="shared" si="11"/>
        <v>57480.192000000003</v>
      </c>
    </row>
    <row r="355" spans="1:14" x14ac:dyDescent="0.2">
      <c r="A355" s="2" t="s">
        <v>901</v>
      </c>
      <c r="B355" s="2" t="s">
        <v>56</v>
      </c>
      <c r="C355" s="2" t="s">
        <v>52</v>
      </c>
      <c r="D355" s="2">
        <v>1012310</v>
      </c>
      <c r="E355" s="2" t="s">
        <v>713</v>
      </c>
      <c r="F355" s="2" t="s">
        <v>124</v>
      </c>
      <c r="G355" s="2" t="s">
        <v>714</v>
      </c>
      <c r="H355" s="7">
        <v>0</v>
      </c>
      <c r="I355">
        <v>25</v>
      </c>
      <c r="J355">
        <v>27</v>
      </c>
      <c r="K355" s="14">
        <v>0.6</v>
      </c>
      <c r="L355" s="7">
        <f t="shared" si="10"/>
        <v>0</v>
      </c>
      <c r="M355" s="14">
        <v>0.72</v>
      </c>
      <c r="N355" s="7">
        <f t="shared" si="11"/>
        <v>0</v>
      </c>
    </row>
    <row r="356" spans="1:14" x14ac:dyDescent="0.2">
      <c r="A356" s="2" t="s">
        <v>901</v>
      </c>
      <c r="B356" s="2" t="s">
        <v>56</v>
      </c>
      <c r="C356" s="2" t="s">
        <v>52</v>
      </c>
      <c r="D356" s="2">
        <v>1012334</v>
      </c>
      <c r="E356" s="2" t="s">
        <v>906</v>
      </c>
      <c r="F356" s="2" t="s">
        <v>59</v>
      </c>
      <c r="G356" s="2" t="s">
        <v>488</v>
      </c>
      <c r="H356" s="7">
        <v>319334.40000000002</v>
      </c>
      <c r="I356">
        <v>25</v>
      </c>
      <c r="J356">
        <v>27</v>
      </c>
      <c r="K356" s="14">
        <v>0.6</v>
      </c>
      <c r="L356" s="7">
        <f t="shared" si="10"/>
        <v>191600.64000000001</v>
      </c>
      <c r="M356" s="14">
        <v>0.72</v>
      </c>
      <c r="N356" s="7">
        <f t="shared" si="11"/>
        <v>229920.76800000001</v>
      </c>
    </row>
    <row r="357" spans="1:14" x14ac:dyDescent="0.2">
      <c r="A357" s="2" t="s">
        <v>901</v>
      </c>
      <c r="B357" s="2" t="s">
        <v>56</v>
      </c>
      <c r="C357" s="2" t="s">
        <v>52</v>
      </c>
      <c r="D357" s="2">
        <v>1012400</v>
      </c>
      <c r="E357" s="2" t="s">
        <v>220</v>
      </c>
      <c r="F357" s="2" t="s">
        <v>67</v>
      </c>
      <c r="G357" s="2" t="s">
        <v>219</v>
      </c>
      <c r="H357" s="7">
        <v>0</v>
      </c>
      <c r="I357">
        <v>25</v>
      </c>
      <c r="J357">
        <v>27</v>
      </c>
      <c r="K357" s="14">
        <v>0.6</v>
      </c>
      <c r="L357" s="7">
        <f t="shared" si="10"/>
        <v>0</v>
      </c>
      <c r="M357" s="14">
        <v>0.72</v>
      </c>
      <c r="N357" s="7">
        <f t="shared" si="11"/>
        <v>0</v>
      </c>
    </row>
    <row r="358" spans="1:14" x14ac:dyDescent="0.2">
      <c r="A358" s="2" t="s">
        <v>901</v>
      </c>
      <c r="B358" s="2" t="s">
        <v>56</v>
      </c>
      <c r="C358" s="2" t="s">
        <v>52</v>
      </c>
      <c r="D358" s="2">
        <v>1012483</v>
      </c>
      <c r="E358" s="2" t="s">
        <v>91</v>
      </c>
      <c r="F358" s="2" t="s">
        <v>63</v>
      </c>
      <c r="G358" s="2" t="s">
        <v>90</v>
      </c>
      <c r="H358" s="7">
        <v>159812.35200000001</v>
      </c>
      <c r="I358">
        <v>25</v>
      </c>
      <c r="J358">
        <v>27</v>
      </c>
      <c r="K358" s="14">
        <v>0.6</v>
      </c>
      <c r="L358" s="7">
        <f t="shared" si="10"/>
        <v>95887.411200000002</v>
      </c>
      <c r="M358" s="14">
        <v>0.72</v>
      </c>
      <c r="N358" s="7">
        <f t="shared" si="11"/>
        <v>115064.89344</v>
      </c>
    </row>
    <row r="359" spans="1:14" x14ac:dyDescent="0.2">
      <c r="A359" s="2" t="s">
        <v>901</v>
      </c>
      <c r="B359" s="2" t="s">
        <v>56</v>
      </c>
      <c r="C359" s="2" t="s">
        <v>52</v>
      </c>
      <c r="D359" s="2">
        <v>1012518</v>
      </c>
      <c r="E359" s="2" t="s">
        <v>66</v>
      </c>
      <c r="F359" s="2" t="s">
        <v>67</v>
      </c>
      <c r="G359" s="2" t="s">
        <v>65</v>
      </c>
      <c r="H359" s="7">
        <v>145152</v>
      </c>
      <c r="I359">
        <v>25</v>
      </c>
      <c r="J359">
        <v>27</v>
      </c>
      <c r="K359" s="14">
        <v>0.6</v>
      </c>
      <c r="L359" s="7">
        <f t="shared" si="10"/>
        <v>87091.199999999997</v>
      </c>
      <c r="M359" s="14">
        <v>0.72</v>
      </c>
      <c r="N359" s="7">
        <f t="shared" si="11"/>
        <v>104509.44</v>
      </c>
    </row>
    <row r="360" spans="1:14" x14ac:dyDescent="0.2">
      <c r="A360" s="2" t="s">
        <v>901</v>
      </c>
      <c r="B360" s="2" t="s">
        <v>56</v>
      </c>
      <c r="C360" s="2" t="s">
        <v>52</v>
      </c>
      <c r="D360" s="2">
        <v>1012519</v>
      </c>
      <c r="E360" s="2" t="s">
        <v>216</v>
      </c>
      <c r="F360" s="2" t="s">
        <v>59</v>
      </c>
      <c r="G360" s="2" t="s">
        <v>221</v>
      </c>
      <c r="H360" s="7">
        <v>39916.800000000003</v>
      </c>
      <c r="I360">
        <v>25</v>
      </c>
      <c r="J360">
        <v>27</v>
      </c>
      <c r="K360" s="14">
        <v>0.6</v>
      </c>
      <c r="L360" s="7">
        <f t="shared" si="10"/>
        <v>23950.080000000002</v>
      </c>
      <c r="M360" s="14">
        <v>0.72</v>
      </c>
      <c r="N360" s="7">
        <f t="shared" si="11"/>
        <v>28740.096000000001</v>
      </c>
    </row>
    <row r="361" spans="1:14" x14ac:dyDescent="0.2">
      <c r="A361" s="2" t="s">
        <v>901</v>
      </c>
      <c r="B361" s="2" t="s">
        <v>56</v>
      </c>
      <c r="C361" s="2" t="s">
        <v>52</v>
      </c>
      <c r="D361" s="2">
        <v>1012520</v>
      </c>
      <c r="E361" s="2" t="s">
        <v>58</v>
      </c>
      <c r="F361" s="2" t="s">
        <v>59</v>
      </c>
      <c r="G361" s="2" t="s">
        <v>113</v>
      </c>
      <c r="H361" s="7">
        <v>0</v>
      </c>
      <c r="I361">
        <v>25</v>
      </c>
      <c r="J361">
        <v>27</v>
      </c>
      <c r="K361" s="14">
        <v>0.6</v>
      </c>
      <c r="L361" s="7">
        <f t="shared" si="10"/>
        <v>0</v>
      </c>
      <c r="M361" s="14">
        <v>0.72</v>
      </c>
      <c r="N361" s="7">
        <f t="shared" si="11"/>
        <v>0</v>
      </c>
    </row>
    <row r="362" spans="1:14" x14ac:dyDescent="0.2">
      <c r="A362" s="2" t="s">
        <v>901</v>
      </c>
      <c r="B362" s="2" t="s">
        <v>56</v>
      </c>
      <c r="C362" s="2" t="s">
        <v>52</v>
      </c>
      <c r="D362" s="2">
        <v>1012521</v>
      </c>
      <c r="E362" s="2" t="s">
        <v>69</v>
      </c>
      <c r="F362" s="2" t="s">
        <v>59</v>
      </c>
      <c r="G362" s="2" t="s">
        <v>114</v>
      </c>
      <c r="H362" s="7">
        <v>0</v>
      </c>
      <c r="I362">
        <v>25</v>
      </c>
      <c r="J362">
        <v>27</v>
      </c>
      <c r="K362" s="14">
        <v>0.6</v>
      </c>
      <c r="L362" s="7">
        <f t="shared" si="10"/>
        <v>0</v>
      </c>
      <c r="M362" s="14">
        <v>0.72</v>
      </c>
      <c r="N362" s="7">
        <f t="shared" si="11"/>
        <v>0</v>
      </c>
    </row>
    <row r="363" spans="1:14" x14ac:dyDescent="0.2">
      <c r="A363" s="2" t="s">
        <v>901</v>
      </c>
      <c r="B363" s="2" t="s">
        <v>56</v>
      </c>
      <c r="C363" s="2" t="s">
        <v>52</v>
      </c>
      <c r="D363" s="2">
        <v>1012522</v>
      </c>
      <c r="E363" s="2" t="s">
        <v>110</v>
      </c>
      <c r="F363" s="2" t="s">
        <v>59</v>
      </c>
      <c r="G363" s="2" t="s">
        <v>115</v>
      </c>
      <c r="H363" s="7">
        <v>0</v>
      </c>
      <c r="I363">
        <v>25</v>
      </c>
      <c r="J363">
        <v>27</v>
      </c>
      <c r="K363" s="14">
        <v>0.6</v>
      </c>
      <c r="L363" s="7">
        <f t="shared" si="10"/>
        <v>0</v>
      </c>
      <c r="M363" s="14">
        <v>0.72</v>
      </c>
      <c r="N363" s="7">
        <f t="shared" si="11"/>
        <v>0</v>
      </c>
    </row>
    <row r="364" spans="1:14" x14ac:dyDescent="0.2">
      <c r="A364" s="2" t="s">
        <v>901</v>
      </c>
      <c r="B364" s="2" t="s">
        <v>56</v>
      </c>
      <c r="C364" s="2" t="s">
        <v>52</v>
      </c>
      <c r="D364" s="2">
        <v>1012523</v>
      </c>
      <c r="E364" s="2" t="s">
        <v>117</v>
      </c>
      <c r="F364" s="2" t="s">
        <v>59</v>
      </c>
      <c r="G364" s="2" t="s">
        <v>116</v>
      </c>
      <c r="H364" s="7">
        <v>0</v>
      </c>
      <c r="I364">
        <v>25</v>
      </c>
      <c r="J364">
        <v>27</v>
      </c>
      <c r="K364" s="14">
        <v>0.6</v>
      </c>
      <c r="L364" s="7">
        <f t="shared" si="10"/>
        <v>0</v>
      </c>
      <c r="M364" s="14">
        <v>0.72</v>
      </c>
      <c r="N364" s="7">
        <f t="shared" si="11"/>
        <v>0</v>
      </c>
    </row>
    <row r="365" spans="1:14" x14ac:dyDescent="0.2">
      <c r="A365" s="2" t="s">
        <v>901</v>
      </c>
      <c r="B365" s="2" t="s">
        <v>56</v>
      </c>
      <c r="C365" s="2" t="s">
        <v>52</v>
      </c>
      <c r="D365" s="2">
        <v>1012524</v>
      </c>
      <c r="E365" s="2" t="s">
        <v>139</v>
      </c>
      <c r="F365" s="2" t="s">
        <v>59</v>
      </c>
      <c r="G365" s="2" t="s">
        <v>144</v>
      </c>
      <c r="H365" s="7">
        <v>0</v>
      </c>
      <c r="I365">
        <v>25</v>
      </c>
      <c r="J365">
        <v>27</v>
      </c>
      <c r="K365" s="14">
        <v>0.6</v>
      </c>
      <c r="L365" s="7">
        <f t="shared" si="10"/>
        <v>0</v>
      </c>
      <c r="M365" s="14">
        <v>0.72</v>
      </c>
      <c r="N365" s="7">
        <f t="shared" si="11"/>
        <v>0</v>
      </c>
    </row>
    <row r="366" spans="1:14" x14ac:dyDescent="0.2">
      <c r="A366" s="2" t="s">
        <v>901</v>
      </c>
      <c r="B366" s="2" t="s">
        <v>56</v>
      </c>
      <c r="C366" s="2" t="s">
        <v>52</v>
      </c>
      <c r="D366" s="2">
        <v>1012579</v>
      </c>
      <c r="E366" s="2" t="s">
        <v>146</v>
      </c>
      <c r="F366" s="2" t="s">
        <v>59</v>
      </c>
      <c r="G366" s="2" t="s">
        <v>145</v>
      </c>
      <c r="H366" s="7">
        <v>0</v>
      </c>
      <c r="I366">
        <v>25</v>
      </c>
      <c r="J366">
        <v>27</v>
      </c>
      <c r="K366" s="14">
        <v>0.6</v>
      </c>
      <c r="L366" s="7">
        <f t="shared" si="10"/>
        <v>0</v>
      </c>
      <c r="M366" s="14">
        <v>0.72</v>
      </c>
      <c r="N366" s="7">
        <f t="shared" si="11"/>
        <v>0</v>
      </c>
    </row>
    <row r="367" spans="1:14" x14ac:dyDescent="0.2">
      <c r="A367" s="2" t="s">
        <v>901</v>
      </c>
      <c r="B367" s="2" t="s">
        <v>56</v>
      </c>
      <c r="C367" s="2" t="s">
        <v>52</v>
      </c>
      <c r="D367" s="2">
        <v>1012597</v>
      </c>
      <c r="E367" s="2" t="s">
        <v>148</v>
      </c>
      <c r="F367" s="2" t="s">
        <v>63</v>
      </c>
      <c r="G367" s="2" t="s">
        <v>147</v>
      </c>
      <c r="H367" s="7">
        <v>0</v>
      </c>
      <c r="I367">
        <v>25</v>
      </c>
      <c r="J367">
        <v>27</v>
      </c>
      <c r="K367" s="14">
        <v>0.6</v>
      </c>
      <c r="L367" s="7">
        <f t="shared" si="10"/>
        <v>0</v>
      </c>
      <c r="M367" s="14">
        <v>0.72</v>
      </c>
      <c r="N367" s="7">
        <f t="shared" si="11"/>
        <v>0</v>
      </c>
    </row>
    <row r="368" spans="1:14" x14ac:dyDescent="0.2">
      <c r="A368" s="2" t="s">
        <v>901</v>
      </c>
      <c r="B368" s="2" t="s">
        <v>56</v>
      </c>
      <c r="C368" s="2" t="s">
        <v>52</v>
      </c>
      <c r="D368" s="2">
        <v>1012601</v>
      </c>
      <c r="E368" s="2" t="s">
        <v>716</v>
      </c>
      <c r="F368" s="2" t="s">
        <v>54</v>
      </c>
      <c r="G368" s="2" t="s">
        <v>717</v>
      </c>
      <c r="H368" s="7">
        <v>0</v>
      </c>
      <c r="I368">
        <v>25</v>
      </c>
      <c r="J368">
        <v>27</v>
      </c>
      <c r="K368" s="14">
        <v>0.6</v>
      </c>
      <c r="L368" s="7">
        <f t="shared" si="10"/>
        <v>0</v>
      </c>
      <c r="M368" s="14">
        <v>0.72</v>
      </c>
      <c r="N368" s="7">
        <f t="shared" si="11"/>
        <v>0</v>
      </c>
    </row>
    <row r="369" spans="1:14" x14ac:dyDescent="0.2">
      <c r="A369" s="2" t="s">
        <v>901</v>
      </c>
      <c r="B369" s="2" t="s">
        <v>56</v>
      </c>
      <c r="C369" s="2" t="s">
        <v>52</v>
      </c>
      <c r="D369" s="2">
        <v>1012806</v>
      </c>
      <c r="E369" s="2" t="s">
        <v>223</v>
      </c>
      <c r="F369" s="2" t="s">
        <v>224</v>
      </c>
      <c r="G369" s="2" t="s">
        <v>222</v>
      </c>
      <c r="H369" s="7">
        <v>0</v>
      </c>
      <c r="I369">
        <v>25</v>
      </c>
      <c r="J369">
        <v>27</v>
      </c>
      <c r="K369" s="14">
        <v>0.6</v>
      </c>
      <c r="L369" s="7">
        <f t="shared" si="10"/>
        <v>0</v>
      </c>
      <c r="M369" s="14">
        <v>0.72</v>
      </c>
      <c r="N369" s="7">
        <f t="shared" si="11"/>
        <v>0</v>
      </c>
    </row>
    <row r="370" spans="1:14" x14ac:dyDescent="0.2">
      <c r="A370" s="2" t="s">
        <v>901</v>
      </c>
      <c r="B370" s="2" t="s">
        <v>56</v>
      </c>
      <c r="C370" s="2" t="s">
        <v>52</v>
      </c>
      <c r="D370" s="2">
        <v>1012837</v>
      </c>
      <c r="E370" s="2" t="s">
        <v>718</v>
      </c>
      <c r="F370" s="2" t="s">
        <v>63</v>
      </c>
      <c r="G370" s="2" t="s">
        <v>719</v>
      </c>
      <c r="H370" s="7">
        <v>0</v>
      </c>
      <c r="I370">
        <v>25</v>
      </c>
      <c r="J370">
        <v>27</v>
      </c>
      <c r="K370" s="14">
        <v>0.6</v>
      </c>
      <c r="L370" s="7">
        <f t="shared" si="10"/>
        <v>0</v>
      </c>
      <c r="M370" s="14">
        <v>0.72</v>
      </c>
      <c r="N370" s="7">
        <f t="shared" si="11"/>
        <v>0</v>
      </c>
    </row>
    <row r="371" spans="1:14" x14ac:dyDescent="0.2">
      <c r="A371" s="2" t="s">
        <v>901</v>
      </c>
      <c r="B371" s="2" t="s">
        <v>56</v>
      </c>
      <c r="C371" s="2" t="s">
        <v>226</v>
      </c>
      <c r="D371" s="2">
        <v>1010877</v>
      </c>
      <c r="E371" s="2" t="s">
        <v>720</v>
      </c>
      <c r="F371" s="2" t="s">
        <v>54</v>
      </c>
      <c r="G371" s="2" t="s">
        <v>387</v>
      </c>
      <c r="H371" s="7">
        <v>0</v>
      </c>
      <c r="I371">
        <v>25</v>
      </c>
      <c r="J371">
        <v>27</v>
      </c>
      <c r="K371" s="14">
        <v>0.6</v>
      </c>
      <c r="L371" s="7">
        <f t="shared" si="10"/>
        <v>0</v>
      </c>
      <c r="M371" s="14">
        <v>0.72</v>
      </c>
      <c r="N371" s="7">
        <f t="shared" si="11"/>
        <v>0</v>
      </c>
    </row>
    <row r="372" spans="1:14" x14ac:dyDescent="0.2">
      <c r="A372" s="2" t="s">
        <v>901</v>
      </c>
      <c r="B372" s="2" t="s">
        <v>56</v>
      </c>
      <c r="C372" s="2" t="s">
        <v>226</v>
      </c>
      <c r="D372" s="2">
        <v>1011748</v>
      </c>
      <c r="E372" s="2" t="s">
        <v>227</v>
      </c>
      <c r="F372" s="2" t="s">
        <v>59</v>
      </c>
      <c r="G372" s="2" t="s">
        <v>225</v>
      </c>
      <c r="H372" s="7">
        <v>0</v>
      </c>
      <c r="I372">
        <v>25</v>
      </c>
      <c r="J372">
        <v>27</v>
      </c>
      <c r="K372" s="14">
        <v>0.6</v>
      </c>
      <c r="L372" s="7">
        <f t="shared" si="10"/>
        <v>0</v>
      </c>
      <c r="M372" s="14">
        <v>0.72</v>
      </c>
      <c r="N372" s="7">
        <f t="shared" si="11"/>
        <v>0</v>
      </c>
    </row>
    <row r="373" spans="1:14" x14ac:dyDescent="0.2">
      <c r="A373" s="2" t="s">
        <v>901</v>
      </c>
      <c r="B373" s="2" t="s">
        <v>56</v>
      </c>
      <c r="C373" s="2" t="s">
        <v>226</v>
      </c>
      <c r="D373" s="2">
        <v>1011749</v>
      </c>
      <c r="E373" s="2" t="s">
        <v>721</v>
      </c>
      <c r="F373" s="2" t="s">
        <v>59</v>
      </c>
      <c r="G373" s="2" t="s">
        <v>543</v>
      </c>
      <c r="H373" s="7">
        <v>0</v>
      </c>
      <c r="I373">
        <v>25</v>
      </c>
      <c r="J373">
        <v>27</v>
      </c>
      <c r="K373" s="14">
        <v>0.6</v>
      </c>
      <c r="L373" s="7">
        <f t="shared" si="10"/>
        <v>0</v>
      </c>
      <c r="M373" s="14">
        <v>0.72</v>
      </c>
      <c r="N373" s="7">
        <f t="shared" si="11"/>
        <v>0</v>
      </c>
    </row>
    <row r="374" spans="1:14" x14ac:dyDescent="0.2">
      <c r="A374" s="2" t="s">
        <v>901</v>
      </c>
      <c r="B374" s="2" t="s">
        <v>56</v>
      </c>
      <c r="C374" s="2" t="s">
        <v>226</v>
      </c>
      <c r="D374" s="2">
        <v>1011906</v>
      </c>
      <c r="E374" s="2" t="s">
        <v>722</v>
      </c>
      <c r="F374" s="2" t="s">
        <v>67</v>
      </c>
      <c r="G374" s="2" t="s">
        <v>540</v>
      </c>
      <c r="H374" s="7">
        <v>0</v>
      </c>
      <c r="I374">
        <v>25</v>
      </c>
      <c r="J374">
        <v>27</v>
      </c>
      <c r="K374" s="14">
        <v>0.6</v>
      </c>
      <c r="L374" s="7">
        <f t="shared" si="10"/>
        <v>0</v>
      </c>
      <c r="M374" s="14">
        <v>0.72</v>
      </c>
      <c r="N374" s="7">
        <f t="shared" si="11"/>
        <v>0</v>
      </c>
    </row>
    <row r="375" spans="1:14" x14ac:dyDescent="0.2">
      <c r="A375" s="2" t="s">
        <v>901</v>
      </c>
      <c r="B375" s="2" t="s">
        <v>56</v>
      </c>
      <c r="C375" s="2" t="s">
        <v>226</v>
      </c>
      <c r="D375" s="2">
        <v>1011973</v>
      </c>
      <c r="E375" s="2" t="s">
        <v>907</v>
      </c>
      <c r="F375" s="2" t="s">
        <v>59</v>
      </c>
      <c r="G375" s="2" t="s">
        <v>908</v>
      </c>
      <c r="H375" s="7">
        <v>0</v>
      </c>
      <c r="I375">
        <v>25</v>
      </c>
      <c r="J375">
        <v>27</v>
      </c>
      <c r="K375" s="14">
        <v>0.6</v>
      </c>
      <c r="L375" s="7">
        <f t="shared" si="10"/>
        <v>0</v>
      </c>
      <c r="M375" s="14">
        <v>0.72</v>
      </c>
      <c r="N375" s="7">
        <f t="shared" si="11"/>
        <v>0</v>
      </c>
    </row>
    <row r="376" spans="1:14" x14ac:dyDescent="0.2">
      <c r="A376" s="2" t="s">
        <v>901</v>
      </c>
      <c r="B376" s="2" t="s">
        <v>56</v>
      </c>
      <c r="C376" s="2" t="s">
        <v>226</v>
      </c>
      <c r="D376" s="2">
        <v>1011974</v>
      </c>
      <c r="E376" s="2" t="s">
        <v>909</v>
      </c>
      <c r="F376" s="2" t="s">
        <v>59</v>
      </c>
      <c r="G376" s="2" t="s">
        <v>910</v>
      </c>
      <c r="H376" s="7">
        <v>0</v>
      </c>
      <c r="I376">
        <v>25</v>
      </c>
      <c r="J376">
        <v>27</v>
      </c>
      <c r="K376" s="14">
        <v>0.6</v>
      </c>
      <c r="L376" s="7">
        <f t="shared" si="10"/>
        <v>0</v>
      </c>
      <c r="M376" s="14">
        <v>0.72</v>
      </c>
      <c r="N376" s="7">
        <f t="shared" si="11"/>
        <v>0</v>
      </c>
    </row>
    <row r="377" spans="1:14" x14ac:dyDescent="0.2">
      <c r="A377" s="2" t="s">
        <v>901</v>
      </c>
      <c r="B377" s="2" t="s">
        <v>56</v>
      </c>
      <c r="C377" s="2" t="s">
        <v>226</v>
      </c>
      <c r="D377" s="2">
        <v>1011975</v>
      </c>
      <c r="E377" s="2" t="s">
        <v>911</v>
      </c>
      <c r="F377" s="2" t="s">
        <v>59</v>
      </c>
      <c r="G377" s="2" t="s">
        <v>912</v>
      </c>
      <c r="H377" s="7">
        <v>0</v>
      </c>
      <c r="I377">
        <v>25</v>
      </c>
      <c r="J377">
        <v>27</v>
      </c>
      <c r="K377" s="14">
        <v>0.6</v>
      </c>
      <c r="L377" s="7">
        <f t="shared" si="10"/>
        <v>0</v>
      </c>
      <c r="M377" s="14">
        <v>0.72</v>
      </c>
      <c r="N377" s="7">
        <f t="shared" si="11"/>
        <v>0</v>
      </c>
    </row>
    <row r="378" spans="1:14" x14ac:dyDescent="0.2">
      <c r="A378" s="2" t="s">
        <v>901</v>
      </c>
      <c r="B378" s="2" t="s">
        <v>56</v>
      </c>
      <c r="C378" s="2" t="s">
        <v>226</v>
      </c>
      <c r="D378" s="2">
        <v>1011976</v>
      </c>
      <c r="E378" s="2" t="s">
        <v>913</v>
      </c>
      <c r="F378" s="2" t="s">
        <v>59</v>
      </c>
      <c r="G378" s="2" t="s">
        <v>914</v>
      </c>
      <c r="H378" s="7">
        <v>0</v>
      </c>
      <c r="I378">
        <v>25</v>
      </c>
      <c r="J378">
        <v>27</v>
      </c>
      <c r="K378" s="14">
        <v>0.6</v>
      </c>
      <c r="L378" s="7">
        <f t="shared" si="10"/>
        <v>0</v>
      </c>
      <c r="M378" s="14">
        <v>0.72</v>
      </c>
      <c r="N378" s="7">
        <f t="shared" si="11"/>
        <v>0</v>
      </c>
    </row>
    <row r="379" spans="1:14" x14ac:dyDescent="0.2">
      <c r="A379" s="2" t="s">
        <v>901</v>
      </c>
      <c r="B379" s="2" t="s">
        <v>56</v>
      </c>
      <c r="C379" s="2" t="s">
        <v>226</v>
      </c>
      <c r="D379" s="2">
        <v>1012207</v>
      </c>
      <c r="E379" s="2" t="s">
        <v>723</v>
      </c>
      <c r="F379" s="2" t="s">
        <v>54</v>
      </c>
      <c r="G379" s="2" t="s">
        <v>464</v>
      </c>
      <c r="H379" s="7">
        <v>0</v>
      </c>
      <c r="I379">
        <v>25</v>
      </c>
      <c r="J379">
        <v>27</v>
      </c>
      <c r="K379" s="14">
        <v>0.6</v>
      </c>
      <c r="L379" s="7">
        <f t="shared" si="10"/>
        <v>0</v>
      </c>
      <c r="M379" s="14">
        <v>0.72</v>
      </c>
      <c r="N379" s="7">
        <f t="shared" si="11"/>
        <v>0</v>
      </c>
    </row>
    <row r="380" spans="1:14" x14ac:dyDescent="0.2">
      <c r="A380" s="2" t="s">
        <v>901</v>
      </c>
      <c r="B380" s="2" t="s">
        <v>56</v>
      </c>
      <c r="C380" s="2" t="s">
        <v>226</v>
      </c>
      <c r="D380" s="2">
        <v>1012405</v>
      </c>
      <c r="E380" s="2" t="s">
        <v>724</v>
      </c>
      <c r="F380" s="2" t="s">
        <v>59</v>
      </c>
      <c r="G380" s="2" t="s">
        <v>725</v>
      </c>
      <c r="H380" s="7">
        <v>0</v>
      </c>
      <c r="I380">
        <v>25</v>
      </c>
      <c r="J380">
        <v>27</v>
      </c>
      <c r="K380" s="14">
        <v>0.6</v>
      </c>
      <c r="L380" s="7">
        <f t="shared" si="10"/>
        <v>0</v>
      </c>
      <c r="M380" s="14">
        <v>0.72</v>
      </c>
      <c r="N380" s="7">
        <f t="shared" si="11"/>
        <v>0</v>
      </c>
    </row>
    <row r="381" spans="1:14" x14ac:dyDescent="0.2">
      <c r="A381" s="2" t="s">
        <v>901</v>
      </c>
      <c r="B381" s="2" t="s">
        <v>56</v>
      </c>
      <c r="C381" s="2" t="s">
        <v>226</v>
      </c>
      <c r="D381" s="2">
        <v>1012432</v>
      </c>
      <c r="E381" s="2" t="s">
        <v>726</v>
      </c>
      <c r="F381" s="2" t="s">
        <v>59</v>
      </c>
      <c r="G381" s="2" t="s">
        <v>454</v>
      </c>
      <c r="H381" s="7">
        <v>0</v>
      </c>
      <c r="I381">
        <v>25</v>
      </c>
      <c r="J381">
        <v>27</v>
      </c>
      <c r="K381" s="14">
        <v>0.6</v>
      </c>
      <c r="L381" s="7">
        <f t="shared" si="10"/>
        <v>0</v>
      </c>
      <c r="M381" s="14">
        <v>0.72</v>
      </c>
      <c r="N381" s="7">
        <f t="shared" si="11"/>
        <v>0</v>
      </c>
    </row>
    <row r="382" spans="1:14" x14ac:dyDescent="0.2">
      <c r="A382" s="2" t="s">
        <v>901</v>
      </c>
      <c r="B382" s="2" t="s">
        <v>56</v>
      </c>
      <c r="C382" s="2" t="s">
        <v>226</v>
      </c>
      <c r="D382" s="2">
        <v>1012724</v>
      </c>
      <c r="E382" s="2" t="s">
        <v>727</v>
      </c>
      <c r="F382" s="2" t="s">
        <v>54</v>
      </c>
      <c r="G382" s="2" t="s">
        <v>427</v>
      </c>
      <c r="H382" s="7">
        <v>55330.78</v>
      </c>
      <c r="I382">
        <v>25</v>
      </c>
      <c r="J382">
        <v>27</v>
      </c>
      <c r="K382" s="14">
        <v>0.6</v>
      </c>
      <c r="L382" s="7">
        <f t="shared" si="10"/>
        <v>33198.468000000001</v>
      </c>
      <c r="M382" s="14">
        <v>0.72</v>
      </c>
      <c r="N382" s="7">
        <f t="shared" si="11"/>
        <v>39838.161599999999</v>
      </c>
    </row>
    <row r="383" spans="1:14" x14ac:dyDescent="0.2">
      <c r="A383" s="2" t="s">
        <v>901</v>
      </c>
      <c r="B383" s="2" t="s">
        <v>56</v>
      </c>
      <c r="C383" s="2" t="s">
        <v>226</v>
      </c>
      <c r="D383" s="2">
        <v>1012730</v>
      </c>
      <c r="E383" s="2" t="s">
        <v>728</v>
      </c>
      <c r="F383" s="2" t="s">
        <v>54</v>
      </c>
      <c r="G383" s="2" t="s">
        <v>426</v>
      </c>
      <c r="H383" s="7">
        <v>0</v>
      </c>
      <c r="I383">
        <v>25</v>
      </c>
      <c r="J383">
        <v>27</v>
      </c>
      <c r="K383" s="14">
        <v>0.6</v>
      </c>
      <c r="L383" s="7">
        <f t="shared" si="10"/>
        <v>0</v>
      </c>
      <c r="M383" s="14">
        <v>0.72</v>
      </c>
      <c r="N383" s="7">
        <f t="shared" si="11"/>
        <v>0</v>
      </c>
    </row>
    <row r="384" spans="1:14" x14ac:dyDescent="0.2">
      <c r="A384" s="2" t="s">
        <v>901</v>
      </c>
      <c r="B384" s="2" t="s">
        <v>56</v>
      </c>
      <c r="C384" s="2" t="s">
        <v>226</v>
      </c>
      <c r="D384" s="2">
        <v>1012745</v>
      </c>
      <c r="E384" s="2" t="s">
        <v>729</v>
      </c>
      <c r="F384" s="2" t="s">
        <v>54</v>
      </c>
      <c r="G384" s="2" t="s">
        <v>425</v>
      </c>
      <c r="H384" s="7">
        <v>40647.656000000003</v>
      </c>
      <c r="I384">
        <v>25</v>
      </c>
      <c r="J384">
        <v>27</v>
      </c>
      <c r="K384" s="14">
        <v>0.6</v>
      </c>
      <c r="L384" s="7">
        <f t="shared" si="10"/>
        <v>24388.5936</v>
      </c>
      <c r="M384" s="14">
        <v>0.72</v>
      </c>
      <c r="N384" s="7">
        <f t="shared" si="11"/>
        <v>29266.312320000001</v>
      </c>
    </row>
    <row r="385" spans="1:14" x14ac:dyDescent="0.2">
      <c r="A385" s="2" t="s">
        <v>901</v>
      </c>
      <c r="B385" s="2" t="s">
        <v>56</v>
      </c>
      <c r="C385" s="2" t="s">
        <v>226</v>
      </c>
      <c r="D385" s="2">
        <v>1012805</v>
      </c>
      <c r="E385" s="2" t="s">
        <v>730</v>
      </c>
      <c r="F385" s="2" t="s">
        <v>224</v>
      </c>
      <c r="G385" s="2" t="s">
        <v>669</v>
      </c>
      <c r="H385" s="7">
        <v>0</v>
      </c>
      <c r="I385">
        <v>25</v>
      </c>
      <c r="J385">
        <v>27</v>
      </c>
      <c r="K385" s="14">
        <v>0.6</v>
      </c>
      <c r="L385" s="7">
        <f t="shared" si="10"/>
        <v>0</v>
      </c>
      <c r="M385" s="14">
        <v>0.72</v>
      </c>
      <c r="N385" s="7">
        <f t="shared" si="11"/>
        <v>0</v>
      </c>
    </row>
    <row r="386" spans="1:14" x14ac:dyDescent="0.2">
      <c r="A386" s="2" t="s">
        <v>901</v>
      </c>
      <c r="B386" s="2" t="s">
        <v>56</v>
      </c>
      <c r="C386" s="2" t="s">
        <v>150</v>
      </c>
      <c r="D386" s="2">
        <v>1011047</v>
      </c>
      <c r="E386" s="2" t="s">
        <v>915</v>
      </c>
      <c r="F386" s="2" t="s">
        <v>59</v>
      </c>
      <c r="G386" s="2" t="s">
        <v>534</v>
      </c>
      <c r="H386" s="7">
        <v>0</v>
      </c>
      <c r="I386">
        <v>23</v>
      </c>
      <c r="J386">
        <v>27</v>
      </c>
      <c r="K386" s="14">
        <v>0.56521739130434778</v>
      </c>
      <c r="L386" s="7">
        <f t="shared" ref="L386:L449" si="12">K386 * H386</f>
        <v>0</v>
      </c>
      <c r="M386" s="14">
        <v>0.69565217391304346</v>
      </c>
      <c r="N386" s="7">
        <f t="shared" ref="N386:N449" si="13">M386 * H386</f>
        <v>0</v>
      </c>
    </row>
    <row r="387" spans="1:14" x14ac:dyDescent="0.2">
      <c r="A387" s="2" t="s">
        <v>901</v>
      </c>
      <c r="B387" s="2" t="s">
        <v>56</v>
      </c>
      <c r="C387" s="2" t="s">
        <v>150</v>
      </c>
      <c r="D387" s="2">
        <v>1011127</v>
      </c>
      <c r="E387" s="2" t="s">
        <v>229</v>
      </c>
      <c r="F387" s="2" t="s">
        <v>59</v>
      </c>
      <c r="G387" s="2" t="s">
        <v>228</v>
      </c>
      <c r="H387" s="7">
        <v>930640</v>
      </c>
      <c r="I387">
        <v>23</v>
      </c>
      <c r="J387">
        <v>27</v>
      </c>
      <c r="K387" s="14">
        <v>0.56521739130434778</v>
      </c>
      <c r="L387" s="7">
        <f t="shared" si="12"/>
        <v>526013.91304347827</v>
      </c>
      <c r="M387" s="14">
        <v>0.69565217391304346</v>
      </c>
      <c r="N387" s="7">
        <f t="shared" si="13"/>
        <v>647401.73913043481</v>
      </c>
    </row>
    <row r="388" spans="1:14" x14ac:dyDescent="0.2">
      <c r="A388" s="2" t="s">
        <v>901</v>
      </c>
      <c r="B388" s="2" t="s">
        <v>56</v>
      </c>
      <c r="C388" s="2" t="s">
        <v>150</v>
      </c>
      <c r="D388" s="2">
        <v>1011150</v>
      </c>
      <c r="E388" s="2" t="s">
        <v>151</v>
      </c>
      <c r="F388" s="2" t="s">
        <v>63</v>
      </c>
      <c r="G388" s="2" t="s">
        <v>149</v>
      </c>
      <c r="H388" s="7">
        <v>80028</v>
      </c>
      <c r="I388">
        <v>23</v>
      </c>
      <c r="J388">
        <v>27</v>
      </c>
      <c r="K388" s="14">
        <v>0.56521739130434778</v>
      </c>
      <c r="L388" s="7">
        <f t="shared" si="12"/>
        <v>45233.217391304344</v>
      </c>
      <c r="M388" s="14">
        <v>0.69565217391304346</v>
      </c>
      <c r="N388" s="7">
        <f t="shared" si="13"/>
        <v>55671.65217391304</v>
      </c>
    </row>
    <row r="389" spans="1:14" x14ac:dyDescent="0.2">
      <c r="A389" s="2" t="s">
        <v>901</v>
      </c>
      <c r="B389" s="2" t="s">
        <v>56</v>
      </c>
      <c r="C389" s="2" t="s">
        <v>150</v>
      </c>
      <c r="D389" s="2">
        <v>1011151</v>
      </c>
      <c r="E389" s="2" t="s">
        <v>153</v>
      </c>
      <c r="F389" s="2" t="s">
        <v>67</v>
      </c>
      <c r="G389" s="2" t="s">
        <v>152</v>
      </c>
      <c r="H389" s="7">
        <v>80028</v>
      </c>
      <c r="I389">
        <v>23</v>
      </c>
      <c r="J389">
        <v>27</v>
      </c>
      <c r="K389" s="14">
        <v>0.56521739130434778</v>
      </c>
      <c r="L389" s="7">
        <f t="shared" si="12"/>
        <v>45233.217391304344</v>
      </c>
      <c r="M389" s="14">
        <v>0.69565217391304346</v>
      </c>
      <c r="N389" s="7">
        <f t="shared" si="13"/>
        <v>55671.65217391304</v>
      </c>
    </row>
    <row r="390" spans="1:14" x14ac:dyDescent="0.2">
      <c r="A390" s="2" t="s">
        <v>901</v>
      </c>
      <c r="B390" s="2" t="s">
        <v>56</v>
      </c>
      <c r="C390" s="2" t="s">
        <v>150</v>
      </c>
      <c r="D390" s="2">
        <v>1011611</v>
      </c>
      <c r="E390" s="2" t="s">
        <v>731</v>
      </c>
      <c r="F390" s="2" t="s">
        <v>59</v>
      </c>
      <c r="G390" s="2" t="s">
        <v>533</v>
      </c>
      <c r="H390" s="7">
        <v>0</v>
      </c>
      <c r="I390">
        <v>23</v>
      </c>
      <c r="J390">
        <v>27</v>
      </c>
      <c r="K390" s="14">
        <v>0.56521739130434778</v>
      </c>
      <c r="L390" s="7">
        <f t="shared" si="12"/>
        <v>0</v>
      </c>
      <c r="M390" s="14">
        <v>0.69565217391304346</v>
      </c>
      <c r="N390" s="7">
        <f t="shared" si="13"/>
        <v>0</v>
      </c>
    </row>
    <row r="391" spans="1:14" x14ac:dyDescent="0.2">
      <c r="A391" s="2" t="s">
        <v>901</v>
      </c>
      <c r="B391" s="2" t="s">
        <v>56</v>
      </c>
      <c r="C391" s="2" t="s">
        <v>150</v>
      </c>
      <c r="D391" s="2">
        <v>1011614</v>
      </c>
      <c r="E391" s="2" t="s">
        <v>732</v>
      </c>
      <c r="F391" s="2" t="s">
        <v>59</v>
      </c>
      <c r="G391" s="2" t="s">
        <v>487</v>
      </c>
      <c r="H391" s="7">
        <v>79816</v>
      </c>
      <c r="I391">
        <v>23</v>
      </c>
      <c r="J391">
        <v>27</v>
      </c>
      <c r="K391" s="14">
        <v>0.56521739130434778</v>
      </c>
      <c r="L391" s="7">
        <f t="shared" si="12"/>
        <v>45113.391304347824</v>
      </c>
      <c r="M391" s="14">
        <v>0.69565217391304346</v>
      </c>
      <c r="N391" s="7">
        <f t="shared" si="13"/>
        <v>55524.17391304348</v>
      </c>
    </row>
    <row r="392" spans="1:14" x14ac:dyDescent="0.2">
      <c r="A392" s="2" t="s">
        <v>901</v>
      </c>
      <c r="B392" s="2" t="s">
        <v>56</v>
      </c>
      <c r="C392" s="2" t="s">
        <v>150</v>
      </c>
      <c r="D392" s="2">
        <v>1011748</v>
      </c>
      <c r="E392" s="2" t="s">
        <v>227</v>
      </c>
      <c r="F392" s="2" t="s">
        <v>59</v>
      </c>
      <c r="G392" s="2" t="s">
        <v>482</v>
      </c>
      <c r="H392" s="7">
        <v>0</v>
      </c>
      <c r="I392">
        <v>23</v>
      </c>
      <c r="J392">
        <v>27</v>
      </c>
      <c r="K392" s="14">
        <v>0.56521739130434778</v>
      </c>
      <c r="L392" s="7">
        <f t="shared" si="12"/>
        <v>0</v>
      </c>
      <c r="M392" s="14">
        <v>0.69565217391304346</v>
      </c>
      <c r="N392" s="7">
        <f t="shared" si="13"/>
        <v>0</v>
      </c>
    </row>
    <row r="393" spans="1:14" x14ac:dyDescent="0.2">
      <c r="A393" s="2" t="s">
        <v>901</v>
      </c>
      <c r="B393" s="2" t="s">
        <v>56</v>
      </c>
      <c r="C393" s="2" t="s">
        <v>150</v>
      </c>
      <c r="D393" s="2">
        <v>1012278</v>
      </c>
      <c r="E393" s="2" t="s">
        <v>231</v>
      </c>
      <c r="F393" s="2" t="s">
        <v>63</v>
      </c>
      <c r="G393" s="2" t="s">
        <v>230</v>
      </c>
      <c r="H393" s="7">
        <v>0</v>
      </c>
      <c r="I393">
        <v>23</v>
      </c>
      <c r="J393">
        <v>27</v>
      </c>
      <c r="K393" s="14">
        <v>0.56521739130434778</v>
      </c>
      <c r="L393" s="7">
        <f t="shared" si="12"/>
        <v>0</v>
      </c>
      <c r="M393" s="14">
        <v>0.69565217391304346</v>
      </c>
      <c r="N393" s="7">
        <f t="shared" si="13"/>
        <v>0</v>
      </c>
    </row>
    <row r="394" spans="1:14" x14ac:dyDescent="0.2">
      <c r="A394" s="2" t="s">
        <v>901</v>
      </c>
      <c r="B394" s="2" t="s">
        <v>56</v>
      </c>
      <c r="C394" s="2" t="s">
        <v>150</v>
      </c>
      <c r="D394" s="2">
        <v>1012534</v>
      </c>
      <c r="E394" s="2" t="s">
        <v>233</v>
      </c>
      <c r="F394" s="2" t="s">
        <v>234</v>
      </c>
      <c r="G394" s="2" t="s">
        <v>232</v>
      </c>
      <c r="H394" s="7">
        <v>0</v>
      </c>
      <c r="I394">
        <v>23</v>
      </c>
      <c r="J394">
        <v>27</v>
      </c>
      <c r="K394" s="14">
        <v>0.56521739130434778</v>
      </c>
      <c r="L394" s="7">
        <f t="shared" si="12"/>
        <v>0</v>
      </c>
      <c r="M394" s="14">
        <v>0.69565217391304346</v>
      </c>
      <c r="N394" s="7">
        <f t="shared" si="13"/>
        <v>0</v>
      </c>
    </row>
    <row r="395" spans="1:14" x14ac:dyDescent="0.2">
      <c r="A395" s="2" t="s">
        <v>901</v>
      </c>
      <c r="B395" s="2" t="s">
        <v>56</v>
      </c>
      <c r="C395" s="2" t="s">
        <v>150</v>
      </c>
      <c r="D395" s="2">
        <v>1012725</v>
      </c>
      <c r="E395" s="2" t="s">
        <v>155</v>
      </c>
      <c r="F395" s="2" t="s">
        <v>67</v>
      </c>
      <c r="G395" s="2" t="s">
        <v>154</v>
      </c>
      <c r="H395" s="7">
        <v>0</v>
      </c>
      <c r="I395">
        <v>23</v>
      </c>
      <c r="J395">
        <v>27</v>
      </c>
      <c r="K395" s="14">
        <v>0.56521739130434778</v>
      </c>
      <c r="L395" s="7">
        <f t="shared" si="12"/>
        <v>0</v>
      </c>
      <c r="M395" s="14">
        <v>0.69565217391304346</v>
      </c>
      <c r="N395" s="7">
        <f t="shared" si="13"/>
        <v>0</v>
      </c>
    </row>
    <row r="396" spans="1:14" x14ac:dyDescent="0.2">
      <c r="A396" s="2" t="s">
        <v>901</v>
      </c>
      <c r="B396" s="2" t="s">
        <v>56</v>
      </c>
      <c r="C396" s="2" t="s">
        <v>150</v>
      </c>
      <c r="D396" s="2">
        <v>1012764</v>
      </c>
      <c r="E396" s="2" t="s">
        <v>733</v>
      </c>
      <c r="F396" s="2" t="s">
        <v>710</v>
      </c>
      <c r="G396" s="2" t="s">
        <v>491</v>
      </c>
      <c r="H396" s="7">
        <v>0</v>
      </c>
      <c r="I396">
        <v>23</v>
      </c>
      <c r="J396">
        <v>27</v>
      </c>
      <c r="K396" s="14">
        <v>0.56521739130434778</v>
      </c>
      <c r="L396" s="7">
        <f t="shared" si="12"/>
        <v>0</v>
      </c>
      <c r="M396" s="14">
        <v>0.69565217391304346</v>
      </c>
      <c r="N396" s="7">
        <f t="shared" si="13"/>
        <v>0</v>
      </c>
    </row>
    <row r="397" spans="1:14" x14ac:dyDescent="0.2">
      <c r="A397" s="2" t="s">
        <v>901</v>
      </c>
      <c r="B397" s="2" t="s">
        <v>56</v>
      </c>
      <c r="C397" s="2" t="s">
        <v>150</v>
      </c>
      <c r="D397" s="2">
        <v>1012796</v>
      </c>
      <c r="E397" s="2" t="s">
        <v>734</v>
      </c>
      <c r="F397" s="2" t="s">
        <v>63</v>
      </c>
      <c r="G397" s="2" t="s">
        <v>523</v>
      </c>
      <c r="H397" s="7">
        <v>0</v>
      </c>
      <c r="I397">
        <v>23</v>
      </c>
      <c r="J397">
        <v>27</v>
      </c>
      <c r="K397" s="14">
        <v>0.56521739130434778</v>
      </c>
      <c r="L397" s="7">
        <f t="shared" si="12"/>
        <v>0</v>
      </c>
      <c r="M397" s="14">
        <v>0.69565217391304346</v>
      </c>
      <c r="N397" s="7">
        <f t="shared" si="13"/>
        <v>0</v>
      </c>
    </row>
    <row r="398" spans="1:14" x14ac:dyDescent="0.2">
      <c r="A398" s="2" t="s">
        <v>901</v>
      </c>
      <c r="B398" s="2" t="s">
        <v>56</v>
      </c>
      <c r="C398" s="2" t="s">
        <v>735</v>
      </c>
      <c r="D398" s="2">
        <v>1011421</v>
      </c>
      <c r="E398" s="2" t="s">
        <v>736</v>
      </c>
      <c r="F398" s="2" t="s">
        <v>710</v>
      </c>
      <c r="G398" s="2" t="s">
        <v>484</v>
      </c>
      <c r="H398" s="7">
        <v>623792.36399999994</v>
      </c>
      <c r="I398">
        <v>25</v>
      </c>
      <c r="J398">
        <v>27</v>
      </c>
      <c r="K398" s="14">
        <v>0.6</v>
      </c>
      <c r="L398" s="7">
        <f t="shared" si="12"/>
        <v>374275.41839999997</v>
      </c>
      <c r="M398" s="14">
        <v>0.72</v>
      </c>
      <c r="N398" s="7">
        <f t="shared" si="13"/>
        <v>449130.50207999995</v>
      </c>
    </row>
    <row r="399" spans="1:14" x14ac:dyDescent="0.2">
      <c r="A399" s="2" t="s">
        <v>901</v>
      </c>
      <c r="B399" s="2" t="s">
        <v>56</v>
      </c>
      <c r="C399" s="2" t="s">
        <v>735</v>
      </c>
      <c r="D399" s="2">
        <v>1011558</v>
      </c>
      <c r="E399" s="2" t="s">
        <v>737</v>
      </c>
      <c r="F399" s="2" t="s">
        <v>710</v>
      </c>
      <c r="G399" s="2" t="s">
        <v>603</v>
      </c>
      <c r="H399" s="7">
        <v>97977.012000000002</v>
      </c>
      <c r="I399">
        <v>25</v>
      </c>
      <c r="J399">
        <v>27</v>
      </c>
      <c r="K399" s="14">
        <v>0.6</v>
      </c>
      <c r="L399" s="7">
        <f t="shared" si="12"/>
        <v>58786.207199999997</v>
      </c>
      <c r="M399" s="14">
        <v>0.72</v>
      </c>
      <c r="N399" s="7">
        <f t="shared" si="13"/>
        <v>70543.448640000002</v>
      </c>
    </row>
    <row r="400" spans="1:14" x14ac:dyDescent="0.2">
      <c r="A400" s="2" t="s">
        <v>901</v>
      </c>
      <c r="B400" s="2" t="s">
        <v>56</v>
      </c>
      <c r="C400" s="2" t="s">
        <v>735</v>
      </c>
      <c r="D400" s="2">
        <v>1012208</v>
      </c>
      <c r="E400" s="2" t="s">
        <v>916</v>
      </c>
      <c r="F400" s="2" t="s">
        <v>917</v>
      </c>
      <c r="G400" s="2" t="s">
        <v>641</v>
      </c>
      <c r="H400" s="7">
        <v>91571.784</v>
      </c>
      <c r="I400">
        <v>25</v>
      </c>
      <c r="J400">
        <v>27</v>
      </c>
      <c r="K400" s="14">
        <v>0.6</v>
      </c>
      <c r="L400" s="7">
        <f t="shared" si="12"/>
        <v>54943.070399999997</v>
      </c>
      <c r="M400" s="14">
        <v>0.72</v>
      </c>
      <c r="N400" s="7">
        <f t="shared" si="13"/>
        <v>65931.684479999996</v>
      </c>
    </row>
    <row r="401" spans="1:14" x14ac:dyDescent="0.2">
      <c r="A401" s="2" t="s">
        <v>901</v>
      </c>
      <c r="B401" s="2" t="s">
        <v>56</v>
      </c>
      <c r="C401" s="2" t="s">
        <v>741</v>
      </c>
      <c r="D401" s="2">
        <v>1012612</v>
      </c>
      <c r="E401" s="2" t="s">
        <v>742</v>
      </c>
      <c r="F401" s="2" t="s">
        <v>710</v>
      </c>
      <c r="G401" s="2" t="s">
        <v>429</v>
      </c>
      <c r="H401" s="7">
        <v>90453.111999999994</v>
      </c>
      <c r="I401">
        <v>25</v>
      </c>
      <c r="J401">
        <v>27</v>
      </c>
      <c r="K401" s="14">
        <v>0.6</v>
      </c>
      <c r="L401" s="7">
        <f t="shared" si="12"/>
        <v>54271.867199999993</v>
      </c>
      <c r="M401" s="14">
        <v>0.72</v>
      </c>
      <c r="N401" s="7">
        <f t="shared" si="13"/>
        <v>65126.240639999996</v>
      </c>
    </row>
    <row r="402" spans="1:14" x14ac:dyDescent="0.2">
      <c r="A402" s="2" t="s">
        <v>901</v>
      </c>
      <c r="B402" s="2" t="s">
        <v>56</v>
      </c>
      <c r="C402" s="2" t="s">
        <v>46</v>
      </c>
      <c r="D402" s="2">
        <v>1011417</v>
      </c>
      <c r="E402" s="2" t="s">
        <v>743</v>
      </c>
      <c r="F402" s="2" t="s">
        <v>63</v>
      </c>
      <c r="G402" s="2" t="s">
        <v>421</v>
      </c>
      <c r="H402" s="7">
        <v>0</v>
      </c>
      <c r="I402">
        <v>25</v>
      </c>
      <c r="J402">
        <v>27</v>
      </c>
      <c r="K402" s="14">
        <v>0.6</v>
      </c>
      <c r="L402" s="7">
        <f t="shared" si="12"/>
        <v>0</v>
      </c>
      <c r="M402" s="14">
        <v>0.72</v>
      </c>
      <c r="N402" s="7">
        <f t="shared" si="13"/>
        <v>0</v>
      </c>
    </row>
    <row r="403" spans="1:14" x14ac:dyDescent="0.2">
      <c r="A403" s="2" t="s">
        <v>901</v>
      </c>
      <c r="B403" s="2" t="s">
        <v>56</v>
      </c>
      <c r="C403" s="2" t="s">
        <v>46</v>
      </c>
      <c r="D403" s="2">
        <v>1011586</v>
      </c>
      <c r="E403" s="2" t="s">
        <v>744</v>
      </c>
      <c r="F403" s="2" t="s">
        <v>63</v>
      </c>
      <c r="G403" s="2" t="s">
        <v>420</v>
      </c>
      <c r="H403" s="7">
        <v>159632</v>
      </c>
      <c r="I403">
        <v>25</v>
      </c>
      <c r="J403">
        <v>27</v>
      </c>
      <c r="K403" s="14">
        <v>0.6</v>
      </c>
      <c r="L403" s="7">
        <f t="shared" si="12"/>
        <v>95779.199999999997</v>
      </c>
      <c r="M403" s="14">
        <v>0.72</v>
      </c>
      <c r="N403" s="7">
        <f t="shared" si="13"/>
        <v>114935.03999999999</v>
      </c>
    </row>
    <row r="404" spans="1:14" x14ac:dyDescent="0.2">
      <c r="A404" s="2" t="s">
        <v>901</v>
      </c>
      <c r="B404" s="2" t="s">
        <v>56</v>
      </c>
      <c r="C404" s="2" t="s">
        <v>46</v>
      </c>
      <c r="D404" s="2">
        <v>1011967</v>
      </c>
      <c r="E404" s="2" t="s">
        <v>244</v>
      </c>
      <c r="F404" s="2" t="s">
        <v>245</v>
      </c>
      <c r="G404" s="2" t="s">
        <v>418</v>
      </c>
      <c r="H404" s="7">
        <v>0</v>
      </c>
      <c r="I404">
        <v>25</v>
      </c>
      <c r="J404">
        <v>27</v>
      </c>
      <c r="K404" s="14">
        <v>0.6</v>
      </c>
      <c r="L404" s="7">
        <f t="shared" si="12"/>
        <v>0</v>
      </c>
      <c r="M404" s="14">
        <v>0.72</v>
      </c>
      <c r="N404" s="7">
        <f t="shared" si="13"/>
        <v>0</v>
      </c>
    </row>
    <row r="405" spans="1:14" x14ac:dyDescent="0.2">
      <c r="A405" s="2" t="s">
        <v>901</v>
      </c>
      <c r="B405" s="2" t="s">
        <v>56</v>
      </c>
      <c r="C405" s="2" t="s">
        <v>46</v>
      </c>
      <c r="D405" s="2">
        <v>1011968</v>
      </c>
      <c r="E405" s="2" t="s">
        <v>247</v>
      </c>
      <c r="F405" s="2" t="s">
        <v>245</v>
      </c>
      <c r="G405" s="2" t="s">
        <v>438</v>
      </c>
      <c r="H405" s="7">
        <v>55920</v>
      </c>
      <c r="I405">
        <v>25</v>
      </c>
      <c r="J405">
        <v>27</v>
      </c>
      <c r="K405" s="14">
        <v>0.6</v>
      </c>
      <c r="L405" s="7">
        <f t="shared" si="12"/>
        <v>33552</v>
      </c>
      <c r="M405" s="14">
        <v>0.72</v>
      </c>
      <c r="N405" s="7">
        <f t="shared" si="13"/>
        <v>40262.400000000001</v>
      </c>
    </row>
    <row r="406" spans="1:14" x14ac:dyDescent="0.2">
      <c r="A406" s="2" t="s">
        <v>901</v>
      </c>
      <c r="B406" s="2" t="s">
        <v>56</v>
      </c>
      <c r="C406" s="2" t="s">
        <v>46</v>
      </c>
      <c r="D406" s="2">
        <v>1011969</v>
      </c>
      <c r="E406" s="2" t="s">
        <v>745</v>
      </c>
      <c r="F406" s="2" t="s">
        <v>245</v>
      </c>
      <c r="G406" s="2" t="s">
        <v>417</v>
      </c>
      <c r="H406" s="7">
        <v>96000</v>
      </c>
      <c r="I406">
        <v>25</v>
      </c>
      <c r="J406">
        <v>27</v>
      </c>
      <c r="K406" s="14">
        <v>0.6</v>
      </c>
      <c r="L406" s="7">
        <f t="shared" si="12"/>
        <v>57600</v>
      </c>
      <c r="M406" s="14">
        <v>0.72</v>
      </c>
      <c r="N406" s="7">
        <f t="shared" si="13"/>
        <v>69120</v>
      </c>
    </row>
    <row r="407" spans="1:14" x14ac:dyDescent="0.2">
      <c r="A407" s="2" t="s">
        <v>901</v>
      </c>
      <c r="B407" s="2" t="s">
        <v>56</v>
      </c>
      <c r="C407" s="2" t="s">
        <v>46</v>
      </c>
      <c r="D407" s="2">
        <v>1012005</v>
      </c>
      <c r="E407" s="2" t="s">
        <v>746</v>
      </c>
      <c r="F407" s="2" t="s">
        <v>245</v>
      </c>
      <c r="G407" s="2" t="s">
        <v>531</v>
      </c>
      <c r="H407" s="7">
        <v>0</v>
      </c>
      <c r="I407">
        <v>25</v>
      </c>
      <c r="J407">
        <v>27</v>
      </c>
      <c r="K407" s="14">
        <v>0.6</v>
      </c>
      <c r="L407" s="7">
        <f t="shared" si="12"/>
        <v>0</v>
      </c>
      <c r="M407" s="14">
        <v>0.72</v>
      </c>
      <c r="N407" s="7">
        <f t="shared" si="13"/>
        <v>0</v>
      </c>
    </row>
    <row r="408" spans="1:14" x14ac:dyDescent="0.2">
      <c r="A408" s="2" t="s">
        <v>901</v>
      </c>
      <c r="B408" s="2" t="s">
        <v>56</v>
      </c>
      <c r="C408" s="2" t="s">
        <v>46</v>
      </c>
      <c r="D408" s="2">
        <v>1012218</v>
      </c>
      <c r="E408" s="2" t="s">
        <v>236</v>
      </c>
      <c r="F408" s="2" t="s">
        <v>63</v>
      </c>
      <c r="G408" s="2" t="s">
        <v>235</v>
      </c>
      <c r="H408" s="7">
        <v>0</v>
      </c>
      <c r="I408">
        <v>25</v>
      </c>
      <c r="J408">
        <v>27</v>
      </c>
      <c r="K408" s="14">
        <v>0.6</v>
      </c>
      <c r="L408" s="7">
        <f t="shared" si="12"/>
        <v>0</v>
      </c>
      <c r="M408" s="14">
        <v>0.72</v>
      </c>
      <c r="N408" s="7">
        <f t="shared" si="13"/>
        <v>0</v>
      </c>
    </row>
    <row r="409" spans="1:14" x14ac:dyDescent="0.2">
      <c r="A409" s="2" t="s">
        <v>901</v>
      </c>
      <c r="B409" s="2" t="s">
        <v>56</v>
      </c>
      <c r="C409" s="2" t="s">
        <v>46</v>
      </c>
      <c r="D409" s="2">
        <v>1012275</v>
      </c>
      <c r="E409" s="2" t="s">
        <v>238</v>
      </c>
      <c r="F409" s="2" t="s">
        <v>63</v>
      </c>
      <c r="G409" s="2" t="s">
        <v>237</v>
      </c>
      <c r="H409" s="7">
        <v>0</v>
      </c>
      <c r="I409">
        <v>25</v>
      </c>
      <c r="J409">
        <v>27</v>
      </c>
      <c r="K409" s="14">
        <v>0.6</v>
      </c>
      <c r="L409" s="7">
        <f t="shared" si="12"/>
        <v>0</v>
      </c>
      <c r="M409" s="14">
        <v>0.72</v>
      </c>
      <c r="N409" s="7">
        <f t="shared" si="13"/>
        <v>0</v>
      </c>
    </row>
    <row r="410" spans="1:14" x14ac:dyDescent="0.2">
      <c r="A410" s="2" t="s">
        <v>901</v>
      </c>
      <c r="B410" s="2" t="s">
        <v>56</v>
      </c>
      <c r="C410" s="2" t="s">
        <v>46</v>
      </c>
      <c r="D410" s="2">
        <v>1012434</v>
      </c>
      <c r="E410" s="2" t="s">
        <v>240</v>
      </c>
      <c r="F410" s="2" t="s">
        <v>63</v>
      </c>
      <c r="G410" s="2" t="s">
        <v>239</v>
      </c>
      <c r="H410" s="7">
        <v>0</v>
      </c>
      <c r="I410">
        <v>25</v>
      </c>
      <c r="J410">
        <v>27</v>
      </c>
      <c r="K410" s="14">
        <v>0.6</v>
      </c>
      <c r="L410" s="7">
        <f t="shared" si="12"/>
        <v>0</v>
      </c>
      <c r="M410" s="14">
        <v>0.72</v>
      </c>
      <c r="N410" s="7">
        <f t="shared" si="13"/>
        <v>0</v>
      </c>
    </row>
    <row r="411" spans="1:14" x14ac:dyDescent="0.2">
      <c r="A411" s="2" t="s">
        <v>901</v>
      </c>
      <c r="B411" s="2" t="s">
        <v>56</v>
      </c>
      <c r="C411" s="2" t="s">
        <v>46</v>
      </c>
      <c r="D411" s="2">
        <v>1012448</v>
      </c>
      <c r="E411" s="2" t="s">
        <v>747</v>
      </c>
      <c r="F411" s="2" t="s">
        <v>245</v>
      </c>
      <c r="G411" s="2" t="s">
        <v>451</v>
      </c>
      <c r="H411" s="7">
        <v>96000</v>
      </c>
      <c r="I411">
        <v>25</v>
      </c>
      <c r="J411">
        <v>27</v>
      </c>
      <c r="K411" s="14">
        <v>0.6</v>
      </c>
      <c r="L411" s="7">
        <f t="shared" si="12"/>
        <v>57600</v>
      </c>
      <c r="M411" s="14">
        <v>0.72</v>
      </c>
      <c r="N411" s="7">
        <f t="shared" si="13"/>
        <v>69120</v>
      </c>
    </row>
    <row r="412" spans="1:14" x14ac:dyDescent="0.2">
      <c r="A412" s="2" t="s">
        <v>901</v>
      </c>
      <c r="B412" s="2" t="s">
        <v>56</v>
      </c>
      <c r="C412" s="2" t="s">
        <v>46</v>
      </c>
      <c r="D412" s="2">
        <v>1012451</v>
      </c>
      <c r="E412" s="2" t="s">
        <v>157</v>
      </c>
      <c r="F412" s="2" t="s">
        <v>63</v>
      </c>
      <c r="G412" s="2" t="s">
        <v>156</v>
      </c>
      <c r="H412" s="7">
        <v>87480</v>
      </c>
      <c r="I412">
        <v>25</v>
      </c>
      <c r="J412">
        <v>27</v>
      </c>
      <c r="K412" s="14">
        <v>0.6</v>
      </c>
      <c r="L412" s="7">
        <f t="shared" si="12"/>
        <v>52488</v>
      </c>
      <c r="M412" s="14">
        <v>0.72</v>
      </c>
      <c r="N412" s="7">
        <f t="shared" si="13"/>
        <v>62985.599999999999</v>
      </c>
    </row>
    <row r="413" spans="1:14" x14ac:dyDescent="0.2">
      <c r="A413" s="2" t="s">
        <v>901</v>
      </c>
      <c r="B413" s="2" t="s">
        <v>56</v>
      </c>
      <c r="C413" s="2" t="s">
        <v>46</v>
      </c>
      <c r="D413" s="2">
        <v>1012452</v>
      </c>
      <c r="E413" s="2" t="s">
        <v>748</v>
      </c>
      <c r="F413" s="2" t="s">
        <v>63</v>
      </c>
      <c r="G413" s="2" t="s">
        <v>419</v>
      </c>
      <c r="H413" s="7">
        <v>0</v>
      </c>
      <c r="I413">
        <v>25</v>
      </c>
      <c r="J413">
        <v>27</v>
      </c>
      <c r="K413" s="14">
        <v>0.6</v>
      </c>
      <c r="L413" s="7">
        <f t="shared" si="12"/>
        <v>0</v>
      </c>
      <c r="M413" s="14">
        <v>0.72</v>
      </c>
      <c r="N413" s="7">
        <f t="shared" si="13"/>
        <v>0</v>
      </c>
    </row>
    <row r="414" spans="1:14" x14ac:dyDescent="0.2">
      <c r="A414" s="2" t="s">
        <v>901</v>
      </c>
      <c r="B414" s="2" t="s">
        <v>56</v>
      </c>
      <c r="C414" s="2" t="s">
        <v>46</v>
      </c>
      <c r="D414" s="2">
        <v>1012453</v>
      </c>
      <c r="E414" s="2" t="s">
        <v>242</v>
      </c>
      <c r="F414" s="2" t="s">
        <v>63</v>
      </c>
      <c r="G414" s="2" t="s">
        <v>241</v>
      </c>
      <c r="H414" s="7">
        <v>3995.2</v>
      </c>
      <c r="I414">
        <v>25</v>
      </c>
      <c r="J414">
        <v>27</v>
      </c>
      <c r="K414" s="14">
        <v>0.6</v>
      </c>
      <c r="L414" s="7">
        <f t="shared" si="12"/>
        <v>2397.12</v>
      </c>
      <c r="M414" s="14">
        <v>0.72</v>
      </c>
      <c r="N414" s="7">
        <f t="shared" si="13"/>
        <v>2876.5439999999999</v>
      </c>
    </row>
    <row r="415" spans="1:14" x14ac:dyDescent="0.2">
      <c r="A415" s="2" t="s">
        <v>901</v>
      </c>
      <c r="B415" s="2" t="s">
        <v>56</v>
      </c>
      <c r="C415" s="2" t="s">
        <v>46</v>
      </c>
      <c r="D415" s="2">
        <v>1012455</v>
      </c>
      <c r="E415" s="2" t="s">
        <v>749</v>
      </c>
      <c r="F415" s="2" t="s">
        <v>63</v>
      </c>
      <c r="G415" s="2" t="s">
        <v>450</v>
      </c>
      <c r="H415" s="7">
        <v>0</v>
      </c>
      <c r="I415">
        <v>25</v>
      </c>
      <c r="J415">
        <v>27</v>
      </c>
      <c r="K415" s="14">
        <v>0.6</v>
      </c>
      <c r="L415" s="7">
        <f t="shared" si="12"/>
        <v>0</v>
      </c>
      <c r="M415" s="14">
        <v>0.72</v>
      </c>
      <c r="N415" s="7">
        <f t="shared" si="13"/>
        <v>0</v>
      </c>
    </row>
    <row r="416" spans="1:14" x14ac:dyDescent="0.2">
      <c r="A416" s="2" t="s">
        <v>901</v>
      </c>
      <c r="B416" s="2" t="s">
        <v>56</v>
      </c>
      <c r="C416" s="2" t="s">
        <v>46</v>
      </c>
      <c r="D416" s="2">
        <v>1012502</v>
      </c>
      <c r="E416" s="2" t="s">
        <v>918</v>
      </c>
      <c r="F416" s="2" t="s">
        <v>245</v>
      </c>
      <c r="G416" s="2" t="s">
        <v>565</v>
      </c>
      <c r="H416" s="7">
        <v>94880</v>
      </c>
      <c r="I416">
        <v>25</v>
      </c>
      <c r="J416">
        <v>27</v>
      </c>
      <c r="K416" s="14">
        <v>0.6</v>
      </c>
      <c r="L416" s="7">
        <f t="shared" si="12"/>
        <v>56928</v>
      </c>
      <c r="M416" s="14">
        <v>0.72</v>
      </c>
      <c r="N416" s="7">
        <f t="shared" si="13"/>
        <v>68313.599999999991</v>
      </c>
    </row>
    <row r="417" spans="1:14" x14ac:dyDescent="0.2">
      <c r="A417" s="2" t="s">
        <v>901</v>
      </c>
      <c r="B417" s="2" t="s">
        <v>56</v>
      </c>
      <c r="C417" s="2" t="s">
        <v>46</v>
      </c>
      <c r="D417" s="2">
        <v>1012503</v>
      </c>
      <c r="E417" s="2" t="s">
        <v>750</v>
      </c>
      <c r="F417" s="2" t="s">
        <v>245</v>
      </c>
      <c r="G417" s="2" t="s">
        <v>448</v>
      </c>
      <c r="H417" s="7">
        <v>0</v>
      </c>
      <c r="I417">
        <v>25</v>
      </c>
      <c r="J417">
        <v>27</v>
      </c>
      <c r="K417" s="14">
        <v>0.6</v>
      </c>
      <c r="L417" s="7">
        <f t="shared" si="12"/>
        <v>0</v>
      </c>
      <c r="M417" s="14">
        <v>0.72</v>
      </c>
      <c r="N417" s="7">
        <f t="shared" si="13"/>
        <v>0</v>
      </c>
    </row>
    <row r="418" spans="1:14" x14ac:dyDescent="0.2">
      <c r="A418" s="2" t="s">
        <v>901</v>
      </c>
      <c r="B418" s="2" t="s">
        <v>56</v>
      </c>
      <c r="C418" s="2" t="s">
        <v>46</v>
      </c>
      <c r="D418" s="2">
        <v>1012504</v>
      </c>
      <c r="E418" s="2" t="s">
        <v>747</v>
      </c>
      <c r="F418" s="2" t="s">
        <v>245</v>
      </c>
      <c r="G418" s="2" t="s">
        <v>563</v>
      </c>
      <c r="H418" s="7">
        <v>96000</v>
      </c>
      <c r="I418">
        <v>25</v>
      </c>
      <c r="J418">
        <v>27</v>
      </c>
      <c r="K418" s="14">
        <v>0.6</v>
      </c>
      <c r="L418" s="7">
        <f t="shared" si="12"/>
        <v>57600</v>
      </c>
      <c r="M418" s="14">
        <v>0.72</v>
      </c>
      <c r="N418" s="7">
        <f t="shared" si="13"/>
        <v>69120</v>
      </c>
    </row>
    <row r="419" spans="1:14" x14ac:dyDescent="0.2">
      <c r="A419" s="2" t="s">
        <v>901</v>
      </c>
      <c r="B419" s="2" t="s">
        <v>56</v>
      </c>
      <c r="C419" s="2" t="s">
        <v>46</v>
      </c>
      <c r="D419" s="2">
        <v>1012525</v>
      </c>
      <c r="E419" s="2" t="s">
        <v>244</v>
      </c>
      <c r="F419" s="2" t="s">
        <v>245</v>
      </c>
      <c r="G419" s="2" t="s">
        <v>243</v>
      </c>
      <c r="H419" s="7">
        <v>0</v>
      </c>
      <c r="I419">
        <v>25</v>
      </c>
      <c r="J419">
        <v>27</v>
      </c>
      <c r="K419" s="14">
        <v>0.6</v>
      </c>
      <c r="L419" s="7">
        <f t="shared" si="12"/>
        <v>0</v>
      </c>
      <c r="M419" s="14">
        <v>0.72</v>
      </c>
      <c r="N419" s="7">
        <f t="shared" si="13"/>
        <v>0</v>
      </c>
    </row>
    <row r="420" spans="1:14" x14ac:dyDescent="0.2">
      <c r="A420" s="2" t="s">
        <v>901</v>
      </c>
      <c r="B420" s="2" t="s">
        <v>56</v>
      </c>
      <c r="C420" s="2" t="s">
        <v>46</v>
      </c>
      <c r="D420" s="2">
        <v>1012526</v>
      </c>
      <c r="E420" s="2" t="s">
        <v>247</v>
      </c>
      <c r="F420" s="2" t="s">
        <v>245</v>
      </c>
      <c r="G420" s="2" t="s">
        <v>246</v>
      </c>
      <c r="H420" s="7">
        <v>32480</v>
      </c>
      <c r="I420">
        <v>25</v>
      </c>
      <c r="J420">
        <v>27</v>
      </c>
      <c r="K420" s="14">
        <v>0.6</v>
      </c>
      <c r="L420" s="7">
        <f t="shared" si="12"/>
        <v>19488</v>
      </c>
      <c r="M420" s="14">
        <v>0.72</v>
      </c>
      <c r="N420" s="7">
        <f t="shared" si="13"/>
        <v>23385.599999999999</v>
      </c>
    </row>
    <row r="421" spans="1:14" x14ac:dyDescent="0.2">
      <c r="A421" s="2" t="s">
        <v>901</v>
      </c>
      <c r="B421" s="2" t="s">
        <v>56</v>
      </c>
      <c r="C421" s="2" t="s">
        <v>46</v>
      </c>
      <c r="D421" s="2">
        <v>1012527</v>
      </c>
      <c r="E421" s="2" t="s">
        <v>751</v>
      </c>
      <c r="F421" s="2" t="s">
        <v>245</v>
      </c>
      <c r="G421" s="2" t="s">
        <v>557</v>
      </c>
      <c r="H421" s="7">
        <v>96000</v>
      </c>
      <c r="I421">
        <v>25</v>
      </c>
      <c r="J421">
        <v>27</v>
      </c>
      <c r="K421" s="14">
        <v>0.6</v>
      </c>
      <c r="L421" s="7">
        <f t="shared" si="12"/>
        <v>57600</v>
      </c>
      <c r="M421" s="14">
        <v>0.72</v>
      </c>
      <c r="N421" s="7">
        <f t="shared" si="13"/>
        <v>69120</v>
      </c>
    </row>
    <row r="422" spans="1:14" x14ac:dyDescent="0.2">
      <c r="A422" s="2" t="s">
        <v>901</v>
      </c>
      <c r="B422" s="2" t="s">
        <v>56</v>
      </c>
      <c r="C422" s="2" t="s">
        <v>46</v>
      </c>
      <c r="D422" s="2">
        <v>1012595</v>
      </c>
      <c r="E422" s="2" t="s">
        <v>249</v>
      </c>
      <c r="F422" s="2" t="s">
        <v>59</v>
      </c>
      <c r="G422" s="2" t="s">
        <v>248</v>
      </c>
      <c r="H422" s="7">
        <v>0</v>
      </c>
      <c r="I422">
        <v>25</v>
      </c>
      <c r="J422">
        <v>27</v>
      </c>
      <c r="K422" s="14">
        <v>0.6</v>
      </c>
      <c r="L422" s="7">
        <f t="shared" si="12"/>
        <v>0</v>
      </c>
      <c r="M422" s="14">
        <v>0.72</v>
      </c>
      <c r="N422" s="7">
        <f t="shared" si="13"/>
        <v>0</v>
      </c>
    </row>
    <row r="423" spans="1:14" x14ac:dyDescent="0.2">
      <c r="A423" s="2" t="s">
        <v>901</v>
      </c>
      <c r="B423" s="2" t="s">
        <v>56</v>
      </c>
      <c r="C423" s="2" t="s">
        <v>46</v>
      </c>
      <c r="D423" s="2">
        <v>1012622</v>
      </c>
      <c r="E423" s="2" t="s">
        <v>251</v>
      </c>
      <c r="F423" s="2" t="s">
        <v>124</v>
      </c>
      <c r="G423" s="2" t="s">
        <v>250</v>
      </c>
      <c r="H423" s="7">
        <v>0</v>
      </c>
      <c r="I423">
        <v>25</v>
      </c>
      <c r="J423">
        <v>27</v>
      </c>
      <c r="K423" s="14">
        <v>0.6</v>
      </c>
      <c r="L423" s="7">
        <f t="shared" si="12"/>
        <v>0</v>
      </c>
      <c r="M423" s="14">
        <v>0.72</v>
      </c>
      <c r="N423" s="7">
        <f t="shared" si="13"/>
        <v>0</v>
      </c>
    </row>
    <row r="424" spans="1:14" x14ac:dyDescent="0.2">
      <c r="A424" s="2" t="s">
        <v>901</v>
      </c>
      <c r="B424" s="2" t="s">
        <v>56</v>
      </c>
      <c r="C424" s="2" t="s">
        <v>46</v>
      </c>
      <c r="D424" s="2">
        <v>1012681</v>
      </c>
      <c r="E424" s="2" t="s">
        <v>753</v>
      </c>
      <c r="F424" s="2" t="s">
        <v>259</v>
      </c>
      <c r="G424" s="2" t="s">
        <v>449</v>
      </c>
      <c r="H424" s="7">
        <v>96000</v>
      </c>
      <c r="I424">
        <v>25</v>
      </c>
      <c r="J424">
        <v>27</v>
      </c>
      <c r="K424" s="14">
        <v>0.6</v>
      </c>
      <c r="L424" s="7">
        <f t="shared" si="12"/>
        <v>57600</v>
      </c>
      <c r="M424" s="14">
        <v>0.72</v>
      </c>
      <c r="N424" s="7">
        <f t="shared" si="13"/>
        <v>69120</v>
      </c>
    </row>
    <row r="425" spans="1:14" x14ac:dyDescent="0.2">
      <c r="A425" s="2" t="s">
        <v>901</v>
      </c>
      <c r="B425" s="2" t="s">
        <v>56</v>
      </c>
      <c r="C425" s="2" t="s">
        <v>46</v>
      </c>
      <c r="D425" s="2">
        <v>1012823</v>
      </c>
      <c r="E425" s="2" t="s">
        <v>919</v>
      </c>
      <c r="F425" s="2" t="s">
        <v>224</v>
      </c>
      <c r="G425" s="2" t="s">
        <v>522</v>
      </c>
      <c r="H425" s="7">
        <v>0</v>
      </c>
      <c r="I425">
        <v>25</v>
      </c>
      <c r="J425">
        <v>27</v>
      </c>
      <c r="K425" s="14">
        <v>0.6</v>
      </c>
      <c r="L425" s="7">
        <f t="shared" si="12"/>
        <v>0</v>
      </c>
      <c r="M425" s="14">
        <v>0.72</v>
      </c>
      <c r="N425" s="7">
        <f t="shared" si="13"/>
        <v>0</v>
      </c>
    </row>
    <row r="426" spans="1:14" x14ac:dyDescent="0.2">
      <c r="A426" s="2" t="s">
        <v>901</v>
      </c>
      <c r="B426" s="2" t="s">
        <v>56</v>
      </c>
      <c r="C426" s="2" t="s">
        <v>37</v>
      </c>
      <c r="D426" s="2">
        <v>1012326</v>
      </c>
      <c r="E426" s="2" t="s">
        <v>253</v>
      </c>
      <c r="F426" s="2" t="s">
        <v>54</v>
      </c>
      <c r="G426" s="2" t="s">
        <v>252</v>
      </c>
      <c r="H426" s="7">
        <v>0</v>
      </c>
      <c r="I426">
        <v>25</v>
      </c>
      <c r="J426">
        <v>27</v>
      </c>
      <c r="K426" s="14">
        <v>0.6</v>
      </c>
      <c r="L426" s="7">
        <f t="shared" si="12"/>
        <v>0</v>
      </c>
      <c r="M426" s="14">
        <v>0.72</v>
      </c>
      <c r="N426" s="7">
        <f t="shared" si="13"/>
        <v>0</v>
      </c>
    </row>
    <row r="427" spans="1:14" x14ac:dyDescent="0.2">
      <c r="A427" s="2" t="s">
        <v>901</v>
      </c>
      <c r="B427" s="2" t="s">
        <v>34</v>
      </c>
      <c r="C427" s="2" t="s">
        <v>52</v>
      </c>
      <c r="D427" s="2">
        <v>1020822</v>
      </c>
      <c r="E427" s="2" t="s">
        <v>255</v>
      </c>
      <c r="F427" s="2" t="s">
        <v>172</v>
      </c>
      <c r="G427" s="2" t="s">
        <v>254</v>
      </c>
      <c r="H427" s="7">
        <v>0</v>
      </c>
      <c r="I427">
        <v>25</v>
      </c>
      <c r="J427">
        <v>27</v>
      </c>
      <c r="K427" s="14">
        <v>0.6</v>
      </c>
      <c r="L427" s="7">
        <f t="shared" si="12"/>
        <v>0</v>
      </c>
      <c r="M427" s="14">
        <v>0.72</v>
      </c>
      <c r="N427" s="7">
        <f t="shared" si="13"/>
        <v>0</v>
      </c>
    </row>
    <row r="428" spans="1:14" x14ac:dyDescent="0.2">
      <c r="A428" s="2" t="s">
        <v>901</v>
      </c>
      <c r="B428" s="2" t="s">
        <v>34</v>
      </c>
      <c r="C428" s="2" t="s">
        <v>52</v>
      </c>
      <c r="D428" s="2">
        <v>1020828</v>
      </c>
      <c r="E428" s="2" t="s">
        <v>75</v>
      </c>
      <c r="F428" s="2" t="s">
        <v>76</v>
      </c>
      <c r="G428" s="2" t="s">
        <v>74</v>
      </c>
      <c r="H428" s="7">
        <v>0</v>
      </c>
      <c r="I428">
        <v>25</v>
      </c>
      <c r="J428">
        <v>27</v>
      </c>
      <c r="K428" s="14">
        <v>0.6</v>
      </c>
      <c r="L428" s="7">
        <f t="shared" si="12"/>
        <v>0</v>
      </c>
      <c r="M428" s="14">
        <v>0.72</v>
      </c>
      <c r="N428" s="7">
        <f t="shared" si="13"/>
        <v>0</v>
      </c>
    </row>
    <row r="429" spans="1:14" x14ac:dyDescent="0.2">
      <c r="A429" s="2" t="s">
        <v>901</v>
      </c>
      <c r="B429" s="2" t="s">
        <v>34</v>
      </c>
      <c r="C429" s="2" t="s">
        <v>52</v>
      </c>
      <c r="D429" s="2">
        <v>1021140</v>
      </c>
      <c r="E429" s="2" t="s">
        <v>756</v>
      </c>
      <c r="F429" s="2" t="s">
        <v>76</v>
      </c>
      <c r="G429" s="2" t="s">
        <v>412</v>
      </c>
      <c r="H429" s="7">
        <v>0</v>
      </c>
      <c r="I429">
        <v>25</v>
      </c>
      <c r="J429">
        <v>27</v>
      </c>
      <c r="K429" s="14">
        <v>0.6</v>
      </c>
      <c r="L429" s="7">
        <f t="shared" si="12"/>
        <v>0</v>
      </c>
      <c r="M429" s="14">
        <v>0.72</v>
      </c>
      <c r="N429" s="7">
        <f t="shared" si="13"/>
        <v>0</v>
      </c>
    </row>
    <row r="430" spans="1:14" x14ac:dyDescent="0.2">
      <c r="A430" s="2" t="s">
        <v>901</v>
      </c>
      <c r="B430" s="2" t="s">
        <v>34</v>
      </c>
      <c r="C430" s="2" t="s">
        <v>52</v>
      </c>
      <c r="D430" s="2">
        <v>1021260</v>
      </c>
      <c r="E430" s="2" t="s">
        <v>757</v>
      </c>
      <c r="F430" s="2" t="s">
        <v>259</v>
      </c>
      <c r="G430" s="2" t="s">
        <v>430</v>
      </c>
      <c r="H430" s="7">
        <v>0</v>
      </c>
      <c r="I430">
        <v>25</v>
      </c>
      <c r="J430">
        <v>27</v>
      </c>
      <c r="K430" s="14">
        <v>0.6</v>
      </c>
      <c r="L430" s="7">
        <f t="shared" si="12"/>
        <v>0</v>
      </c>
      <c r="M430" s="14">
        <v>0.72</v>
      </c>
      <c r="N430" s="7">
        <f t="shared" si="13"/>
        <v>0</v>
      </c>
    </row>
    <row r="431" spans="1:14" x14ac:dyDescent="0.2">
      <c r="A431" s="2" t="s">
        <v>901</v>
      </c>
      <c r="B431" s="2" t="s">
        <v>34</v>
      </c>
      <c r="C431" s="2" t="s">
        <v>52</v>
      </c>
      <c r="D431" s="2">
        <v>1021398</v>
      </c>
      <c r="E431" s="2" t="s">
        <v>119</v>
      </c>
      <c r="F431" s="2" t="s">
        <v>67</v>
      </c>
      <c r="G431" s="2" t="s">
        <v>118</v>
      </c>
      <c r="H431" s="7">
        <v>0</v>
      </c>
      <c r="I431">
        <v>25</v>
      </c>
      <c r="J431">
        <v>27</v>
      </c>
      <c r="K431" s="14">
        <v>0.6</v>
      </c>
      <c r="L431" s="7">
        <f t="shared" si="12"/>
        <v>0</v>
      </c>
      <c r="M431" s="14">
        <v>0.72</v>
      </c>
      <c r="N431" s="7">
        <f t="shared" si="13"/>
        <v>0</v>
      </c>
    </row>
    <row r="432" spans="1:14" x14ac:dyDescent="0.2">
      <c r="A432" s="2" t="s">
        <v>901</v>
      </c>
      <c r="B432" s="2" t="s">
        <v>34</v>
      </c>
      <c r="C432" s="2" t="s">
        <v>52</v>
      </c>
      <c r="D432" s="2">
        <v>1021538</v>
      </c>
      <c r="E432" s="2" t="s">
        <v>177</v>
      </c>
      <c r="F432" s="2" t="s">
        <v>178</v>
      </c>
      <c r="G432" s="2" t="s">
        <v>256</v>
      </c>
      <c r="H432" s="7">
        <v>48007.976000000002</v>
      </c>
      <c r="I432">
        <v>25</v>
      </c>
      <c r="J432">
        <v>27</v>
      </c>
      <c r="K432" s="14">
        <v>0.6</v>
      </c>
      <c r="L432" s="7">
        <f t="shared" si="12"/>
        <v>28804.785599999999</v>
      </c>
      <c r="M432" s="14">
        <v>0.72</v>
      </c>
      <c r="N432" s="7">
        <f t="shared" si="13"/>
        <v>34565.742720000002</v>
      </c>
    </row>
    <row r="433" spans="1:14" x14ac:dyDescent="0.2">
      <c r="A433" s="2" t="s">
        <v>901</v>
      </c>
      <c r="B433" s="2" t="s">
        <v>34</v>
      </c>
      <c r="C433" s="2" t="s">
        <v>52</v>
      </c>
      <c r="D433" s="2">
        <v>1021539</v>
      </c>
      <c r="E433" s="2" t="s">
        <v>758</v>
      </c>
      <c r="F433" s="2" t="s">
        <v>178</v>
      </c>
      <c r="G433" s="2" t="s">
        <v>437</v>
      </c>
      <c r="H433" s="7">
        <v>0</v>
      </c>
      <c r="I433">
        <v>25</v>
      </c>
      <c r="J433">
        <v>27</v>
      </c>
      <c r="K433" s="14">
        <v>0.6</v>
      </c>
      <c r="L433" s="7">
        <f t="shared" si="12"/>
        <v>0</v>
      </c>
      <c r="M433" s="14">
        <v>0.72</v>
      </c>
      <c r="N433" s="7">
        <f t="shared" si="13"/>
        <v>0</v>
      </c>
    </row>
    <row r="434" spans="1:14" x14ac:dyDescent="0.2">
      <c r="A434" s="2" t="s">
        <v>901</v>
      </c>
      <c r="B434" s="2" t="s">
        <v>34</v>
      </c>
      <c r="C434" s="2" t="s">
        <v>52</v>
      </c>
      <c r="D434" s="2">
        <v>1022619</v>
      </c>
      <c r="E434" s="2" t="s">
        <v>159</v>
      </c>
      <c r="F434" s="2" t="s">
        <v>160</v>
      </c>
      <c r="G434" s="2" t="s">
        <v>158</v>
      </c>
      <c r="H434" s="7">
        <v>0</v>
      </c>
      <c r="I434">
        <v>25</v>
      </c>
      <c r="J434">
        <v>27</v>
      </c>
      <c r="K434" s="14">
        <v>0.6</v>
      </c>
      <c r="L434" s="7">
        <f t="shared" si="12"/>
        <v>0</v>
      </c>
      <c r="M434" s="14">
        <v>0.72</v>
      </c>
      <c r="N434" s="7">
        <f t="shared" si="13"/>
        <v>0</v>
      </c>
    </row>
    <row r="435" spans="1:14" x14ac:dyDescent="0.2">
      <c r="A435" s="2" t="s">
        <v>901</v>
      </c>
      <c r="B435" s="2" t="s">
        <v>34</v>
      </c>
      <c r="C435" s="2" t="s">
        <v>52</v>
      </c>
      <c r="D435" s="2">
        <v>1022814</v>
      </c>
      <c r="E435" s="2" t="s">
        <v>759</v>
      </c>
      <c r="F435" s="2" t="s">
        <v>124</v>
      </c>
      <c r="G435" s="2" t="s">
        <v>760</v>
      </c>
      <c r="H435" s="7">
        <v>0</v>
      </c>
      <c r="I435">
        <v>25</v>
      </c>
      <c r="J435">
        <v>27</v>
      </c>
      <c r="K435" s="14">
        <v>0.6</v>
      </c>
      <c r="L435" s="7">
        <f t="shared" si="12"/>
        <v>0</v>
      </c>
      <c r="M435" s="14">
        <v>0.72</v>
      </c>
      <c r="N435" s="7">
        <f t="shared" si="13"/>
        <v>0</v>
      </c>
    </row>
    <row r="436" spans="1:14" x14ac:dyDescent="0.2">
      <c r="A436" s="2" t="s">
        <v>901</v>
      </c>
      <c r="B436" s="2" t="s">
        <v>34</v>
      </c>
      <c r="C436" s="2" t="s">
        <v>52</v>
      </c>
      <c r="D436" s="2">
        <v>1023050</v>
      </c>
      <c r="E436" s="2" t="s">
        <v>93</v>
      </c>
      <c r="F436" s="2" t="s">
        <v>43</v>
      </c>
      <c r="G436" s="2" t="s">
        <v>92</v>
      </c>
      <c r="H436" s="7">
        <v>0</v>
      </c>
      <c r="I436">
        <v>25</v>
      </c>
      <c r="J436">
        <v>27</v>
      </c>
      <c r="K436" s="14">
        <v>0.6</v>
      </c>
      <c r="L436" s="7">
        <f t="shared" si="12"/>
        <v>0</v>
      </c>
      <c r="M436" s="14">
        <v>0.72</v>
      </c>
      <c r="N436" s="7">
        <f t="shared" si="13"/>
        <v>0</v>
      </c>
    </row>
    <row r="437" spans="1:14" x14ac:dyDescent="0.2">
      <c r="A437" s="2" t="s">
        <v>901</v>
      </c>
      <c r="B437" s="2" t="s">
        <v>34</v>
      </c>
      <c r="C437" s="2" t="s">
        <v>52</v>
      </c>
      <c r="D437" s="2">
        <v>1023175</v>
      </c>
      <c r="E437" s="2" t="s">
        <v>123</v>
      </c>
      <c r="F437" s="2" t="s">
        <v>124</v>
      </c>
      <c r="G437" s="2" t="s">
        <v>122</v>
      </c>
      <c r="H437" s="7">
        <v>0</v>
      </c>
      <c r="I437">
        <v>25</v>
      </c>
      <c r="J437">
        <v>27</v>
      </c>
      <c r="K437" s="14">
        <v>0.6</v>
      </c>
      <c r="L437" s="7">
        <f t="shared" si="12"/>
        <v>0</v>
      </c>
      <c r="M437" s="14">
        <v>0.72</v>
      </c>
      <c r="N437" s="7">
        <f t="shared" si="13"/>
        <v>0</v>
      </c>
    </row>
    <row r="438" spans="1:14" x14ac:dyDescent="0.2">
      <c r="A438" s="2" t="s">
        <v>901</v>
      </c>
      <c r="B438" s="2" t="s">
        <v>34</v>
      </c>
      <c r="C438" s="2" t="s">
        <v>52</v>
      </c>
      <c r="D438" s="2">
        <v>1023273</v>
      </c>
      <c r="E438" s="2" t="s">
        <v>261</v>
      </c>
      <c r="F438" s="2" t="s">
        <v>96</v>
      </c>
      <c r="G438" s="2" t="s">
        <v>260</v>
      </c>
      <c r="H438" s="7">
        <v>0</v>
      </c>
      <c r="I438">
        <v>25</v>
      </c>
      <c r="J438">
        <v>27</v>
      </c>
      <c r="K438" s="14">
        <v>0.6</v>
      </c>
      <c r="L438" s="7">
        <f t="shared" si="12"/>
        <v>0</v>
      </c>
      <c r="M438" s="14">
        <v>0.72</v>
      </c>
      <c r="N438" s="7">
        <f t="shared" si="13"/>
        <v>0</v>
      </c>
    </row>
    <row r="439" spans="1:14" x14ac:dyDescent="0.2">
      <c r="A439" s="2" t="s">
        <v>901</v>
      </c>
      <c r="B439" s="2" t="s">
        <v>34</v>
      </c>
      <c r="C439" s="2" t="s">
        <v>52</v>
      </c>
      <c r="D439" s="2">
        <v>1023274</v>
      </c>
      <c r="E439" s="2" t="s">
        <v>162</v>
      </c>
      <c r="F439" s="2" t="s">
        <v>96</v>
      </c>
      <c r="G439" s="2" t="s">
        <v>161</v>
      </c>
      <c r="H439" s="7">
        <v>0</v>
      </c>
      <c r="I439">
        <v>25</v>
      </c>
      <c r="J439">
        <v>27</v>
      </c>
      <c r="K439" s="14">
        <v>0.6</v>
      </c>
      <c r="L439" s="7">
        <f t="shared" si="12"/>
        <v>0</v>
      </c>
      <c r="M439" s="14">
        <v>0.72</v>
      </c>
      <c r="N439" s="7">
        <f t="shared" si="13"/>
        <v>0</v>
      </c>
    </row>
    <row r="440" spans="1:14" x14ac:dyDescent="0.2">
      <c r="A440" s="2" t="s">
        <v>901</v>
      </c>
      <c r="B440" s="2" t="s">
        <v>34</v>
      </c>
      <c r="C440" s="2" t="s">
        <v>52</v>
      </c>
      <c r="D440" s="2">
        <v>1023276</v>
      </c>
      <c r="E440" s="2" t="s">
        <v>95</v>
      </c>
      <c r="F440" s="2" t="s">
        <v>96</v>
      </c>
      <c r="G440" s="2" t="s">
        <v>94</v>
      </c>
      <c r="H440" s="7">
        <v>0</v>
      </c>
      <c r="I440">
        <v>25</v>
      </c>
      <c r="J440">
        <v>27</v>
      </c>
      <c r="K440" s="14">
        <v>0.6</v>
      </c>
      <c r="L440" s="7">
        <f t="shared" si="12"/>
        <v>0</v>
      </c>
      <c r="M440" s="14">
        <v>0.72</v>
      </c>
      <c r="N440" s="7">
        <f t="shared" si="13"/>
        <v>0</v>
      </c>
    </row>
    <row r="441" spans="1:14" x14ac:dyDescent="0.2">
      <c r="A441" s="2" t="s">
        <v>901</v>
      </c>
      <c r="B441" s="2" t="s">
        <v>34</v>
      </c>
      <c r="C441" s="2" t="s">
        <v>52</v>
      </c>
      <c r="D441" s="2">
        <v>1023446</v>
      </c>
      <c r="E441" s="2" t="s">
        <v>761</v>
      </c>
      <c r="F441" s="2" t="s">
        <v>178</v>
      </c>
      <c r="G441" s="2" t="s">
        <v>614</v>
      </c>
      <c r="H441" s="7">
        <v>0</v>
      </c>
      <c r="I441">
        <v>25</v>
      </c>
      <c r="J441">
        <v>27</v>
      </c>
      <c r="K441" s="14">
        <v>0.6</v>
      </c>
      <c r="L441" s="7">
        <f t="shared" si="12"/>
        <v>0</v>
      </c>
      <c r="M441" s="14">
        <v>0.72</v>
      </c>
      <c r="N441" s="7">
        <f t="shared" si="13"/>
        <v>0</v>
      </c>
    </row>
    <row r="442" spans="1:14" x14ac:dyDescent="0.2">
      <c r="A442" s="2" t="s">
        <v>901</v>
      </c>
      <c r="B442" s="2" t="s">
        <v>34</v>
      </c>
      <c r="C442" s="2" t="s">
        <v>226</v>
      </c>
      <c r="D442" s="2">
        <v>1020660</v>
      </c>
      <c r="E442" s="2" t="s">
        <v>166</v>
      </c>
      <c r="F442" s="2" t="s">
        <v>167</v>
      </c>
      <c r="G442" s="2" t="s">
        <v>497</v>
      </c>
      <c r="H442" s="7">
        <v>0</v>
      </c>
      <c r="I442">
        <v>25</v>
      </c>
      <c r="J442">
        <v>27</v>
      </c>
      <c r="K442" s="14">
        <v>0.6</v>
      </c>
      <c r="L442" s="7">
        <f t="shared" si="12"/>
        <v>0</v>
      </c>
      <c r="M442" s="14">
        <v>0.72</v>
      </c>
      <c r="N442" s="7">
        <f t="shared" si="13"/>
        <v>0</v>
      </c>
    </row>
    <row r="443" spans="1:14" x14ac:dyDescent="0.2">
      <c r="A443" s="2" t="s">
        <v>901</v>
      </c>
      <c r="B443" s="2" t="s">
        <v>34</v>
      </c>
      <c r="C443" s="2" t="s">
        <v>226</v>
      </c>
      <c r="D443" s="2">
        <v>1020853</v>
      </c>
      <c r="E443" s="2" t="s">
        <v>119</v>
      </c>
      <c r="F443" s="2" t="s">
        <v>67</v>
      </c>
      <c r="G443" s="2" t="s">
        <v>262</v>
      </c>
      <c r="H443" s="7">
        <v>320000</v>
      </c>
      <c r="I443">
        <v>25</v>
      </c>
      <c r="J443">
        <v>27</v>
      </c>
      <c r="K443" s="14">
        <v>0.6</v>
      </c>
      <c r="L443" s="7">
        <f t="shared" si="12"/>
        <v>192000</v>
      </c>
      <c r="M443" s="14">
        <v>0.72</v>
      </c>
      <c r="N443" s="7">
        <f t="shared" si="13"/>
        <v>230400</v>
      </c>
    </row>
    <row r="444" spans="1:14" x14ac:dyDescent="0.2">
      <c r="A444" s="2" t="s">
        <v>901</v>
      </c>
      <c r="B444" s="2" t="s">
        <v>34</v>
      </c>
      <c r="C444" s="2" t="s">
        <v>226</v>
      </c>
      <c r="D444" s="2">
        <v>1021550</v>
      </c>
      <c r="E444" s="2" t="s">
        <v>762</v>
      </c>
      <c r="F444" s="2" t="s">
        <v>181</v>
      </c>
      <c r="G444" s="2" t="s">
        <v>763</v>
      </c>
      <c r="H444" s="7">
        <v>3040</v>
      </c>
      <c r="I444">
        <v>25</v>
      </c>
      <c r="J444">
        <v>27</v>
      </c>
      <c r="K444" s="14">
        <v>0.6</v>
      </c>
      <c r="L444" s="7">
        <f t="shared" si="12"/>
        <v>1824</v>
      </c>
      <c r="M444" s="14">
        <v>0.72</v>
      </c>
      <c r="N444" s="7">
        <f t="shared" si="13"/>
        <v>2188.7999999999997</v>
      </c>
    </row>
    <row r="445" spans="1:14" x14ac:dyDescent="0.2">
      <c r="A445" s="2" t="s">
        <v>901</v>
      </c>
      <c r="B445" s="2" t="s">
        <v>34</v>
      </c>
      <c r="C445" s="2" t="s">
        <v>226</v>
      </c>
      <c r="D445" s="2">
        <v>1022816</v>
      </c>
      <c r="E445" s="2" t="s">
        <v>764</v>
      </c>
      <c r="F445" s="2" t="s">
        <v>124</v>
      </c>
      <c r="G445" s="2" t="s">
        <v>765</v>
      </c>
      <c r="H445" s="7">
        <v>18.32</v>
      </c>
      <c r="I445">
        <v>25</v>
      </c>
      <c r="J445">
        <v>27</v>
      </c>
      <c r="K445" s="14">
        <v>0.6</v>
      </c>
      <c r="L445" s="7">
        <f t="shared" si="12"/>
        <v>10.991999999999999</v>
      </c>
      <c r="M445" s="14">
        <v>0.72</v>
      </c>
      <c r="N445" s="7">
        <f t="shared" si="13"/>
        <v>13.1904</v>
      </c>
    </row>
    <row r="446" spans="1:14" x14ac:dyDescent="0.2">
      <c r="A446" s="2" t="s">
        <v>901</v>
      </c>
      <c r="B446" s="2" t="s">
        <v>34</v>
      </c>
      <c r="C446" s="2" t="s">
        <v>226</v>
      </c>
      <c r="D446" s="2">
        <v>1022818</v>
      </c>
      <c r="E446" s="2" t="s">
        <v>766</v>
      </c>
      <c r="F446" s="2" t="s">
        <v>124</v>
      </c>
      <c r="G446" s="2" t="s">
        <v>767</v>
      </c>
      <c r="H446" s="7">
        <v>35.22</v>
      </c>
      <c r="I446">
        <v>25</v>
      </c>
      <c r="J446">
        <v>27</v>
      </c>
      <c r="K446" s="14">
        <v>0.6</v>
      </c>
      <c r="L446" s="7">
        <f t="shared" si="12"/>
        <v>21.131999999999998</v>
      </c>
      <c r="M446" s="14">
        <v>0.72</v>
      </c>
      <c r="N446" s="7">
        <f t="shared" si="13"/>
        <v>25.3584</v>
      </c>
    </row>
    <row r="447" spans="1:14" x14ac:dyDescent="0.2">
      <c r="A447" s="2" t="s">
        <v>901</v>
      </c>
      <c r="B447" s="2" t="s">
        <v>34</v>
      </c>
      <c r="C447" s="2" t="s">
        <v>226</v>
      </c>
      <c r="D447" s="2">
        <v>1022858</v>
      </c>
      <c r="E447" s="2" t="s">
        <v>768</v>
      </c>
      <c r="F447" s="2" t="s">
        <v>43</v>
      </c>
      <c r="G447" s="2" t="s">
        <v>428</v>
      </c>
      <c r="H447" s="7">
        <v>0</v>
      </c>
      <c r="I447">
        <v>25</v>
      </c>
      <c r="J447">
        <v>27</v>
      </c>
      <c r="K447" s="14">
        <v>0.6</v>
      </c>
      <c r="L447" s="7">
        <f t="shared" si="12"/>
        <v>0</v>
      </c>
      <c r="M447" s="14">
        <v>0.72</v>
      </c>
      <c r="N447" s="7">
        <f t="shared" si="13"/>
        <v>0</v>
      </c>
    </row>
    <row r="448" spans="1:14" x14ac:dyDescent="0.2">
      <c r="A448" s="2" t="s">
        <v>901</v>
      </c>
      <c r="B448" s="2" t="s">
        <v>34</v>
      </c>
      <c r="C448" s="2" t="s">
        <v>226</v>
      </c>
      <c r="D448" s="2">
        <v>1023422</v>
      </c>
      <c r="E448" s="2" t="s">
        <v>920</v>
      </c>
      <c r="F448" s="2" t="s">
        <v>259</v>
      </c>
      <c r="G448" s="2" t="s">
        <v>539</v>
      </c>
      <c r="H448" s="7">
        <v>0</v>
      </c>
      <c r="I448">
        <v>25</v>
      </c>
      <c r="J448">
        <v>27</v>
      </c>
      <c r="K448" s="14">
        <v>0.6</v>
      </c>
      <c r="L448" s="7">
        <f t="shared" si="12"/>
        <v>0</v>
      </c>
      <c r="M448" s="14">
        <v>0.72</v>
      </c>
      <c r="N448" s="7">
        <f t="shared" si="13"/>
        <v>0</v>
      </c>
    </row>
    <row r="449" spans="1:14" x14ac:dyDescent="0.2">
      <c r="A449" s="2" t="s">
        <v>901</v>
      </c>
      <c r="B449" s="2" t="s">
        <v>34</v>
      </c>
      <c r="C449" s="2" t="s">
        <v>226</v>
      </c>
      <c r="D449" s="2">
        <v>1023477</v>
      </c>
      <c r="E449" s="2" t="s">
        <v>769</v>
      </c>
      <c r="F449" s="2" t="s">
        <v>259</v>
      </c>
      <c r="G449" s="2" t="s">
        <v>770</v>
      </c>
      <c r="H449" s="7">
        <v>925520</v>
      </c>
      <c r="I449">
        <v>25</v>
      </c>
      <c r="J449">
        <v>27</v>
      </c>
      <c r="K449" s="14">
        <v>0.6</v>
      </c>
      <c r="L449" s="7">
        <f t="shared" si="12"/>
        <v>555312</v>
      </c>
      <c r="M449" s="14">
        <v>0.72</v>
      </c>
      <c r="N449" s="7">
        <f t="shared" si="13"/>
        <v>666374.40000000002</v>
      </c>
    </row>
    <row r="450" spans="1:14" x14ac:dyDescent="0.2">
      <c r="A450" s="2" t="s">
        <v>901</v>
      </c>
      <c r="B450" s="2" t="s">
        <v>34</v>
      </c>
      <c r="C450" s="2" t="s">
        <v>150</v>
      </c>
      <c r="D450" s="2">
        <v>1020845</v>
      </c>
      <c r="E450" s="2" t="s">
        <v>771</v>
      </c>
      <c r="F450" s="2" t="s">
        <v>43</v>
      </c>
      <c r="G450" s="2" t="s">
        <v>496</v>
      </c>
      <c r="H450" s="7">
        <v>0</v>
      </c>
      <c r="I450">
        <v>23</v>
      </c>
      <c r="J450">
        <v>27</v>
      </c>
      <c r="K450" s="14">
        <v>0.56521739130434778</v>
      </c>
      <c r="L450" s="7">
        <f t="shared" ref="L450:L513" si="14">K450 * H450</f>
        <v>0</v>
      </c>
      <c r="M450" s="14">
        <v>0.69565217391304346</v>
      </c>
      <c r="N450" s="7">
        <f t="shared" ref="N450:N513" si="15">M450 * H450</f>
        <v>0</v>
      </c>
    </row>
    <row r="451" spans="1:14" x14ac:dyDescent="0.2">
      <c r="A451" s="2" t="s">
        <v>901</v>
      </c>
      <c r="B451" s="2" t="s">
        <v>34</v>
      </c>
      <c r="C451" s="2" t="s">
        <v>150</v>
      </c>
      <c r="D451" s="2">
        <v>1021020</v>
      </c>
      <c r="E451" s="2" t="s">
        <v>772</v>
      </c>
      <c r="F451" s="2" t="s">
        <v>773</v>
      </c>
      <c r="G451" s="2" t="s">
        <v>608</v>
      </c>
      <c r="H451" s="7">
        <v>0</v>
      </c>
      <c r="I451">
        <v>23</v>
      </c>
      <c r="J451">
        <v>27</v>
      </c>
      <c r="K451" s="14">
        <v>0.56521739130434778</v>
      </c>
      <c r="L451" s="7">
        <f t="shared" si="14"/>
        <v>0</v>
      </c>
      <c r="M451" s="14">
        <v>0.69565217391304346</v>
      </c>
      <c r="N451" s="7">
        <f t="shared" si="15"/>
        <v>0</v>
      </c>
    </row>
    <row r="452" spans="1:14" x14ac:dyDescent="0.2">
      <c r="A452" s="2" t="s">
        <v>901</v>
      </c>
      <c r="B452" s="2" t="s">
        <v>34</v>
      </c>
      <c r="C452" s="2" t="s">
        <v>150</v>
      </c>
      <c r="D452" s="2">
        <v>1021270</v>
      </c>
      <c r="E452" s="2" t="s">
        <v>774</v>
      </c>
      <c r="F452" s="2" t="s">
        <v>175</v>
      </c>
      <c r="G452" s="2" t="s">
        <v>424</v>
      </c>
      <c r="H452" s="7">
        <v>0</v>
      </c>
      <c r="I452">
        <v>23</v>
      </c>
      <c r="J452">
        <v>27</v>
      </c>
      <c r="K452" s="14">
        <v>0.56521739130434778</v>
      </c>
      <c r="L452" s="7">
        <f t="shared" si="14"/>
        <v>0</v>
      </c>
      <c r="M452" s="14">
        <v>0.69565217391304346</v>
      </c>
      <c r="N452" s="7">
        <f t="shared" si="15"/>
        <v>0</v>
      </c>
    </row>
    <row r="453" spans="1:14" x14ac:dyDescent="0.2">
      <c r="A453" s="2" t="s">
        <v>901</v>
      </c>
      <c r="B453" s="2" t="s">
        <v>34</v>
      </c>
      <c r="C453" s="2" t="s">
        <v>150</v>
      </c>
      <c r="D453" s="2">
        <v>1021272</v>
      </c>
      <c r="E453" s="2" t="s">
        <v>264</v>
      </c>
      <c r="F453" s="2" t="s">
        <v>175</v>
      </c>
      <c r="G453" s="2" t="s">
        <v>263</v>
      </c>
      <c r="H453" s="7">
        <v>312142.179</v>
      </c>
      <c r="I453">
        <v>23</v>
      </c>
      <c r="J453">
        <v>27</v>
      </c>
      <c r="K453" s="14">
        <v>0.56521739130434778</v>
      </c>
      <c r="L453" s="7">
        <f t="shared" si="14"/>
        <v>176428.18813043478</v>
      </c>
      <c r="M453" s="14">
        <v>0.69565217391304346</v>
      </c>
      <c r="N453" s="7">
        <f t="shared" si="15"/>
        <v>217142.38539130436</v>
      </c>
    </row>
    <row r="454" spans="1:14" x14ac:dyDescent="0.2">
      <c r="A454" s="2" t="s">
        <v>901</v>
      </c>
      <c r="B454" s="2" t="s">
        <v>34</v>
      </c>
      <c r="C454" s="2" t="s">
        <v>150</v>
      </c>
      <c r="D454" s="2">
        <v>1021555</v>
      </c>
      <c r="E454" s="2" t="s">
        <v>775</v>
      </c>
      <c r="F454" s="2" t="s">
        <v>48</v>
      </c>
      <c r="G454" s="2" t="s">
        <v>422</v>
      </c>
      <c r="H454" s="7">
        <v>96007.411999999997</v>
      </c>
      <c r="I454">
        <v>23</v>
      </c>
      <c r="J454">
        <v>27</v>
      </c>
      <c r="K454" s="14">
        <v>0.56521739130434778</v>
      </c>
      <c r="L454" s="7">
        <f t="shared" si="14"/>
        <v>54265.058956521731</v>
      </c>
      <c r="M454" s="14">
        <v>0.69565217391304346</v>
      </c>
      <c r="N454" s="7">
        <f t="shared" si="15"/>
        <v>66787.764869565217</v>
      </c>
    </row>
    <row r="455" spans="1:14" x14ac:dyDescent="0.2">
      <c r="A455" s="2" t="s">
        <v>901</v>
      </c>
      <c r="B455" s="2" t="s">
        <v>34</v>
      </c>
      <c r="C455" s="2" t="s">
        <v>150</v>
      </c>
      <c r="D455" s="2">
        <v>1021874</v>
      </c>
      <c r="E455" s="2" t="s">
        <v>776</v>
      </c>
      <c r="F455" s="2" t="s">
        <v>48</v>
      </c>
      <c r="G455" s="2" t="s">
        <v>514</v>
      </c>
      <c r="H455" s="7">
        <v>556260.08799999999</v>
      </c>
      <c r="I455">
        <v>23</v>
      </c>
      <c r="J455">
        <v>27</v>
      </c>
      <c r="K455" s="14">
        <v>0.56521739130434778</v>
      </c>
      <c r="L455" s="7">
        <f t="shared" si="14"/>
        <v>314407.87582608691</v>
      </c>
      <c r="M455" s="14">
        <v>0.69565217391304346</v>
      </c>
      <c r="N455" s="7">
        <f t="shared" si="15"/>
        <v>386963.53947826085</v>
      </c>
    </row>
    <row r="456" spans="1:14" x14ac:dyDescent="0.2">
      <c r="A456" s="2" t="s">
        <v>901</v>
      </c>
      <c r="B456" s="2" t="s">
        <v>34</v>
      </c>
      <c r="C456" s="2" t="s">
        <v>150</v>
      </c>
      <c r="D456" s="2">
        <v>1022115</v>
      </c>
      <c r="E456" s="2" t="s">
        <v>921</v>
      </c>
      <c r="F456" s="2" t="s">
        <v>773</v>
      </c>
      <c r="G456" s="2" t="s">
        <v>922</v>
      </c>
      <c r="H456" s="7">
        <v>168066.95</v>
      </c>
      <c r="I456">
        <v>23</v>
      </c>
      <c r="J456">
        <v>27</v>
      </c>
      <c r="K456" s="14">
        <v>0.56521739130434778</v>
      </c>
      <c r="L456" s="7">
        <f t="shared" si="14"/>
        <v>94994.363043478254</v>
      </c>
      <c r="M456" s="14">
        <v>0.69565217391304346</v>
      </c>
      <c r="N456" s="7">
        <f t="shared" si="15"/>
        <v>116916.13913043479</v>
      </c>
    </row>
    <row r="457" spans="1:14" x14ac:dyDescent="0.2">
      <c r="A457" s="2" t="s">
        <v>901</v>
      </c>
      <c r="B457" s="2" t="s">
        <v>34</v>
      </c>
      <c r="C457" s="2" t="s">
        <v>150</v>
      </c>
      <c r="D457" s="2">
        <v>1022854</v>
      </c>
      <c r="E457" s="2" t="s">
        <v>923</v>
      </c>
      <c r="F457" s="2" t="s">
        <v>172</v>
      </c>
      <c r="G457" s="2" t="s">
        <v>550</v>
      </c>
      <c r="H457" s="7">
        <v>0</v>
      </c>
      <c r="I457">
        <v>23</v>
      </c>
      <c r="J457">
        <v>27</v>
      </c>
      <c r="K457" s="14">
        <v>0.56521739130434778</v>
      </c>
      <c r="L457" s="7">
        <f t="shared" si="14"/>
        <v>0</v>
      </c>
      <c r="M457" s="14">
        <v>0.69565217391304346</v>
      </c>
      <c r="N457" s="7">
        <f t="shared" si="15"/>
        <v>0</v>
      </c>
    </row>
    <row r="458" spans="1:14" x14ac:dyDescent="0.2">
      <c r="A458" s="2" t="s">
        <v>901</v>
      </c>
      <c r="B458" s="2" t="s">
        <v>34</v>
      </c>
      <c r="C458" s="2" t="s">
        <v>150</v>
      </c>
      <c r="D458" s="2">
        <v>1023218</v>
      </c>
      <c r="E458" s="2" t="s">
        <v>266</v>
      </c>
      <c r="F458" s="2" t="s">
        <v>259</v>
      </c>
      <c r="G458" s="2" t="s">
        <v>265</v>
      </c>
      <c r="H458" s="7">
        <v>95120</v>
      </c>
      <c r="I458">
        <v>23</v>
      </c>
      <c r="J458">
        <v>27</v>
      </c>
      <c r="K458" s="14">
        <v>0.56521739130434778</v>
      </c>
      <c r="L458" s="7">
        <f t="shared" si="14"/>
        <v>53763.47826086956</v>
      </c>
      <c r="M458" s="14">
        <v>0.69565217391304346</v>
      </c>
      <c r="N458" s="7">
        <f t="shared" si="15"/>
        <v>66170.434782608689</v>
      </c>
    </row>
    <row r="459" spans="1:14" x14ac:dyDescent="0.2">
      <c r="A459" s="2" t="s">
        <v>901</v>
      </c>
      <c r="B459" s="2" t="s">
        <v>34</v>
      </c>
      <c r="C459" s="2" t="s">
        <v>150</v>
      </c>
      <c r="D459" s="2">
        <v>1023302</v>
      </c>
      <c r="E459" s="2" t="s">
        <v>47</v>
      </c>
      <c r="F459" s="2" t="s">
        <v>48</v>
      </c>
      <c r="G459" s="2" t="s">
        <v>268</v>
      </c>
      <c r="H459" s="7">
        <v>448240</v>
      </c>
      <c r="I459">
        <v>23</v>
      </c>
      <c r="J459">
        <v>27</v>
      </c>
      <c r="K459" s="14">
        <v>0.56521739130434778</v>
      </c>
      <c r="L459" s="7">
        <f t="shared" si="14"/>
        <v>253353.04347826086</v>
      </c>
      <c r="M459" s="14">
        <v>0.69565217391304346</v>
      </c>
      <c r="N459" s="7">
        <f t="shared" si="15"/>
        <v>311819.13043478259</v>
      </c>
    </row>
    <row r="460" spans="1:14" x14ac:dyDescent="0.2">
      <c r="A460" s="2" t="s">
        <v>901</v>
      </c>
      <c r="B460" s="2" t="s">
        <v>34</v>
      </c>
      <c r="C460" s="2" t="s">
        <v>150</v>
      </c>
      <c r="D460" s="2">
        <v>1023318</v>
      </c>
      <c r="E460" s="2" t="s">
        <v>777</v>
      </c>
      <c r="F460" s="2" t="s">
        <v>181</v>
      </c>
      <c r="G460" s="2" t="s">
        <v>560</v>
      </c>
      <c r="H460" s="7">
        <v>0</v>
      </c>
      <c r="I460">
        <v>23</v>
      </c>
      <c r="J460">
        <v>27</v>
      </c>
      <c r="K460" s="14">
        <v>0.56521739130434778</v>
      </c>
      <c r="L460" s="7">
        <f t="shared" si="14"/>
        <v>0</v>
      </c>
      <c r="M460" s="14">
        <v>0.69565217391304346</v>
      </c>
      <c r="N460" s="7">
        <f t="shared" si="15"/>
        <v>0</v>
      </c>
    </row>
    <row r="461" spans="1:14" x14ac:dyDescent="0.2">
      <c r="A461" s="2" t="s">
        <v>901</v>
      </c>
      <c r="B461" s="2" t="s">
        <v>34</v>
      </c>
      <c r="C461" s="2" t="s">
        <v>150</v>
      </c>
      <c r="D461" s="2">
        <v>1023319</v>
      </c>
      <c r="E461" s="2" t="s">
        <v>778</v>
      </c>
      <c r="F461" s="2" t="s">
        <v>181</v>
      </c>
      <c r="G461" s="2" t="s">
        <v>559</v>
      </c>
      <c r="H461" s="7">
        <v>0</v>
      </c>
      <c r="I461">
        <v>23</v>
      </c>
      <c r="J461">
        <v>27</v>
      </c>
      <c r="K461" s="14">
        <v>0.56521739130434778</v>
      </c>
      <c r="L461" s="7">
        <f t="shared" si="14"/>
        <v>0</v>
      </c>
      <c r="M461" s="14">
        <v>0.69565217391304346</v>
      </c>
      <c r="N461" s="7">
        <f t="shared" si="15"/>
        <v>0</v>
      </c>
    </row>
    <row r="462" spans="1:14" x14ac:dyDescent="0.2">
      <c r="A462" s="2" t="s">
        <v>901</v>
      </c>
      <c r="B462" s="2" t="s">
        <v>34</v>
      </c>
      <c r="C462" s="2" t="s">
        <v>150</v>
      </c>
      <c r="D462" s="2">
        <v>1023324</v>
      </c>
      <c r="E462" s="2" t="s">
        <v>270</v>
      </c>
      <c r="F462" s="2" t="s">
        <v>96</v>
      </c>
      <c r="G462" s="2" t="s">
        <v>269</v>
      </c>
      <c r="H462" s="7">
        <v>0</v>
      </c>
      <c r="I462">
        <v>23</v>
      </c>
      <c r="J462">
        <v>27</v>
      </c>
      <c r="K462" s="14">
        <v>0.56521739130434778</v>
      </c>
      <c r="L462" s="7">
        <f t="shared" si="14"/>
        <v>0</v>
      </c>
      <c r="M462" s="14">
        <v>0.69565217391304346</v>
      </c>
      <c r="N462" s="7">
        <f t="shared" si="15"/>
        <v>0</v>
      </c>
    </row>
    <row r="463" spans="1:14" x14ac:dyDescent="0.2">
      <c r="A463" s="2" t="s">
        <v>901</v>
      </c>
      <c r="B463" s="2" t="s">
        <v>34</v>
      </c>
      <c r="C463" s="2" t="s">
        <v>150</v>
      </c>
      <c r="D463" s="2">
        <v>1023343</v>
      </c>
      <c r="E463" s="2" t="s">
        <v>779</v>
      </c>
      <c r="F463" s="2" t="s">
        <v>181</v>
      </c>
      <c r="G463" s="2" t="s">
        <v>483</v>
      </c>
      <c r="H463" s="7">
        <v>0</v>
      </c>
      <c r="I463">
        <v>23</v>
      </c>
      <c r="J463">
        <v>27</v>
      </c>
      <c r="K463" s="14">
        <v>0.56521739130434778</v>
      </c>
      <c r="L463" s="7">
        <f t="shared" si="14"/>
        <v>0</v>
      </c>
      <c r="M463" s="14">
        <v>0.69565217391304346</v>
      </c>
      <c r="N463" s="7">
        <f t="shared" si="15"/>
        <v>0</v>
      </c>
    </row>
    <row r="464" spans="1:14" x14ac:dyDescent="0.2">
      <c r="A464" s="2" t="s">
        <v>901</v>
      </c>
      <c r="B464" s="2" t="s">
        <v>34</v>
      </c>
      <c r="C464" s="2" t="s">
        <v>150</v>
      </c>
      <c r="D464" s="2">
        <v>1023450</v>
      </c>
      <c r="E464" s="2" t="s">
        <v>781</v>
      </c>
      <c r="F464" s="2" t="s">
        <v>76</v>
      </c>
      <c r="G464" s="2" t="s">
        <v>532</v>
      </c>
      <c r="H464" s="7">
        <v>0</v>
      </c>
      <c r="I464">
        <v>23</v>
      </c>
      <c r="J464">
        <v>27</v>
      </c>
      <c r="K464" s="14">
        <v>0.56521739130434778</v>
      </c>
      <c r="L464" s="7">
        <f t="shared" si="14"/>
        <v>0</v>
      </c>
      <c r="M464" s="14">
        <v>0.69565217391304346</v>
      </c>
      <c r="N464" s="7">
        <f t="shared" si="15"/>
        <v>0</v>
      </c>
    </row>
    <row r="465" spans="1:14" x14ac:dyDescent="0.2">
      <c r="A465" s="2" t="s">
        <v>901</v>
      </c>
      <c r="B465" s="2" t="s">
        <v>34</v>
      </c>
      <c r="C465" s="2" t="s">
        <v>735</v>
      </c>
      <c r="D465" s="2">
        <v>1020352</v>
      </c>
      <c r="E465" s="2" t="s">
        <v>782</v>
      </c>
      <c r="F465" s="2" t="s">
        <v>175</v>
      </c>
      <c r="G465" s="2" t="s">
        <v>600</v>
      </c>
      <c r="H465" s="7">
        <v>95913.376000000004</v>
      </c>
      <c r="I465">
        <v>25</v>
      </c>
      <c r="J465">
        <v>27</v>
      </c>
      <c r="K465" s="14">
        <v>0.6</v>
      </c>
      <c r="L465" s="7">
        <f t="shared" si="14"/>
        <v>57548.025600000001</v>
      </c>
      <c r="M465" s="14">
        <v>0.72</v>
      </c>
      <c r="N465" s="7">
        <f t="shared" si="15"/>
        <v>69057.630720000001</v>
      </c>
    </row>
    <row r="466" spans="1:14" x14ac:dyDescent="0.2">
      <c r="A466" s="2" t="s">
        <v>901</v>
      </c>
      <c r="B466" s="2" t="s">
        <v>34</v>
      </c>
      <c r="C466" s="2" t="s">
        <v>735</v>
      </c>
      <c r="D466" s="2">
        <v>1020367</v>
      </c>
      <c r="E466" s="2" t="s">
        <v>783</v>
      </c>
      <c r="F466" s="2" t="s">
        <v>48</v>
      </c>
      <c r="G466" s="2" t="s">
        <v>596</v>
      </c>
      <c r="H466" s="7">
        <v>70244.406000000003</v>
      </c>
      <c r="I466">
        <v>25</v>
      </c>
      <c r="J466">
        <v>27</v>
      </c>
      <c r="K466" s="14">
        <v>0.6</v>
      </c>
      <c r="L466" s="7">
        <f t="shared" si="14"/>
        <v>42146.643600000003</v>
      </c>
      <c r="M466" s="14">
        <v>0.72</v>
      </c>
      <c r="N466" s="7">
        <f t="shared" si="15"/>
        <v>50575.972320000001</v>
      </c>
    </row>
    <row r="467" spans="1:14" x14ac:dyDescent="0.2">
      <c r="A467" s="2" t="s">
        <v>901</v>
      </c>
      <c r="B467" s="2" t="s">
        <v>34</v>
      </c>
      <c r="C467" s="2" t="s">
        <v>735</v>
      </c>
      <c r="D467" s="2">
        <v>1020848</v>
      </c>
      <c r="E467" s="2" t="s">
        <v>785</v>
      </c>
      <c r="F467" s="2" t="s">
        <v>43</v>
      </c>
      <c r="G467" s="2" t="s">
        <v>503</v>
      </c>
      <c r="H467" s="7">
        <v>95988.631999999998</v>
      </c>
      <c r="I467">
        <v>25</v>
      </c>
      <c r="J467">
        <v>27</v>
      </c>
      <c r="K467" s="14">
        <v>0.6</v>
      </c>
      <c r="L467" s="7">
        <f t="shared" si="14"/>
        <v>57593.179199999999</v>
      </c>
      <c r="M467" s="14">
        <v>0.72</v>
      </c>
      <c r="N467" s="7">
        <f t="shared" si="15"/>
        <v>69111.815040000001</v>
      </c>
    </row>
    <row r="468" spans="1:14" x14ac:dyDescent="0.2">
      <c r="A468" s="2" t="s">
        <v>901</v>
      </c>
      <c r="B468" s="2" t="s">
        <v>34</v>
      </c>
      <c r="C468" s="2" t="s">
        <v>735</v>
      </c>
      <c r="D468" s="2">
        <v>1020869</v>
      </c>
      <c r="E468" s="2" t="s">
        <v>272</v>
      </c>
      <c r="F468" s="2" t="s">
        <v>191</v>
      </c>
      <c r="G468" s="2" t="s">
        <v>610</v>
      </c>
      <c r="H468" s="7">
        <v>86547.792000000001</v>
      </c>
      <c r="I468">
        <v>25</v>
      </c>
      <c r="J468">
        <v>27</v>
      </c>
      <c r="K468" s="14">
        <v>0.6</v>
      </c>
      <c r="L468" s="7">
        <f t="shared" si="14"/>
        <v>51928.675199999998</v>
      </c>
      <c r="M468" s="14">
        <v>0.72</v>
      </c>
      <c r="N468" s="7">
        <f t="shared" si="15"/>
        <v>62314.410239999997</v>
      </c>
    </row>
    <row r="469" spans="1:14" x14ac:dyDescent="0.2">
      <c r="A469" s="2" t="s">
        <v>901</v>
      </c>
      <c r="B469" s="2" t="s">
        <v>34</v>
      </c>
      <c r="C469" s="2" t="s">
        <v>735</v>
      </c>
      <c r="D469" s="2">
        <v>1020944</v>
      </c>
      <c r="E469" s="2" t="s">
        <v>787</v>
      </c>
      <c r="F469" s="2" t="s">
        <v>96</v>
      </c>
      <c r="G469" s="2" t="s">
        <v>498</v>
      </c>
      <c r="H469" s="7">
        <v>287792.076</v>
      </c>
      <c r="I469">
        <v>25</v>
      </c>
      <c r="J469">
        <v>27</v>
      </c>
      <c r="K469" s="14">
        <v>0.6</v>
      </c>
      <c r="L469" s="7">
        <f t="shared" si="14"/>
        <v>172675.24559999999</v>
      </c>
      <c r="M469" s="14">
        <v>0.72</v>
      </c>
      <c r="N469" s="7">
        <f t="shared" si="15"/>
        <v>207210.29472000001</v>
      </c>
    </row>
    <row r="470" spans="1:14" x14ac:dyDescent="0.2">
      <c r="A470" s="2" t="s">
        <v>901</v>
      </c>
      <c r="B470" s="2" t="s">
        <v>34</v>
      </c>
      <c r="C470" s="2" t="s">
        <v>735</v>
      </c>
      <c r="D470" s="2">
        <v>1021077</v>
      </c>
      <c r="E470" s="2" t="s">
        <v>776</v>
      </c>
      <c r="F470" s="2" t="s">
        <v>48</v>
      </c>
      <c r="G470" s="2" t="s">
        <v>788</v>
      </c>
      <c r="H470" s="7">
        <v>95820.316000000006</v>
      </c>
      <c r="I470">
        <v>25</v>
      </c>
      <c r="J470">
        <v>27</v>
      </c>
      <c r="K470" s="14">
        <v>0.6</v>
      </c>
      <c r="L470" s="7">
        <f t="shared" si="14"/>
        <v>57492.189600000005</v>
      </c>
      <c r="M470" s="14">
        <v>0.72</v>
      </c>
      <c r="N470" s="7">
        <f t="shared" si="15"/>
        <v>68990.627520000009</v>
      </c>
    </row>
    <row r="471" spans="1:14" x14ac:dyDescent="0.2">
      <c r="A471" s="2" t="s">
        <v>901</v>
      </c>
      <c r="B471" s="2" t="s">
        <v>34</v>
      </c>
      <c r="C471" s="2" t="s">
        <v>735</v>
      </c>
      <c r="D471" s="2">
        <v>1021092</v>
      </c>
      <c r="E471" s="2" t="s">
        <v>924</v>
      </c>
      <c r="F471" s="2" t="s">
        <v>181</v>
      </c>
      <c r="G471" s="2" t="s">
        <v>525</v>
      </c>
      <c r="H471" s="7">
        <v>95986.343999999997</v>
      </c>
      <c r="I471">
        <v>25</v>
      </c>
      <c r="J471">
        <v>27</v>
      </c>
      <c r="K471" s="14">
        <v>0.6</v>
      </c>
      <c r="L471" s="7">
        <f t="shared" si="14"/>
        <v>57591.806399999994</v>
      </c>
      <c r="M471" s="14">
        <v>0.72</v>
      </c>
      <c r="N471" s="7">
        <f t="shared" si="15"/>
        <v>69110.167679999999</v>
      </c>
    </row>
    <row r="472" spans="1:14" x14ac:dyDescent="0.2">
      <c r="A472" s="2" t="s">
        <v>901</v>
      </c>
      <c r="B472" s="2" t="s">
        <v>34</v>
      </c>
      <c r="C472" s="2" t="s">
        <v>735</v>
      </c>
      <c r="D472" s="2">
        <v>1021976</v>
      </c>
      <c r="E472" s="2" t="s">
        <v>792</v>
      </c>
      <c r="F472" s="2" t="s">
        <v>39</v>
      </c>
      <c r="G472" s="2" t="s">
        <v>512</v>
      </c>
      <c r="H472" s="7">
        <v>48146.567999999999</v>
      </c>
      <c r="I472">
        <v>25</v>
      </c>
      <c r="J472">
        <v>27</v>
      </c>
      <c r="K472" s="14">
        <v>0.6</v>
      </c>
      <c r="L472" s="7">
        <f t="shared" si="14"/>
        <v>28887.9408</v>
      </c>
      <c r="M472" s="14">
        <v>0.72</v>
      </c>
      <c r="N472" s="7">
        <f t="shared" si="15"/>
        <v>34665.528959999996</v>
      </c>
    </row>
    <row r="473" spans="1:14" x14ac:dyDescent="0.2">
      <c r="A473" s="2" t="s">
        <v>901</v>
      </c>
      <c r="B473" s="2" t="s">
        <v>34</v>
      </c>
      <c r="C473" s="2" t="s">
        <v>735</v>
      </c>
      <c r="D473" s="2">
        <v>1022149</v>
      </c>
      <c r="E473" s="2" t="s">
        <v>794</v>
      </c>
      <c r="F473" s="2" t="s">
        <v>773</v>
      </c>
      <c r="G473" s="2" t="s">
        <v>537</v>
      </c>
      <c r="H473" s="7">
        <v>20018.16</v>
      </c>
      <c r="I473">
        <v>25</v>
      </c>
      <c r="J473">
        <v>27</v>
      </c>
      <c r="K473" s="14">
        <v>0.6</v>
      </c>
      <c r="L473" s="7">
        <f t="shared" si="14"/>
        <v>12010.895999999999</v>
      </c>
      <c r="M473" s="14">
        <v>0.72</v>
      </c>
      <c r="N473" s="7">
        <f t="shared" si="15"/>
        <v>14413.075199999999</v>
      </c>
    </row>
    <row r="474" spans="1:14" x14ac:dyDescent="0.2">
      <c r="A474" s="2" t="s">
        <v>901</v>
      </c>
      <c r="B474" s="2" t="s">
        <v>34</v>
      </c>
      <c r="C474" s="2" t="s">
        <v>735</v>
      </c>
      <c r="D474" s="2">
        <v>1022150</v>
      </c>
      <c r="E474" s="2" t="s">
        <v>776</v>
      </c>
      <c r="F474" s="2" t="s">
        <v>48</v>
      </c>
      <c r="G474" s="2" t="s">
        <v>500</v>
      </c>
      <c r="H474" s="7">
        <v>191919.024</v>
      </c>
      <c r="I474">
        <v>25</v>
      </c>
      <c r="J474">
        <v>27</v>
      </c>
      <c r="K474" s="14">
        <v>0.6</v>
      </c>
      <c r="L474" s="7">
        <f t="shared" si="14"/>
        <v>115151.41439999999</v>
      </c>
      <c r="M474" s="14">
        <v>0.72</v>
      </c>
      <c r="N474" s="7">
        <f t="shared" si="15"/>
        <v>138181.69727999999</v>
      </c>
    </row>
    <row r="475" spans="1:14" x14ac:dyDescent="0.2">
      <c r="A475" s="2" t="s">
        <v>901</v>
      </c>
      <c r="B475" s="2" t="s">
        <v>34</v>
      </c>
      <c r="C475" s="2" t="s">
        <v>735</v>
      </c>
      <c r="D475" s="2">
        <v>1022709</v>
      </c>
      <c r="E475" s="2" t="s">
        <v>780</v>
      </c>
      <c r="F475" s="2" t="s">
        <v>96</v>
      </c>
      <c r="G475" s="2" t="s">
        <v>493</v>
      </c>
      <c r="H475" s="7">
        <v>17923.635999999999</v>
      </c>
      <c r="I475">
        <v>25</v>
      </c>
      <c r="J475">
        <v>27</v>
      </c>
      <c r="K475" s="14">
        <v>0.6</v>
      </c>
      <c r="L475" s="7">
        <f t="shared" si="14"/>
        <v>10754.181599999998</v>
      </c>
      <c r="M475" s="14">
        <v>0.72</v>
      </c>
      <c r="N475" s="7">
        <f t="shared" si="15"/>
        <v>12905.017919999998</v>
      </c>
    </row>
    <row r="476" spans="1:14" x14ac:dyDescent="0.2">
      <c r="A476" s="2" t="s">
        <v>901</v>
      </c>
      <c r="B476" s="2" t="s">
        <v>34</v>
      </c>
      <c r="C476" s="2" t="s">
        <v>735</v>
      </c>
      <c r="D476" s="2">
        <v>1023433</v>
      </c>
      <c r="E476" s="2" t="s">
        <v>796</v>
      </c>
      <c r="F476" s="2" t="s">
        <v>773</v>
      </c>
      <c r="G476" s="2" t="s">
        <v>490</v>
      </c>
      <c r="H476" s="7">
        <v>78235.106</v>
      </c>
      <c r="I476">
        <v>25</v>
      </c>
      <c r="J476">
        <v>27</v>
      </c>
      <c r="K476" s="14">
        <v>0.6</v>
      </c>
      <c r="L476" s="7">
        <f t="shared" si="14"/>
        <v>46941.063600000001</v>
      </c>
      <c r="M476" s="14">
        <v>0.72</v>
      </c>
      <c r="N476" s="7">
        <f t="shared" si="15"/>
        <v>56329.276319999997</v>
      </c>
    </row>
    <row r="477" spans="1:14" x14ac:dyDescent="0.2">
      <c r="A477" s="2" t="s">
        <v>901</v>
      </c>
      <c r="B477" s="2" t="s">
        <v>34</v>
      </c>
      <c r="C477" s="2" t="s">
        <v>741</v>
      </c>
      <c r="D477" s="2">
        <v>1020860</v>
      </c>
      <c r="E477" s="2" t="s">
        <v>797</v>
      </c>
      <c r="F477" s="2" t="s">
        <v>43</v>
      </c>
      <c r="G477" s="2" t="s">
        <v>403</v>
      </c>
      <c r="H477" s="7">
        <v>88004.584000000003</v>
      </c>
      <c r="I477">
        <v>25</v>
      </c>
      <c r="J477">
        <v>27</v>
      </c>
      <c r="K477" s="14">
        <v>0.6</v>
      </c>
      <c r="L477" s="7">
        <f t="shared" si="14"/>
        <v>52802.750399999997</v>
      </c>
      <c r="M477" s="14">
        <v>0.72</v>
      </c>
      <c r="N477" s="7">
        <f t="shared" si="15"/>
        <v>63363.300479999998</v>
      </c>
    </row>
    <row r="478" spans="1:14" x14ac:dyDescent="0.2">
      <c r="A478" s="2" t="s">
        <v>901</v>
      </c>
      <c r="B478" s="2" t="s">
        <v>34</v>
      </c>
      <c r="C478" s="2" t="s">
        <v>741</v>
      </c>
      <c r="D478" s="2">
        <v>1020861</v>
      </c>
      <c r="E478" s="2" t="s">
        <v>798</v>
      </c>
      <c r="F478" s="2" t="s">
        <v>43</v>
      </c>
      <c r="G478" s="2" t="s">
        <v>400</v>
      </c>
      <c r="H478" s="7">
        <v>176041.348</v>
      </c>
      <c r="I478">
        <v>25</v>
      </c>
      <c r="J478">
        <v>27</v>
      </c>
      <c r="K478" s="14">
        <v>0.6</v>
      </c>
      <c r="L478" s="7">
        <f t="shared" si="14"/>
        <v>105624.8088</v>
      </c>
      <c r="M478" s="14">
        <v>0.72</v>
      </c>
      <c r="N478" s="7">
        <f t="shared" si="15"/>
        <v>126749.77055999999</v>
      </c>
    </row>
    <row r="479" spans="1:14" x14ac:dyDescent="0.2">
      <c r="A479" s="2" t="s">
        <v>901</v>
      </c>
      <c r="B479" s="2" t="s">
        <v>34</v>
      </c>
      <c r="C479" s="2" t="s">
        <v>741</v>
      </c>
      <c r="D479" s="2">
        <v>1020904</v>
      </c>
      <c r="E479" s="2" t="s">
        <v>925</v>
      </c>
      <c r="F479" s="2" t="s">
        <v>178</v>
      </c>
      <c r="G479" s="2" t="s">
        <v>474</v>
      </c>
      <c r="H479" s="7">
        <v>87983.135999999999</v>
      </c>
      <c r="I479">
        <v>25</v>
      </c>
      <c r="J479">
        <v>27</v>
      </c>
      <c r="K479" s="14">
        <v>0.6</v>
      </c>
      <c r="L479" s="7">
        <f t="shared" si="14"/>
        <v>52789.881600000001</v>
      </c>
      <c r="M479" s="14">
        <v>0.72</v>
      </c>
      <c r="N479" s="7">
        <f t="shared" si="15"/>
        <v>63347.857919999995</v>
      </c>
    </row>
    <row r="480" spans="1:14" x14ac:dyDescent="0.2">
      <c r="A480" s="2" t="s">
        <v>901</v>
      </c>
      <c r="B480" s="2" t="s">
        <v>34</v>
      </c>
      <c r="C480" s="2" t="s">
        <v>741</v>
      </c>
      <c r="D480" s="2">
        <v>1021046</v>
      </c>
      <c r="E480" s="2" t="s">
        <v>926</v>
      </c>
      <c r="F480" s="2" t="s">
        <v>167</v>
      </c>
      <c r="G480" s="2" t="s">
        <v>611</v>
      </c>
      <c r="H480" s="7">
        <v>87680.892000000007</v>
      </c>
      <c r="I480">
        <v>25</v>
      </c>
      <c r="J480">
        <v>27</v>
      </c>
      <c r="K480" s="14">
        <v>0.6</v>
      </c>
      <c r="L480" s="7">
        <f t="shared" si="14"/>
        <v>52608.535200000006</v>
      </c>
      <c r="M480" s="14">
        <v>0.72</v>
      </c>
      <c r="N480" s="7">
        <f t="shared" si="15"/>
        <v>63130.24224</v>
      </c>
    </row>
    <row r="481" spans="1:14" x14ac:dyDescent="0.2">
      <c r="A481" s="2" t="s">
        <v>901</v>
      </c>
      <c r="B481" s="2" t="s">
        <v>34</v>
      </c>
      <c r="C481" s="2" t="s">
        <v>741</v>
      </c>
      <c r="D481" s="2">
        <v>1021149</v>
      </c>
      <c r="E481" s="2" t="s">
        <v>927</v>
      </c>
      <c r="F481" s="2" t="s">
        <v>172</v>
      </c>
      <c r="G481" s="2" t="s">
        <v>399</v>
      </c>
      <c r="H481" s="7">
        <v>88000</v>
      </c>
      <c r="I481">
        <v>25</v>
      </c>
      <c r="J481">
        <v>27</v>
      </c>
      <c r="K481" s="14">
        <v>0.6</v>
      </c>
      <c r="L481" s="7">
        <f t="shared" si="14"/>
        <v>52800</v>
      </c>
      <c r="M481" s="14">
        <v>0.72</v>
      </c>
      <c r="N481" s="7">
        <f t="shared" si="15"/>
        <v>63360</v>
      </c>
    </row>
    <row r="482" spans="1:14" x14ac:dyDescent="0.2">
      <c r="A482" s="2" t="s">
        <v>901</v>
      </c>
      <c r="B482" s="2" t="s">
        <v>34</v>
      </c>
      <c r="C482" s="2" t="s">
        <v>741</v>
      </c>
      <c r="D482" s="2">
        <v>1021151</v>
      </c>
      <c r="E482" s="2" t="s">
        <v>928</v>
      </c>
      <c r="F482" s="2" t="s">
        <v>172</v>
      </c>
      <c r="G482" s="2" t="s">
        <v>656</v>
      </c>
      <c r="H482" s="7">
        <v>88000</v>
      </c>
      <c r="I482">
        <v>25</v>
      </c>
      <c r="J482">
        <v>27</v>
      </c>
      <c r="K482" s="14">
        <v>0.6</v>
      </c>
      <c r="L482" s="7">
        <f t="shared" si="14"/>
        <v>52800</v>
      </c>
      <c r="M482" s="14">
        <v>0.72</v>
      </c>
      <c r="N482" s="7">
        <f t="shared" si="15"/>
        <v>63360</v>
      </c>
    </row>
    <row r="483" spans="1:14" x14ac:dyDescent="0.2">
      <c r="A483" s="2" t="s">
        <v>901</v>
      </c>
      <c r="B483" s="2" t="s">
        <v>34</v>
      </c>
      <c r="C483" s="2" t="s">
        <v>741</v>
      </c>
      <c r="D483" s="2">
        <v>1021156</v>
      </c>
      <c r="E483" s="2" t="s">
        <v>799</v>
      </c>
      <c r="F483" s="2" t="s">
        <v>172</v>
      </c>
      <c r="G483" s="2" t="s">
        <v>515</v>
      </c>
      <c r="H483" s="7">
        <v>96000</v>
      </c>
      <c r="I483">
        <v>25</v>
      </c>
      <c r="J483">
        <v>27</v>
      </c>
      <c r="K483" s="14">
        <v>0.6</v>
      </c>
      <c r="L483" s="7">
        <f t="shared" si="14"/>
        <v>57600</v>
      </c>
      <c r="M483" s="14">
        <v>0.72</v>
      </c>
      <c r="N483" s="7">
        <f t="shared" si="15"/>
        <v>69120</v>
      </c>
    </row>
    <row r="484" spans="1:14" x14ac:dyDescent="0.2">
      <c r="A484" s="2" t="s">
        <v>901</v>
      </c>
      <c r="B484" s="2" t="s">
        <v>34</v>
      </c>
      <c r="C484" s="2" t="s">
        <v>741</v>
      </c>
      <c r="D484" s="2">
        <v>1021470</v>
      </c>
      <c r="E484" s="2" t="s">
        <v>929</v>
      </c>
      <c r="F484" s="2" t="s">
        <v>167</v>
      </c>
      <c r="G484" s="2" t="s">
        <v>398</v>
      </c>
      <c r="H484" s="7">
        <v>88036.92</v>
      </c>
      <c r="I484">
        <v>25</v>
      </c>
      <c r="J484">
        <v>27</v>
      </c>
      <c r="K484" s="14">
        <v>0.6</v>
      </c>
      <c r="L484" s="7">
        <f t="shared" si="14"/>
        <v>52822.151999999995</v>
      </c>
      <c r="M484" s="14">
        <v>0.72</v>
      </c>
      <c r="N484" s="7">
        <f t="shared" si="15"/>
        <v>63386.582399999999</v>
      </c>
    </row>
    <row r="485" spans="1:14" x14ac:dyDescent="0.2">
      <c r="A485" s="2" t="s">
        <v>901</v>
      </c>
      <c r="B485" s="2" t="s">
        <v>34</v>
      </c>
      <c r="C485" s="2" t="s">
        <v>741</v>
      </c>
      <c r="D485" s="2">
        <v>1021655</v>
      </c>
      <c r="E485" s="2" t="s">
        <v>800</v>
      </c>
      <c r="F485" s="2" t="s">
        <v>259</v>
      </c>
      <c r="G485" s="2" t="s">
        <v>801</v>
      </c>
      <c r="H485" s="7">
        <v>44040</v>
      </c>
      <c r="I485">
        <v>25</v>
      </c>
      <c r="J485">
        <v>27</v>
      </c>
      <c r="K485" s="14">
        <v>0.6</v>
      </c>
      <c r="L485" s="7">
        <f t="shared" si="14"/>
        <v>26424</v>
      </c>
      <c r="M485" s="14">
        <v>0.72</v>
      </c>
      <c r="N485" s="7">
        <f t="shared" si="15"/>
        <v>31708.799999999999</v>
      </c>
    </row>
    <row r="486" spans="1:14" x14ac:dyDescent="0.2">
      <c r="A486" s="2" t="s">
        <v>901</v>
      </c>
      <c r="B486" s="2" t="s">
        <v>34</v>
      </c>
      <c r="C486" s="2" t="s">
        <v>741</v>
      </c>
      <c r="D486" s="2">
        <v>1021664</v>
      </c>
      <c r="E486" s="2" t="s">
        <v>802</v>
      </c>
      <c r="F486" s="2" t="s">
        <v>191</v>
      </c>
      <c r="G486" s="2" t="s">
        <v>452</v>
      </c>
      <c r="H486" s="7">
        <v>88790.284</v>
      </c>
      <c r="I486">
        <v>25</v>
      </c>
      <c r="J486">
        <v>27</v>
      </c>
      <c r="K486" s="14">
        <v>0.6</v>
      </c>
      <c r="L486" s="7">
        <f t="shared" si="14"/>
        <v>53274.170399999995</v>
      </c>
      <c r="M486" s="14">
        <v>0.72</v>
      </c>
      <c r="N486" s="7">
        <f t="shared" si="15"/>
        <v>63929.004479999996</v>
      </c>
    </row>
    <row r="487" spans="1:14" x14ac:dyDescent="0.2">
      <c r="A487" s="2" t="s">
        <v>901</v>
      </c>
      <c r="B487" s="2" t="s">
        <v>34</v>
      </c>
      <c r="C487" s="2" t="s">
        <v>741</v>
      </c>
      <c r="D487" s="2">
        <v>1022182</v>
      </c>
      <c r="E487" s="2" t="s">
        <v>804</v>
      </c>
      <c r="F487" s="2" t="s">
        <v>76</v>
      </c>
      <c r="G487" s="2" t="s">
        <v>519</v>
      </c>
      <c r="H487" s="7">
        <v>87920</v>
      </c>
      <c r="I487">
        <v>25</v>
      </c>
      <c r="J487">
        <v>27</v>
      </c>
      <c r="K487" s="14">
        <v>0.6</v>
      </c>
      <c r="L487" s="7">
        <f t="shared" si="14"/>
        <v>52752</v>
      </c>
      <c r="M487" s="14">
        <v>0.72</v>
      </c>
      <c r="N487" s="7">
        <f t="shared" si="15"/>
        <v>63302.399999999994</v>
      </c>
    </row>
    <row r="488" spans="1:14" x14ac:dyDescent="0.2">
      <c r="A488" s="2" t="s">
        <v>901</v>
      </c>
      <c r="B488" s="2" t="s">
        <v>34</v>
      </c>
      <c r="C488" s="2" t="s">
        <v>741</v>
      </c>
      <c r="D488" s="2">
        <v>1022885</v>
      </c>
      <c r="E488" s="2" t="s">
        <v>805</v>
      </c>
      <c r="F488" s="2" t="s">
        <v>178</v>
      </c>
      <c r="G488" s="2" t="s">
        <v>401</v>
      </c>
      <c r="H488" s="7">
        <v>219898.402</v>
      </c>
      <c r="I488">
        <v>25</v>
      </c>
      <c r="J488">
        <v>27</v>
      </c>
      <c r="K488" s="14">
        <v>0.6</v>
      </c>
      <c r="L488" s="7">
        <f t="shared" si="14"/>
        <v>131939.04120000001</v>
      </c>
      <c r="M488" s="14">
        <v>0.72</v>
      </c>
      <c r="N488" s="7">
        <f t="shared" si="15"/>
        <v>158326.84943999999</v>
      </c>
    </row>
    <row r="489" spans="1:14" x14ac:dyDescent="0.2">
      <c r="A489" s="2" t="s">
        <v>901</v>
      </c>
      <c r="B489" s="2" t="s">
        <v>34</v>
      </c>
      <c r="C489" s="2" t="s">
        <v>741</v>
      </c>
      <c r="D489" s="2">
        <v>1022887</v>
      </c>
      <c r="E489" s="2" t="s">
        <v>806</v>
      </c>
      <c r="F489" s="2" t="s">
        <v>178</v>
      </c>
      <c r="G489" s="2" t="s">
        <v>404</v>
      </c>
      <c r="H489" s="7">
        <v>528195.76800000004</v>
      </c>
      <c r="I489">
        <v>25</v>
      </c>
      <c r="J489">
        <v>27</v>
      </c>
      <c r="K489" s="14">
        <v>0.6</v>
      </c>
      <c r="L489" s="7">
        <f t="shared" si="14"/>
        <v>316917.4608</v>
      </c>
      <c r="M489" s="14">
        <v>0.72</v>
      </c>
      <c r="N489" s="7">
        <f t="shared" si="15"/>
        <v>380300.95296000002</v>
      </c>
    </row>
    <row r="490" spans="1:14" x14ac:dyDescent="0.2">
      <c r="A490" s="2" t="s">
        <v>901</v>
      </c>
      <c r="B490" s="2" t="s">
        <v>34</v>
      </c>
      <c r="C490" s="2" t="s">
        <v>741</v>
      </c>
      <c r="D490" s="2">
        <v>1023037</v>
      </c>
      <c r="E490" s="2" t="s">
        <v>808</v>
      </c>
      <c r="F490" s="2" t="s">
        <v>178</v>
      </c>
      <c r="G490" s="2" t="s">
        <v>555</v>
      </c>
      <c r="H490" s="7">
        <v>176070.60800000001</v>
      </c>
      <c r="I490">
        <v>25</v>
      </c>
      <c r="J490">
        <v>27</v>
      </c>
      <c r="K490" s="14">
        <v>0.6</v>
      </c>
      <c r="L490" s="7">
        <f t="shared" si="14"/>
        <v>105642.3648</v>
      </c>
      <c r="M490" s="14">
        <v>0.72</v>
      </c>
      <c r="N490" s="7">
        <f t="shared" si="15"/>
        <v>126770.83775999999</v>
      </c>
    </row>
    <row r="491" spans="1:14" x14ac:dyDescent="0.2">
      <c r="A491" s="2" t="s">
        <v>901</v>
      </c>
      <c r="B491" s="2" t="s">
        <v>34</v>
      </c>
      <c r="C491" s="2" t="s">
        <v>741</v>
      </c>
      <c r="D491" s="2">
        <v>1023283</v>
      </c>
      <c r="E491" s="2" t="s">
        <v>809</v>
      </c>
      <c r="F491" s="2" t="s">
        <v>259</v>
      </c>
      <c r="G491" s="2" t="s">
        <v>468</v>
      </c>
      <c r="H491" s="7">
        <v>298071.00799999997</v>
      </c>
      <c r="I491">
        <v>25</v>
      </c>
      <c r="J491">
        <v>27</v>
      </c>
      <c r="K491" s="14">
        <v>0.6</v>
      </c>
      <c r="L491" s="7">
        <f t="shared" si="14"/>
        <v>178842.60479999997</v>
      </c>
      <c r="M491" s="14">
        <v>0.72</v>
      </c>
      <c r="N491" s="7">
        <f t="shared" si="15"/>
        <v>214611.12575999997</v>
      </c>
    </row>
    <row r="492" spans="1:14" x14ac:dyDescent="0.2">
      <c r="A492" s="2" t="s">
        <v>901</v>
      </c>
      <c r="B492" s="2" t="s">
        <v>34</v>
      </c>
      <c r="C492" s="2" t="s">
        <v>812</v>
      </c>
      <c r="D492" s="2">
        <v>1021864</v>
      </c>
      <c r="E492" s="2" t="s">
        <v>813</v>
      </c>
      <c r="F492" s="2" t="s">
        <v>175</v>
      </c>
      <c r="G492" s="2" t="s">
        <v>814</v>
      </c>
      <c r="H492" s="7">
        <v>95945.088000000003</v>
      </c>
      <c r="I492">
        <v>25</v>
      </c>
      <c r="J492">
        <v>27</v>
      </c>
      <c r="K492" s="14">
        <v>0.6</v>
      </c>
      <c r="L492" s="7">
        <f t="shared" si="14"/>
        <v>57567.052799999998</v>
      </c>
      <c r="M492" s="14">
        <v>0.72</v>
      </c>
      <c r="N492" s="7">
        <f t="shared" si="15"/>
        <v>69080.463359999994</v>
      </c>
    </row>
    <row r="493" spans="1:14" x14ac:dyDescent="0.2">
      <c r="A493" s="2" t="s">
        <v>901</v>
      </c>
      <c r="B493" s="2" t="s">
        <v>34</v>
      </c>
      <c r="C493" s="2" t="s">
        <v>812</v>
      </c>
      <c r="D493" s="2">
        <v>1022217</v>
      </c>
      <c r="E493" s="2" t="s">
        <v>815</v>
      </c>
      <c r="F493" s="2" t="s">
        <v>48</v>
      </c>
      <c r="G493" s="2" t="s">
        <v>816</v>
      </c>
      <c r="H493" s="7">
        <v>1250.1600000000001</v>
      </c>
      <c r="I493">
        <v>25</v>
      </c>
      <c r="J493">
        <v>27</v>
      </c>
      <c r="K493" s="14">
        <v>0.6</v>
      </c>
      <c r="L493" s="7">
        <f t="shared" si="14"/>
        <v>750.096</v>
      </c>
      <c r="M493" s="14">
        <v>0.72</v>
      </c>
      <c r="N493" s="7">
        <f t="shared" si="15"/>
        <v>900.11520000000007</v>
      </c>
    </row>
    <row r="494" spans="1:14" x14ac:dyDescent="0.2">
      <c r="A494" s="2" t="s">
        <v>901</v>
      </c>
      <c r="B494" s="2" t="s">
        <v>34</v>
      </c>
      <c r="C494" s="2" t="s">
        <v>812</v>
      </c>
      <c r="D494" s="2">
        <v>1023334</v>
      </c>
      <c r="E494" s="2" t="s">
        <v>819</v>
      </c>
      <c r="F494" s="2" t="s">
        <v>175</v>
      </c>
      <c r="G494" s="2" t="s">
        <v>820</v>
      </c>
      <c r="H494" s="7">
        <v>115093.034</v>
      </c>
      <c r="I494">
        <v>25</v>
      </c>
      <c r="J494">
        <v>27</v>
      </c>
      <c r="K494" s="14">
        <v>0.6</v>
      </c>
      <c r="L494" s="7">
        <f t="shared" si="14"/>
        <v>69055.820399999997</v>
      </c>
      <c r="M494" s="14">
        <v>0.72</v>
      </c>
      <c r="N494" s="7">
        <f t="shared" si="15"/>
        <v>82866.984479999999</v>
      </c>
    </row>
    <row r="495" spans="1:14" x14ac:dyDescent="0.2">
      <c r="A495" s="2" t="s">
        <v>901</v>
      </c>
      <c r="B495" s="2" t="s">
        <v>34</v>
      </c>
      <c r="C495" s="2" t="s">
        <v>46</v>
      </c>
      <c r="D495" s="2">
        <v>1021204</v>
      </c>
      <c r="E495" s="2" t="s">
        <v>291</v>
      </c>
      <c r="F495" s="2" t="s">
        <v>48</v>
      </c>
      <c r="G495" s="2" t="s">
        <v>821</v>
      </c>
      <c r="H495" s="7">
        <v>96000</v>
      </c>
      <c r="I495">
        <v>25</v>
      </c>
      <c r="J495">
        <v>27</v>
      </c>
      <c r="K495" s="14">
        <v>0.6</v>
      </c>
      <c r="L495" s="7">
        <f t="shared" si="14"/>
        <v>57600</v>
      </c>
      <c r="M495" s="14">
        <v>0.72</v>
      </c>
      <c r="N495" s="7">
        <f t="shared" si="15"/>
        <v>69120</v>
      </c>
    </row>
    <row r="496" spans="1:14" x14ac:dyDescent="0.2">
      <c r="A496" s="2" t="s">
        <v>901</v>
      </c>
      <c r="B496" s="2" t="s">
        <v>34</v>
      </c>
      <c r="C496" s="2" t="s">
        <v>46</v>
      </c>
      <c r="D496" s="2">
        <v>1021731</v>
      </c>
      <c r="E496" s="2" t="s">
        <v>274</v>
      </c>
      <c r="F496" s="2" t="s">
        <v>167</v>
      </c>
      <c r="G496" s="2" t="s">
        <v>273</v>
      </c>
      <c r="H496" s="7">
        <v>193520</v>
      </c>
      <c r="I496">
        <v>25</v>
      </c>
      <c r="J496">
        <v>27</v>
      </c>
      <c r="K496" s="14">
        <v>0.6</v>
      </c>
      <c r="L496" s="7">
        <f t="shared" si="14"/>
        <v>116112</v>
      </c>
      <c r="M496" s="14">
        <v>0.72</v>
      </c>
      <c r="N496" s="7">
        <f t="shared" si="15"/>
        <v>139334.39999999999</v>
      </c>
    </row>
    <row r="497" spans="1:14" x14ac:dyDescent="0.2">
      <c r="A497" s="2" t="s">
        <v>901</v>
      </c>
      <c r="B497" s="2" t="s">
        <v>34</v>
      </c>
      <c r="C497" s="2" t="s">
        <v>46</v>
      </c>
      <c r="D497" s="2">
        <v>1021732</v>
      </c>
      <c r="E497" s="2" t="s">
        <v>276</v>
      </c>
      <c r="F497" s="2" t="s">
        <v>172</v>
      </c>
      <c r="G497" s="2" t="s">
        <v>275</v>
      </c>
      <c r="H497" s="7">
        <v>296400</v>
      </c>
      <c r="I497">
        <v>25</v>
      </c>
      <c r="J497">
        <v>27</v>
      </c>
      <c r="K497" s="14">
        <v>0.6</v>
      </c>
      <c r="L497" s="7">
        <f t="shared" si="14"/>
        <v>177840</v>
      </c>
      <c r="M497" s="14">
        <v>0.72</v>
      </c>
      <c r="N497" s="7">
        <f t="shared" si="15"/>
        <v>213408</v>
      </c>
    </row>
    <row r="498" spans="1:14" x14ac:dyDescent="0.2">
      <c r="A498" s="2" t="s">
        <v>901</v>
      </c>
      <c r="B498" s="2" t="s">
        <v>34</v>
      </c>
      <c r="C498" s="2" t="s">
        <v>46</v>
      </c>
      <c r="D498" s="2">
        <v>1021733</v>
      </c>
      <c r="E498" s="2" t="s">
        <v>270</v>
      </c>
      <c r="F498" s="2" t="s">
        <v>96</v>
      </c>
      <c r="G498" s="2" t="s">
        <v>277</v>
      </c>
      <c r="H498" s="7">
        <v>41685.019999999997</v>
      </c>
      <c r="I498">
        <v>25</v>
      </c>
      <c r="J498">
        <v>27</v>
      </c>
      <c r="K498" s="14">
        <v>0.6</v>
      </c>
      <c r="L498" s="7">
        <f t="shared" si="14"/>
        <v>25011.011999999999</v>
      </c>
      <c r="M498" s="14">
        <v>0.72</v>
      </c>
      <c r="N498" s="7">
        <f t="shared" si="15"/>
        <v>30013.214399999997</v>
      </c>
    </row>
    <row r="499" spans="1:14" x14ac:dyDescent="0.2">
      <c r="A499" s="2" t="s">
        <v>901</v>
      </c>
      <c r="B499" s="2" t="s">
        <v>34</v>
      </c>
      <c r="C499" s="2" t="s">
        <v>46</v>
      </c>
      <c r="D499" s="2">
        <v>1021735</v>
      </c>
      <c r="E499" s="2" t="s">
        <v>279</v>
      </c>
      <c r="F499" s="2" t="s">
        <v>259</v>
      </c>
      <c r="G499" s="2" t="s">
        <v>278</v>
      </c>
      <c r="H499" s="7">
        <v>196560</v>
      </c>
      <c r="I499">
        <v>25</v>
      </c>
      <c r="J499">
        <v>27</v>
      </c>
      <c r="K499" s="14">
        <v>0.6</v>
      </c>
      <c r="L499" s="7">
        <f t="shared" si="14"/>
        <v>117936</v>
      </c>
      <c r="M499" s="14">
        <v>0.72</v>
      </c>
      <c r="N499" s="7">
        <f t="shared" si="15"/>
        <v>141523.19999999998</v>
      </c>
    </row>
    <row r="500" spans="1:14" x14ac:dyDescent="0.2">
      <c r="A500" s="2" t="s">
        <v>901</v>
      </c>
      <c r="B500" s="2" t="s">
        <v>34</v>
      </c>
      <c r="C500" s="2" t="s">
        <v>46</v>
      </c>
      <c r="D500" s="2">
        <v>1021737</v>
      </c>
      <c r="E500" s="2" t="s">
        <v>281</v>
      </c>
      <c r="F500" s="2" t="s">
        <v>259</v>
      </c>
      <c r="G500" s="2" t="s">
        <v>280</v>
      </c>
      <c r="H500" s="7">
        <v>0</v>
      </c>
      <c r="I500">
        <v>25</v>
      </c>
      <c r="J500">
        <v>27</v>
      </c>
      <c r="K500" s="14">
        <v>0.6</v>
      </c>
      <c r="L500" s="7">
        <f t="shared" si="14"/>
        <v>0</v>
      </c>
      <c r="M500" s="14">
        <v>0.72</v>
      </c>
      <c r="N500" s="7">
        <f t="shared" si="15"/>
        <v>0</v>
      </c>
    </row>
    <row r="501" spans="1:14" x14ac:dyDescent="0.2">
      <c r="A501" s="2" t="s">
        <v>901</v>
      </c>
      <c r="B501" s="2" t="s">
        <v>34</v>
      </c>
      <c r="C501" s="2" t="s">
        <v>46</v>
      </c>
      <c r="D501" s="2">
        <v>1021738</v>
      </c>
      <c r="E501" s="2" t="s">
        <v>283</v>
      </c>
      <c r="F501" s="2" t="s">
        <v>259</v>
      </c>
      <c r="G501" s="2" t="s">
        <v>282</v>
      </c>
      <c r="H501" s="7">
        <v>80</v>
      </c>
      <c r="I501">
        <v>25</v>
      </c>
      <c r="J501">
        <v>27</v>
      </c>
      <c r="K501" s="14">
        <v>0.6</v>
      </c>
      <c r="L501" s="7">
        <f t="shared" si="14"/>
        <v>48</v>
      </c>
      <c r="M501" s="14">
        <v>0.72</v>
      </c>
      <c r="N501" s="7">
        <f t="shared" si="15"/>
        <v>57.599999999999994</v>
      </c>
    </row>
    <row r="502" spans="1:14" x14ac:dyDescent="0.2">
      <c r="A502" s="2" t="s">
        <v>901</v>
      </c>
      <c r="B502" s="2" t="s">
        <v>34</v>
      </c>
      <c r="C502" s="2" t="s">
        <v>46</v>
      </c>
      <c r="D502" s="2">
        <v>1021739</v>
      </c>
      <c r="E502" s="2" t="s">
        <v>822</v>
      </c>
      <c r="F502" s="2" t="s">
        <v>196</v>
      </c>
      <c r="G502" s="2" t="s">
        <v>416</v>
      </c>
      <c r="H502" s="7">
        <v>0</v>
      </c>
      <c r="I502">
        <v>25</v>
      </c>
      <c r="J502">
        <v>27</v>
      </c>
      <c r="K502" s="14">
        <v>0.6</v>
      </c>
      <c r="L502" s="7">
        <f t="shared" si="14"/>
        <v>0</v>
      </c>
      <c r="M502" s="14">
        <v>0.72</v>
      </c>
      <c r="N502" s="7">
        <f t="shared" si="15"/>
        <v>0</v>
      </c>
    </row>
    <row r="503" spans="1:14" x14ac:dyDescent="0.2">
      <c r="A503" s="2" t="s">
        <v>901</v>
      </c>
      <c r="B503" s="2" t="s">
        <v>34</v>
      </c>
      <c r="C503" s="2" t="s">
        <v>46</v>
      </c>
      <c r="D503" s="2">
        <v>1021740</v>
      </c>
      <c r="E503" s="2" t="s">
        <v>285</v>
      </c>
      <c r="F503" s="2" t="s">
        <v>259</v>
      </c>
      <c r="G503" s="2" t="s">
        <v>284</v>
      </c>
      <c r="H503" s="7">
        <v>0</v>
      </c>
      <c r="I503">
        <v>25</v>
      </c>
      <c r="J503">
        <v>27</v>
      </c>
      <c r="K503" s="14">
        <v>0.6</v>
      </c>
      <c r="L503" s="7">
        <f t="shared" si="14"/>
        <v>0</v>
      </c>
      <c r="M503" s="14">
        <v>0.72</v>
      </c>
      <c r="N503" s="7">
        <f t="shared" si="15"/>
        <v>0</v>
      </c>
    </row>
    <row r="504" spans="1:14" x14ac:dyDescent="0.2">
      <c r="A504" s="2" t="s">
        <v>901</v>
      </c>
      <c r="B504" s="2" t="s">
        <v>34</v>
      </c>
      <c r="C504" s="2" t="s">
        <v>46</v>
      </c>
      <c r="D504" s="2">
        <v>1021766</v>
      </c>
      <c r="E504" s="2" t="s">
        <v>287</v>
      </c>
      <c r="F504" s="2" t="s">
        <v>172</v>
      </c>
      <c r="G504" s="2" t="s">
        <v>286</v>
      </c>
      <c r="H504" s="7">
        <v>287712</v>
      </c>
      <c r="I504">
        <v>25</v>
      </c>
      <c r="J504">
        <v>27</v>
      </c>
      <c r="K504" s="14">
        <v>0.6</v>
      </c>
      <c r="L504" s="7">
        <f t="shared" si="14"/>
        <v>172627.19999999998</v>
      </c>
      <c r="M504" s="14">
        <v>0.72</v>
      </c>
      <c r="N504" s="7">
        <f t="shared" si="15"/>
        <v>207152.63999999998</v>
      </c>
    </row>
    <row r="505" spans="1:14" x14ac:dyDescent="0.2">
      <c r="A505" s="2" t="s">
        <v>901</v>
      </c>
      <c r="B505" s="2" t="s">
        <v>34</v>
      </c>
      <c r="C505" s="2" t="s">
        <v>46</v>
      </c>
      <c r="D505" s="2">
        <v>1021767</v>
      </c>
      <c r="E505" s="2" t="s">
        <v>289</v>
      </c>
      <c r="F505" s="2" t="s">
        <v>172</v>
      </c>
      <c r="G505" s="2" t="s">
        <v>288</v>
      </c>
      <c r="H505" s="7">
        <v>491184</v>
      </c>
      <c r="I505">
        <v>25</v>
      </c>
      <c r="J505">
        <v>27</v>
      </c>
      <c r="K505" s="14">
        <v>0.6</v>
      </c>
      <c r="L505" s="7">
        <f t="shared" si="14"/>
        <v>294710.39999999997</v>
      </c>
      <c r="M505" s="14">
        <v>0.72</v>
      </c>
      <c r="N505" s="7">
        <f t="shared" si="15"/>
        <v>353652.47999999998</v>
      </c>
    </row>
    <row r="506" spans="1:14" x14ac:dyDescent="0.2">
      <c r="A506" s="2" t="s">
        <v>901</v>
      </c>
      <c r="B506" s="2" t="s">
        <v>34</v>
      </c>
      <c r="C506" s="2" t="s">
        <v>46</v>
      </c>
      <c r="D506" s="2">
        <v>1021774</v>
      </c>
      <c r="E506" s="2" t="s">
        <v>823</v>
      </c>
      <c r="F506" s="2" t="s">
        <v>172</v>
      </c>
      <c r="G506" s="2" t="s">
        <v>443</v>
      </c>
      <c r="H506" s="7">
        <v>0</v>
      </c>
      <c r="I506">
        <v>25</v>
      </c>
      <c r="J506">
        <v>27</v>
      </c>
      <c r="K506" s="14">
        <v>0.6</v>
      </c>
      <c r="L506" s="7">
        <f t="shared" si="14"/>
        <v>0</v>
      </c>
      <c r="M506" s="14">
        <v>0.72</v>
      </c>
      <c r="N506" s="7">
        <f t="shared" si="15"/>
        <v>0</v>
      </c>
    </row>
    <row r="507" spans="1:14" x14ac:dyDescent="0.2">
      <c r="A507" s="2" t="s">
        <v>901</v>
      </c>
      <c r="B507" s="2" t="s">
        <v>34</v>
      </c>
      <c r="C507" s="2" t="s">
        <v>46</v>
      </c>
      <c r="D507" s="2">
        <v>1021905</v>
      </c>
      <c r="E507" s="2" t="s">
        <v>824</v>
      </c>
      <c r="F507" s="2" t="s">
        <v>181</v>
      </c>
      <c r="G507" s="2" t="s">
        <v>554</v>
      </c>
      <c r="H507" s="7">
        <v>0</v>
      </c>
      <c r="I507">
        <v>25</v>
      </c>
      <c r="J507">
        <v>27</v>
      </c>
      <c r="K507" s="14">
        <v>0.6</v>
      </c>
      <c r="L507" s="7">
        <f t="shared" si="14"/>
        <v>0</v>
      </c>
      <c r="M507" s="14">
        <v>0.72</v>
      </c>
      <c r="N507" s="7">
        <f t="shared" si="15"/>
        <v>0</v>
      </c>
    </row>
    <row r="508" spans="1:14" x14ac:dyDescent="0.2">
      <c r="A508" s="2" t="s">
        <v>901</v>
      </c>
      <c r="B508" s="2" t="s">
        <v>34</v>
      </c>
      <c r="C508" s="2" t="s">
        <v>46</v>
      </c>
      <c r="D508" s="2">
        <v>1021971</v>
      </c>
      <c r="E508" s="2" t="s">
        <v>825</v>
      </c>
      <c r="F508" s="2" t="s">
        <v>175</v>
      </c>
      <c r="G508" s="2" t="s">
        <v>556</v>
      </c>
      <c r="H508" s="7">
        <v>0</v>
      </c>
      <c r="I508">
        <v>25</v>
      </c>
      <c r="J508">
        <v>27</v>
      </c>
      <c r="K508" s="14">
        <v>0.6</v>
      </c>
      <c r="L508" s="7">
        <f t="shared" si="14"/>
        <v>0</v>
      </c>
      <c r="M508" s="14">
        <v>0.72</v>
      </c>
      <c r="N508" s="7">
        <f t="shared" si="15"/>
        <v>0</v>
      </c>
    </row>
    <row r="509" spans="1:14" x14ac:dyDescent="0.2">
      <c r="A509" s="2" t="s">
        <v>901</v>
      </c>
      <c r="B509" s="2" t="s">
        <v>34</v>
      </c>
      <c r="C509" s="2" t="s">
        <v>46</v>
      </c>
      <c r="D509" s="2">
        <v>1021992</v>
      </c>
      <c r="E509" s="2" t="s">
        <v>291</v>
      </c>
      <c r="F509" s="2" t="s">
        <v>48</v>
      </c>
      <c r="G509" s="2" t="s">
        <v>290</v>
      </c>
      <c r="H509" s="7">
        <v>0</v>
      </c>
      <c r="I509">
        <v>25</v>
      </c>
      <c r="J509">
        <v>27</v>
      </c>
      <c r="K509" s="14">
        <v>0.6</v>
      </c>
      <c r="L509" s="7">
        <f t="shared" si="14"/>
        <v>0</v>
      </c>
      <c r="M509" s="14">
        <v>0.72</v>
      </c>
      <c r="N509" s="7">
        <f t="shared" si="15"/>
        <v>0</v>
      </c>
    </row>
    <row r="510" spans="1:14" x14ac:dyDescent="0.2">
      <c r="A510" s="2" t="s">
        <v>901</v>
      </c>
      <c r="B510" s="2" t="s">
        <v>34</v>
      </c>
      <c r="C510" s="2" t="s">
        <v>46</v>
      </c>
      <c r="D510" s="2">
        <v>1022033</v>
      </c>
      <c r="E510" s="2" t="s">
        <v>826</v>
      </c>
      <c r="F510" s="2" t="s">
        <v>196</v>
      </c>
      <c r="G510" s="2" t="s">
        <v>415</v>
      </c>
      <c r="H510" s="7">
        <v>95880</v>
      </c>
      <c r="I510">
        <v>25</v>
      </c>
      <c r="J510">
        <v>27</v>
      </c>
      <c r="K510" s="14">
        <v>0.6</v>
      </c>
      <c r="L510" s="7">
        <f t="shared" si="14"/>
        <v>57528</v>
      </c>
      <c r="M510" s="14">
        <v>0.72</v>
      </c>
      <c r="N510" s="7">
        <f t="shared" si="15"/>
        <v>69033.599999999991</v>
      </c>
    </row>
    <row r="511" spans="1:14" x14ac:dyDescent="0.2">
      <c r="A511" s="2" t="s">
        <v>901</v>
      </c>
      <c r="B511" s="2" t="s">
        <v>34</v>
      </c>
      <c r="C511" s="2" t="s">
        <v>46</v>
      </c>
      <c r="D511" s="2">
        <v>1022073</v>
      </c>
      <c r="E511" s="2" t="s">
        <v>47</v>
      </c>
      <c r="F511" s="2" t="s">
        <v>48</v>
      </c>
      <c r="G511" s="2" t="s">
        <v>45</v>
      </c>
      <c r="H511" s="7">
        <v>0</v>
      </c>
      <c r="I511">
        <v>25</v>
      </c>
      <c r="J511">
        <v>27</v>
      </c>
      <c r="K511" s="14">
        <v>0.6</v>
      </c>
      <c r="L511" s="7">
        <f t="shared" si="14"/>
        <v>0</v>
      </c>
      <c r="M511" s="14">
        <v>0.72</v>
      </c>
      <c r="N511" s="7">
        <f t="shared" si="15"/>
        <v>0</v>
      </c>
    </row>
    <row r="512" spans="1:14" x14ac:dyDescent="0.2">
      <c r="A512" s="2" t="s">
        <v>901</v>
      </c>
      <c r="B512" s="2" t="s">
        <v>34</v>
      </c>
      <c r="C512" s="2" t="s">
        <v>46</v>
      </c>
      <c r="D512" s="2">
        <v>1022080</v>
      </c>
      <c r="E512" s="2" t="s">
        <v>293</v>
      </c>
      <c r="F512" s="2" t="s">
        <v>259</v>
      </c>
      <c r="G512" s="2" t="s">
        <v>292</v>
      </c>
      <c r="H512" s="7">
        <v>193560</v>
      </c>
      <c r="I512">
        <v>25</v>
      </c>
      <c r="J512">
        <v>27</v>
      </c>
      <c r="K512" s="14">
        <v>0.6</v>
      </c>
      <c r="L512" s="7">
        <f t="shared" si="14"/>
        <v>116136</v>
      </c>
      <c r="M512" s="14">
        <v>0.72</v>
      </c>
      <c r="N512" s="7">
        <f t="shared" si="15"/>
        <v>139363.19999999998</v>
      </c>
    </row>
    <row r="513" spans="1:14" x14ac:dyDescent="0.2">
      <c r="A513" s="2" t="s">
        <v>901</v>
      </c>
      <c r="B513" s="2" t="s">
        <v>34</v>
      </c>
      <c r="C513" s="2" t="s">
        <v>46</v>
      </c>
      <c r="D513" s="2">
        <v>1022082</v>
      </c>
      <c r="E513" s="2" t="s">
        <v>930</v>
      </c>
      <c r="F513" s="2" t="s">
        <v>181</v>
      </c>
      <c r="G513" s="2" t="s">
        <v>553</v>
      </c>
      <c r="H513" s="7">
        <v>0</v>
      </c>
      <c r="I513">
        <v>25</v>
      </c>
      <c r="J513">
        <v>27</v>
      </c>
      <c r="K513" s="14">
        <v>0.6</v>
      </c>
      <c r="L513" s="7">
        <f t="shared" si="14"/>
        <v>0</v>
      </c>
      <c r="M513" s="14">
        <v>0.72</v>
      </c>
      <c r="N513" s="7">
        <f t="shared" si="15"/>
        <v>0</v>
      </c>
    </row>
    <row r="514" spans="1:14" x14ac:dyDescent="0.2">
      <c r="A514" s="2" t="s">
        <v>901</v>
      </c>
      <c r="B514" s="2" t="s">
        <v>34</v>
      </c>
      <c r="C514" s="2" t="s">
        <v>46</v>
      </c>
      <c r="D514" s="2">
        <v>1022096</v>
      </c>
      <c r="E514" s="2" t="s">
        <v>827</v>
      </c>
      <c r="F514" s="2" t="s">
        <v>172</v>
      </c>
      <c r="G514" s="2" t="s">
        <v>440</v>
      </c>
      <c r="H514" s="7">
        <v>386640</v>
      </c>
      <c r="I514">
        <v>25</v>
      </c>
      <c r="J514">
        <v>27</v>
      </c>
      <c r="K514" s="14">
        <v>0.6</v>
      </c>
      <c r="L514" s="7">
        <f t="shared" ref="L514:L577" si="16">K514 * H514</f>
        <v>231984</v>
      </c>
      <c r="M514" s="14">
        <v>0.72</v>
      </c>
      <c r="N514" s="7">
        <f t="shared" ref="N514:N577" si="17">M514 * H514</f>
        <v>278380.79999999999</v>
      </c>
    </row>
    <row r="515" spans="1:14" x14ac:dyDescent="0.2">
      <c r="A515" s="2" t="s">
        <v>901</v>
      </c>
      <c r="B515" s="2" t="s">
        <v>34</v>
      </c>
      <c r="C515" s="2" t="s">
        <v>46</v>
      </c>
      <c r="D515" s="2">
        <v>1022099</v>
      </c>
      <c r="E515" s="2" t="s">
        <v>295</v>
      </c>
      <c r="F515" s="2" t="s">
        <v>172</v>
      </c>
      <c r="G515" s="2" t="s">
        <v>294</v>
      </c>
      <c r="H515" s="7">
        <v>48744</v>
      </c>
      <c r="I515">
        <v>25</v>
      </c>
      <c r="J515">
        <v>27</v>
      </c>
      <c r="K515" s="14">
        <v>0.6</v>
      </c>
      <c r="L515" s="7">
        <f t="shared" si="16"/>
        <v>29246.399999999998</v>
      </c>
      <c r="M515" s="14">
        <v>0.72</v>
      </c>
      <c r="N515" s="7">
        <f t="shared" si="17"/>
        <v>35095.68</v>
      </c>
    </row>
    <row r="516" spans="1:14" x14ac:dyDescent="0.2">
      <c r="A516" s="2" t="s">
        <v>901</v>
      </c>
      <c r="B516" s="2" t="s">
        <v>34</v>
      </c>
      <c r="C516" s="2" t="s">
        <v>46</v>
      </c>
      <c r="D516" s="2">
        <v>1022125</v>
      </c>
      <c r="E516" s="2" t="s">
        <v>297</v>
      </c>
      <c r="F516" s="2" t="s">
        <v>167</v>
      </c>
      <c r="G516" s="2" t="s">
        <v>296</v>
      </c>
      <c r="H516" s="7">
        <v>294315.54800000001</v>
      </c>
      <c r="I516">
        <v>25</v>
      </c>
      <c r="J516">
        <v>27</v>
      </c>
      <c r="K516" s="14">
        <v>0.6</v>
      </c>
      <c r="L516" s="7">
        <f t="shared" si="16"/>
        <v>176589.32879999999</v>
      </c>
      <c r="M516" s="14">
        <v>0.72</v>
      </c>
      <c r="N516" s="7">
        <f t="shared" si="17"/>
        <v>211907.19456</v>
      </c>
    </row>
    <row r="517" spans="1:14" x14ac:dyDescent="0.2">
      <c r="A517" s="2" t="s">
        <v>901</v>
      </c>
      <c r="B517" s="2" t="s">
        <v>34</v>
      </c>
      <c r="C517" s="2" t="s">
        <v>46</v>
      </c>
      <c r="D517" s="2">
        <v>1022169</v>
      </c>
      <c r="E517" s="2" t="s">
        <v>299</v>
      </c>
      <c r="F517" s="2" t="s">
        <v>181</v>
      </c>
      <c r="G517" s="2" t="s">
        <v>298</v>
      </c>
      <c r="H517" s="7">
        <v>358920</v>
      </c>
      <c r="I517">
        <v>25</v>
      </c>
      <c r="J517">
        <v>27</v>
      </c>
      <c r="K517" s="14">
        <v>0.6</v>
      </c>
      <c r="L517" s="7">
        <f t="shared" si="16"/>
        <v>215352</v>
      </c>
      <c r="M517" s="14">
        <v>0.72</v>
      </c>
      <c r="N517" s="7">
        <f t="shared" si="17"/>
        <v>258422.39999999999</v>
      </c>
    </row>
    <row r="518" spans="1:14" x14ac:dyDescent="0.2">
      <c r="A518" s="2" t="s">
        <v>901</v>
      </c>
      <c r="B518" s="2" t="s">
        <v>34</v>
      </c>
      <c r="C518" s="2" t="s">
        <v>46</v>
      </c>
      <c r="D518" s="2">
        <v>1022183</v>
      </c>
      <c r="E518" s="2" t="s">
        <v>166</v>
      </c>
      <c r="F518" s="2" t="s">
        <v>167</v>
      </c>
      <c r="G518" s="2" t="s">
        <v>165</v>
      </c>
      <c r="H518" s="7">
        <v>689426.96</v>
      </c>
      <c r="I518">
        <v>25</v>
      </c>
      <c r="J518">
        <v>27</v>
      </c>
      <c r="K518" s="14">
        <v>0.6</v>
      </c>
      <c r="L518" s="7">
        <f t="shared" si="16"/>
        <v>413656.17599999998</v>
      </c>
      <c r="M518" s="14">
        <v>0.72</v>
      </c>
      <c r="N518" s="7">
        <f t="shared" si="17"/>
        <v>496387.41119999997</v>
      </c>
    </row>
    <row r="519" spans="1:14" x14ac:dyDescent="0.2">
      <c r="A519" s="2" t="s">
        <v>901</v>
      </c>
      <c r="B519" s="2" t="s">
        <v>34</v>
      </c>
      <c r="C519" s="2" t="s">
        <v>46</v>
      </c>
      <c r="D519" s="2">
        <v>1022186</v>
      </c>
      <c r="E519" s="2" t="s">
        <v>828</v>
      </c>
      <c r="F519" s="2" t="s">
        <v>172</v>
      </c>
      <c r="G519" s="2" t="s">
        <v>388</v>
      </c>
      <c r="H519" s="7">
        <v>97416</v>
      </c>
      <c r="I519">
        <v>25</v>
      </c>
      <c r="J519">
        <v>27</v>
      </c>
      <c r="K519" s="14">
        <v>0.6</v>
      </c>
      <c r="L519" s="7">
        <f t="shared" si="16"/>
        <v>58449.599999999999</v>
      </c>
      <c r="M519" s="14">
        <v>0.72</v>
      </c>
      <c r="N519" s="7">
        <f t="shared" si="17"/>
        <v>70139.520000000004</v>
      </c>
    </row>
    <row r="520" spans="1:14" x14ac:dyDescent="0.2">
      <c r="A520" s="2" t="s">
        <v>901</v>
      </c>
      <c r="B520" s="2" t="s">
        <v>34</v>
      </c>
      <c r="C520" s="2" t="s">
        <v>46</v>
      </c>
      <c r="D520" s="2">
        <v>1022193</v>
      </c>
      <c r="E520" s="2" t="s">
        <v>169</v>
      </c>
      <c r="F520" s="2" t="s">
        <v>43</v>
      </c>
      <c r="G520" s="2" t="s">
        <v>168</v>
      </c>
      <c r="H520" s="7">
        <v>0</v>
      </c>
      <c r="I520">
        <v>25</v>
      </c>
      <c r="J520">
        <v>27</v>
      </c>
      <c r="K520" s="14">
        <v>0.6</v>
      </c>
      <c r="L520" s="7">
        <f t="shared" si="16"/>
        <v>0</v>
      </c>
      <c r="M520" s="14">
        <v>0.72</v>
      </c>
      <c r="N520" s="7">
        <f t="shared" si="17"/>
        <v>0</v>
      </c>
    </row>
    <row r="521" spans="1:14" x14ac:dyDescent="0.2">
      <c r="A521" s="2" t="s">
        <v>901</v>
      </c>
      <c r="B521" s="2" t="s">
        <v>34</v>
      </c>
      <c r="C521" s="2" t="s">
        <v>46</v>
      </c>
      <c r="D521" s="2">
        <v>1022212</v>
      </c>
      <c r="E521" s="2" t="s">
        <v>301</v>
      </c>
      <c r="F521" s="2" t="s">
        <v>196</v>
      </c>
      <c r="G521" s="2" t="s">
        <v>300</v>
      </c>
      <c r="H521" s="7">
        <v>472201.74400000001</v>
      </c>
      <c r="I521">
        <v>25</v>
      </c>
      <c r="J521">
        <v>27</v>
      </c>
      <c r="K521" s="14">
        <v>0.6</v>
      </c>
      <c r="L521" s="7">
        <f t="shared" si="16"/>
        <v>283321.04639999999</v>
      </c>
      <c r="M521" s="14">
        <v>0.72</v>
      </c>
      <c r="N521" s="7">
        <f t="shared" si="17"/>
        <v>339985.25568</v>
      </c>
    </row>
    <row r="522" spans="1:14" x14ac:dyDescent="0.2">
      <c r="A522" s="2" t="s">
        <v>901</v>
      </c>
      <c r="B522" s="2" t="s">
        <v>34</v>
      </c>
      <c r="C522" s="2" t="s">
        <v>46</v>
      </c>
      <c r="D522" s="2">
        <v>1022291</v>
      </c>
      <c r="E522" s="2" t="s">
        <v>829</v>
      </c>
      <c r="F522" s="2" t="s">
        <v>167</v>
      </c>
      <c r="G522" s="2" t="s">
        <v>414</v>
      </c>
      <c r="H522" s="7">
        <v>23822.057000000001</v>
      </c>
      <c r="I522">
        <v>25</v>
      </c>
      <c r="J522">
        <v>27</v>
      </c>
      <c r="K522" s="14">
        <v>0.6</v>
      </c>
      <c r="L522" s="7">
        <f t="shared" si="16"/>
        <v>14293.234200000001</v>
      </c>
      <c r="M522" s="14">
        <v>0.72</v>
      </c>
      <c r="N522" s="7">
        <f t="shared" si="17"/>
        <v>17151.88104</v>
      </c>
    </row>
    <row r="523" spans="1:14" x14ac:dyDescent="0.2">
      <c r="A523" s="2" t="s">
        <v>901</v>
      </c>
      <c r="B523" s="2" t="s">
        <v>34</v>
      </c>
      <c r="C523" s="2" t="s">
        <v>46</v>
      </c>
      <c r="D523" s="2">
        <v>1022373</v>
      </c>
      <c r="E523" s="2" t="s">
        <v>303</v>
      </c>
      <c r="F523" s="2" t="s">
        <v>181</v>
      </c>
      <c r="G523" s="2" t="s">
        <v>302</v>
      </c>
      <c r="H523" s="7">
        <v>0</v>
      </c>
      <c r="I523">
        <v>25</v>
      </c>
      <c r="J523">
        <v>27</v>
      </c>
      <c r="K523" s="14">
        <v>0.6</v>
      </c>
      <c r="L523" s="7">
        <f t="shared" si="16"/>
        <v>0</v>
      </c>
      <c r="M523" s="14">
        <v>0.72</v>
      </c>
      <c r="N523" s="7">
        <f t="shared" si="17"/>
        <v>0</v>
      </c>
    </row>
    <row r="524" spans="1:14" x14ac:dyDescent="0.2">
      <c r="A524" s="2" t="s">
        <v>901</v>
      </c>
      <c r="B524" s="2" t="s">
        <v>34</v>
      </c>
      <c r="C524" s="2" t="s">
        <v>46</v>
      </c>
      <c r="D524" s="2">
        <v>1022378</v>
      </c>
      <c r="E524" s="2" t="s">
        <v>305</v>
      </c>
      <c r="F524" s="2" t="s">
        <v>172</v>
      </c>
      <c r="G524" s="2" t="s">
        <v>304</v>
      </c>
      <c r="H524" s="7">
        <v>96000</v>
      </c>
      <c r="I524">
        <v>25</v>
      </c>
      <c r="J524">
        <v>27</v>
      </c>
      <c r="K524" s="14">
        <v>0.6</v>
      </c>
      <c r="L524" s="7">
        <f t="shared" si="16"/>
        <v>57600</v>
      </c>
      <c r="M524" s="14">
        <v>0.72</v>
      </c>
      <c r="N524" s="7">
        <f t="shared" si="17"/>
        <v>69120</v>
      </c>
    </row>
    <row r="525" spans="1:14" x14ac:dyDescent="0.2">
      <c r="A525" s="2" t="s">
        <v>901</v>
      </c>
      <c r="B525" s="2" t="s">
        <v>34</v>
      </c>
      <c r="C525" s="2" t="s">
        <v>46</v>
      </c>
      <c r="D525" s="2">
        <v>1022379</v>
      </c>
      <c r="E525" s="2" t="s">
        <v>307</v>
      </c>
      <c r="F525" s="2" t="s">
        <v>39</v>
      </c>
      <c r="G525" s="2" t="s">
        <v>306</v>
      </c>
      <c r="H525" s="7">
        <v>0</v>
      </c>
      <c r="I525">
        <v>25</v>
      </c>
      <c r="J525">
        <v>27</v>
      </c>
      <c r="K525" s="14">
        <v>0.6</v>
      </c>
      <c r="L525" s="7">
        <f t="shared" si="16"/>
        <v>0</v>
      </c>
      <c r="M525" s="14">
        <v>0.72</v>
      </c>
      <c r="N525" s="7">
        <f t="shared" si="17"/>
        <v>0</v>
      </c>
    </row>
    <row r="526" spans="1:14" x14ac:dyDescent="0.2">
      <c r="A526" s="2" t="s">
        <v>901</v>
      </c>
      <c r="B526" s="2" t="s">
        <v>34</v>
      </c>
      <c r="C526" s="2" t="s">
        <v>46</v>
      </c>
      <c r="D526" s="2">
        <v>1022381</v>
      </c>
      <c r="E526" s="2" t="s">
        <v>830</v>
      </c>
      <c r="F526" s="2" t="s">
        <v>48</v>
      </c>
      <c r="G526" s="2" t="s">
        <v>447</v>
      </c>
      <c r="H526" s="7">
        <v>192040</v>
      </c>
      <c r="I526">
        <v>25</v>
      </c>
      <c r="J526">
        <v>27</v>
      </c>
      <c r="K526" s="14">
        <v>0.6</v>
      </c>
      <c r="L526" s="7">
        <f t="shared" si="16"/>
        <v>115224</v>
      </c>
      <c r="M526" s="14">
        <v>0.72</v>
      </c>
      <c r="N526" s="7">
        <f t="shared" si="17"/>
        <v>138268.79999999999</v>
      </c>
    </row>
    <row r="527" spans="1:14" x14ac:dyDescent="0.2">
      <c r="A527" s="2" t="s">
        <v>901</v>
      </c>
      <c r="B527" s="2" t="s">
        <v>34</v>
      </c>
      <c r="C527" s="2" t="s">
        <v>46</v>
      </c>
      <c r="D527" s="2">
        <v>1022388</v>
      </c>
      <c r="E527" s="2" t="s">
        <v>171</v>
      </c>
      <c r="F527" s="2" t="s">
        <v>172</v>
      </c>
      <c r="G527" s="2" t="s">
        <v>170</v>
      </c>
      <c r="H527" s="7">
        <v>192640</v>
      </c>
      <c r="I527">
        <v>25</v>
      </c>
      <c r="J527">
        <v>27</v>
      </c>
      <c r="K527" s="14">
        <v>0.6</v>
      </c>
      <c r="L527" s="7">
        <f t="shared" si="16"/>
        <v>115584</v>
      </c>
      <c r="M527" s="14">
        <v>0.72</v>
      </c>
      <c r="N527" s="7">
        <f t="shared" si="17"/>
        <v>138700.79999999999</v>
      </c>
    </row>
    <row r="528" spans="1:14" x14ac:dyDescent="0.2">
      <c r="A528" s="2" t="s">
        <v>901</v>
      </c>
      <c r="B528" s="2" t="s">
        <v>34</v>
      </c>
      <c r="C528" s="2" t="s">
        <v>46</v>
      </c>
      <c r="D528" s="2">
        <v>1022414</v>
      </c>
      <c r="E528" s="2" t="s">
        <v>309</v>
      </c>
      <c r="F528" s="2" t="s">
        <v>76</v>
      </c>
      <c r="G528" s="2" t="s">
        <v>308</v>
      </c>
      <c r="H528" s="7">
        <v>290080</v>
      </c>
      <c r="I528">
        <v>25</v>
      </c>
      <c r="J528">
        <v>27</v>
      </c>
      <c r="K528" s="14">
        <v>0.6</v>
      </c>
      <c r="L528" s="7">
        <f t="shared" si="16"/>
        <v>174048</v>
      </c>
      <c r="M528" s="14">
        <v>0.72</v>
      </c>
      <c r="N528" s="7">
        <f t="shared" si="17"/>
        <v>208857.60000000001</v>
      </c>
    </row>
    <row r="529" spans="1:14" x14ac:dyDescent="0.2">
      <c r="A529" s="2" t="s">
        <v>901</v>
      </c>
      <c r="B529" s="2" t="s">
        <v>34</v>
      </c>
      <c r="C529" s="2" t="s">
        <v>46</v>
      </c>
      <c r="D529" s="2">
        <v>1022416</v>
      </c>
      <c r="E529" s="2" t="s">
        <v>833</v>
      </c>
      <c r="F529" s="2" t="s">
        <v>76</v>
      </c>
      <c r="G529" s="2" t="s">
        <v>834</v>
      </c>
      <c r="H529" s="7">
        <v>0</v>
      </c>
      <c r="I529">
        <v>25</v>
      </c>
      <c r="J529">
        <v>27</v>
      </c>
      <c r="K529" s="14">
        <v>0.6</v>
      </c>
      <c r="L529" s="7">
        <f t="shared" si="16"/>
        <v>0</v>
      </c>
      <c r="M529" s="14">
        <v>0.72</v>
      </c>
      <c r="N529" s="7">
        <f t="shared" si="17"/>
        <v>0</v>
      </c>
    </row>
    <row r="530" spans="1:14" x14ac:dyDescent="0.2">
      <c r="A530" s="2" t="s">
        <v>901</v>
      </c>
      <c r="B530" s="2" t="s">
        <v>34</v>
      </c>
      <c r="C530" s="2" t="s">
        <v>46</v>
      </c>
      <c r="D530" s="2">
        <v>1022417</v>
      </c>
      <c r="E530" s="2" t="s">
        <v>174</v>
      </c>
      <c r="F530" s="2" t="s">
        <v>175</v>
      </c>
      <c r="G530" s="2" t="s">
        <v>173</v>
      </c>
      <c r="H530" s="7">
        <v>0</v>
      </c>
      <c r="I530">
        <v>25</v>
      </c>
      <c r="J530">
        <v>27</v>
      </c>
      <c r="K530" s="14">
        <v>0.6</v>
      </c>
      <c r="L530" s="7">
        <f t="shared" si="16"/>
        <v>0</v>
      </c>
      <c r="M530" s="14">
        <v>0.72</v>
      </c>
      <c r="N530" s="7">
        <f t="shared" si="17"/>
        <v>0</v>
      </c>
    </row>
    <row r="531" spans="1:14" x14ac:dyDescent="0.2">
      <c r="A531" s="2" t="s">
        <v>901</v>
      </c>
      <c r="B531" s="2" t="s">
        <v>34</v>
      </c>
      <c r="C531" s="2" t="s">
        <v>46</v>
      </c>
      <c r="D531" s="2">
        <v>1022541</v>
      </c>
      <c r="E531" s="2" t="s">
        <v>835</v>
      </c>
      <c r="F531" s="2" t="s">
        <v>48</v>
      </c>
      <c r="G531" s="2" t="s">
        <v>445</v>
      </c>
      <c r="H531" s="7">
        <v>0</v>
      </c>
      <c r="I531">
        <v>25</v>
      </c>
      <c r="J531">
        <v>27</v>
      </c>
      <c r="K531" s="14">
        <v>0.6</v>
      </c>
      <c r="L531" s="7">
        <f t="shared" si="16"/>
        <v>0</v>
      </c>
      <c r="M531" s="14">
        <v>0.72</v>
      </c>
      <c r="N531" s="7">
        <f t="shared" si="17"/>
        <v>0</v>
      </c>
    </row>
    <row r="532" spans="1:14" x14ac:dyDescent="0.2">
      <c r="A532" s="2" t="s">
        <v>901</v>
      </c>
      <c r="B532" s="2" t="s">
        <v>34</v>
      </c>
      <c r="C532" s="2" t="s">
        <v>46</v>
      </c>
      <c r="D532" s="2">
        <v>1022568</v>
      </c>
      <c r="E532" s="2" t="s">
        <v>311</v>
      </c>
      <c r="F532" s="2" t="s">
        <v>178</v>
      </c>
      <c r="G532" s="2" t="s">
        <v>310</v>
      </c>
      <c r="H532" s="7">
        <v>0</v>
      </c>
      <c r="I532">
        <v>25</v>
      </c>
      <c r="J532">
        <v>27</v>
      </c>
      <c r="K532" s="14">
        <v>0.6</v>
      </c>
      <c r="L532" s="7">
        <f t="shared" si="16"/>
        <v>0</v>
      </c>
      <c r="M532" s="14">
        <v>0.72</v>
      </c>
      <c r="N532" s="7">
        <f t="shared" si="17"/>
        <v>0</v>
      </c>
    </row>
    <row r="533" spans="1:14" x14ac:dyDescent="0.2">
      <c r="A533" s="2" t="s">
        <v>901</v>
      </c>
      <c r="B533" s="2" t="s">
        <v>34</v>
      </c>
      <c r="C533" s="2" t="s">
        <v>46</v>
      </c>
      <c r="D533" s="2">
        <v>1022636</v>
      </c>
      <c r="E533" s="2" t="s">
        <v>313</v>
      </c>
      <c r="F533" s="2" t="s">
        <v>172</v>
      </c>
      <c r="G533" s="2" t="s">
        <v>312</v>
      </c>
      <c r="H533" s="7">
        <v>87780</v>
      </c>
      <c r="I533">
        <v>25</v>
      </c>
      <c r="J533">
        <v>27</v>
      </c>
      <c r="K533" s="14">
        <v>0.6</v>
      </c>
      <c r="L533" s="7">
        <f t="shared" si="16"/>
        <v>52668</v>
      </c>
      <c r="M533" s="14">
        <v>0.72</v>
      </c>
      <c r="N533" s="7">
        <f t="shared" si="17"/>
        <v>63201.599999999999</v>
      </c>
    </row>
    <row r="534" spans="1:14" x14ac:dyDescent="0.2">
      <c r="A534" s="2" t="s">
        <v>901</v>
      </c>
      <c r="B534" s="2" t="s">
        <v>34</v>
      </c>
      <c r="C534" s="2" t="s">
        <v>46</v>
      </c>
      <c r="D534" s="2">
        <v>1022637</v>
      </c>
      <c r="E534" s="2" t="s">
        <v>315</v>
      </c>
      <c r="F534" s="2" t="s">
        <v>172</v>
      </c>
      <c r="G534" s="2" t="s">
        <v>314</v>
      </c>
      <c r="H534" s="7">
        <v>87060</v>
      </c>
      <c r="I534">
        <v>25</v>
      </c>
      <c r="J534">
        <v>27</v>
      </c>
      <c r="K534" s="14">
        <v>0.6</v>
      </c>
      <c r="L534" s="7">
        <f t="shared" si="16"/>
        <v>52236</v>
      </c>
      <c r="M534" s="14">
        <v>0.72</v>
      </c>
      <c r="N534" s="7">
        <f t="shared" si="17"/>
        <v>62683.199999999997</v>
      </c>
    </row>
    <row r="535" spans="1:14" x14ac:dyDescent="0.2">
      <c r="A535" s="2" t="s">
        <v>901</v>
      </c>
      <c r="B535" s="2" t="s">
        <v>34</v>
      </c>
      <c r="C535" s="2" t="s">
        <v>46</v>
      </c>
      <c r="D535" s="2">
        <v>1022639</v>
      </c>
      <c r="E535" s="2" t="s">
        <v>317</v>
      </c>
      <c r="F535" s="2" t="s">
        <v>196</v>
      </c>
      <c r="G535" s="2" t="s">
        <v>316</v>
      </c>
      <c r="H535" s="7">
        <v>625371.57799999998</v>
      </c>
      <c r="I535">
        <v>25</v>
      </c>
      <c r="J535">
        <v>27</v>
      </c>
      <c r="K535" s="14">
        <v>0.6</v>
      </c>
      <c r="L535" s="7">
        <f t="shared" si="16"/>
        <v>375222.94679999998</v>
      </c>
      <c r="M535" s="14">
        <v>0.72</v>
      </c>
      <c r="N535" s="7">
        <f t="shared" si="17"/>
        <v>450267.53615999996</v>
      </c>
    </row>
    <row r="536" spans="1:14" x14ac:dyDescent="0.2">
      <c r="A536" s="2" t="s">
        <v>901</v>
      </c>
      <c r="B536" s="2" t="s">
        <v>34</v>
      </c>
      <c r="C536" s="2" t="s">
        <v>46</v>
      </c>
      <c r="D536" s="2">
        <v>1022640</v>
      </c>
      <c r="E536" s="2" t="s">
        <v>319</v>
      </c>
      <c r="F536" s="2" t="s">
        <v>196</v>
      </c>
      <c r="G536" s="2" t="s">
        <v>318</v>
      </c>
      <c r="H536" s="7">
        <v>6499.2719999999999</v>
      </c>
      <c r="I536">
        <v>25</v>
      </c>
      <c r="J536">
        <v>27</v>
      </c>
      <c r="K536" s="14">
        <v>0.6</v>
      </c>
      <c r="L536" s="7">
        <f t="shared" si="16"/>
        <v>3899.5631999999996</v>
      </c>
      <c r="M536" s="14">
        <v>0.72</v>
      </c>
      <c r="N536" s="7">
        <f t="shared" si="17"/>
        <v>4679.4758400000001</v>
      </c>
    </row>
    <row r="537" spans="1:14" x14ac:dyDescent="0.2">
      <c r="A537" s="2" t="s">
        <v>901</v>
      </c>
      <c r="B537" s="2" t="s">
        <v>34</v>
      </c>
      <c r="C537" s="2" t="s">
        <v>46</v>
      </c>
      <c r="D537" s="2">
        <v>1022646</v>
      </c>
      <c r="E537" s="2" t="s">
        <v>177</v>
      </c>
      <c r="F537" s="2" t="s">
        <v>178</v>
      </c>
      <c r="G537" s="2" t="s">
        <v>176</v>
      </c>
      <c r="H537" s="7">
        <v>0</v>
      </c>
      <c r="I537">
        <v>25</v>
      </c>
      <c r="J537">
        <v>27</v>
      </c>
      <c r="K537" s="14">
        <v>0.6</v>
      </c>
      <c r="L537" s="7">
        <f t="shared" si="16"/>
        <v>0</v>
      </c>
      <c r="M537" s="14">
        <v>0.72</v>
      </c>
      <c r="N537" s="7">
        <f t="shared" si="17"/>
        <v>0</v>
      </c>
    </row>
    <row r="538" spans="1:14" x14ac:dyDescent="0.2">
      <c r="A538" s="2" t="s">
        <v>901</v>
      </c>
      <c r="B538" s="2" t="s">
        <v>34</v>
      </c>
      <c r="C538" s="2" t="s">
        <v>46</v>
      </c>
      <c r="D538" s="2">
        <v>1022748</v>
      </c>
      <c r="E538" s="2" t="s">
        <v>836</v>
      </c>
      <c r="F538" s="2" t="s">
        <v>259</v>
      </c>
      <c r="G538" s="2" t="s">
        <v>444</v>
      </c>
      <c r="H538" s="7">
        <v>192680</v>
      </c>
      <c r="I538">
        <v>25</v>
      </c>
      <c r="J538">
        <v>27</v>
      </c>
      <c r="K538" s="14">
        <v>0.6</v>
      </c>
      <c r="L538" s="7">
        <f t="shared" si="16"/>
        <v>115608</v>
      </c>
      <c r="M538" s="14">
        <v>0.72</v>
      </c>
      <c r="N538" s="7">
        <f t="shared" si="17"/>
        <v>138729.60000000001</v>
      </c>
    </row>
    <row r="539" spans="1:14" x14ac:dyDescent="0.2">
      <c r="A539" s="2" t="s">
        <v>901</v>
      </c>
      <c r="B539" s="2" t="s">
        <v>34</v>
      </c>
      <c r="C539" s="2" t="s">
        <v>46</v>
      </c>
      <c r="D539" s="2">
        <v>1022753</v>
      </c>
      <c r="E539" s="2" t="s">
        <v>321</v>
      </c>
      <c r="F539" s="2" t="s">
        <v>167</v>
      </c>
      <c r="G539" s="2" t="s">
        <v>320</v>
      </c>
      <c r="H539" s="7">
        <v>120380</v>
      </c>
      <c r="I539">
        <v>25</v>
      </c>
      <c r="J539">
        <v>27</v>
      </c>
      <c r="K539" s="14">
        <v>0.6</v>
      </c>
      <c r="L539" s="7">
        <f t="shared" si="16"/>
        <v>72228</v>
      </c>
      <c r="M539" s="14">
        <v>0.72</v>
      </c>
      <c r="N539" s="7">
        <f t="shared" si="17"/>
        <v>86673.599999999991</v>
      </c>
    </row>
    <row r="540" spans="1:14" x14ac:dyDescent="0.2">
      <c r="A540" s="2" t="s">
        <v>901</v>
      </c>
      <c r="B540" s="2" t="s">
        <v>34</v>
      </c>
      <c r="C540" s="2" t="s">
        <v>46</v>
      </c>
      <c r="D540" s="2">
        <v>1022851</v>
      </c>
      <c r="E540" s="2" t="s">
        <v>323</v>
      </c>
      <c r="F540" s="2" t="s">
        <v>39</v>
      </c>
      <c r="G540" s="2" t="s">
        <v>322</v>
      </c>
      <c r="H540" s="7">
        <v>0</v>
      </c>
      <c r="I540">
        <v>25</v>
      </c>
      <c r="J540">
        <v>27</v>
      </c>
      <c r="K540" s="14">
        <v>0.6</v>
      </c>
      <c r="L540" s="7">
        <f t="shared" si="16"/>
        <v>0</v>
      </c>
      <c r="M540" s="14">
        <v>0.72</v>
      </c>
      <c r="N540" s="7">
        <f t="shared" si="17"/>
        <v>0</v>
      </c>
    </row>
    <row r="541" spans="1:14" x14ac:dyDescent="0.2">
      <c r="A541" s="2" t="s">
        <v>901</v>
      </c>
      <c r="B541" s="2" t="s">
        <v>34</v>
      </c>
      <c r="C541" s="2" t="s">
        <v>46</v>
      </c>
      <c r="D541" s="2">
        <v>1022856</v>
      </c>
      <c r="E541" s="2" t="s">
        <v>837</v>
      </c>
      <c r="F541" s="2" t="s">
        <v>48</v>
      </c>
      <c r="G541" s="2" t="s">
        <v>446</v>
      </c>
      <c r="H541" s="7">
        <v>189976.29199999999</v>
      </c>
      <c r="I541">
        <v>25</v>
      </c>
      <c r="J541">
        <v>27</v>
      </c>
      <c r="K541" s="14">
        <v>0.6</v>
      </c>
      <c r="L541" s="7">
        <f t="shared" si="16"/>
        <v>113985.77519999999</v>
      </c>
      <c r="M541" s="14">
        <v>0.72</v>
      </c>
      <c r="N541" s="7">
        <f t="shared" si="17"/>
        <v>136782.93023999999</v>
      </c>
    </row>
    <row r="542" spans="1:14" x14ac:dyDescent="0.2">
      <c r="A542" s="2" t="s">
        <v>901</v>
      </c>
      <c r="B542" s="2" t="s">
        <v>34</v>
      </c>
      <c r="C542" s="2" t="s">
        <v>46</v>
      </c>
      <c r="D542" s="2">
        <v>1022936</v>
      </c>
      <c r="E542" s="2" t="s">
        <v>119</v>
      </c>
      <c r="F542" s="2" t="s">
        <v>67</v>
      </c>
      <c r="G542" s="2" t="s">
        <v>676</v>
      </c>
      <c r="H542" s="7">
        <v>0</v>
      </c>
      <c r="I542">
        <v>25</v>
      </c>
      <c r="J542">
        <v>27</v>
      </c>
      <c r="K542" s="14">
        <v>0.6</v>
      </c>
      <c r="L542" s="7">
        <f t="shared" si="16"/>
        <v>0</v>
      </c>
      <c r="M542" s="14">
        <v>0.72</v>
      </c>
      <c r="N542" s="7">
        <f t="shared" si="17"/>
        <v>0</v>
      </c>
    </row>
    <row r="543" spans="1:14" x14ac:dyDescent="0.2">
      <c r="A543" s="2" t="s">
        <v>901</v>
      </c>
      <c r="B543" s="2" t="s">
        <v>34</v>
      </c>
      <c r="C543" s="2" t="s">
        <v>46</v>
      </c>
      <c r="D543" s="2">
        <v>1022939</v>
      </c>
      <c r="E543" s="2" t="s">
        <v>838</v>
      </c>
      <c r="F543" s="2" t="s">
        <v>191</v>
      </c>
      <c r="G543" s="2" t="s">
        <v>505</v>
      </c>
      <c r="H543" s="7">
        <v>97120</v>
      </c>
      <c r="I543">
        <v>25</v>
      </c>
      <c r="J543">
        <v>27</v>
      </c>
      <c r="K543" s="14">
        <v>0.6</v>
      </c>
      <c r="L543" s="7">
        <f t="shared" si="16"/>
        <v>58272</v>
      </c>
      <c r="M543" s="14">
        <v>0.72</v>
      </c>
      <c r="N543" s="7">
        <f t="shared" si="17"/>
        <v>69926.399999999994</v>
      </c>
    </row>
    <row r="544" spans="1:14" x14ac:dyDescent="0.2">
      <c r="A544" s="2" t="s">
        <v>901</v>
      </c>
      <c r="B544" s="2" t="s">
        <v>34</v>
      </c>
      <c r="C544" s="2" t="s">
        <v>46</v>
      </c>
      <c r="D544" s="2">
        <v>1022941</v>
      </c>
      <c r="E544" s="2" t="s">
        <v>840</v>
      </c>
      <c r="F544" s="2" t="s">
        <v>167</v>
      </c>
      <c r="G544" s="2" t="s">
        <v>392</v>
      </c>
      <c r="H544" s="7">
        <v>0</v>
      </c>
      <c r="I544">
        <v>25</v>
      </c>
      <c r="J544">
        <v>27</v>
      </c>
      <c r="K544" s="14">
        <v>0.6</v>
      </c>
      <c r="L544" s="7">
        <f t="shared" si="16"/>
        <v>0</v>
      </c>
      <c r="M544" s="14">
        <v>0.72</v>
      </c>
      <c r="N544" s="7">
        <f t="shared" si="17"/>
        <v>0</v>
      </c>
    </row>
    <row r="545" spans="1:14" x14ac:dyDescent="0.2">
      <c r="A545" s="2" t="s">
        <v>901</v>
      </c>
      <c r="B545" s="2" t="s">
        <v>34</v>
      </c>
      <c r="C545" s="2" t="s">
        <v>46</v>
      </c>
      <c r="D545" s="2">
        <v>1022943</v>
      </c>
      <c r="E545" s="2" t="s">
        <v>325</v>
      </c>
      <c r="F545" s="2" t="s">
        <v>43</v>
      </c>
      <c r="G545" s="2" t="s">
        <v>324</v>
      </c>
      <c r="H545" s="7">
        <v>0</v>
      </c>
      <c r="I545">
        <v>25</v>
      </c>
      <c r="J545">
        <v>27</v>
      </c>
      <c r="K545" s="14">
        <v>0.6</v>
      </c>
      <c r="L545" s="7">
        <f t="shared" si="16"/>
        <v>0</v>
      </c>
      <c r="M545" s="14">
        <v>0.72</v>
      </c>
      <c r="N545" s="7">
        <f t="shared" si="17"/>
        <v>0</v>
      </c>
    </row>
    <row r="546" spans="1:14" x14ac:dyDescent="0.2">
      <c r="A546" s="2" t="s">
        <v>901</v>
      </c>
      <c r="B546" s="2" t="s">
        <v>34</v>
      </c>
      <c r="C546" s="2" t="s">
        <v>46</v>
      </c>
      <c r="D546" s="2">
        <v>1022945</v>
      </c>
      <c r="E546" s="2" t="s">
        <v>47</v>
      </c>
      <c r="F546" s="2" t="s">
        <v>48</v>
      </c>
      <c r="G546" s="2" t="s">
        <v>442</v>
      </c>
      <c r="H546" s="7">
        <v>0</v>
      </c>
      <c r="I546">
        <v>25</v>
      </c>
      <c r="J546">
        <v>27</v>
      </c>
      <c r="K546" s="14">
        <v>0.6</v>
      </c>
      <c r="L546" s="7">
        <f t="shared" si="16"/>
        <v>0</v>
      </c>
      <c r="M546" s="14">
        <v>0.72</v>
      </c>
      <c r="N546" s="7">
        <f t="shared" si="17"/>
        <v>0</v>
      </c>
    </row>
    <row r="547" spans="1:14" x14ac:dyDescent="0.2">
      <c r="A547" s="2" t="s">
        <v>901</v>
      </c>
      <c r="B547" s="2" t="s">
        <v>34</v>
      </c>
      <c r="C547" s="2" t="s">
        <v>46</v>
      </c>
      <c r="D547" s="2">
        <v>1023034</v>
      </c>
      <c r="E547" s="2" t="s">
        <v>774</v>
      </c>
      <c r="F547" s="2" t="s">
        <v>175</v>
      </c>
      <c r="G547" s="2" t="s">
        <v>441</v>
      </c>
      <c r="H547" s="7">
        <v>148520</v>
      </c>
      <c r="I547">
        <v>25</v>
      </c>
      <c r="J547">
        <v>27</v>
      </c>
      <c r="K547" s="14">
        <v>0.6</v>
      </c>
      <c r="L547" s="7">
        <f t="shared" si="16"/>
        <v>89112</v>
      </c>
      <c r="M547" s="14">
        <v>0.72</v>
      </c>
      <c r="N547" s="7">
        <f t="shared" si="17"/>
        <v>106934.39999999999</v>
      </c>
    </row>
    <row r="548" spans="1:14" x14ac:dyDescent="0.2">
      <c r="A548" s="2" t="s">
        <v>901</v>
      </c>
      <c r="B548" s="2" t="s">
        <v>34</v>
      </c>
      <c r="C548" s="2" t="s">
        <v>46</v>
      </c>
      <c r="D548" s="2">
        <v>1023066</v>
      </c>
      <c r="E548" s="2" t="s">
        <v>841</v>
      </c>
      <c r="F548" s="2" t="s">
        <v>76</v>
      </c>
      <c r="G548" s="2" t="s">
        <v>529</v>
      </c>
      <c r="H548" s="7">
        <v>0</v>
      </c>
      <c r="I548">
        <v>25</v>
      </c>
      <c r="J548">
        <v>27</v>
      </c>
      <c r="K548" s="14">
        <v>0.6</v>
      </c>
      <c r="L548" s="7">
        <f t="shared" si="16"/>
        <v>0</v>
      </c>
      <c r="M548" s="14">
        <v>0.72</v>
      </c>
      <c r="N548" s="7">
        <f t="shared" si="17"/>
        <v>0</v>
      </c>
    </row>
    <row r="549" spans="1:14" x14ac:dyDescent="0.2">
      <c r="A549" s="2" t="s">
        <v>901</v>
      </c>
      <c r="B549" s="2" t="s">
        <v>34</v>
      </c>
      <c r="C549" s="2" t="s">
        <v>46</v>
      </c>
      <c r="D549" s="2">
        <v>1023093</v>
      </c>
      <c r="E549" s="2" t="s">
        <v>180</v>
      </c>
      <c r="F549" s="2" t="s">
        <v>181</v>
      </c>
      <c r="G549" s="2" t="s">
        <v>179</v>
      </c>
      <c r="H549" s="7">
        <v>0</v>
      </c>
      <c r="I549">
        <v>25</v>
      </c>
      <c r="J549">
        <v>27</v>
      </c>
      <c r="K549" s="14">
        <v>0.6</v>
      </c>
      <c r="L549" s="7">
        <f t="shared" si="16"/>
        <v>0</v>
      </c>
      <c r="M549" s="14">
        <v>0.72</v>
      </c>
      <c r="N549" s="7">
        <f t="shared" si="17"/>
        <v>0</v>
      </c>
    </row>
    <row r="550" spans="1:14" x14ac:dyDescent="0.2">
      <c r="A550" s="2" t="s">
        <v>901</v>
      </c>
      <c r="B550" s="2" t="s">
        <v>34</v>
      </c>
      <c r="C550" s="2" t="s">
        <v>46</v>
      </c>
      <c r="D550" s="2">
        <v>1023109</v>
      </c>
      <c r="E550" s="2" t="s">
        <v>835</v>
      </c>
      <c r="F550" s="2" t="s">
        <v>48</v>
      </c>
      <c r="G550" s="2" t="s">
        <v>466</v>
      </c>
      <c r="H550" s="7">
        <v>0</v>
      </c>
      <c r="I550">
        <v>25</v>
      </c>
      <c r="J550">
        <v>27</v>
      </c>
      <c r="K550" s="14">
        <v>0.6</v>
      </c>
      <c r="L550" s="7">
        <f t="shared" si="16"/>
        <v>0</v>
      </c>
      <c r="M550" s="14">
        <v>0.72</v>
      </c>
      <c r="N550" s="7">
        <f t="shared" si="17"/>
        <v>0</v>
      </c>
    </row>
    <row r="551" spans="1:14" x14ac:dyDescent="0.2">
      <c r="A551" s="2" t="s">
        <v>901</v>
      </c>
      <c r="B551" s="2" t="s">
        <v>34</v>
      </c>
      <c r="C551" s="2" t="s">
        <v>46</v>
      </c>
      <c r="D551" s="2">
        <v>1023291</v>
      </c>
      <c r="E551" s="2" t="s">
        <v>842</v>
      </c>
      <c r="F551" s="2" t="s">
        <v>172</v>
      </c>
      <c r="G551" s="2" t="s">
        <v>530</v>
      </c>
      <c r="H551" s="7">
        <v>0</v>
      </c>
      <c r="I551">
        <v>25</v>
      </c>
      <c r="J551">
        <v>27</v>
      </c>
      <c r="K551" s="14">
        <v>0.6</v>
      </c>
      <c r="L551" s="7">
        <f t="shared" si="16"/>
        <v>0</v>
      </c>
      <c r="M551" s="14">
        <v>0.72</v>
      </c>
      <c r="N551" s="7">
        <f t="shared" si="17"/>
        <v>0</v>
      </c>
    </row>
    <row r="552" spans="1:14" x14ac:dyDescent="0.2">
      <c r="A552" s="2" t="s">
        <v>901</v>
      </c>
      <c r="B552" s="2" t="s">
        <v>34</v>
      </c>
      <c r="C552" s="2" t="s">
        <v>46</v>
      </c>
      <c r="D552" s="2">
        <v>1023306</v>
      </c>
      <c r="E552" s="2" t="s">
        <v>174</v>
      </c>
      <c r="F552" s="2" t="s">
        <v>175</v>
      </c>
      <c r="G552" s="2" t="s">
        <v>330</v>
      </c>
      <c r="H552" s="7">
        <v>48080</v>
      </c>
      <c r="I552">
        <v>25</v>
      </c>
      <c r="J552">
        <v>27</v>
      </c>
      <c r="K552" s="14">
        <v>0.6</v>
      </c>
      <c r="L552" s="7">
        <f t="shared" si="16"/>
        <v>28848</v>
      </c>
      <c r="M552" s="14">
        <v>0.72</v>
      </c>
      <c r="N552" s="7">
        <f t="shared" si="17"/>
        <v>34617.599999999999</v>
      </c>
    </row>
    <row r="553" spans="1:14" x14ac:dyDescent="0.2">
      <c r="A553" s="2" t="s">
        <v>901</v>
      </c>
      <c r="B553" s="2" t="s">
        <v>34</v>
      </c>
      <c r="C553" s="2" t="s">
        <v>46</v>
      </c>
      <c r="D553" s="2">
        <v>1023373</v>
      </c>
      <c r="E553" s="2" t="s">
        <v>844</v>
      </c>
      <c r="F553" s="2" t="s">
        <v>167</v>
      </c>
      <c r="G553" s="2" t="s">
        <v>459</v>
      </c>
      <c r="H553" s="7">
        <v>0</v>
      </c>
      <c r="I553">
        <v>25</v>
      </c>
      <c r="J553">
        <v>27</v>
      </c>
      <c r="K553" s="14">
        <v>0.6</v>
      </c>
      <c r="L553" s="7">
        <f t="shared" si="16"/>
        <v>0</v>
      </c>
      <c r="M553" s="14">
        <v>0.72</v>
      </c>
      <c r="N553" s="7">
        <f t="shared" si="17"/>
        <v>0</v>
      </c>
    </row>
    <row r="554" spans="1:14" x14ac:dyDescent="0.2">
      <c r="A554" s="2" t="s">
        <v>901</v>
      </c>
      <c r="B554" s="2" t="s">
        <v>34</v>
      </c>
      <c r="C554" s="2" t="s">
        <v>46</v>
      </c>
      <c r="D554" s="2">
        <v>1023411</v>
      </c>
      <c r="E554" s="2" t="s">
        <v>332</v>
      </c>
      <c r="F554" s="2" t="s">
        <v>96</v>
      </c>
      <c r="G554" s="2" t="s">
        <v>331</v>
      </c>
      <c r="H554" s="7">
        <v>92265.58</v>
      </c>
      <c r="I554">
        <v>25</v>
      </c>
      <c r="J554">
        <v>27</v>
      </c>
      <c r="K554" s="14">
        <v>0.6</v>
      </c>
      <c r="L554" s="7">
        <f t="shared" si="16"/>
        <v>55359.347999999998</v>
      </c>
      <c r="M554" s="14">
        <v>0.72</v>
      </c>
      <c r="N554" s="7">
        <f t="shared" si="17"/>
        <v>66431.217600000004</v>
      </c>
    </row>
    <row r="555" spans="1:14" x14ac:dyDescent="0.2">
      <c r="A555" s="2" t="s">
        <v>901</v>
      </c>
      <c r="B555" s="2" t="s">
        <v>34</v>
      </c>
      <c r="C555" s="2" t="s">
        <v>46</v>
      </c>
      <c r="D555" s="2">
        <v>1023412</v>
      </c>
      <c r="E555" s="2" t="s">
        <v>334</v>
      </c>
      <c r="F555" s="2" t="s">
        <v>96</v>
      </c>
      <c r="G555" s="2" t="s">
        <v>333</v>
      </c>
      <c r="H555" s="7">
        <v>0</v>
      </c>
      <c r="I555">
        <v>25</v>
      </c>
      <c r="J555">
        <v>27</v>
      </c>
      <c r="K555" s="14">
        <v>0.6</v>
      </c>
      <c r="L555" s="7">
        <f t="shared" si="16"/>
        <v>0</v>
      </c>
      <c r="M555" s="14">
        <v>0.72</v>
      </c>
      <c r="N555" s="7">
        <f t="shared" si="17"/>
        <v>0</v>
      </c>
    </row>
    <row r="556" spans="1:14" x14ac:dyDescent="0.2">
      <c r="A556" s="2" t="s">
        <v>901</v>
      </c>
      <c r="B556" s="2" t="s">
        <v>34</v>
      </c>
      <c r="C556" s="2" t="s">
        <v>37</v>
      </c>
      <c r="D556" s="2">
        <v>1021204</v>
      </c>
      <c r="E556" s="2" t="s">
        <v>291</v>
      </c>
      <c r="F556" s="2" t="s">
        <v>48</v>
      </c>
      <c r="G556" s="2" t="s">
        <v>393</v>
      </c>
      <c r="H556" s="7">
        <v>0</v>
      </c>
      <c r="I556">
        <v>25</v>
      </c>
      <c r="J556">
        <v>27</v>
      </c>
      <c r="K556" s="14">
        <v>0.6</v>
      </c>
      <c r="L556" s="7">
        <f t="shared" si="16"/>
        <v>0</v>
      </c>
      <c r="M556" s="14">
        <v>0.72</v>
      </c>
      <c r="N556" s="7">
        <f t="shared" si="17"/>
        <v>0</v>
      </c>
    </row>
    <row r="557" spans="1:14" x14ac:dyDescent="0.2">
      <c r="A557" s="2" t="s">
        <v>901</v>
      </c>
      <c r="B557" s="2" t="s">
        <v>34</v>
      </c>
      <c r="C557" s="2" t="s">
        <v>37</v>
      </c>
      <c r="D557" s="2">
        <v>1021921</v>
      </c>
      <c r="E557" s="2" t="s">
        <v>185</v>
      </c>
      <c r="F557" s="2" t="s">
        <v>43</v>
      </c>
      <c r="G557" s="2" t="s">
        <v>184</v>
      </c>
      <c r="H557" s="7">
        <v>0</v>
      </c>
      <c r="I557">
        <v>25</v>
      </c>
      <c r="J557">
        <v>27</v>
      </c>
      <c r="K557" s="14">
        <v>0.6</v>
      </c>
      <c r="L557" s="7">
        <f t="shared" si="16"/>
        <v>0</v>
      </c>
      <c r="M557" s="14">
        <v>0.72</v>
      </c>
      <c r="N557" s="7">
        <f t="shared" si="17"/>
        <v>0</v>
      </c>
    </row>
    <row r="558" spans="1:14" x14ac:dyDescent="0.2">
      <c r="A558" s="2" t="s">
        <v>901</v>
      </c>
      <c r="B558" s="2" t="s">
        <v>34</v>
      </c>
      <c r="C558" s="2" t="s">
        <v>37</v>
      </c>
      <c r="D558" s="2">
        <v>1021924</v>
      </c>
      <c r="E558" s="2" t="s">
        <v>188</v>
      </c>
      <c r="F558" s="2" t="s">
        <v>43</v>
      </c>
      <c r="G558" s="2" t="s">
        <v>187</v>
      </c>
      <c r="H558" s="7">
        <v>47031.654999999999</v>
      </c>
      <c r="I558">
        <v>25</v>
      </c>
      <c r="J558">
        <v>27</v>
      </c>
      <c r="K558" s="14">
        <v>0.6</v>
      </c>
      <c r="L558" s="7">
        <f t="shared" si="16"/>
        <v>28218.992999999999</v>
      </c>
      <c r="M558" s="14">
        <v>0.72</v>
      </c>
      <c r="N558" s="7">
        <f t="shared" si="17"/>
        <v>33862.791599999997</v>
      </c>
    </row>
    <row r="559" spans="1:14" x14ac:dyDescent="0.2">
      <c r="A559" s="2" t="s">
        <v>901</v>
      </c>
      <c r="B559" s="2" t="s">
        <v>34</v>
      </c>
      <c r="C559" s="2" t="s">
        <v>37</v>
      </c>
      <c r="D559" s="2">
        <v>1021925</v>
      </c>
      <c r="E559" s="2" t="s">
        <v>845</v>
      </c>
      <c r="F559" s="2" t="s">
        <v>43</v>
      </c>
      <c r="G559" s="2" t="s">
        <v>432</v>
      </c>
      <c r="H559" s="7">
        <v>71071.72</v>
      </c>
      <c r="I559">
        <v>25</v>
      </c>
      <c r="J559">
        <v>27</v>
      </c>
      <c r="K559" s="14">
        <v>0.6</v>
      </c>
      <c r="L559" s="7">
        <f t="shared" si="16"/>
        <v>42643.031999999999</v>
      </c>
      <c r="M559" s="14">
        <v>0.72</v>
      </c>
      <c r="N559" s="7">
        <f t="shared" si="17"/>
        <v>51171.638399999996</v>
      </c>
    </row>
    <row r="560" spans="1:14" x14ac:dyDescent="0.2">
      <c r="A560" s="2" t="s">
        <v>901</v>
      </c>
      <c r="B560" s="2" t="s">
        <v>34</v>
      </c>
      <c r="C560" s="2" t="s">
        <v>37</v>
      </c>
      <c r="D560" s="2">
        <v>1021929</v>
      </c>
      <c r="E560" s="2" t="s">
        <v>336</v>
      </c>
      <c r="F560" s="2" t="s">
        <v>178</v>
      </c>
      <c r="G560" s="2" t="s">
        <v>335</v>
      </c>
      <c r="H560" s="7">
        <v>4000</v>
      </c>
      <c r="I560">
        <v>25</v>
      </c>
      <c r="J560">
        <v>27</v>
      </c>
      <c r="K560" s="14">
        <v>0.6</v>
      </c>
      <c r="L560" s="7">
        <f t="shared" si="16"/>
        <v>2400</v>
      </c>
      <c r="M560" s="14">
        <v>0.72</v>
      </c>
      <c r="N560" s="7">
        <f t="shared" si="17"/>
        <v>2880</v>
      </c>
    </row>
    <row r="561" spans="1:14" x14ac:dyDescent="0.2">
      <c r="A561" s="2" t="s">
        <v>901</v>
      </c>
      <c r="B561" s="2" t="s">
        <v>34</v>
      </c>
      <c r="C561" s="2" t="s">
        <v>37</v>
      </c>
      <c r="D561" s="2">
        <v>1021931</v>
      </c>
      <c r="E561" s="2" t="s">
        <v>190</v>
      </c>
      <c r="F561" s="2" t="s">
        <v>191</v>
      </c>
      <c r="G561" s="2" t="s">
        <v>189</v>
      </c>
      <c r="H561" s="7">
        <v>8025.4960000000001</v>
      </c>
      <c r="I561">
        <v>25</v>
      </c>
      <c r="J561">
        <v>27</v>
      </c>
      <c r="K561" s="14">
        <v>0.6</v>
      </c>
      <c r="L561" s="7">
        <f t="shared" si="16"/>
        <v>4815.2975999999999</v>
      </c>
      <c r="M561" s="14">
        <v>0.72</v>
      </c>
      <c r="N561" s="7">
        <f t="shared" si="17"/>
        <v>5778.3571199999997</v>
      </c>
    </row>
    <row r="562" spans="1:14" x14ac:dyDescent="0.2">
      <c r="A562" s="2" t="s">
        <v>901</v>
      </c>
      <c r="B562" s="2" t="s">
        <v>34</v>
      </c>
      <c r="C562" s="2" t="s">
        <v>37</v>
      </c>
      <c r="D562" s="2">
        <v>1021936</v>
      </c>
      <c r="E562" s="2" t="s">
        <v>846</v>
      </c>
      <c r="F562" s="2" t="s">
        <v>39</v>
      </c>
      <c r="G562" s="2" t="s">
        <v>411</v>
      </c>
      <c r="H562" s="7">
        <v>192000</v>
      </c>
      <c r="I562">
        <v>25</v>
      </c>
      <c r="J562">
        <v>27</v>
      </c>
      <c r="K562" s="14">
        <v>0.6</v>
      </c>
      <c r="L562" s="7">
        <f t="shared" si="16"/>
        <v>115200</v>
      </c>
      <c r="M562" s="14">
        <v>0.72</v>
      </c>
      <c r="N562" s="7">
        <f t="shared" si="17"/>
        <v>138240</v>
      </c>
    </row>
    <row r="563" spans="1:14" x14ac:dyDescent="0.2">
      <c r="A563" s="2" t="s">
        <v>901</v>
      </c>
      <c r="B563" s="2" t="s">
        <v>34</v>
      </c>
      <c r="C563" s="2" t="s">
        <v>37</v>
      </c>
      <c r="D563" s="2">
        <v>1021944</v>
      </c>
      <c r="E563" s="2" t="s">
        <v>193</v>
      </c>
      <c r="F563" s="2" t="s">
        <v>181</v>
      </c>
      <c r="G563" s="2" t="s">
        <v>192</v>
      </c>
      <c r="H563" s="7">
        <v>0</v>
      </c>
      <c r="I563">
        <v>25</v>
      </c>
      <c r="J563">
        <v>27</v>
      </c>
      <c r="K563" s="14">
        <v>0.6</v>
      </c>
      <c r="L563" s="7">
        <f t="shared" si="16"/>
        <v>0</v>
      </c>
      <c r="M563" s="14">
        <v>0.72</v>
      </c>
      <c r="N563" s="7">
        <f t="shared" si="17"/>
        <v>0</v>
      </c>
    </row>
    <row r="564" spans="1:14" x14ac:dyDescent="0.2">
      <c r="A564" s="2" t="s">
        <v>901</v>
      </c>
      <c r="B564" s="2" t="s">
        <v>34</v>
      </c>
      <c r="C564" s="2" t="s">
        <v>37</v>
      </c>
      <c r="D564" s="2">
        <v>1021945</v>
      </c>
      <c r="E564" s="2" t="s">
        <v>195</v>
      </c>
      <c r="F564" s="2" t="s">
        <v>196</v>
      </c>
      <c r="G564" s="2" t="s">
        <v>194</v>
      </c>
      <c r="H564" s="7">
        <v>0</v>
      </c>
      <c r="I564">
        <v>25</v>
      </c>
      <c r="J564">
        <v>27</v>
      </c>
      <c r="K564" s="14">
        <v>0.6</v>
      </c>
      <c r="L564" s="7">
        <f t="shared" si="16"/>
        <v>0</v>
      </c>
      <c r="M564" s="14">
        <v>0.72</v>
      </c>
      <c r="N564" s="7">
        <f t="shared" si="17"/>
        <v>0</v>
      </c>
    </row>
    <row r="565" spans="1:14" x14ac:dyDescent="0.2">
      <c r="A565" s="2" t="s">
        <v>901</v>
      </c>
      <c r="B565" s="2" t="s">
        <v>34</v>
      </c>
      <c r="C565" s="2" t="s">
        <v>37</v>
      </c>
      <c r="D565" s="2">
        <v>1021952</v>
      </c>
      <c r="E565" s="2" t="s">
        <v>75</v>
      </c>
      <c r="F565" s="2" t="s">
        <v>76</v>
      </c>
      <c r="G565" s="2" t="s">
        <v>125</v>
      </c>
      <c r="H565" s="7">
        <v>0</v>
      </c>
      <c r="I565">
        <v>25</v>
      </c>
      <c r="J565">
        <v>27</v>
      </c>
      <c r="K565" s="14">
        <v>0.6</v>
      </c>
      <c r="L565" s="7">
        <f t="shared" si="16"/>
        <v>0</v>
      </c>
      <c r="M565" s="14">
        <v>0.72</v>
      </c>
      <c r="N565" s="7">
        <f t="shared" si="17"/>
        <v>0</v>
      </c>
    </row>
    <row r="566" spans="1:14" x14ac:dyDescent="0.2">
      <c r="A566" s="2" t="s">
        <v>901</v>
      </c>
      <c r="B566" s="2" t="s">
        <v>34</v>
      </c>
      <c r="C566" s="2" t="s">
        <v>37</v>
      </c>
      <c r="D566" s="2">
        <v>1021987</v>
      </c>
      <c r="E566" s="2" t="s">
        <v>847</v>
      </c>
      <c r="F566" s="2" t="s">
        <v>259</v>
      </c>
      <c r="G566" s="2" t="s">
        <v>435</v>
      </c>
      <c r="H566" s="7">
        <v>0</v>
      </c>
      <c r="I566">
        <v>25</v>
      </c>
      <c r="J566">
        <v>27</v>
      </c>
      <c r="K566" s="14">
        <v>0.6</v>
      </c>
      <c r="L566" s="7">
        <f t="shared" si="16"/>
        <v>0</v>
      </c>
      <c r="M566" s="14">
        <v>0.72</v>
      </c>
      <c r="N566" s="7">
        <f t="shared" si="17"/>
        <v>0</v>
      </c>
    </row>
    <row r="567" spans="1:14" x14ac:dyDescent="0.2">
      <c r="A567" s="2" t="s">
        <v>901</v>
      </c>
      <c r="B567" s="2" t="s">
        <v>34</v>
      </c>
      <c r="C567" s="2" t="s">
        <v>37</v>
      </c>
      <c r="D567" s="2">
        <v>1022101</v>
      </c>
      <c r="E567" s="2" t="s">
        <v>338</v>
      </c>
      <c r="F567" s="2" t="s">
        <v>43</v>
      </c>
      <c r="G567" s="2" t="s">
        <v>337</v>
      </c>
      <c r="H567" s="7">
        <v>0</v>
      </c>
      <c r="I567">
        <v>25</v>
      </c>
      <c r="J567">
        <v>27</v>
      </c>
      <c r="K567" s="14">
        <v>0.6</v>
      </c>
      <c r="L567" s="7">
        <f t="shared" si="16"/>
        <v>0</v>
      </c>
      <c r="M567" s="14">
        <v>0.72</v>
      </c>
      <c r="N567" s="7">
        <f t="shared" si="17"/>
        <v>0</v>
      </c>
    </row>
    <row r="568" spans="1:14" x14ac:dyDescent="0.2">
      <c r="A568" s="2" t="s">
        <v>901</v>
      </c>
      <c r="B568" s="2" t="s">
        <v>34</v>
      </c>
      <c r="C568" s="2" t="s">
        <v>37</v>
      </c>
      <c r="D568" s="2">
        <v>1022128</v>
      </c>
      <c r="E568" s="2" t="s">
        <v>848</v>
      </c>
      <c r="F568" s="2" t="s">
        <v>96</v>
      </c>
      <c r="G568" s="2" t="s">
        <v>469</v>
      </c>
      <c r="H568" s="7">
        <v>0</v>
      </c>
      <c r="I568">
        <v>25</v>
      </c>
      <c r="J568">
        <v>27</v>
      </c>
      <c r="K568" s="14">
        <v>0.6</v>
      </c>
      <c r="L568" s="7">
        <f t="shared" si="16"/>
        <v>0</v>
      </c>
      <c r="M568" s="14">
        <v>0.72</v>
      </c>
      <c r="N568" s="7">
        <f t="shared" si="17"/>
        <v>0</v>
      </c>
    </row>
    <row r="569" spans="1:14" x14ac:dyDescent="0.2">
      <c r="A569" s="2" t="s">
        <v>901</v>
      </c>
      <c r="B569" s="2" t="s">
        <v>34</v>
      </c>
      <c r="C569" s="2" t="s">
        <v>37</v>
      </c>
      <c r="D569" s="2">
        <v>1022141</v>
      </c>
      <c r="E569" s="2" t="s">
        <v>127</v>
      </c>
      <c r="F569" s="2" t="s">
        <v>96</v>
      </c>
      <c r="G569" s="2" t="s">
        <v>126</v>
      </c>
      <c r="H569" s="7">
        <v>40090.699999999997</v>
      </c>
      <c r="I569">
        <v>25</v>
      </c>
      <c r="J569">
        <v>27</v>
      </c>
      <c r="K569" s="14">
        <v>0.6</v>
      </c>
      <c r="L569" s="7">
        <f t="shared" si="16"/>
        <v>24054.42</v>
      </c>
      <c r="M569" s="14">
        <v>0.72</v>
      </c>
      <c r="N569" s="7">
        <f t="shared" si="17"/>
        <v>28865.303999999996</v>
      </c>
    </row>
    <row r="570" spans="1:14" x14ac:dyDescent="0.2">
      <c r="A570" s="2" t="s">
        <v>901</v>
      </c>
      <c r="B570" s="2" t="s">
        <v>34</v>
      </c>
      <c r="C570" s="2" t="s">
        <v>37</v>
      </c>
      <c r="D570" s="2">
        <v>1022142</v>
      </c>
      <c r="E570" s="2" t="s">
        <v>849</v>
      </c>
      <c r="F570" s="2" t="s">
        <v>96</v>
      </c>
      <c r="G570" s="2" t="s">
        <v>390</v>
      </c>
      <c r="H570" s="7">
        <v>0</v>
      </c>
      <c r="I570">
        <v>25</v>
      </c>
      <c r="J570">
        <v>27</v>
      </c>
      <c r="K570" s="14">
        <v>0.6</v>
      </c>
      <c r="L570" s="7">
        <f t="shared" si="16"/>
        <v>0</v>
      </c>
      <c r="M570" s="14">
        <v>0.72</v>
      </c>
      <c r="N570" s="7">
        <f t="shared" si="17"/>
        <v>0</v>
      </c>
    </row>
    <row r="571" spans="1:14" x14ac:dyDescent="0.2">
      <c r="A571" s="2" t="s">
        <v>901</v>
      </c>
      <c r="B571" s="2" t="s">
        <v>34</v>
      </c>
      <c r="C571" s="2" t="s">
        <v>37</v>
      </c>
      <c r="D571" s="2">
        <v>1022293</v>
      </c>
      <c r="E571" s="2" t="s">
        <v>340</v>
      </c>
      <c r="F571" s="2" t="s">
        <v>160</v>
      </c>
      <c r="G571" s="2" t="s">
        <v>339</v>
      </c>
      <c r="H571" s="7">
        <v>0</v>
      </c>
      <c r="I571">
        <v>25</v>
      </c>
      <c r="J571">
        <v>27</v>
      </c>
      <c r="K571" s="14">
        <v>0.6</v>
      </c>
      <c r="L571" s="7">
        <f t="shared" si="16"/>
        <v>0</v>
      </c>
      <c r="M571" s="14">
        <v>0.72</v>
      </c>
      <c r="N571" s="7">
        <f t="shared" si="17"/>
        <v>0</v>
      </c>
    </row>
    <row r="572" spans="1:14" x14ac:dyDescent="0.2">
      <c r="A572" s="2" t="s">
        <v>901</v>
      </c>
      <c r="B572" s="2" t="s">
        <v>34</v>
      </c>
      <c r="C572" s="2" t="s">
        <v>37</v>
      </c>
      <c r="D572" s="2">
        <v>1022398</v>
      </c>
      <c r="E572" s="2" t="s">
        <v>850</v>
      </c>
      <c r="F572" s="2" t="s">
        <v>96</v>
      </c>
      <c r="G572" s="2" t="s">
        <v>431</v>
      </c>
      <c r="H572" s="7">
        <v>0</v>
      </c>
      <c r="I572">
        <v>25</v>
      </c>
      <c r="J572">
        <v>27</v>
      </c>
      <c r="K572" s="14">
        <v>0.6</v>
      </c>
      <c r="L572" s="7">
        <f t="shared" si="16"/>
        <v>0</v>
      </c>
      <c r="M572" s="14">
        <v>0.72</v>
      </c>
      <c r="N572" s="7">
        <f t="shared" si="17"/>
        <v>0</v>
      </c>
    </row>
    <row r="573" spans="1:14" x14ac:dyDescent="0.2">
      <c r="A573" s="2" t="s">
        <v>901</v>
      </c>
      <c r="B573" s="2" t="s">
        <v>34</v>
      </c>
      <c r="C573" s="2" t="s">
        <v>37</v>
      </c>
      <c r="D573" s="2">
        <v>1022413</v>
      </c>
      <c r="E573" s="2" t="s">
        <v>851</v>
      </c>
      <c r="F573" s="2" t="s">
        <v>259</v>
      </c>
      <c r="G573" s="2" t="s">
        <v>434</v>
      </c>
      <c r="H573" s="7">
        <v>0</v>
      </c>
      <c r="I573">
        <v>25</v>
      </c>
      <c r="J573">
        <v>27</v>
      </c>
      <c r="K573" s="14">
        <v>0.6</v>
      </c>
      <c r="L573" s="7">
        <f t="shared" si="16"/>
        <v>0</v>
      </c>
      <c r="M573" s="14">
        <v>0.72</v>
      </c>
      <c r="N573" s="7">
        <f t="shared" si="17"/>
        <v>0</v>
      </c>
    </row>
    <row r="574" spans="1:14" x14ac:dyDescent="0.2">
      <c r="A574" s="2" t="s">
        <v>901</v>
      </c>
      <c r="B574" s="2" t="s">
        <v>34</v>
      </c>
      <c r="C574" s="2" t="s">
        <v>37</v>
      </c>
      <c r="D574" s="2">
        <v>1022515</v>
      </c>
      <c r="E574" s="2" t="s">
        <v>198</v>
      </c>
      <c r="F574" s="2" t="s">
        <v>178</v>
      </c>
      <c r="G574" s="2" t="s">
        <v>197</v>
      </c>
      <c r="H574" s="7">
        <v>0</v>
      </c>
      <c r="I574">
        <v>25</v>
      </c>
      <c r="J574">
        <v>27</v>
      </c>
      <c r="K574" s="14">
        <v>0.6</v>
      </c>
      <c r="L574" s="7">
        <f t="shared" si="16"/>
        <v>0</v>
      </c>
      <c r="M574" s="14">
        <v>0.72</v>
      </c>
      <c r="N574" s="7">
        <f t="shared" si="17"/>
        <v>0</v>
      </c>
    </row>
    <row r="575" spans="1:14" x14ac:dyDescent="0.2">
      <c r="A575" s="2" t="s">
        <v>901</v>
      </c>
      <c r="B575" s="2" t="s">
        <v>34</v>
      </c>
      <c r="C575" s="2" t="s">
        <v>37</v>
      </c>
      <c r="D575" s="2">
        <v>1022570</v>
      </c>
      <c r="E575" s="2" t="s">
        <v>852</v>
      </c>
      <c r="F575" s="2" t="s">
        <v>178</v>
      </c>
      <c r="G575" s="2" t="s">
        <v>476</v>
      </c>
      <c r="H575" s="7">
        <v>0</v>
      </c>
      <c r="I575">
        <v>25</v>
      </c>
      <c r="J575">
        <v>27</v>
      </c>
      <c r="K575" s="14">
        <v>0.6</v>
      </c>
      <c r="L575" s="7">
        <f t="shared" si="16"/>
        <v>0</v>
      </c>
      <c r="M575" s="14">
        <v>0.72</v>
      </c>
      <c r="N575" s="7">
        <f t="shared" si="17"/>
        <v>0</v>
      </c>
    </row>
    <row r="576" spans="1:14" x14ac:dyDescent="0.2">
      <c r="A576" s="2" t="s">
        <v>901</v>
      </c>
      <c r="B576" s="2" t="s">
        <v>34</v>
      </c>
      <c r="C576" s="2" t="s">
        <v>37</v>
      </c>
      <c r="D576" s="2">
        <v>1022621</v>
      </c>
      <c r="E576" s="2" t="s">
        <v>200</v>
      </c>
      <c r="F576" s="2" t="s">
        <v>178</v>
      </c>
      <c r="G576" s="2" t="s">
        <v>199</v>
      </c>
      <c r="H576" s="7">
        <v>67047.732000000004</v>
      </c>
      <c r="I576">
        <v>25</v>
      </c>
      <c r="J576">
        <v>27</v>
      </c>
      <c r="K576" s="14">
        <v>0.6</v>
      </c>
      <c r="L576" s="7">
        <f t="shared" si="16"/>
        <v>40228.639199999998</v>
      </c>
      <c r="M576" s="14">
        <v>0.72</v>
      </c>
      <c r="N576" s="7">
        <f t="shared" si="17"/>
        <v>48274.367039999997</v>
      </c>
    </row>
    <row r="577" spans="1:14" x14ac:dyDescent="0.2">
      <c r="A577" s="2" t="s">
        <v>901</v>
      </c>
      <c r="B577" s="2" t="s">
        <v>34</v>
      </c>
      <c r="C577" s="2" t="s">
        <v>37</v>
      </c>
      <c r="D577" s="2">
        <v>1022751</v>
      </c>
      <c r="E577" s="2" t="s">
        <v>38</v>
      </c>
      <c r="F577" s="2" t="s">
        <v>39</v>
      </c>
      <c r="G577" s="2" t="s">
        <v>36</v>
      </c>
      <c r="H577" s="7">
        <v>16016</v>
      </c>
      <c r="I577">
        <v>25</v>
      </c>
      <c r="J577">
        <v>27</v>
      </c>
      <c r="K577" s="14">
        <v>0.6</v>
      </c>
      <c r="L577" s="7">
        <f t="shared" si="16"/>
        <v>9609.6</v>
      </c>
      <c r="M577" s="14">
        <v>0.72</v>
      </c>
      <c r="N577" s="7">
        <f t="shared" si="17"/>
        <v>11531.52</v>
      </c>
    </row>
    <row r="578" spans="1:14" x14ac:dyDescent="0.2">
      <c r="A578" s="2" t="s">
        <v>901</v>
      </c>
      <c r="B578" s="2" t="s">
        <v>34</v>
      </c>
      <c r="C578" s="2" t="s">
        <v>37</v>
      </c>
      <c r="D578" s="2">
        <v>1022767</v>
      </c>
      <c r="E578" s="2" t="s">
        <v>853</v>
      </c>
      <c r="F578" s="2" t="s">
        <v>48</v>
      </c>
      <c r="G578" s="2" t="s">
        <v>465</v>
      </c>
      <c r="H578" s="7">
        <v>96000</v>
      </c>
      <c r="I578">
        <v>25</v>
      </c>
      <c r="J578">
        <v>27</v>
      </c>
      <c r="K578" s="14">
        <v>0.6</v>
      </c>
      <c r="L578" s="7">
        <f t="shared" ref="L578:L641" si="18">K578 * H578</f>
        <v>57600</v>
      </c>
      <c r="M578" s="14">
        <v>0.72</v>
      </c>
      <c r="N578" s="7">
        <f t="shared" ref="N578:N641" si="19">M578 * H578</f>
        <v>69120</v>
      </c>
    </row>
    <row r="579" spans="1:14" x14ac:dyDescent="0.2">
      <c r="A579" s="2" t="s">
        <v>901</v>
      </c>
      <c r="B579" s="2" t="s">
        <v>34</v>
      </c>
      <c r="C579" s="2" t="s">
        <v>37</v>
      </c>
      <c r="D579" s="2">
        <v>1022791</v>
      </c>
      <c r="E579" s="2" t="s">
        <v>854</v>
      </c>
      <c r="F579" s="2" t="s">
        <v>124</v>
      </c>
      <c r="G579" s="2" t="s">
        <v>501</v>
      </c>
      <c r="H579" s="7">
        <v>0</v>
      </c>
      <c r="I579">
        <v>25</v>
      </c>
      <c r="J579">
        <v>27</v>
      </c>
      <c r="K579" s="14">
        <v>0.6</v>
      </c>
      <c r="L579" s="7">
        <f t="shared" si="18"/>
        <v>0</v>
      </c>
      <c r="M579" s="14">
        <v>0.72</v>
      </c>
      <c r="N579" s="7">
        <f t="shared" si="19"/>
        <v>0</v>
      </c>
    </row>
    <row r="580" spans="1:14" x14ac:dyDescent="0.2">
      <c r="A580" s="2" t="s">
        <v>901</v>
      </c>
      <c r="B580" s="2" t="s">
        <v>34</v>
      </c>
      <c r="C580" s="2" t="s">
        <v>37</v>
      </c>
      <c r="D580" s="2">
        <v>1022863</v>
      </c>
      <c r="E580" s="2" t="s">
        <v>202</v>
      </c>
      <c r="F580" s="2" t="s">
        <v>43</v>
      </c>
      <c r="G580" s="2" t="s">
        <v>201</v>
      </c>
      <c r="H580" s="7">
        <v>0</v>
      </c>
      <c r="I580">
        <v>25</v>
      </c>
      <c r="J580">
        <v>27</v>
      </c>
      <c r="K580" s="14">
        <v>0.6</v>
      </c>
      <c r="L580" s="7">
        <f t="shared" si="18"/>
        <v>0</v>
      </c>
      <c r="M580" s="14">
        <v>0.72</v>
      </c>
      <c r="N580" s="7">
        <f t="shared" si="19"/>
        <v>0</v>
      </c>
    </row>
    <row r="581" spans="1:14" x14ac:dyDescent="0.2">
      <c r="A581" s="2" t="s">
        <v>901</v>
      </c>
      <c r="B581" s="2" t="s">
        <v>34</v>
      </c>
      <c r="C581" s="2" t="s">
        <v>37</v>
      </c>
      <c r="D581" s="2">
        <v>1022864</v>
      </c>
      <c r="E581" s="2" t="s">
        <v>42</v>
      </c>
      <c r="F581" s="2" t="s">
        <v>43</v>
      </c>
      <c r="G581" s="2" t="s">
        <v>41</v>
      </c>
      <c r="H581" s="7">
        <v>16141.147999999999</v>
      </c>
      <c r="I581">
        <v>25</v>
      </c>
      <c r="J581">
        <v>27</v>
      </c>
      <c r="K581" s="14">
        <v>0.6</v>
      </c>
      <c r="L581" s="7">
        <f t="shared" si="18"/>
        <v>9684.6887999999999</v>
      </c>
      <c r="M581" s="14">
        <v>0.72</v>
      </c>
      <c r="N581" s="7">
        <f t="shared" si="19"/>
        <v>11621.626559999999</v>
      </c>
    </row>
    <row r="582" spans="1:14" x14ac:dyDescent="0.2">
      <c r="A582" s="2" t="s">
        <v>901</v>
      </c>
      <c r="B582" s="2" t="s">
        <v>34</v>
      </c>
      <c r="C582" s="2" t="s">
        <v>37</v>
      </c>
      <c r="D582" s="2">
        <v>1022865</v>
      </c>
      <c r="E582" s="2" t="s">
        <v>344</v>
      </c>
      <c r="F582" s="2" t="s">
        <v>178</v>
      </c>
      <c r="G582" s="2" t="s">
        <v>343</v>
      </c>
      <c r="H582" s="7">
        <v>0</v>
      </c>
      <c r="I582">
        <v>25</v>
      </c>
      <c r="J582">
        <v>27</v>
      </c>
      <c r="K582" s="14">
        <v>0.6</v>
      </c>
      <c r="L582" s="7">
        <f t="shared" si="18"/>
        <v>0</v>
      </c>
      <c r="M582" s="14">
        <v>0.72</v>
      </c>
      <c r="N582" s="7">
        <f t="shared" si="19"/>
        <v>0</v>
      </c>
    </row>
    <row r="583" spans="1:14" x14ac:dyDescent="0.2">
      <c r="A583" s="2" t="s">
        <v>901</v>
      </c>
      <c r="B583" s="2" t="s">
        <v>34</v>
      </c>
      <c r="C583" s="2" t="s">
        <v>37</v>
      </c>
      <c r="D583" s="2">
        <v>1022866</v>
      </c>
      <c r="E583" s="2" t="s">
        <v>204</v>
      </c>
      <c r="F583" s="2" t="s">
        <v>178</v>
      </c>
      <c r="G583" s="2" t="s">
        <v>203</v>
      </c>
      <c r="H583" s="7">
        <v>16057.308000000001</v>
      </c>
      <c r="I583">
        <v>25</v>
      </c>
      <c r="J583">
        <v>27</v>
      </c>
      <c r="K583" s="14">
        <v>0.6</v>
      </c>
      <c r="L583" s="7">
        <f t="shared" si="18"/>
        <v>9634.3847999999998</v>
      </c>
      <c r="M583" s="14">
        <v>0.72</v>
      </c>
      <c r="N583" s="7">
        <f t="shared" si="19"/>
        <v>11561.261759999999</v>
      </c>
    </row>
    <row r="584" spans="1:14" x14ac:dyDescent="0.2">
      <c r="A584" s="2" t="s">
        <v>901</v>
      </c>
      <c r="B584" s="2" t="s">
        <v>34</v>
      </c>
      <c r="C584" s="2" t="s">
        <v>37</v>
      </c>
      <c r="D584" s="2">
        <v>1022914</v>
      </c>
      <c r="E584" s="2" t="s">
        <v>858</v>
      </c>
      <c r="F584" s="2" t="s">
        <v>48</v>
      </c>
      <c r="G584" s="2" t="s">
        <v>460</v>
      </c>
      <c r="H584" s="7">
        <v>0</v>
      </c>
      <c r="I584">
        <v>25</v>
      </c>
      <c r="J584">
        <v>27</v>
      </c>
      <c r="K584" s="14">
        <v>0.6</v>
      </c>
      <c r="L584" s="7">
        <f t="shared" si="18"/>
        <v>0</v>
      </c>
      <c r="M584" s="14">
        <v>0.72</v>
      </c>
      <c r="N584" s="7">
        <f t="shared" si="19"/>
        <v>0</v>
      </c>
    </row>
    <row r="585" spans="1:14" x14ac:dyDescent="0.2">
      <c r="A585" s="2" t="s">
        <v>901</v>
      </c>
      <c r="B585" s="2" t="s">
        <v>34</v>
      </c>
      <c r="C585" s="2" t="s">
        <v>37</v>
      </c>
      <c r="D585" s="2">
        <v>1022918</v>
      </c>
      <c r="E585" s="2" t="s">
        <v>859</v>
      </c>
      <c r="F585" s="2" t="s">
        <v>48</v>
      </c>
      <c r="G585" s="2" t="s">
        <v>410</v>
      </c>
      <c r="H585" s="7">
        <v>0</v>
      </c>
      <c r="I585">
        <v>25</v>
      </c>
      <c r="J585">
        <v>27</v>
      </c>
      <c r="K585" s="14">
        <v>0.6</v>
      </c>
      <c r="L585" s="7">
        <f t="shared" si="18"/>
        <v>0</v>
      </c>
      <c r="M585" s="14">
        <v>0.72</v>
      </c>
      <c r="N585" s="7">
        <f t="shared" si="19"/>
        <v>0</v>
      </c>
    </row>
    <row r="586" spans="1:14" x14ac:dyDescent="0.2">
      <c r="A586" s="2" t="s">
        <v>901</v>
      </c>
      <c r="B586" s="2" t="s">
        <v>34</v>
      </c>
      <c r="C586" s="2" t="s">
        <v>37</v>
      </c>
      <c r="D586" s="2">
        <v>1022975</v>
      </c>
      <c r="E586" s="2" t="s">
        <v>860</v>
      </c>
      <c r="F586" s="2" t="s">
        <v>172</v>
      </c>
      <c r="G586" s="2" t="s">
        <v>433</v>
      </c>
      <c r="H586" s="7">
        <v>0</v>
      </c>
      <c r="I586">
        <v>25</v>
      </c>
      <c r="J586">
        <v>27</v>
      </c>
      <c r="K586" s="14">
        <v>0.6</v>
      </c>
      <c r="L586" s="7">
        <f t="shared" si="18"/>
        <v>0</v>
      </c>
      <c r="M586" s="14">
        <v>0.72</v>
      </c>
      <c r="N586" s="7">
        <f t="shared" si="19"/>
        <v>0</v>
      </c>
    </row>
    <row r="587" spans="1:14" x14ac:dyDescent="0.2">
      <c r="A587" s="2" t="s">
        <v>901</v>
      </c>
      <c r="B587" s="2" t="s">
        <v>34</v>
      </c>
      <c r="C587" s="2" t="s">
        <v>37</v>
      </c>
      <c r="D587" s="2">
        <v>1022989</v>
      </c>
      <c r="E587" s="2" t="s">
        <v>861</v>
      </c>
      <c r="F587" s="2" t="s">
        <v>43</v>
      </c>
      <c r="G587" s="2" t="s">
        <v>561</v>
      </c>
      <c r="H587" s="7">
        <v>0</v>
      </c>
      <c r="I587">
        <v>25</v>
      </c>
      <c r="J587">
        <v>27</v>
      </c>
      <c r="K587" s="14">
        <v>0.6</v>
      </c>
      <c r="L587" s="7">
        <f t="shared" si="18"/>
        <v>0</v>
      </c>
      <c r="M587" s="14">
        <v>0.72</v>
      </c>
      <c r="N587" s="7">
        <f t="shared" si="19"/>
        <v>0</v>
      </c>
    </row>
    <row r="588" spans="1:14" x14ac:dyDescent="0.2">
      <c r="A588" s="2" t="s">
        <v>901</v>
      </c>
      <c r="B588" s="2" t="s">
        <v>34</v>
      </c>
      <c r="C588" s="2" t="s">
        <v>37</v>
      </c>
      <c r="D588" s="2">
        <v>1023123</v>
      </c>
      <c r="E588" s="2" t="s">
        <v>346</v>
      </c>
      <c r="F588" s="2" t="s">
        <v>43</v>
      </c>
      <c r="G588" s="2" t="s">
        <v>345</v>
      </c>
      <c r="H588" s="7">
        <v>0</v>
      </c>
      <c r="I588">
        <v>25</v>
      </c>
      <c r="J588">
        <v>27</v>
      </c>
      <c r="K588" s="14">
        <v>0.6</v>
      </c>
      <c r="L588" s="7">
        <f t="shared" si="18"/>
        <v>0</v>
      </c>
      <c r="M588" s="14">
        <v>0.72</v>
      </c>
      <c r="N588" s="7">
        <f t="shared" si="19"/>
        <v>0</v>
      </c>
    </row>
    <row r="589" spans="1:14" x14ac:dyDescent="0.2">
      <c r="A589" s="2" t="s">
        <v>901</v>
      </c>
      <c r="B589" s="2" t="s">
        <v>34</v>
      </c>
      <c r="C589" s="2" t="s">
        <v>37</v>
      </c>
      <c r="D589" s="2">
        <v>1023247</v>
      </c>
      <c r="E589" s="2" t="s">
        <v>865</v>
      </c>
      <c r="F589" s="2" t="s">
        <v>178</v>
      </c>
      <c r="G589" s="2" t="s">
        <v>478</v>
      </c>
      <c r="H589" s="7">
        <v>8000</v>
      </c>
      <c r="I589">
        <v>25</v>
      </c>
      <c r="J589">
        <v>27</v>
      </c>
      <c r="K589" s="14">
        <v>0.6</v>
      </c>
      <c r="L589" s="7">
        <f t="shared" si="18"/>
        <v>4800</v>
      </c>
      <c r="M589" s="14">
        <v>0.72</v>
      </c>
      <c r="N589" s="7">
        <f t="shared" si="19"/>
        <v>5760</v>
      </c>
    </row>
    <row r="590" spans="1:14" x14ac:dyDescent="0.2">
      <c r="A590" s="2" t="s">
        <v>901</v>
      </c>
      <c r="B590" s="2" t="s">
        <v>34</v>
      </c>
      <c r="C590" s="2" t="s">
        <v>37</v>
      </c>
      <c r="D590" s="2">
        <v>1023265</v>
      </c>
      <c r="E590" s="2" t="s">
        <v>348</v>
      </c>
      <c r="F590" s="2" t="s">
        <v>191</v>
      </c>
      <c r="G590" s="2" t="s">
        <v>347</v>
      </c>
      <c r="H590" s="7">
        <v>0</v>
      </c>
      <c r="I590">
        <v>25</v>
      </c>
      <c r="J590">
        <v>27</v>
      </c>
      <c r="K590" s="14">
        <v>0.6</v>
      </c>
      <c r="L590" s="7">
        <f t="shared" si="18"/>
        <v>0</v>
      </c>
      <c r="M590" s="14">
        <v>0.72</v>
      </c>
      <c r="N590" s="7">
        <f t="shared" si="19"/>
        <v>0</v>
      </c>
    </row>
    <row r="591" spans="1:14" x14ac:dyDescent="0.2">
      <c r="A591" s="2" t="s">
        <v>901</v>
      </c>
      <c r="B591" s="2" t="s">
        <v>34</v>
      </c>
      <c r="C591" s="2" t="s">
        <v>37</v>
      </c>
      <c r="D591" s="2">
        <v>1023269</v>
      </c>
      <c r="E591" s="2" t="s">
        <v>866</v>
      </c>
      <c r="F591" s="2" t="s">
        <v>96</v>
      </c>
      <c r="G591" s="2" t="s">
        <v>436</v>
      </c>
      <c r="H591" s="7">
        <v>39956.336000000003</v>
      </c>
      <c r="I591">
        <v>25</v>
      </c>
      <c r="J591">
        <v>27</v>
      </c>
      <c r="K591" s="14">
        <v>0.6</v>
      </c>
      <c r="L591" s="7">
        <f t="shared" si="18"/>
        <v>23973.801600000003</v>
      </c>
      <c r="M591" s="14">
        <v>0.72</v>
      </c>
      <c r="N591" s="7">
        <f t="shared" si="19"/>
        <v>28768.56192</v>
      </c>
    </row>
    <row r="592" spans="1:14" x14ac:dyDescent="0.2">
      <c r="A592" s="2" t="s">
        <v>901</v>
      </c>
      <c r="B592" s="2" t="s">
        <v>34</v>
      </c>
      <c r="C592" s="2" t="s">
        <v>37</v>
      </c>
      <c r="D592" s="2">
        <v>1023491</v>
      </c>
      <c r="E592" s="2" t="s">
        <v>931</v>
      </c>
      <c r="F592" s="2" t="s">
        <v>259</v>
      </c>
      <c r="G592" s="2" t="s">
        <v>932</v>
      </c>
      <c r="H592" s="7">
        <v>164.32</v>
      </c>
      <c r="I592">
        <v>25</v>
      </c>
      <c r="J592">
        <v>27</v>
      </c>
      <c r="K592" s="14">
        <v>0.6</v>
      </c>
      <c r="L592" s="7">
        <f t="shared" si="18"/>
        <v>98.591999999999999</v>
      </c>
      <c r="M592" s="14">
        <v>0.72</v>
      </c>
      <c r="N592" s="7">
        <f t="shared" si="19"/>
        <v>118.31039999999999</v>
      </c>
    </row>
    <row r="593" spans="1:14" x14ac:dyDescent="0.2">
      <c r="A593" s="2" t="s">
        <v>901</v>
      </c>
      <c r="B593" s="2" t="s">
        <v>34</v>
      </c>
      <c r="C593" s="2" t="s">
        <v>867</v>
      </c>
      <c r="D593" s="2">
        <v>1020105</v>
      </c>
      <c r="E593" s="2" t="s">
        <v>868</v>
      </c>
      <c r="F593" s="2" t="s">
        <v>43</v>
      </c>
      <c r="G593" s="2" t="s">
        <v>869</v>
      </c>
      <c r="H593" s="7">
        <v>23247.286</v>
      </c>
      <c r="I593">
        <v>25</v>
      </c>
      <c r="J593">
        <v>27</v>
      </c>
      <c r="K593" s="14">
        <v>0.6</v>
      </c>
      <c r="L593" s="7">
        <f t="shared" si="18"/>
        <v>13948.3716</v>
      </c>
      <c r="M593" s="14">
        <v>0.72</v>
      </c>
      <c r="N593" s="7">
        <f t="shared" si="19"/>
        <v>16738.04592</v>
      </c>
    </row>
    <row r="594" spans="1:14" x14ac:dyDescent="0.2">
      <c r="A594" s="2" t="s">
        <v>901</v>
      </c>
      <c r="B594" s="2" t="s">
        <v>34</v>
      </c>
      <c r="C594" s="2" t="s">
        <v>867</v>
      </c>
      <c r="D594" s="2">
        <v>1020110</v>
      </c>
      <c r="E594" s="2" t="s">
        <v>870</v>
      </c>
      <c r="F594" s="2" t="s">
        <v>43</v>
      </c>
      <c r="G594" s="2" t="s">
        <v>871</v>
      </c>
      <c r="H594" s="7">
        <v>93985.956000000006</v>
      </c>
      <c r="I594">
        <v>25</v>
      </c>
      <c r="J594">
        <v>27</v>
      </c>
      <c r="K594" s="14">
        <v>0.6</v>
      </c>
      <c r="L594" s="7">
        <f t="shared" si="18"/>
        <v>56391.573600000003</v>
      </c>
      <c r="M594" s="14">
        <v>0.72</v>
      </c>
      <c r="N594" s="7">
        <f t="shared" si="19"/>
        <v>67669.888319999998</v>
      </c>
    </row>
    <row r="595" spans="1:14" x14ac:dyDescent="0.2">
      <c r="A595" s="2" t="s">
        <v>901</v>
      </c>
      <c r="B595" s="2" t="s">
        <v>34</v>
      </c>
      <c r="C595" s="2" t="s">
        <v>867</v>
      </c>
      <c r="D595" s="2">
        <v>1020284</v>
      </c>
      <c r="E595" s="2" t="s">
        <v>933</v>
      </c>
      <c r="F595" s="2" t="s">
        <v>96</v>
      </c>
      <c r="G595" s="2" t="s">
        <v>934</v>
      </c>
      <c r="H595" s="7">
        <v>3988.67</v>
      </c>
      <c r="I595">
        <v>25</v>
      </c>
      <c r="J595">
        <v>27</v>
      </c>
      <c r="K595" s="14">
        <v>0.6</v>
      </c>
      <c r="L595" s="7">
        <f t="shared" si="18"/>
        <v>2393.2019999999998</v>
      </c>
      <c r="M595" s="14">
        <v>0.72</v>
      </c>
      <c r="N595" s="7">
        <f t="shared" si="19"/>
        <v>2871.8424</v>
      </c>
    </row>
    <row r="596" spans="1:14" x14ac:dyDescent="0.2">
      <c r="A596" s="2" t="s">
        <v>901</v>
      </c>
      <c r="B596" s="2" t="s">
        <v>34</v>
      </c>
      <c r="C596" s="2" t="s">
        <v>867</v>
      </c>
      <c r="D596" s="2">
        <v>1020326</v>
      </c>
      <c r="E596" s="2" t="s">
        <v>935</v>
      </c>
      <c r="F596" s="2" t="s">
        <v>39</v>
      </c>
      <c r="G596" s="2" t="s">
        <v>936</v>
      </c>
      <c r="H596" s="7">
        <v>144600</v>
      </c>
      <c r="I596">
        <v>25</v>
      </c>
      <c r="J596">
        <v>27</v>
      </c>
      <c r="K596" s="14">
        <v>0.6</v>
      </c>
      <c r="L596" s="7">
        <f t="shared" si="18"/>
        <v>86760</v>
      </c>
      <c r="M596" s="14">
        <v>0.72</v>
      </c>
      <c r="N596" s="7">
        <f t="shared" si="19"/>
        <v>104112</v>
      </c>
    </row>
    <row r="597" spans="1:14" x14ac:dyDescent="0.2">
      <c r="A597" s="2" t="s">
        <v>901</v>
      </c>
      <c r="B597" s="2" t="s">
        <v>34</v>
      </c>
      <c r="C597" s="2" t="s">
        <v>867</v>
      </c>
      <c r="D597" s="2">
        <v>1020589</v>
      </c>
      <c r="E597" s="2" t="s">
        <v>872</v>
      </c>
      <c r="F597" s="2" t="s">
        <v>43</v>
      </c>
      <c r="G597" s="2" t="s">
        <v>873</v>
      </c>
      <c r="H597" s="7">
        <v>17664.18</v>
      </c>
      <c r="I597">
        <v>25</v>
      </c>
      <c r="J597">
        <v>27</v>
      </c>
      <c r="K597" s="14">
        <v>0.6</v>
      </c>
      <c r="L597" s="7">
        <f t="shared" si="18"/>
        <v>10598.508</v>
      </c>
      <c r="M597" s="14">
        <v>0.72</v>
      </c>
      <c r="N597" s="7">
        <f t="shared" si="19"/>
        <v>12718.2096</v>
      </c>
    </row>
    <row r="598" spans="1:14" x14ac:dyDescent="0.2">
      <c r="A598" s="2" t="s">
        <v>901</v>
      </c>
      <c r="B598" s="2" t="s">
        <v>34</v>
      </c>
      <c r="C598" s="2" t="s">
        <v>867</v>
      </c>
      <c r="D598" s="2">
        <v>1020592</v>
      </c>
      <c r="E598" s="2" t="s">
        <v>874</v>
      </c>
      <c r="F598" s="2" t="s">
        <v>43</v>
      </c>
      <c r="G598" s="2" t="s">
        <v>875</v>
      </c>
      <c r="H598" s="7">
        <v>19816.452000000001</v>
      </c>
      <c r="I598">
        <v>25</v>
      </c>
      <c r="J598">
        <v>27</v>
      </c>
      <c r="K598" s="14">
        <v>0.6</v>
      </c>
      <c r="L598" s="7">
        <f t="shared" si="18"/>
        <v>11889.8712</v>
      </c>
      <c r="M598" s="14">
        <v>0.72</v>
      </c>
      <c r="N598" s="7">
        <f t="shared" si="19"/>
        <v>14267.845440000001</v>
      </c>
    </row>
    <row r="599" spans="1:14" x14ac:dyDescent="0.2">
      <c r="A599" s="2" t="s">
        <v>901</v>
      </c>
      <c r="B599" s="2" t="s">
        <v>34</v>
      </c>
      <c r="C599" s="2" t="s">
        <v>867</v>
      </c>
      <c r="D599" s="2">
        <v>1020637</v>
      </c>
      <c r="E599" s="2" t="s">
        <v>878</v>
      </c>
      <c r="F599" s="2" t="s">
        <v>178</v>
      </c>
      <c r="G599" s="2" t="s">
        <v>879</v>
      </c>
      <c r="H599" s="7">
        <v>30729.486000000001</v>
      </c>
      <c r="I599">
        <v>25</v>
      </c>
      <c r="J599">
        <v>27</v>
      </c>
      <c r="K599" s="14">
        <v>0.6</v>
      </c>
      <c r="L599" s="7">
        <f t="shared" si="18"/>
        <v>18437.691599999998</v>
      </c>
      <c r="M599" s="14">
        <v>0.72</v>
      </c>
      <c r="N599" s="7">
        <f t="shared" si="19"/>
        <v>22125.229919999998</v>
      </c>
    </row>
    <row r="600" spans="1:14" x14ac:dyDescent="0.2">
      <c r="A600" s="2" t="s">
        <v>901</v>
      </c>
      <c r="B600" s="2" t="s">
        <v>34</v>
      </c>
      <c r="C600" s="2" t="s">
        <v>867</v>
      </c>
      <c r="D600" s="2">
        <v>1020665</v>
      </c>
      <c r="E600" s="2" t="s">
        <v>937</v>
      </c>
      <c r="F600" s="2" t="s">
        <v>96</v>
      </c>
      <c r="G600" s="2" t="s">
        <v>938</v>
      </c>
      <c r="H600" s="7">
        <v>5010.7160000000003</v>
      </c>
      <c r="I600">
        <v>25</v>
      </c>
      <c r="J600">
        <v>27</v>
      </c>
      <c r="K600" s="14">
        <v>0.6</v>
      </c>
      <c r="L600" s="7">
        <f t="shared" si="18"/>
        <v>3006.4295999999999</v>
      </c>
      <c r="M600" s="14">
        <v>0.72</v>
      </c>
      <c r="N600" s="7">
        <f t="shared" si="19"/>
        <v>3607.7155200000002</v>
      </c>
    </row>
    <row r="601" spans="1:14" x14ac:dyDescent="0.2">
      <c r="A601" s="2" t="s">
        <v>901</v>
      </c>
      <c r="B601" s="2" t="s">
        <v>34</v>
      </c>
      <c r="C601" s="2" t="s">
        <v>867</v>
      </c>
      <c r="D601" s="2">
        <v>1020758</v>
      </c>
      <c r="E601" s="2" t="s">
        <v>939</v>
      </c>
      <c r="F601" s="2" t="s">
        <v>43</v>
      </c>
      <c r="G601" s="2" t="s">
        <v>940</v>
      </c>
      <c r="H601" s="7">
        <v>3829.6419999999998</v>
      </c>
      <c r="I601">
        <v>25</v>
      </c>
      <c r="J601">
        <v>27</v>
      </c>
      <c r="K601" s="14">
        <v>0.6</v>
      </c>
      <c r="L601" s="7">
        <f t="shared" si="18"/>
        <v>2297.7851999999998</v>
      </c>
      <c r="M601" s="14">
        <v>0.72</v>
      </c>
      <c r="N601" s="7">
        <f t="shared" si="19"/>
        <v>2757.3422399999999</v>
      </c>
    </row>
    <row r="602" spans="1:14" x14ac:dyDescent="0.2">
      <c r="A602" s="2" t="s">
        <v>901</v>
      </c>
      <c r="B602" s="2" t="s">
        <v>34</v>
      </c>
      <c r="C602" s="2" t="s">
        <v>867</v>
      </c>
      <c r="D602" s="2">
        <v>1020990</v>
      </c>
      <c r="E602" s="2" t="s">
        <v>941</v>
      </c>
      <c r="F602" s="2" t="s">
        <v>96</v>
      </c>
      <c r="G602" s="2" t="s">
        <v>942</v>
      </c>
      <c r="H602" s="7">
        <v>3387.404</v>
      </c>
      <c r="I602">
        <v>25</v>
      </c>
      <c r="J602">
        <v>27</v>
      </c>
      <c r="K602" s="14">
        <v>0.6</v>
      </c>
      <c r="L602" s="7">
        <f t="shared" si="18"/>
        <v>2032.4423999999999</v>
      </c>
      <c r="M602" s="14">
        <v>0.72</v>
      </c>
      <c r="N602" s="7">
        <f t="shared" si="19"/>
        <v>2438.9308799999999</v>
      </c>
    </row>
    <row r="603" spans="1:14" x14ac:dyDescent="0.2">
      <c r="A603" s="2" t="s">
        <v>901</v>
      </c>
      <c r="B603" s="2" t="s">
        <v>34</v>
      </c>
      <c r="C603" s="2" t="s">
        <v>867</v>
      </c>
      <c r="D603" s="2">
        <v>1020991</v>
      </c>
      <c r="E603" s="2" t="s">
        <v>943</v>
      </c>
      <c r="F603" s="2" t="s">
        <v>96</v>
      </c>
      <c r="G603" s="2" t="s">
        <v>944</v>
      </c>
      <c r="H603" s="7">
        <v>2994.4520000000002</v>
      </c>
      <c r="I603">
        <v>25</v>
      </c>
      <c r="J603">
        <v>27</v>
      </c>
      <c r="K603" s="14">
        <v>0.6</v>
      </c>
      <c r="L603" s="7">
        <f t="shared" si="18"/>
        <v>1796.6712</v>
      </c>
      <c r="M603" s="14">
        <v>0.72</v>
      </c>
      <c r="N603" s="7">
        <f t="shared" si="19"/>
        <v>2156.0054399999999</v>
      </c>
    </row>
    <row r="604" spans="1:14" x14ac:dyDescent="0.2">
      <c r="A604" s="2" t="s">
        <v>901</v>
      </c>
      <c r="B604" s="2" t="s">
        <v>34</v>
      </c>
      <c r="C604" s="2" t="s">
        <v>867</v>
      </c>
      <c r="D604" s="2">
        <v>1022313</v>
      </c>
      <c r="E604" s="2" t="s">
        <v>945</v>
      </c>
      <c r="F604" s="2" t="s">
        <v>43</v>
      </c>
      <c r="G604" s="2" t="s">
        <v>946</v>
      </c>
      <c r="H604" s="7">
        <v>4075.3240000000001</v>
      </c>
      <c r="I604">
        <v>25</v>
      </c>
      <c r="J604">
        <v>27</v>
      </c>
      <c r="K604" s="14">
        <v>0.6</v>
      </c>
      <c r="L604" s="7">
        <f t="shared" si="18"/>
        <v>2445.1943999999999</v>
      </c>
      <c r="M604" s="14">
        <v>0.72</v>
      </c>
      <c r="N604" s="7">
        <f t="shared" si="19"/>
        <v>2934.2332799999999</v>
      </c>
    </row>
    <row r="605" spans="1:14" x14ac:dyDescent="0.2">
      <c r="A605" s="2" t="s">
        <v>901</v>
      </c>
      <c r="B605" s="2" t="s">
        <v>34</v>
      </c>
      <c r="C605" s="2" t="s">
        <v>867</v>
      </c>
      <c r="D605" s="2">
        <v>1022346</v>
      </c>
      <c r="E605" s="2" t="s">
        <v>947</v>
      </c>
      <c r="F605" s="2" t="s">
        <v>39</v>
      </c>
      <c r="G605" s="2" t="s">
        <v>948</v>
      </c>
      <c r="H605" s="7">
        <v>3007.7759999999998</v>
      </c>
      <c r="I605">
        <v>25</v>
      </c>
      <c r="J605">
        <v>27</v>
      </c>
      <c r="K605" s="14">
        <v>0.6</v>
      </c>
      <c r="L605" s="7">
        <f t="shared" si="18"/>
        <v>1804.6655999999998</v>
      </c>
      <c r="M605" s="14">
        <v>0.72</v>
      </c>
      <c r="N605" s="7">
        <f t="shared" si="19"/>
        <v>2165.59872</v>
      </c>
    </row>
    <row r="606" spans="1:14" x14ac:dyDescent="0.2">
      <c r="A606" s="2" t="s">
        <v>901</v>
      </c>
      <c r="B606" s="2" t="s">
        <v>34</v>
      </c>
      <c r="C606" s="2" t="s">
        <v>867</v>
      </c>
      <c r="D606" s="2">
        <v>1022370</v>
      </c>
      <c r="E606" s="2" t="s">
        <v>949</v>
      </c>
      <c r="F606" s="2" t="s">
        <v>43</v>
      </c>
      <c r="G606" s="2" t="s">
        <v>950</v>
      </c>
      <c r="H606" s="7">
        <v>28241.93</v>
      </c>
      <c r="I606">
        <v>25</v>
      </c>
      <c r="J606">
        <v>27</v>
      </c>
      <c r="K606" s="14">
        <v>0.6</v>
      </c>
      <c r="L606" s="7">
        <f t="shared" si="18"/>
        <v>16945.157999999999</v>
      </c>
      <c r="M606" s="14">
        <v>0.72</v>
      </c>
      <c r="N606" s="7">
        <f t="shared" si="19"/>
        <v>20334.189599999998</v>
      </c>
    </row>
    <row r="607" spans="1:14" x14ac:dyDescent="0.2">
      <c r="A607" s="2" t="s">
        <v>901</v>
      </c>
      <c r="B607" s="2" t="s">
        <v>34</v>
      </c>
      <c r="C607" s="2" t="s">
        <v>867</v>
      </c>
      <c r="D607" s="2">
        <v>1022371</v>
      </c>
      <c r="E607" s="2" t="s">
        <v>951</v>
      </c>
      <c r="F607" s="2" t="s">
        <v>178</v>
      </c>
      <c r="G607" s="2" t="s">
        <v>952</v>
      </c>
      <c r="H607" s="7">
        <v>9991.5300000000007</v>
      </c>
      <c r="I607">
        <v>25</v>
      </c>
      <c r="J607">
        <v>27</v>
      </c>
      <c r="K607" s="14">
        <v>0.6</v>
      </c>
      <c r="L607" s="7">
        <f t="shared" si="18"/>
        <v>5994.9180000000006</v>
      </c>
      <c r="M607" s="14">
        <v>0.72</v>
      </c>
      <c r="N607" s="7">
        <f t="shared" si="19"/>
        <v>7193.9016000000001</v>
      </c>
    </row>
    <row r="608" spans="1:14" x14ac:dyDescent="0.2">
      <c r="A608" s="2" t="s">
        <v>901</v>
      </c>
      <c r="B608" s="2" t="s">
        <v>34</v>
      </c>
      <c r="C608" s="2" t="s">
        <v>867</v>
      </c>
      <c r="D608" s="2">
        <v>1022600</v>
      </c>
      <c r="E608" s="2" t="s">
        <v>880</v>
      </c>
      <c r="F608" s="2" t="s">
        <v>43</v>
      </c>
      <c r="G608" s="2" t="s">
        <v>881</v>
      </c>
      <c r="H608" s="7">
        <v>4005.098</v>
      </c>
      <c r="I608">
        <v>25</v>
      </c>
      <c r="J608">
        <v>27</v>
      </c>
      <c r="K608" s="14">
        <v>0.6</v>
      </c>
      <c r="L608" s="7">
        <f t="shared" si="18"/>
        <v>2403.0587999999998</v>
      </c>
      <c r="M608" s="14">
        <v>0.72</v>
      </c>
      <c r="N608" s="7">
        <f t="shared" si="19"/>
        <v>2883.67056</v>
      </c>
    </row>
    <row r="609" spans="1:14" x14ac:dyDescent="0.2">
      <c r="A609" s="2" t="s">
        <v>901</v>
      </c>
      <c r="B609" s="2" t="s">
        <v>34</v>
      </c>
      <c r="C609" s="2" t="s">
        <v>867</v>
      </c>
      <c r="D609" s="2">
        <v>1022664</v>
      </c>
      <c r="E609" s="2" t="s">
        <v>953</v>
      </c>
      <c r="F609" s="2" t="s">
        <v>43</v>
      </c>
      <c r="G609" s="2" t="s">
        <v>954</v>
      </c>
      <c r="H609" s="7">
        <v>60037.99</v>
      </c>
      <c r="I609">
        <v>25</v>
      </c>
      <c r="J609">
        <v>27</v>
      </c>
      <c r="K609" s="14">
        <v>0.6</v>
      </c>
      <c r="L609" s="7">
        <f t="shared" si="18"/>
        <v>36022.793999999994</v>
      </c>
      <c r="M609" s="14">
        <v>0.72</v>
      </c>
      <c r="N609" s="7">
        <f t="shared" si="19"/>
        <v>43227.352800000001</v>
      </c>
    </row>
    <row r="610" spans="1:14" x14ac:dyDescent="0.2">
      <c r="A610" s="2" t="s">
        <v>901</v>
      </c>
      <c r="B610" s="2" t="s">
        <v>34</v>
      </c>
      <c r="C610" s="2" t="s">
        <v>867</v>
      </c>
      <c r="D610" s="2">
        <v>1023350</v>
      </c>
      <c r="E610" s="2" t="s">
        <v>884</v>
      </c>
      <c r="F610" s="2" t="s">
        <v>43</v>
      </c>
      <c r="G610" s="2" t="s">
        <v>885</v>
      </c>
      <c r="H610" s="7">
        <v>12120.951999999999</v>
      </c>
      <c r="I610">
        <v>25</v>
      </c>
      <c r="J610">
        <v>27</v>
      </c>
      <c r="K610" s="14">
        <v>0.6</v>
      </c>
      <c r="L610" s="7">
        <f t="shared" si="18"/>
        <v>7272.5711999999994</v>
      </c>
      <c r="M610" s="14">
        <v>0.72</v>
      </c>
      <c r="N610" s="7">
        <f t="shared" si="19"/>
        <v>8727.0854399999989</v>
      </c>
    </row>
    <row r="611" spans="1:14" x14ac:dyDescent="0.2">
      <c r="A611" s="2" t="s">
        <v>901</v>
      </c>
      <c r="B611" s="2" t="s">
        <v>34</v>
      </c>
      <c r="C611" s="2" t="s">
        <v>867</v>
      </c>
      <c r="D611" s="2">
        <v>1023419</v>
      </c>
      <c r="E611" s="2" t="s">
        <v>955</v>
      </c>
      <c r="F611" s="2" t="s">
        <v>48</v>
      </c>
      <c r="G611" s="2" t="s">
        <v>956</v>
      </c>
      <c r="H611" s="7">
        <v>48000</v>
      </c>
      <c r="I611">
        <v>25</v>
      </c>
      <c r="J611">
        <v>27</v>
      </c>
      <c r="K611" s="14">
        <v>0.6</v>
      </c>
      <c r="L611" s="7">
        <f t="shared" si="18"/>
        <v>28800</v>
      </c>
      <c r="M611" s="14">
        <v>0.72</v>
      </c>
      <c r="N611" s="7">
        <f t="shared" si="19"/>
        <v>34560</v>
      </c>
    </row>
    <row r="612" spans="1:14" x14ac:dyDescent="0.2">
      <c r="A612" s="2" t="s">
        <v>901</v>
      </c>
      <c r="B612" s="2" t="s">
        <v>34</v>
      </c>
      <c r="C612" s="2" t="s">
        <v>957</v>
      </c>
      <c r="D612" s="2">
        <v>1023477</v>
      </c>
      <c r="E612" s="2" t="s">
        <v>769</v>
      </c>
      <c r="F612" s="2" t="s">
        <v>259</v>
      </c>
      <c r="G612" s="2" t="s">
        <v>958</v>
      </c>
      <c r="H612" s="7">
        <v>804360</v>
      </c>
      <c r="I612">
        <v>25</v>
      </c>
      <c r="J612">
        <v>27</v>
      </c>
      <c r="K612" s="14">
        <v>0.6</v>
      </c>
      <c r="L612" s="7">
        <f t="shared" si="18"/>
        <v>482616</v>
      </c>
      <c r="M612" s="14">
        <v>0.72</v>
      </c>
      <c r="N612" s="7">
        <f t="shared" si="19"/>
        <v>579139.19999999995</v>
      </c>
    </row>
    <row r="613" spans="1:14" x14ac:dyDescent="0.2">
      <c r="A613" s="2" t="s">
        <v>901</v>
      </c>
      <c r="B613" s="2" t="s">
        <v>50</v>
      </c>
      <c r="C613" s="2" t="s">
        <v>705</v>
      </c>
      <c r="D613" s="2">
        <v>1030635</v>
      </c>
      <c r="E613" s="2" t="s">
        <v>894</v>
      </c>
      <c r="F613" s="2" t="s">
        <v>54</v>
      </c>
      <c r="G613" s="2" t="s">
        <v>959</v>
      </c>
      <c r="H613" s="7">
        <v>88000</v>
      </c>
      <c r="I613">
        <v>25</v>
      </c>
      <c r="J613">
        <v>27</v>
      </c>
      <c r="K613" s="14">
        <v>0.6</v>
      </c>
      <c r="L613" s="7">
        <f t="shared" si="18"/>
        <v>52800</v>
      </c>
      <c r="M613" s="14">
        <v>0.72</v>
      </c>
      <c r="N613" s="7">
        <f t="shared" si="19"/>
        <v>63360</v>
      </c>
    </row>
    <row r="614" spans="1:14" x14ac:dyDescent="0.2">
      <c r="A614" s="2" t="s">
        <v>901</v>
      </c>
      <c r="B614" s="2" t="s">
        <v>50</v>
      </c>
      <c r="C614" s="2" t="s">
        <v>52</v>
      </c>
      <c r="D614" s="2">
        <v>1030228</v>
      </c>
      <c r="E614" s="2" t="s">
        <v>206</v>
      </c>
      <c r="F614" s="2" t="s">
        <v>207</v>
      </c>
      <c r="G614" s="2" t="s">
        <v>205</v>
      </c>
      <c r="H614" s="7">
        <v>100735.488</v>
      </c>
      <c r="I614">
        <v>25</v>
      </c>
      <c r="J614">
        <v>27</v>
      </c>
      <c r="K614" s="14">
        <v>0.6</v>
      </c>
      <c r="L614" s="7">
        <f t="shared" si="18"/>
        <v>60441.292799999996</v>
      </c>
      <c r="M614" s="14">
        <v>0.72</v>
      </c>
      <c r="N614" s="7">
        <f t="shared" si="19"/>
        <v>72529.551359999998</v>
      </c>
    </row>
    <row r="615" spans="1:14" x14ac:dyDescent="0.2">
      <c r="A615" s="2" t="s">
        <v>901</v>
      </c>
      <c r="B615" s="2" t="s">
        <v>50</v>
      </c>
      <c r="C615" s="2" t="s">
        <v>52</v>
      </c>
      <c r="D615" s="2">
        <v>1030321</v>
      </c>
      <c r="E615" s="2" t="s">
        <v>350</v>
      </c>
      <c r="F615" s="2" t="s">
        <v>132</v>
      </c>
      <c r="G615" s="2" t="s">
        <v>349</v>
      </c>
      <c r="H615" s="7">
        <v>32600.576000000001</v>
      </c>
      <c r="I615">
        <v>25</v>
      </c>
      <c r="J615">
        <v>27</v>
      </c>
      <c r="K615" s="14">
        <v>0.6</v>
      </c>
      <c r="L615" s="7">
        <f t="shared" si="18"/>
        <v>19560.345600000001</v>
      </c>
      <c r="M615" s="14">
        <v>0.72</v>
      </c>
      <c r="N615" s="7">
        <f t="shared" si="19"/>
        <v>23472.414720000001</v>
      </c>
    </row>
    <row r="616" spans="1:14" x14ac:dyDescent="0.2">
      <c r="A616" s="2" t="s">
        <v>901</v>
      </c>
      <c r="B616" s="2" t="s">
        <v>50</v>
      </c>
      <c r="C616" s="2" t="s">
        <v>52</v>
      </c>
      <c r="D616" s="2">
        <v>1030360</v>
      </c>
      <c r="E616" s="2" t="s">
        <v>352</v>
      </c>
      <c r="F616" s="2" t="s">
        <v>132</v>
      </c>
      <c r="G616" s="2" t="s">
        <v>351</v>
      </c>
      <c r="H616" s="7">
        <v>12326.987999999999</v>
      </c>
      <c r="I616">
        <v>25</v>
      </c>
      <c r="J616">
        <v>27</v>
      </c>
      <c r="K616" s="14">
        <v>0.6</v>
      </c>
      <c r="L616" s="7">
        <f t="shared" si="18"/>
        <v>7396.1927999999989</v>
      </c>
      <c r="M616" s="14">
        <v>0.72</v>
      </c>
      <c r="N616" s="7">
        <f t="shared" si="19"/>
        <v>8875.4313599999987</v>
      </c>
    </row>
    <row r="617" spans="1:14" x14ac:dyDescent="0.2">
      <c r="A617" s="2" t="s">
        <v>901</v>
      </c>
      <c r="B617" s="2" t="s">
        <v>50</v>
      </c>
      <c r="C617" s="2" t="s">
        <v>52</v>
      </c>
      <c r="D617" s="2">
        <v>1030366</v>
      </c>
      <c r="E617" s="2" t="s">
        <v>354</v>
      </c>
      <c r="F617" s="2" t="s">
        <v>132</v>
      </c>
      <c r="G617" s="2" t="s">
        <v>353</v>
      </c>
      <c r="H617" s="7">
        <v>0</v>
      </c>
      <c r="I617">
        <v>25</v>
      </c>
      <c r="J617">
        <v>27</v>
      </c>
      <c r="K617" s="14">
        <v>0.6</v>
      </c>
      <c r="L617" s="7">
        <f t="shared" si="18"/>
        <v>0</v>
      </c>
      <c r="M617" s="14">
        <v>0.72</v>
      </c>
      <c r="N617" s="7">
        <f t="shared" si="19"/>
        <v>0</v>
      </c>
    </row>
    <row r="618" spans="1:14" x14ac:dyDescent="0.2">
      <c r="A618" s="2" t="s">
        <v>901</v>
      </c>
      <c r="B618" s="2" t="s">
        <v>50</v>
      </c>
      <c r="C618" s="2" t="s">
        <v>52</v>
      </c>
      <c r="D618" s="2">
        <v>1030370</v>
      </c>
      <c r="E618" s="2" t="s">
        <v>356</v>
      </c>
      <c r="F618" s="2" t="s">
        <v>181</v>
      </c>
      <c r="G618" s="2" t="s">
        <v>355</v>
      </c>
      <c r="H618" s="7">
        <v>0</v>
      </c>
      <c r="I618">
        <v>25</v>
      </c>
      <c r="J618">
        <v>27</v>
      </c>
      <c r="K618" s="14">
        <v>0.6</v>
      </c>
      <c r="L618" s="7">
        <f t="shared" si="18"/>
        <v>0</v>
      </c>
      <c r="M618" s="14">
        <v>0.72</v>
      </c>
      <c r="N618" s="7">
        <f t="shared" si="19"/>
        <v>0</v>
      </c>
    </row>
    <row r="619" spans="1:14" x14ac:dyDescent="0.2">
      <c r="A619" s="2" t="s">
        <v>901</v>
      </c>
      <c r="B619" s="2" t="s">
        <v>50</v>
      </c>
      <c r="C619" s="2" t="s">
        <v>52</v>
      </c>
      <c r="D619" s="2">
        <v>1030379</v>
      </c>
      <c r="E619" s="2" t="s">
        <v>98</v>
      </c>
      <c r="F619" s="2" t="s">
        <v>79</v>
      </c>
      <c r="G619" s="2" t="s">
        <v>97</v>
      </c>
      <c r="H619" s="7">
        <v>379343.68</v>
      </c>
      <c r="I619">
        <v>25</v>
      </c>
      <c r="J619">
        <v>27</v>
      </c>
      <c r="K619" s="14">
        <v>0.6</v>
      </c>
      <c r="L619" s="7">
        <f t="shared" si="18"/>
        <v>227606.20799999998</v>
      </c>
      <c r="M619" s="14">
        <v>0.72</v>
      </c>
      <c r="N619" s="7">
        <f t="shared" si="19"/>
        <v>273127.44959999999</v>
      </c>
    </row>
    <row r="620" spans="1:14" x14ac:dyDescent="0.2">
      <c r="A620" s="2" t="s">
        <v>901</v>
      </c>
      <c r="B620" s="2" t="s">
        <v>50</v>
      </c>
      <c r="C620" s="2" t="s">
        <v>52</v>
      </c>
      <c r="D620" s="2">
        <v>1030424</v>
      </c>
      <c r="E620" s="2" t="s">
        <v>360</v>
      </c>
      <c r="F620" s="2" t="s">
        <v>79</v>
      </c>
      <c r="G620" s="2" t="s">
        <v>359</v>
      </c>
      <c r="H620" s="7">
        <v>0</v>
      </c>
      <c r="I620">
        <v>25</v>
      </c>
      <c r="J620">
        <v>27</v>
      </c>
      <c r="K620" s="14">
        <v>0.6</v>
      </c>
      <c r="L620" s="7">
        <f t="shared" si="18"/>
        <v>0</v>
      </c>
      <c r="M620" s="14">
        <v>0.72</v>
      </c>
      <c r="N620" s="7">
        <f t="shared" si="19"/>
        <v>0</v>
      </c>
    </row>
    <row r="621" spans="1:14" x14ac:dyDescent="0.2">
      <c r="A621" s="2" t="s">
        <v>901</v>
      </c>
      <c r="B621" s="2" t="s">
        <v>50</v>
      </c>
      <c r="C621" s="2" t="s">
        <v>52</v>
      </c>
      <c r="D621" s="2">
        <v>1030452</v>
      </c>
      <c r="E621" s="2" t="s">
        <v>78</v>
      </c>
      <c r="F621" s="2" t="s">
        <v>79</v>
      </c>
      <c r="G621" s="2" t="s">
        <v>77</v>
      </c>
      <c r="H621" s="7">
        <v>0</v>
      </c>
      <c r="I621">
        <v>25</v>
      </c>
      <c r="J621">
        <v>27</v>
      </c>
      <c r="K621" s="14">
        <v>0.6</v>
      </c>
      <c r="L621" s="7">
        <f t="shared" si="18"/>
        <v>0</v>
      </c>
      <c r="M621" s="14">
        <v>0.72</v>
      </c>
      <c r="N621" s="7">
        <f t="shared" si="19"/>
        <v>0</v>
      </c>
    </row>
    <row r="622" spans="1:14" x14ac:dyDescent="0.2">
      <c r="A622" s="2" t="s">
        <v>901</v>
      </c>
      <c r="B622" s="2" t="s">
        <v>50</v>
      </c>
      <c r="C622" s="2" t="s">
        <v>52</v>
      </c>
      <c r="D622" s="2">
        <v>1030461</v>
      </c>
      <c r="E622" s="2" t="s">
        <v>129</v>
      </c>
      <c r="F622" s="2" t="s">
        <v>79</v>
      </c>
      <c r="G622" s="2" t="s">
        <v>128</v>
      </c>
      <c r="H622" s="7">
        <v>84043.956000000006</v>
      </c>
      <c r="I622">
        <v>25</v>
      </c>
      <c r="J622">
        <v>27</v>
      </c>
      <c r="K622" s="14">
        <v>0.6</v>
      </c>
      <c r="L622" s="7">
        <f t="shared" si="18"/>
        <v>50426.373599999999</v>
      </c>
      <c r="M622" s="14">
        <v>0.72</v>
      </c>
      <c r="N622" s="7">
        <f t="shared" si="19"/>
        <v>60511.64832</v>
      </c>
    </row>
    <row r="623" spans="1:14" x14ac:dyDescent="0.2">
      <c r="A623" s="2" t="s">
        <v>901</v>
      </c>
      <c r="B623" s="2" t="s">
        <v>50</v>
      </c>
      <c r="C623" s="2" t="s">
        <v>52</v>
      </c>
      <c r="D623" s="2">
        <v>1030520</v>
      </c>
      <c r="E623" s="2" t="s">
        <v>960</v>
      </c>
      <c r="F623" s="2" t="s">
        <v>79</v>
      </c>
      <c r="G623" s="2" t="s">
        <v>961</v>
      </c>
      <c r="H623" s="7">
        <v>95996.88</v>
      </c>
      <c r="I623">
        <v>25</v>
      </c>
      <c r="J623">
        <v>27</v>
      </c>
      <c r="K623" s="14">
        <v>0.6</v>
      </c>
      <c r="L623" s="7">
        <f t="shared" si="18"/>
        <v>57598.128000000004</v>
      </c>
      <c r="M623" s="14">
        <v>0.72</v>
      </c>
      <c r="N623" s="7">
        <f t="shared" si="19"/>
        <v>69117.753599999996</v>
      </c>
    </row>
    <row r="624" spans="1:14" x14ac:dyDescent="0.2">
      <c r="A624" s="2" t="s">
        <v>901</v>
      </c>
      <c r="B624" s="2" t="s">
        <v>50</v>
      </c>
      <c r="C624" s="2" t="s">
        <v>52</v>
      </c>
      <c r="D624" s="2">
        <v>1030735</v>
      </c>
      <c r="E624" s="2" t="s">
        <v>362</v>
      </c>
      <c r="F624" s="2" t="s">
        <v>54</v>
      </c>
      <c r="G624" s="2" t="s">
        <v>361</v>
      </c>
      <c r="H624" s="7">
        <v>0</v>
      </c>
      <c r="I624">
        <v>25</v>
      </c>
      <c r="J624">
        <v>27</v>
      </c>
      <c r="K624" s="14">
        <v>0.6</v>
      </c>
      <c r="L624" s="7">
        <f t="shared" si="18"/>
        <v>0</v>
      </c>
      <c r="M624" s="14">
        <v>0.72</v>
      </c>
      <c r="N624" s="7">
        <f t="shared" si="19"/>
        <v>0</v>
      </c>
    </row>
    <row r="625" spans="1:14" x14ac:dyDescent="0.2">
      <c r="A625" s="2" t="s">
        <v>901</v>
      </c>
      <c r="B625" s="2" t="s">
        <v>50</v>
      </c>
      <c r="C625" s="2" t="s">
        <v>52</v>
      </c>
      <c r="D625" s="2">
        <v>1030782</v>
      </c>
      <c r="E625" s="2" t="s">
        <v>81</v>
      </c>
      <c r="F625" s="2" t="s">
        <v>79</v>
      </c>
      <c r="G625" s="2" t="s">
        <v>80</v>
      </c>
      <c r="H625" s="7">
        <v>0</v>
      </c>
      <c r="I625">
        <v>25</v>
      </c>
      <c r="J625">
        <v>27</v>
      </c>
      <c r="K625" s="14">
        <v>0.6</v>
      </c>
      <c r="L625" s="7">
        <f t="shared" si="18"/>
        <v>0</v>
      </c>
      <c r="M625" s="14">
        <v>0.72</v>
      </c>
      <c r="N625" s="7">
        <f t="shared" si="19"/>
        <v>0</v>
      </c>
    </row>
    <row r="626" spans="1:14" x14ac:dyDescent="0.2">
      <c r="A626" s="2" t="s">
        <v>901</v>
      </c>
      <c r="B626" s="2" t="s">
        <v>50</v>
      </c>
      <c r="C626" s="2" t="s">
        <v>52</v>
      </c>
      <c r="D626" s="2">
        <v>1030785</v>
      </c>
      <c r="E626" s="2" t="s">
        <v>366</v>
      </c>
      <c r="F626" s="2" t="s">
        <v>132</v>
      </c>
      <c r="G626" s="2" t="s">
        <v>365</v>
      </c>
      <c r="H626" s="7">
        <v>0</v>
      </c>
      <c r="I626">
        <v>25</v>
      </c>
      <c r="J626">
        <v>27</v>
      </c>
      <c r="K626" s="14">
        <v>0.6</v>
      </c>
      <c r="L626" s="7">
        <f t="shared" si="18"/>
        <v>0</v>
      </c>
      <c r="M626" s="14">
        <v>0.72</v>
      </c>
      <c r="N626" s="7">
        <f t="shared" si="19"/>
        <v>0</v>
      </c>
    </row>
    <row r="627" spans="1:14" x14ac:dyDescent="0.2">
      <c r="A627" s="2" t="s">
        <v>901</v>
      </c>
      <c r="B627" s="2" t="s">
        <v>50</v>
      </c>
      <c r="C627" s="2" t="s">
        <v>52</v>
      </c>
      <c r="D627" s="2">
        <v>1030818</v>
      </c>
      <c r="E627" s="2" t="s">
        <v>134</v>
      </c>
      <c r="F627" s="2" t="s">
        <v>79</v>
      </c>
      <c r="G627" s="2" t="s">
        <v>133</v>
      </c>
      <c r="H627" s="7">
        <v>0</v>
      </c>
      <c r="I627">
        <v>25</v>
      </c>
      <c r="J627">
        <v>27</v>
      </c>
      <c r="K627" s="14">
        <v>0.6</v>
      </c>
      <c r="L627" s="7">
        <f t="shared" si="18"/>
        <v>0</v>
      </c>
      <c r="M627" s="14">
        <v>0.72</v>
      </c>
      <c r="N627" s="7">
        <f t="shared" si="19"/>
        <v>0</v>
      </c>
    </row>
    <row r="628" spans="1:14" x14ac:dyDescent="0.2">
      <c r="A628" s="2" t="s">
        <v>901</v>
      </c>
      <c r="B628" s="2" t="s">
        <v>50</v>
      </c>
      <c r="C628" s="2" t="s">
        <v>52</v>
      </c>
      <c r="D628" s="2">
        <v>1030837</v>
      </c>
      <c r="E628" s="2" t="s">
        <v>888</v>
      </c>
      <c r="F628" s="2" t="s">
        <v>79</v>
      </c>
      <c r="G628" s="2" t="s">
        <v>408</v>
      </c>
      <c r="H628" s="7">
        <v>0</v>
      </c>
      <c r="I628">
        <v>25</v>
      </c>
      <c r="J628">
        <v>27</v>
      </c>
      <c r="K628" s="14">
        <v>0.6</v>
      </c>
      <c r="L628" s="7">
        <f t="shared" si="18"/>
        <v>0</v>
      </c>
      <c r="M628" s="14">
        <v>0.72</v>
      </c>
      <c r="N628" s="7">
        <f t="shared" si="19"/>
        <v>0</v>
      </c>
    </row>
    <row r="629" spans="1:14" x14ac:dyDescent="0.2">
      <c r="A629" s="2" t="s">
        <v>901</v>
      </c>
      <c r="B629" s="2" t="s">
        <v>50</v>
      </c>
      <c r="C629" s="2" t="s">
        <v>52</v>
      </c>
      <c r="D629" s="2">
        <v>1030838</v>
      </c>
      <c r="E629" s="2" t="s">
        <v>962</v>
      </c>
      <c r="F629" s="2" t="s">
        <v>79</v>
      </c>
      <c r="G629" s="2" t="s">
        <v>516</v>
      </c>
      <c r="H629" s="7">
        <v>0</v>
      </c>
      <c r="I629">
        <v>25</v>
      </c>
      <c r="J629">
        <v>27</v>
      </c>
      <c r="K629" s="14">
        <v>0.6</v>
      </c>
      <c r="L629" s="7">
        <f t="shared" si="18"/>
        <v>0</v>
      </c>
      <c r="M629" s="14">
        <v>0.72</v>
      </c>
      <c r="N629" s="7">
        <f t="shared" si="19"/>
        <v>0</v>
      </c>
    </row>
    <row r="630" spans="1:14" x14ac:dyDescent="0.2">
      <c r="A630" s="2" t="s">
        <v>901</v>
      </c>
      <c r="B630" s="2" t="s">
        <v>50</v>
      </c>
      <c r="C630" s="2" t="s">
        <v>226</v>
      </c>
      <c r="D630" s="2">
        <v>1030224</v>
      </c>
      <c r="E630" s="2" t="s">
        <v>380</v>
      </c>
      <c r="F630" s="2" t="s">
        <v>214</v>
      </c>
      <c r="G630" s="2" t="s">
        <v>527</v>
      </c>
      <c r="H630" s="7">
        <v>190826.61600000001</v>
      </c>
      <c r="I630">
        <v>25</v>
      </c>
      <c r="J630">
        <v>27</v>
      </c>
      <c r="K630" s="14">
        <v>0.6</v>
      </c>
      <c r="L630" s="7">
        <f t="shared" si="18"/>
        <v>114495.9696</v>
      </c>
      <c r="M630" s="14">
        <v>0.72</v>
      </c>
      <c r="N630" s="7">
        <f t="shared" si="19"/>
        <v>137395.16352</v>
      </c>
    </row>
    <row r="631" spans="1:14" x14ac:dyDescent="0.2">
      <c r="A631" s="2" t="s">
        <v>901</v>
      </c>
      <c r="B631" s="2" t="s">
        <v>50</v>
      </c>
      <c r="C631" s="2" t="s">
        <v>226</v>
      </c>
      <c r="D631" s="2">
        <v>1030265</v>
      </c>
      <c r="E631" s="2" t="s">
        <v>368</v>
      </c>
      <c r="F631" s="2" t="s">
        <v>79</v>
      </c>
      <c r="G631" s="2" t="s">
        <v>367</v>
      </c>
      <c r="H631" s="7">
        <v>0</v>
      </c>
      <c r="I631">
        <v>25</v>
      </c>
      <c r="J631">
        <v>27</v>
      </c>
      <c r="K631" s="14">
        <v>0.6</v>
      </c>
      <c r="L631" s="7">
        <f t="shared" si="18"/>
        <v>0</v>
      </c>
      <c r="M631" s="14">
        <v>0.72</v>
      </c>
      <c r="N631" s="7">
        <f t="shared" si="19"/>
        <v>0</v>
      </c>
    </row>
    <row r="632" spans="1:14" x14ac:dyDescent="0.2">
      <c r="A632" s="2" t="s">
        <v>901</v>
      </c>
      <c r="B632" s="2" t="s">
        <v>50</v>
      </c>
      <c r="C632" s="2" t="s">
        <v>226</v>
      </c>
      <c r="D632" s="2">
        <v>1030279</v>
      </c>
      <c r="E632" s="2" t="s">
        <v>889</v>
      </c>
      <c r="F632" s="2" t="s">
        <v>207</v>
      </c>
      <c r="G632" s="2" t="s">
        <v>461</v>
      </c>
      <c r="H632" s="7">
        <v>86400</v>
      </c>
      <c r="I632">
        <v>25</v>
      </c>
      <c r="J632">
        <v>27</v>
      </c>
      <c r="K632" s="14">
        <v>0.6</v>
      </c>
      <c r="L632" s="7">
        <f t="shared" si="18"/>
        <v>51840</v>
      </c>
      <c r="M632" s="14">
        <v>0.72</v>
      </c>
      <c r="N632" s="7">
        <f t="shared" si="19"/>
        <v>62208</v>
      </c>
    </row>
    <row r="633" spans="1:14" x14ac:dyDescent="0.2">
      <c r="A633" s="2" t="s">
        <v>901</v>
      </c>
      <c r="B633" s="2" t="s">
        <v>50</v>
      </c>
      <c r="C633" s="2" t="s">
        <v>226</v>
      </c>
      <c r="D633" s="2">
        <v>1030355</v>
      </c>
      <c r="E633" s="2" t="s">
        <v>890</v>
      </c>
      <c r="F633" s="2" t="s">
        <v>891</v>
      </c>
      <c r="G633" s="2" t="s">
        <v>385</v>
      </c>
      <c r="H633" s="7">
        <v>96000</v>
      </c>
      <c r="I633">
        <v>25</v>
      </c>
      <c r="J633">
        <v>27</v>
      </c>
      <c r="K633" s="14">
        <v>0.6</v>
      </c>
      <c r="L633" s="7">
        <f t="shared" si="18"/>
        <v>57600</v>
      </c>
      <c r="M633" s="14">
        <v>0.72</v>
      </c>
      <c r="N633" s="7">
        <f t="shared" si="19"/>
        <v>69120</v>
      </c>
    </row>
    <row r="634" spans="1:14" x14ac:dyDescent="0.2">
      <c r="A634" s="2" t="s">
        <v>901</v>
      </c>
      <c r="B634" s="2" t="s">
        <v>50</v>
      </c>
      <c r="C634" s="2" t="s">
        <v>150</v>
      </c>
      <c r="D634" s="2">
        <v>1030337</v>
      </c>
      <c r="E634" s="2" t="s">
        <v>370</v>
      </c>
      <c r="F634" s="2" t="s">
        <v>79</v>
      </c>
      <c r="G634" s="2" t="s">
        <v>369</v>
      </c>
      <c r="H634" s="7">
        <v>334200</v>
      </c>
      <c r="I634">
        <v>23</v>
      </c>
      <c r="J634">
        <v>27</v>
      </c>
      <c r="K634" s="14">
        <v>0.56521739130434778</v>
      </c>
      <c r="L634" s="7">
        <f t="shared" si="18"/>
        <v>188895.65217391303</v>
      </c>
      <c r="M634" s="14">
        <v>0.69565217391304346</v>
      </c>
      <c r="N634" s="7">
        <f t="shared" si="19"/>
        <v>232486.95652173914</v>
      </c>
    </row>
    <row r="635" spans="1:14" x14ac:dyDescent="0.2">
      <c r="A635" s="2" t="s">
        <v>901</v>
      </c>
      <c r="B635" s="2" t="s">
        <v>50</v>
      </c>
      <c r="C635" s="2" t="s">
        <v>150</v>
      </c>
      <c r="D635" s="2">
        <v>1030658</v>
      </c>
      <c r="E635" s="2" t="s">
        <v>372</v>
      </c>
      <c r="F635" s="2" t="s">
        <v>207</v>
      </c>
      <c r="G635" s="2" t="s">
        <v>371</v>
      </c>
      <c r="H635" s="7">
        <v>96069.440000000002</v>
      </c>
      <c r="I635">
        <v>23</v>
      </c>
      <c r="J635">
        <v>27</v>
      </c>
      <c r="K635" s="14">
        <v>0.56521739130434778</v>
      </c>
      <c r="L635" s="7">
        <f t="shared" si="18"/>
        <v>54300.11826086956</v>
      </c>
      <c r="M635" s="14">
        <v>0.69565217391304346</v>
      </c>
      <c r="N635" s="7">
        <f t="shared" si="19"/>
        <v>66830.914782608699</v>
      </c>
    </row>
    <row r="636" spans="1:14" x14ac:dyDescent="0.2">
      <c r="A636" s="2" t="s">
        <v>901</v>
      </c>
      <c r="B636" s="2" t="s">
        <v>50</v>
      </c>
      <c r="C636" s="2" t="s">
        <v>150</v>
      </c>
      <c r="D636" s="2">
        <v>1030792</v>
      </c>
      <c r="E636" s="2" t="s">
        <v>374</v>
      </c>
      <c r="F636" s="2" t="s">
        <v>79</v>
      </c>
      <c r="G636" s="2" t="s">
        <v>373</v>
      </c>
      <c r="H636" s="7">
        <v>0</v>
      </c>
      <c r="I636">
        <v>23</v>
      </c>
      <c r="J636">
        <v>27</v>
      </c>
      <c r="K636" s="14">
        <v>0.56521739130434778</v>
      </c>
      <c r="L636" s="7">
        <f t="shared" si="18"/>
        <v>0</v>
      </c>
      <c r="M636" s="14">
        <v>0.69565217391304346</v>
      </c>
      <c r="N636" s="7">
        <f t="shared" si="19"/>
        <v>0</v>
      </c>
    </row>
    <row r="637" spans="1:14" x14ac:dyDescent="0.2">
      <c r="A637" s="2" t="s">
        <v>901</v>
      </c>
      <c r="B637" s="2" t="s">
        <v>50</v>
      </c>
      <c r="C637" s="2" t="s">
        <v>150</v>
      </c>
      <c r="D637" s="2">
        <v>1030802</v>
      </c>
      <c r="E637" s="2" t="s">
        <v>895</v>
      </c>
      <c r="F637" s="2" t="s">
        <v>710</v>
      </c>
      <c r="G637" s="2" t="s">
        <v>492</v>
      </c>
      <c r="H637" s="7">
        <v>119763.97900000001</v>
      </c>
      <c r="I637">
        <v>23</v>
      </c>
      <c r="J637">
        <v>27</v>
      </c>
      <c r="K637" s="14">
        <v>0.56521739130434778</v>
      </c>
      <c r="L637" s="7">
        <f t="shared" si="18"/>
        <v>67692.683782608699</v>
      </c>
      <c r="M637" s="14">
        <v>0.69565217391304346</v>
      </c>
      <c r="N637" s="7">
        <f t="shared" si="19"/>
        <v>83314.072347826092</v>
      </c>
    </row>
    <row r="638" spans="1:14" x14ac:dyDescent="0.2">
      <c r="A638" s="2" t="s">
        <v>901</v>
      </c>
      <c r="B638" s="2" t="s">
        <v>50</v>
      </c>
      <c r="C638" s="2" t="s">
        <v>150</v>
      </c>
      <c r="D638" s="2">
        <v>1030810</v>
      </c>
      <c r="E638" s="2" t="s">
        <v>376</v>
      </c>
      <c r="F638" s="2" t="s">
        <v>214</v>
      </c>
      <c r="G638" s="2" t="s">
        <v>375</v>
      </c>
      <c r="H638" s="7">
        <v>0</v>
      </c>
      <c r="I638">
        <v>23</v>
      </c>
      <c r="J638">
        <v>27</v>
      </c>
      <c r="K638" s="14">
        <v>0.56521739130434778</v>
      </c>
      <c r="L638" s="7">
        <f t="shared" si="18"/>
        <v>0</v>
      </c>
      <c r="M638" s="14">
        <v>0.69565217391304346</v>
      </c>
      <c r="N638" s="7">
        <f t="shared" si="19"/>
        <v>0</v>
      </c>
    </row>
    <row r="639" spans="1:14" x14ac:dyDescent="0.2">
      <c r="A639" s="2" t="s">
        <v>901</v>
      </c>
      <c r="B639" s="2" t="s">
        <v>50</v>
      </c>
      <c r="C639" s="2" t="s">
        <v>735</v>
      </c>
      <c r="D639" s="2">
        <v>1030126</v>
      </c>
      <c r="E639" s="2" t="s">
        <v>963</v>
      </c>
      <c r="F639" s="2" t="s">
        <v>964</v>
      </c>
      <c r="G639" s="2" t="s">
        <v>965</v>
      </c>
      <c r="H639" s="7">
        <v>168</v>
      </c>
      <c r="I639">
        <v>25</v>
      </c>
      <c r="J639">
        <v>27</v>
      </c>
      <c r="K639" s="14">
        <v>0.6</v>
      </c>
      <c r="L639" s="7">
        <f t="shared" si="18"/>
        <v>100.8</v>
      </c>
      <c r="M639" s="14">
        <v>0.72</v>
      </c>
      <c r="N639" s="7">
        <f t="shared" si="19"/>
        <v>120.96</v>
      </c>
    </row>
    <row r="640" spans="1:14" x14ac:dyDescent="0.2">
      <c r="A640" s="2" t="s">
        <v>901</v>
      </c>
      <c r="B640" s="2" t="s">
        <v>50</v>
      </c>
      <c r="C640" s="2" t="s">
        <v>735</v>
      </c>
      <c r="D640" s="2">
        <v>1030576</v>
      </c>
      <c r="E640" s="2" t="s">
        <v>966</v>
      </c>
      <c r="F640" s="2" t="s">
        <v>964</v>
      </c>
      <c r="G640" s="2" t="s">
        <v>967</v>
      </c>
      <c r="H640" s="7">
        <v>202.12799999999999</v>
      </c>
      <c r="I640">
        <v>25</v>
      </c>
      <c r="J640">
        <v>27</v>
      </c>
      <c r="K640" s="14">
        <v>0.6</v>
      </c>
      <c r="L640" s="7">
        <f t="shared" si="18"/>
        <v>121.27679999999998</v>
      </c>
      <c r="M640" s="14">
        <v>0.72</v>
      </c>
      <c r="N640" s="7">
        <f t="shared" si="19"/>
        <v>145.53215999999998</v>
      </c>
    </row>
    <row r="641" spans="1:14" x14ac:dyDescent="0.2">
      <c r="A641" s="2" t="s">
        <v>901</v>
      </c>
      <c r="B641" s="2" t="s">
        <v>50</v>
      </c>
      <c r="C641" s="2" t="s">
        <v>735</v>
      </c>
      <c r="D641" s="2">
        <v>1030817</v>
      </c>
      <c r="E641" s="2" t="s">
        <v>380</v>
      </c>
      <c r="F641" s="2" t="s">
        <v>214</v>
      </c>
      <c r="G641" s="2" t="s">
        <v>504</v>
      </c>
      <c r="H641" s="7">
        <v>23999.742999999999</v>
      </c>
      <c r="I641">
        <v>25</v>
      </c>
      <c r="J641">
        <v>27</v>
      </c>
      <c r="K641" s="14">
        <v>0.6</v>
      </c>
      <c r="L641" s="7">
        <f t="shared" si="18"/>
        <v>14399.845799999999</v>
      </c>
      <c r="M641" s="14">
        <v>0.72</v>
      </c>
      <c r="N641" s="7">
        <f t="shared" si="19"/>
        <v>17279.81496</v>
      </c>
    </row>
    <row r="642" spans="1:14" x14ac:dyDescent="0.2">
      <c r="A642" s="2" t="s">
        <v>901</v>
      </c>
      <c r="B642" s="2" t="s">
        <v>50</v>
      </c>
      <c r="C642" s="2" t="s">
        <v>735</v>
      </c>
      <c r="D642" s="2">
        <v>1030821</v>
      </c>
      <c r="E642" s="2" t="s">
        <v>968</v>
      </c>
      <c r="F642" s="2" t="s">
        <v>79</v>
      </c>
      <c r="G642" s="2" t="s">
        <v>601</v>
      </c>
      <c r="H642" s="7">
        <v>95640</v>
      </c>
      <c r="I642">
        <v>25</v>
      </c>
      <c r="J642">
        <v>27</v>
      </c>
      <c r="K642" s="14">
        <v>0.6</v>
      </c>
      <c r="L642" s="7">
        <f t="shared" ref="L642:L705" si="20">K642 * H642</f>
        <v>57384</v>
      </c>
      <c r="M642" s="14">
        <v>0.72</v>
      </c>
      <c r="N642" s="7">
        <f t="shared" ref="N642:N705" si="21">M642 * H642</f>
        <v>68860.800000000003</v>
      </c>
    </row>
    <row r="643" spans="1:14" x14ac:dyDescent="0.2">
      <c r="A643" s="2" t="s">
        <v>901</v>
      </c>
      <c r="B643" s="2" t="s">
        <v>50</v>
      </c>
      <c r="C643" s="2" t="s">
        <v>741</v>
      </c>
      <c r="D643" s="2">
        <v>1030542</v>
      </c>
      <c r="E643" s="2" t="s">
        <v>969</v>
      </c>
      <c r="F643" s="2" t="s">
        <v>79</v>
      </c>
      <c r="G643" s="2" t="s">
        <v>970</v>
      </c>
      <c r="H643" s="7">
        <v>87960</v>
      </c>
      <c r="I643">
        <v>25</v>
      </c>
      <c r="J643">
        <v>27</v>
      </c>
      <c r="K643" s="14">
        <v>0.6</v>
      </c>
      <c r="L643" s="7">
        <f t="shared" si="20"/>
        <v>52776</v>
      </c>
      <c r="M643" s="14">
        <v>0.72</v>
      </c>
      <c r="N643" s="7">
        <f t="shared" si="21"/>
        <v>63331.199999999997</v>
      </c>
    </row>
    <row r="644" spans="1:14" x14ac:dyDescent="0.2">
      <c r="A644" s="2" t="s">
        <v>901</v>
      </c>
      <c r="B644" s="2" t="s">
        <v>50</v>
      </c>
      <c r="C644" s="2" t="s">
        <v>46</v>
      </c>
      <c r="D644" s="2">
        <v>1030388</v>
      </c>
      <c r="E644" s="2" t="s">
        <v>892</v>
      </c>
      <c r="F644" s="2" t="s">
        <v>245</v>
      </c>
      <c r="G644" s="2" t="s">
        <v>896</v>
      </c>
      <c r="H644" s="7">
        <v>384000</v>
      </c>
      <c r="I644">
        <v>25</v>
      </c>
      <c r="J644">
        <v>27</v>
      </c>
      <c r="K644" s="14">
        <v>0.6</v>
      </c>
      <c r="L644" s="7">
        <f t="shared" si="20"/>
        <v>230400</v>
      </c>
      <c r="M644" s="14">
        <v>0.72</v>
      </c>
      <c r="N644" s="7">
        <f t="shared" si="21"/>
        <v>276480</v>
      </c>
    </row>
    <row r="645" spans="1:14" x14ac:dyDescent="0.2">
      <c r="A645" s="2" t="s">
        <v>901</v>
      </c>
      <c r="B645" s="2" t="s">
        <v>50</v>
      </c>
      <c r="C645" s="2" t="s">
        <v>46</v>
      </c>
      <c r="D645" s="2">
        <v>1030506</v>
      </c>
      <c r="E645" s="2" t="s">
        <v>897</v>
      </c>
      <c r="F645" s="2" t="s">
        <v>79</v>
      </c>
      <c r="G645" s="2" t="s">
        <v>506</v>
      </c>
      <c r="H645" s="7">
        <v>96000</v>
      </c>
      <c r="I645">
        <v>25</v>
      </c>
      <c r="J645">
        <v>27</v>
      </c>
      <c r="K645" s="14">
        <v>0.6</v>
      </c>
      <c r="L645" s="7">
        <f t="shared" si="20"/>
        <v>57600</v>
      </c>
      <c r="M645" s="14">
        <v>0.72</v>
      </c>
      <c r="N645" s="7">
        <f t="shared" si="21"/>
        <v>69120</v>
      </c>
    </row>
    <row r="646" spans="1:14" x14ac:dyDescent="0.2">
      <c r="A646" s="2" t="s">
        <v>901</v>
      </c>
      <c r="B646" s="2" t="s">
        <v>50</v>
      </c>
      <c r="C646" s="2" t="s">
        <v>46</v>
      </c>
      <c r="D646" s="2">
        <v>1030525</v>
      </c>
      <c r="E646" s="2" t="s">
        <v>378</v>
      </c>
      <c r="F646" s="2" t="s">
        <v>63</v>
      </c>
      <c r="G646" s="2" t="s">
        <v>377</v>
      </c>
      <c r="H646" s="7">
        <v>96000</v>
      </c>
      <c r="I646">
        <v>25</v>
      </c>
      <c r="J646">
        <v>27</v>
      </c>
      <c r="K646" s="14">
        <v>0.6</v>
      </c>
      <c r="L646" s="7">
        <f t="shared" si="20"/>
        <v>57600</v>
      </c>
      <c r="M646" s="14">
        <v>0.72</v>
      </c>
      <c r="N646" s="7">
        <f t="shared" si="21"/>
        <v>69120</v>
      </c>
    </row>
    <row r="647" spans="1:14" x14ac:dyDescent="0.2">
      <c r="A647" s="2" t="s">
        <v>901</v>
      </c>
      <c r="B647" s="2" t="s">
        <v>50</v>
      </c>
      <c r="C647" s="2" t="s">
        <v>46</v>
      </c>
      <c r="D647" s="2">
        <v>1030566</v>
      </c>
      <c r="E647" s="2" t="s">
        <v>898</v>
      </c>
      <c r="F647" s="2" t="s">
        <v>63</v>
      </c>
      <c r="G647" s="2" t="s">
        <v>439</v>
      </c>
      <c r="H647" s="7">
        <v>0</v>
      </c>
      <c r="I647">
        <v>25</v>
      </c>
      <c r="J647">
        <v>27</v>
      </c>
      <c r="K647" s="14">
        <v>0.6</v>
      </c>
      <c r="L647" s="7">
        <f t="shared" si="20"/>
        <v>0</v>
      </c>
      <c r="M647" s="14">
        <v>0.72</v>
      </c>
      <c r="N647" s="7">
        <f t="shared" si="21"/>
        <v>0</v>
      </c>
    </row>
    <row r="648" spans="1:14" x14ac:dyDescent="0.2">
      <c r="A648" s="2" t="s">
        <v>901</v>
      </c>
      <c r="B648" s="2" t="s">
        <v>50</v>
      </c>
      <c r="C648" s="2" t="s">
        <v>46</v>
      </c>
      <c r="D648" s="2">
        <v>1030683</v>
      </c>
      <c r="E648" s="2" t="s">
        <v>380</v>
      </c>
      <c r="F648" s="2" t="s">
        <v>214</v>
      </c>
      <c r="G648" s="2" t="s">
        <v>379</v>
      </c>
      <c r="H648" s="7">
        <v>188940</v>
      </c>
      <c r="I648">
        <v>25</v>
      </c>
      <c r="J648">
        <v>27</v>
      </c>
      <c r="K648" s="14">
        <v>0.6</v>
      </c>
      <c r="L648" s="7">
        <f t="shared" si="20"/>
        <v>113364</v>
      </c>
      <c r="M648" s="14">
        <v>0.72</v>
      </c>
      <c r="N648" s="7">
        <f t="shared" si="21"/>
        <v>136036.79999999999</v>
      </c>
    </row>
    <row r="649" spans="1:14" x14ac:dyDescent="0.2">
      <c r="A649" s="2" t="s">
        <v>901</v>
      </c>
      <c r="B649" s="2" t="s">
        <v>50</v>
      </c>
      <c r="C649" s="2" t="s">
        <v>46</v>
      </c>
      <c r="D649" s="2">
        <v>1030685</v>
      </c>
      <c r="E649" s="2" t="s">
        <v>899</v>
      </c>
      <c r="F649" s="2" t="s">
        <v>63</v>
      </c>
      <c r="G649" s="2" t="s">
        <v>413</v>
      </c>
      <c r="H649" s="7">
        <v>0</v>
      </c>
      <c r="I649">
        <v>25</v>
      </c>
      <c r="J649">
        <v>27</v>
      </c>
      <c r="K649" s="14">
        <v>0.6</v>
      </c>
      <c r="L649" s="7">
        <f t="shared" si="20"/>
        <v>0</v>
      </c>
      <c r="M649" s="14">
        <v>0.72</v>
      </c>
      <c r="N649" s="7">
        <f t="shared" si="21"/>
        <v>0</v>
      </c>
    </row>
    <row r="650" spans="1:14" x14ac:dyDescent="0.2">
      <c r="A650" s="2" t="s">
        <v>901</v>
      </c>
      <c r="B650" s="2" t="s">
        <v>50</v>
      </c>
      <c r="C650" s="2" t="s">
        <v>46</v>
      </c>
      <c r="D650" s="2">
        <v>1030686</v>
      </c>
      <c r="E650" s="2" t="s">
        <v>382</v>
      </c>
      <c r="F650" s="2" t="s">
        <v>54</v>
      </c>
      <c r="G650" s="2" t="s">
        <v>381</v>
      </c>
      <c r="H650" s="7">
        <v>0</v>
      </c>
      <c r="I650">
        <v>25</v>
      </c>
      <c r="J650">
        <v>27</v>
      </c>
      <c r="K650" s="14">
        <v>0.6</v>
      </c>
      <c r="L650" s="7">
        <f t="shared" si="20"/>
        <v>0</v>
      </c>
      <c r="M650" s="14">
        <v>0.72</v>
      </c>
      <c r="N650" s="7">
        <f t="shared" si="21"/>
        <v>0</v>
      </c>
    </row>
    <row r="651" spans="1:14" x14ac:dyDescent="0.2">
      <c r="A651" s="2" t="s">
        <v>901</v>
      </c>
      <c r="B651" s="2" t="s">
        <v>50</v>
      </c>
      <c r="C651" s="2" t="s">
        <v>46</v>
      </c>
      <c r="D651" s="2">
        <v>1030791</v>
      </c>
      <c r="E651" s="2" t="s">
        <v>213</v>
      </c>
      <c r="F651" s="2" t="s">
        <v>214</v>
      </c>
      <c r="G651" s="2" t="s">
        <v>212</v>
      </c>
      <c r="H651" s="7">
        <v>6360</v>
      </c>
      <c r="I651">
        <v>25</v>
      </c>
      <c r="J651">
        <v>27</v>
      </c>
      <c r="K651" s="14">
        <v>0.6</v>
      </c>
      <c r="L651" s="7">
        <f t="shared" si="20"/>
        <v>3816</v>
      </c>
      <c r="M651" s="14">
        <v>0.72</v>
      </c>
      <c r="N651" s="7">
        <f t="shared" si="21"/>
        <v>4579.2</v>
      </c>
    </row>
    <row r="652" spans="1:14" x14ac:dyDescent="0.2">
      <c r="A652" s="2" t="s">
        <v>901</v>
      </c>
      <c r="B652" s="2" t="s">
        <v>103</v>
      </c>
      <c r="C652" s="2" t="s">
        <v>52</v>
      </c>
      <c r="D652" s="2">
        <v>1100570</v>
      </c>
      <c r="E652" s="2" t="s">
        <v>105</v>
      </c>
      <c r="F652" s="2" t="s">
        <v>106</v>
      </c>
      <c r="G652" s="2" t="s">
        <v>104</v>
      </c>
      <c r="H652" s="7">
        <v>0</v>
      </c>
      <c r="I652">
        <v>25</v>
      </c>
      <c r="J652">
        <v>27</v>
      </c>
      <c r="K652" s="14">
        <v>0.6</v>
      </c>
      <c r="L652" s="7">
        <f t="shared" si="20"/>
        <v>0</v>
      </c>
      <c r="M652" s="14">
        <v>0.72</v>
      </c>
      <c r="N652" s="7">
        <f t="shared" si="21"/>
        <v>0</v>
      </c>
    </row>
    <row r="653" spans="1:14" x14ac:dyDescent="0.2">
      <c r="A653" s="2" t="s">
        <v>901</v>
      </c>
      <c r="B653" s="2" t="s">
        <v>103</v>
      </c>
      <c r="C653" s="2" t="s">
        <v>52</v>
      </c>
      <c r="D653" s="2">
        <v>1100572</v>
      </c>
      <c r="E653" s="2" t="s">
        <v>900</v>
      </c>
      <c r="F653" s="2" t="s">
        <v>106</v>
      </c>
      <c r="G653" s="2" t="s">
        <v>472</v>
      </c>
      <c r="H653" s="7">
        <v>0</v>
      </c>
      <c r="I653">
        <v>25</v>
      </c>
      <c r="J653">
        <v>27</v>
      </c>
      <c r="K653" s="14">
        <v>0.6</v>
      </c>
      <c r="L653" s="7">
        <f t="shared" si="20"/>
        <v>0</v>
      </c>
      <c r="M653" s="14">
        <v>0.72</v>
      </c>
      <c r="N653" s="7">
        <f t="shared" si="21"/>
        <v>0</v>
      </c>
    </row>
    <row r="654" spans="1:14" x14ac:dyDescent="0.2">
      <c r="A654" s="2" t="s">
        <v>901</v>
      </c>
      <c r="B654" s="2" t="s">
        <v>103</v>
      </c>
      <c r="C654" s="2" t="s">
        <v>52</v>
      </c>
      <c r="D654" s="2">
        <v>1100573</v>
      </c>
      <c r="E654" s="2" t="s">
        <v>136</v>
      </c>
      <c r="F654" s="2" t="s">
        <v>106</v>
      </c>
      <c r="G654" s="2" t="s">
        <v>135</v>
      </c>
      <c r="H654" s="7">
        <v>0</v>
      </c>
      <c r="I654">
        <v>25</v>
      </c>
      <c r="J654">
        <v>27</v>
      </c>
      <c r="K654" s="14">
        <v>0.6</v>
      </c>
      <c r="L654" s="7">
        <f t="shared" si="20"/>
        <v>0</v>
      </c>
      <c r="M654" s="14">
        <v>0.72</v>
      </c>
      <c r="N654" s="7">
        <f t="shared" si="21"/>
        <v>0</v>
      </c>
    </row>
    <row r="655" spans="1:14" x14ac:dyDescent="0.2">
      <c r="A655" s="2" t="s">
        <v>901</v>
      </c>
      <c r="B655" s="2" t="s">
        <v>103</v>
      </c>
      <c r="C655" s="2" t="s">
        <v>52</v>
      </c>
      <c r="D655" s="2">
        <v>1100574</v>
      </c>
      <c r="E655" s="2" t="s">
        <v>384</v>
      </c>
      <c r="F655" s="2" t="s">
        <v>106</v>
      </c>
      <c r="G655" s="2" t="s">
        <v>383</v>
      </c>
      <c r="H655" s="7">
        <v>22032</v>
      </c>
      <c r="I655">
        <v>25</v>
      </c>
      <c r="J655">
        <v>27</v>
      </c>
      <c r="K655" s="14">
        <v>0.6</v>
      </c>
      <c r="L655" s="7">
        <f t="shared" si="20"/>
        <v>13219.199999999999</v>
      </c>
      <c r="M655" s="14">
        <v>0.72</v>
      </c>
      <c r="N655" s="7">
        <f t="shared" si="21"/>
        <v>15863.039999999999</v>
      </c>
    </row>
    <row r="656" spans="1:14" x14ac:dyDescent="0.2">
      <c r="A656" s="2" t="s">
        <v>901</v>
      </c>
      <c r="B656" s="2" t="s">
        <v>103</v>
      </c>
      <c r="C656" s="2" t="s">
        <v>52</v>
      </c>
      <c r="D656" s="2">
        <v>1100602</v>
      </c>
      <c r="E656" s="2" t="s">
        <v>108</v>
      </c>
      <c r="F656" s="2" t="s">
        <v>106</v>
      </c>
      <c r="G656" s="2" t="s">
        <v>107</v>
      </c>
      <c r="H656" s="7">
        <v>0</v>
      </c>
      <c r="I656">
        <v>25</v>
      </c>
      <c r="J656">
        <v>27</v>
      </c>
      <c r="K656" s="14">
        <v>0.6</v>
      </c>
      <c r="L656" s="7">
        <f t="shared" si="20"/>
        <v>0</v>
      </c>
      <c r="M656" s="14">
        <v>0.72</v>
      </c>
      <c r="N656" s="7">
        <f t="shared" si="21"/>
        <v>0</v>
      </c>
    </row>
    <row r="657" spans="1:14" x14ac:dyDescent="0.2">
      <c r="A657" s="2" t="s">
        <v>971</v>
      </c>
      <c r="B657" s="2" t="s">
        <v>56</v>
      </c>
      <c r="C657" s="2" t="s">
        <v>705</v>
      </c>
      <c r="D657" s="2">
        <v>1010877</v>
      </c>
      <c r="E657" s="2" t="s">
        <v>720</v>
      </c>
      <c r="F657" s="2" t="s">
        <v>54</v>
      </c>
      <c r="G657" s="2" t="s">
        <v>457</v>
      </c>
      <c r="H657" s="7">
        <v>144000</v>
      </c>
      <c r="I657">
        <v>25</v>
      </c>
      <c r="J657">
        <v>27</v>
      </c>
      <c r="K657" s="14">
        <v>0.6</v>
      </c>
      <c r="L657" s="7">
        <f t="shared" si="20"/>
        <v>86400</v>
      </c>
      <c r="M657" s="14">
        <v>0.72</v>
      </c>
      <c r="N657" s="7">
        <f t="shared" si="21"/>
        <v>103680</v>
      </c>
    </row>
    <row r="658" spans="1:14" x14ac:dyDescent="0.2">
      <c r="A658" s="2" t="s">
        <v>971</v>
      </c>
      <c r="B658" s="2" t="s">
        <v>56</v>
      </c>
      <c r="C658" s="2" t="s">
        <v>705</v>
      </c>
      <c r="D658" s="2">
        <v>1011042</v>
      </c>
      <c r="E658" s="2" t="s">
        <v>706</v>
      </c>
      <c r="F658" s="2" t="s">
        <v>707</v>
      </c>
      <c r="G658" s="2" t="s">
        <v>708</v>
      </c>
      <c r="H658" s="7">
        <v>68400</v>
      </c>
      <c r="I658">
        <v>25</v>
      </c>
      <c r="J658">
        <v>27</v>
      </c>
      <c r="K658" s="14">
        <v>0.6</v>
      </c>
      <c r="L658" s="7">
        <f t="shared" si="20"/>
        <v>41040</v>
      </c>
      <c r="M658" s="14">
        <v>0.72</v>
      </c>
      <c r="N658" s="7">
        <f t="shared" si="21"/>
        <v>49248</v>
      </c>
    </row>
    <row r="659" spans="1:14" x14ac:dyDescent="0.2">
      <c r="A659" s="2" t="s">
        <v>971</v>
      </c>
      <c r="B659" s="2" t="s">
        <v>56</v>
      </c>
      <c r="C659" s="2" t="s">
        <v>705</v>
      </c>
      <c r="D659" s="2">
        <v>1012719</v>
      </c>
      <c r="E659" s="2" t="s">
        <v>709</v>
      </c>
      <c r="F659" s="2" t="s">
        <v>710</v>
      </c>
      <c r="G659" s="2" t="s">
        <v>711</v>
      </c>
      <c r="H659" s="7">
        <v>71982.293999999994</v>
      </c>
      <c r="I659">
        <v>25</v>
      </c>
      <c r="J659">
        <v>27</v>
      </c>
      <c r="K659" s="14">
        <v>0.6</v>
      </c>
      <c r="L659" s="7">
        <f t="shared" si="20"/>
        <v>43189.376399999994</v>
      </c>
      <c r="M659" s="14">
        <v>0.72</v>
      </c>
      <c r="N659" s="7">
        <f t="shared" si="21"/>
        <v>51827.251679999994</v>
      </c>
    </row>
    <row r="660" spans="1:14" x14ac:dyDescent="0.2">
      <c r="A660" s="2" t="s">
        <v>971</v>
      </c>
      <c r="B660" s="2" t="s">
        <v>56</v>
      </c>
      <c r="C660" s="2" t="s">
        <v>52</v>
      </c>
      <c r="D660" s="2">
        <v>1010888</v>
      </c>
      <c r="E660" s="2" t="s">
        <v>902</v>
      </c>
      <c r="F660" s="2" t="s">
        <v>59</v>
      </c>
      <c r="G660" s="2" t="s">
        <v>903</v>
      </c>
      <c r="H660" s="7">
        <v>0</v>
      </c>
      <c r="I660">
        <v>25</v>
      </c>
      <c r="J660">
        <v>27</v>
      </c>
      <c r="K660" s="14">
        <v>0.6</v>
      </c>
      <c r="L660" s="7">
        <f t="shared" si="20"/>
        <v>0</v>
      </c>
      <c r="M660" s="14">
        <v>0.72</v>
      </c>
      <c r="N660" s="7">
        <f t="shared" si="21"/>
        <v>0</v>
      </c>
    </row>
    <row r="661" spans="1:14" x14ac:dyDescent="0.2">
      <c r="A661" s="2" t="s">
        <v>971</v>
      </c>
      <c r="B661" s="2" t="s">
        <v>56</v>
      </c>
      <c r="C661" s="2" t="s">
        <v>52</v>
      </c>
      <c r="D661" s="2">
        <v>1011105</v>
      </c>
      <c r="E661" s="2" t="s">
        <v>904</v>
      </c>
      <c r="F661" s="2" t="s">
        <v>63</v>
      </c>
      <c r="G661" s="2" t="s">
        <v>905</v>
      </c>
      <c r="H661" s="7">
        <v>119724</v>
      </c>
      <c r="I661">
        <v>25</v>
      </c>
      <c r="J661">
        <v>27</v>
      </c>
      <c r="K661" s="14">
        <v>0.6</v>
      </c>
      <c r="L661" s="7">
        <f t="shared" si="20"/>
        <v>71834.399999999994</v>
      </c>
      <c r="M661" s="14">
        <v>0.72</v>
      </c>
      <c r="N661" s="7">
        <f t="shared" si="21"/>
        <v>86201.279999999999</v>
      </c>
    </row>
    <row r="662" spans="1:14" x14ac:dyDescent="0.2">
      <c r="A662" s="2" t="s">
        <v>971</v>
      </c>
      <c r="B662" s="2" t="s">
        <v>56</v>
      </c>
      <c r="C662" s="2" t="s">
        <v>52</v>
      </c>
      <c r="D662" s="2">
        <v>1011701</v>
      </c>
      <c r="E662" s="2" t="s">
        <v>83</v>
      </c>
      <c r="F662" s="2" t="s">
        <v>59</v>
      </c>
      <c r="G662" s="2" t="s">
        <v>82</v>
      </c>
      <c r="H662" s="7">
        <v>0</v>
      </c>
      <c r="I662">
        <v>25</v>
      </c>
      <c r="J662">
        <v>27</v>
      </c>
      <c r="K662" s="14">
        <v>0.6</v>
      </c>
      <c r="L662" s="7">
        <f t="shared" si="20"/>
        <v>0</v>
      </c>
      <c r="M662" s="14">
        <v>0.72</v>
      </c>
      <c r="N662" s="7">
        <f t="shared" si="21"/>
        <v>0</v>
      </c>
    </row>
    <row r="663" spans="1:14" x14ac:dyDescent="0.2">
      <c r="A663" s="2" t="s">
        <v>971</v>
      </c>
      <c r="B663" s="2" t="s">
        <v>56</v>
      </c>
      <c r="C663" s="2" t="s">
        <v>52</v>
      </c>
      <c r="D663" s="2">
        <v>1012107</v>
      </c>
      <c r="E663" s="2" t="s">
        <v>216</v>
      </c>
      <c r="F663" s="2" t="s">
        <v>59</v>
      </c>
      <c r="G663" s="2" t="s">
        <v>215</v>
      </c>
      <c r="H663" s="7">
        <v>59875.199999999997</v>
      </c>
      <c r="I663">
        <v>25</v>
      </c>
      <c r="J663">
        <v>27</v>
      </c>
      <c r="K663" s="14">
        <v>0.6</v>
      </c>
      <c r="L663" s="7">
        <f t="shared" si="20"/>
        <v>35925.119999999995</v>
      </c>
      <c r="M663" s="14">
        <v>0.72</v>
      </c>
      <c r="N663" s="7">
        <f t="shared" si="21"/>
        <v>43110.143999999993</v>
      </c>
    </row>
    <row r="664" spans="1:14" x14ac:dyDescent="0.2">
      <c r="A664" s="2" t="s">
        <v>971</v>
      </c>
      <c r="B664" s="2" t="s">
        <v>56</v>
      </c>
      <c r="C664" s="2" t="s">
        <v>52</v>
      </c>
      <c r="D664" s="2">
        <v>1012108</v>
      </c>
      <c r="E664" s="2" t="s">
        <v>58</v>
      </c>
      <c r="F664" s="2" t="s">
        <v>59</v>
      </c>
      <c r="G664" s="2" t="s">
        <v>57</v>
      </c>
      <c r="H664" s="7">
        <v>179625.60000000001</v>
      </c>
      <c r="I664">
        <v>25</v>
      </c>
      <c r="J664">
        <v>27</v>
      </c>
      <c r="K664" s="14">
        <v>0.6</v>
      </c>
      <c r="L664" s="7">
        <f t="shared" si="20"/>
        <v>107775.36</v>
      </c>
      <c r="M664" s="14">
        <v>0.72</v>
      </c>
      <c r="N664" s="7">
        <f t="shared" si="21"/>
        <v>129330.432</v>
      </c>
    </row>
    <row r="665" spans="1:14" x14ac:dyDescent="0.2">
      <c r="A665" s="2" t="s">
        <v>971</v>
      </c>
      <c r="B665" s="2" t="s">
        <v>56</v>
      </c>
      <c r="C665" s="2" t="s">
        <v>52</v>
      </c>
      <c r="D665" s="2">
        <v>1012109</v>
      </c>
      <c r="E665" s="2" t="s">
        <v>69</v>
      </c>
      <c r="F665" s="2" t="s">
        <v>59</v>
      </c>
      <c r="G665" s="2" t="s">
        <v>68</v>
      </c>
      <c r="H665" s="7">
        <v>419126.4</v>
      </c>
      <c r="I665">
        <v>25</v>
      </c>
      <c r="J665">
        <v>27</v>
      </c>
      <c r="K665" s="14">
        <v>0.6</v>
      </c>
      <c r="L665" s="7">
        <f t="shared" si="20"/>
        <v>251475.84</v>
      </c>
      <c r="M665" s="14">
        <v>0.72</v>
      </c>
      <c r="N665" s="7">
        <f t="shared" si="21"/>
        <v>301771.00800000003</v>
      </c>
    </row>
    <row r="666" spans="1:14" x14ac:dyDescent="0.2">
      <c r="A666" s="2" t="s">
        <v>971</v>
      </c>
      <c r="B666" s="2" t="s">
        <v>56</v>
      </c>
      <c r="C666" s="2" t="s">
        <v>52</v>
      </c>
      <c r="D666" s="2">
        <v>1012110</v>
      </c>
      <c r="E666" s="2" t="s">
        <v>110</v>
      </c>
      <c r="F666" s="2" t="s">
        <v>59</v>
      </c>
      <c r="G666" s="2" t="s">
        <v>109</v>
      </c>
      <c r="H666" s="7">
        <v>0</v>
      </c>
      <c r="I666">
        <v>25</v>
      </c>
      <c r="J666">
        <v>27</v>
      </c>
      <c r="K666" s="14">
        <v>0.6</v>
      </c>
      <c r="L666" s="7">
        <f t="shared" si="20"/>
        <v>0</v>
      </c>
      <c r="M666" s="14">
        <v>0.72</v>
      </c>
      <c r="N666" s="7">
        <f t="shared" si="21"/>
        <v>0</v>
      </c>
    </row>
    <row r="667" spans="1:14" x14ac:dyDescent="0.2">
      <c r="A667" s="2" t="s">
        <v>971</v>
      </c>
      <c r="B667" s="2" t="s">
        <v>56</v>
      </c>
      <c r="C667" s="2" t="s">
        <v>52</v>
      </c>
      <c r="D667" s="2">
        <v>1012111</v>
      </c>
      <c r="E667" s="2" t="s">
        <v>117</v>
      </c>
      <c r="F667" s="2" t="s">
        <v>59</v>
      </c>
      <c r="G667" s="2" t="s">
        <v>137</v>
      </c>
      <c r="H667" s="7">
        <v>29937.599999999999</v>
      </c>
      <c r="I667">
        <v>25</v>
      </c>
      <c r="J667">
        <v>27</v>
      </c>
      <c r="K667" s="14">
        <v>0.6</v>
      </c>
      <c r="L667" s="7">
        <f t="shared" si="20"/>
        <v>17962.559999999998</v>
      </c>
      <c r="M667" s="14">
        <v>0.72</v>
      </c>
      <c r="N667" s="7">
        <f t="shared" si="21"/>
        <v>21555.071999999996</v>
      </c>
    </row>
    <row r="668" spans="1:14" x14ac:dyDescent="0.2">
      <c r="A668" s="2" t="s">
        <v>971</v>
      </c>
      <c r="B668" s="2" t="s">
        <v>56</v>
      </c>
      <c r="C668" s="2" t="s">
        <v>52</v>
      </c>
      <c r="D668" s="2">
        <v>1012112</v>
      </c>
      <c r="E668" s="2" t="s">
        <v>139</v>
      </c>
      <c r="F668" s="2" t="s">
        <v>59</v>
      </c>
      <c r="G668" s="2" t="s">
        <v>138</v>
      </c>
      <c r="H668" s="7">
        <v>0</v>
      </c>
      <c r="I668">
        <v>25</v>
      </c>
      <c r="J668">
        <v>27</v>
      </c>
      <c r="K668" s="14">
        <v>0.6</v>
      </c>
      <c r="L668" s="7">
        <f t="shared" si="20"/>
        <v>0</v>
      </c>
      <c r="M668" s="14">
        <v>0.72</v>
      </c>
      <c r="N668" s="7">
        <f t="shared" si="21"/>
        <v>0</v>
      </c>
    </row>
    <row r="669" spans="1:14" x14ac:dyDescent="0.2">
      <c r="A669" s="2" t="s">
        <v>971</v>
      </c>
      <c r="B669" s="2" t="s">
        <v>56</v>
      </c>
      <c r="C669" s="2" t="s">
        <v>52</v>
      </c>
      <c r="D669" s="2">
        <v>1012145</v>
      </c>
      <c r="E669" s="2" t="s">
        <v>85</v>
      </c>
      <c r="F669" s="2" t="s">
        <v>59</v>
      </c>
      <c r="G669" s="2" t="s">
        <v>84</v>
      </c>
      <c r="H669" s="7">
        <v>0</v>
      </c>
      <c r="I669">
        <v>25</v>
      </c>
      <c r="J669">
        <v>27</v>
      </c>
      <c r="K669" s="14">
        <v>0.6</v>
      </c>
      <c r="L669" s="7">
        <f t="shared" si="20"/>
        <v>0</v>
      </c>
      <c r="M669" s="14">
        <v>0.72</v>
      </c>
      <c r="N669" s="7">
        <f t="shared" si="21"/>
        <v>0</v>
      </c>
    </row>
    <row r="670" spans="1:14" x14ac:dyDescent="0.2">
      <c r="A670" s="2" t="s">
        <v>971</v>
      </c>
      <c r="B670" s="2" t="s">
        <v>56</v>
      </c>
      <c r="C670" s="2" t="s">
        <v>52</v>
      </c>
      <c r="D670" s="2">
        <v>1012147</v>
      </c>
      <c r="E670" s="2" t="s">
        <v>218</v>
      </c>
      <c r="F670" s="2" t="s">
        <v>67</v>
      </c>
      <c r="G670" s="2" t="s">
        <v>217</v>
      </c>
      <c r="H670" s="7">
        <v>55981.2</v>
      </c>
      <c r="I670">
        <v>25</v>
      </c>
      <c r="J670">
        <v>27</v>
      </c>
      <c r="K670" s="14">
        <v>0.6</v>
      </c>
      <c r="L670" s="7">
        <f t="shared" si="20"/>
        <v>33588.719999999994</v>
      </c>
      <c r="M670" s="14">
        <v>0.72</v>
      </c>
      <c r="N670" s="7">
        <f t="shared" si="21"/>
        <v>40306.464</v>
      </c>
    </row>
    <row r="671" spans="1:14" x14ac:dyDescent="0.2">
      <c r="A671" s="2" t="s">
        <v>971</v>
      </c>
      <c r="B671" s="2" t="s">
        <v>56</v>
      </c>
      <c r="C671" s="2" t="s">
        <v>52</v>
      </c>
      <c r="D671" s="2">
        <v>1012148</v>
      </c>
      <c r="E671" s="2" t="s">
        <v>112</v>
      </c>
      <c r="F671" s="2" t="s">
        <v>63</v>
      </c>
      <c r="G671" s="2" t="s">
        <v>111</v>
      </c>
      <c r="H671" s="7">
        <v>0</v>
      </c>
      <c r="I671">
        <v>25</v>
      </c>
      <c r="J671">
        <v>27</v>
      </c>
      <c r="K671" s="14">
        <v>0.6</v>
      </c>
      <c r="L671" s="7">
        <f t="shared" si="20"/>
        <v>0</v>
      </c>
      <c r="M671" s="14">
        <v>0.72</v>
      </c>
      <c r="N671" s="7">
        <f t="shared" si="21"/>
        <v>0</v>
      </c>
    </row>
    <row r="672" spans="1:14" x14ac:dyDescent="0.2">
      <c r="A672" s="2" t="s">
        <v>971</v>
      </c>
      <c r="B672" s="2" t="s">
        <v>56</v>
      </c>
      <c r="C672" s="2" t="s">
        <v>52</v>
      </c>
      <c r="D672" s="2">
        <v>1012157</v>
      </c>
      <c r="E672" s="2" t="s">
        <v>100</v>
      </c>
      <c r="F672" s="2" t="s">
        <v>63</v>
      </c>
      <c r="G672" s="2" t="s">
        <v>99</v>
      </c>
      <c r="H672" s="7">
        <v>0</v>
      </c>
      <c r="I672">
        <v>25</v>
      </c>
      <c r="J672">
        <v>27</v>
      </c>
      <c r="K672" s="14">
        <v>0.6</v>
      </c>
      <c r="L672" s="7">
        <f t="shared" si="20"/>
        <v>0</v>
      </c>
      <c r="M672" s="14">
        <v>0.72</v>
      </c>
      <c r="N672" s="7">
        <f t="shared" si="21"/>
        <v>0</v>
      </c>
    </row>
    <row r="673" spans="1:14" x14ac:dyDescent="0.2">
      <c r="A673" s="2" t="s">
        <v>971</v>
      </c>
      <c r="B673" s="2" t="s">
        <v>56</v>
      </c>
      <c r="C673" s="2" t="s">
        <v>52</v>
      </c>
      <c r="D673" s="2">
        <v>1012158</v>
      </c>
      <c r="E673" s="2" t="s">
        <v>87</v>
      </c>
      <c r="F673" s="2" t="s">
        <v>67</v>
      </c>
      <c r="G673" s="2" t="s">
        <v>86</v>
      </c>
      <c r="H673" s="7">
        <v>0</v>
      </c>
      <c r="I673">
        <v>25</v>
      </c>
      <c r="J673">
        <v>27</v>
      </c>
      <c r="K673" s="14">
        <v>0.6</v>
      </c>
      <c r="L673" s="7">
        <f t="shared" si="20"/>
        <v>0</v>
      </c>
      <c r="M673" s="14">
        <v>0.72</v>
      </c>
      <c r="N673" s="7">
        <f t="shared" si="21"/>
        <v>0</v>
      </c>
    </row>
    <row r="674" spans="1:14" x14ac:dyDescent="0.2">
      <c r="A674" s="2" t="s">
        <v>971</v>
      </c>
      <c r="B674" s="2" t="s">
        <v>56</v>
      </c>
      <c r="C674" s="2" t="s">
        <v>52</v>
      </c>
      <c r="D674" s="2">
        <v>1012159</v>
      </c>
      <c r="E674" s="2" t="s">
        <v>89</v>
      </c>
      <c r="F674" s="2" t="s">
        <v>63</v>
      </c>
      <c r="G674" s="2" t="s">
        <v>88</v>
      </c>
      <c r="H674" s="7">
        <v>0</v>
      </c>
      <c r="I674">
        <v>25</v>
      </c>
      <c r="J674">
        <v>27</v>
      </c>
      <c r="K674" s="14">
        <v>0.6</v>
      </c>
      <c r="L674" s="7">
        <f t="shared" si="20"/>
        <v>0</v>
      </c>
      <c r="M674" s="14">
        <v>0.72</v>
      </c>
      <c r="N674" s="7">
        <f t="shared" si="21"/>
        <v>0</v>
      </c>
    </row>
    <row r="675" spans="1:14" x14ac:dyDescent="0.2">
      <c r="A675" s="2" t="s">
        <v>971</v>
      </c>
      <c r="B675" s="2" t="s">
        <v>56</v>
      </c>
      <c r="C675" s="2" t="s">
        <v>52</v>
      </c>
      <c r="D675" s="2">
        <v>1012160</v>
      </c>
      <c r="E675" s="2" t="s">
        <v>73</v>
      </c>
      <c r="F675" s="2" t="s">
        <v>59</v>
      </c>
      <c r="G675" s="2" t="s">
        <v>72</v>
      </c>
      <c r="H675" s="7">
        <v>59657.472000000002</v>
      </c>
      <c r="I675">
        <v>25</v>
      </c>
      <c r="J675">
        <v>27</v>
      </c>
      <c r="K675" s="14">
        <v>0.6</v>
      </c>
      <c r="L675" s="7">
        <f t="shared" si="20"/>
        <v>35794.483200000002</v>
      </c>
      <c r="M675" s="14">
        <v>0.72</v>
      </c>
      <c r="N675" s="7">
        <f t="shared" si="21"/>
        <v>42953.379840000001</v>
      </c>
    </row>
    <row r="676" spans="1:14" x14ac:dyDescent="0.2">
      <c r="A676" s="2" t="s">
        <v>971</v>
      </c>
      <c r="B676" s="2" t="s">
        <v>56</v>
      </c>
      <c r="C676" s="2" t="s">
        <v>52</v>
      </c>
      <c r="D676" s="2">
        <v>1012161</v>
      </c>
      <c r="E676" s="2" t="s">
        <v>102</v>
      </c>
      <c r="F676" s="2" t="s">
        <v>63</v>
      </c>
      <c r="G676" s="2" t="s">
        <v>101</v>
      </c>
      <c r="H676" s="7">
        <v>59875.199999999997</v>
      </c>
      <c r="I676">
        <v>25</v>
      </c>
      <c r="J676">
        <v>27</v>
      </c>
      <c r="K676" s="14">
        <v>0.6</v>
      </c>
      <c r="L676" s="7">
        <f t="shared" si="20"/>
        <v>35925.119999999995</v>
      </c>
      <c r="M676" s="14">
        <v>0.72</v>
      </c>
      <c r="N676" s="7">
        <f t="shared" si="21"/>
        <v>43110.143999999993</v>
      </c>
    </row>
    <row r="677" spans="1:14" x14ac:dyDescent="0.2">
      <c r="A677" s="2" t="s">
        <v>971</v>
      </c>
      <c r="B677" s="2" t="s">
        <v>56</v>
      </c>
      <c r="C677" s="2" t="s">
        <v>52</v>
      </c>
      <c r="D677" s="2">
        <v>1012163</v>
      </c>
      <c r="E677" s="2" t="s">
        <v>141</v>
      </c>
      <c r="F677" s="2" t="s">
        <v>67</v>
      </c>
      <c r="G677" s="2" t="s">
        <v>140</v>
      </c>
      <c r="H677" s="7">
        <v>59875.199999999997</v>
      </c>
      <c r="I677">
        <v>25</v>
      </c>
      <c r="J677">
        <v>27</v>
      </c>
      <c r="K677" s="14">
        <v>0.6</v>
      </c>
      <c r="L677" s="7">
        <f t="shared" si="20"/>
        <v>35925.119999999995</v>
      </c>
      <c r="M677" s="14">
        <v>0.72</v>
      </c>
      <c r="N677" s="7">
        <f t="shared" si="21"/>
        <v>43110.143999999993</v>
      </c>
    </row>
    <row r="678" spans="1:14" x14ac:dyDescent="0.2">
      <c r="A678" s="2" t="s">
        <v>971</v>
      </c>
      <c r="B678" s="2" t="s">
        <v>56</v>
      </c>
      <c r="C678" s="2" t="s">
        <v>52</v>
      </c>
      <c r="D678" s="2">
        <v>1012164</v>
      </c>
      <c r="E678" s="2" t="s">
        <v>143</v>
      </c>
      <c r="F678" s="2" t="s">
        <v>63</v>
      </c>
      <c r="G678" s="2" t="s">
        <v>142</v>
      </c>
      <c r="H678" s="7">
        <v>0</v>
      </c>
      <c r="I678">
        <v>25</v>
      </c>
      <c r="J678">
        <v>27</v>
      </c>
      <c r="K678" s="14">
        <v>0.6</v>
      </c>
      <c r="L678" s="7">
        <f t="shared" si="20"/>
        <v>0</v>
      </c>
      <c r="M678" s="14">
        <v>0.72</v>
      </c>
      <c r="N678" s="7">
        <f t="shared" si="21"/>
        <v>0</v>
      </c>
    </row>
    <row r="679" spans="1:14" x14ac:dyDescent="0.2">
      <c r="A679" s="2" t="s">
        <v>971</v>
      </c>
      <c r="B679" s="2" t="s">
        <v>56</v>
      </c>
      <c r="C679" s="2" t="s">
        <v>52</v>
      </c>
      <c r="D679" s="2">
        <v>1012165</v>
      </c>
      <c r="E679" s="2" t="s">
        <v>62</v>
      </c>
      <c r="F679" s="2" t="s">
        <v>63</v>
      </c>
      <c r="G679" s="2" t="s">
        <v>61</v>
      </c>
      <c r="H679" s="7">
        <v>319334.40000000002</v>
      </c>
      <c r="I679">
        <v>25</v>
      </c>
      <c r="J679">
        <v>27</v>
      </c>
      <c r="K679" s="14">
        <v>0.6</v>
      </c>
      <c r="L679" s="7">
        <f t="shared" si="20"/>
        <v>191600.64000000001</v>
      </c>
      <c r="M679" s="14">
        <v>0.72</v>
      </c>
      <c r="N679" s="7">
        <f t="shared" si="21"/>
        <v>229920.76800000001</v>
      </c>
    </row>
    <row r="680" spans="1:14" x14ac:dyDescent="0.2">
      <c r="A680" s="2" t="s">
        <v>971</v>
      </c>
      <c r="B680" s="2" t="s">
        <v>56</v>
      </c>
      <c r="C680" s="2" t="s">
        <v>52</v>
      </c>
      <c r="D680" s="2">
        <v>1012167</v>
      </c>
      <c r="E680" s="2" t="s">
        <v>71</v>
      </c>
      <c r="F680" s="2" t="s">
        <v>59</v>
      </c>
      <c r="G680" s="2" t="s">
        <v>70</v>
      </c>
      <c r="H680" s="7">
        <v>59875.199999999997</v>
      </c>
      <c r="I680">
        <v>25</v>
      </c>
      <c r="J680">
        <v>27</v>
      </c>
      <c r="K680" s="14">
        <v>0.6</v>
      </c>
      <c r="L680" s="7">
        <f t="shared" si="20"/>
        <v>35925.119999999995</v>
      </c>
      <c r="M680" s="14">
        <v>0.72</v>
      </c>
      <c r="N680" s="7">
        <f t="shared" si="21"/>
        <v>43110.143999999993</v>
      </c>
    </row>
    <row r="681" spans="1:14" x14ac:dyDescent="0.2">
      <c r="A681" s="2" t="s">
        <v>971</v>
      </c>
      <c r="B681" s="2" t="s">
        <v>56</v>
      </c>
      <c r="C681" s="2" t="s">
        <v>52</v>
      </c>
      <c r="D681" s="2">
        <v>1012310</v>
      </c>
      <c r="E681" s="2" t="s">
        <v>713</v>
      </c>
      <c r="F681" s="2" t="s">
        <v>124</v>
      </c>
      <c r="G681" s="2" t="s">
        <v>714</v>
      </c>
      <c r="H681" s="7">
        <v>0</v>
      </c>
      <c r="I681">
        <v>25</v>
      </c>
      <c r="J681">
        <v>27</v>
      </c>
      <c r="K681" s="14">
        <v>0.6</v>
      </c>
      <c r="L681" s="7">
        <f t="shared" si="20"/>
        <v>0</v>
      </c>
      <c r="M681" s="14">
        <v>0.72</v>
      </c>
      <c r="N681" s="7">
        <f t="shared" si="21"/>
        <v>0</v>
      </c>
    </row>
    <row r="682" spans="1:14" x14ac:dyDescent="0.2">
      <c r="A682" s="2" t="s">
        <v>971</v>
      </c>
      <c r="B682" s="2" t="s">
        <v>56</v>
      </c>
      <c r="C682" s="2" t="s">
        <v>52</v>
      </c>
      <c r="D682" s="2">
        <v>1012334</v>
      </c>
      <c r="E682" s="2" t="s">
        <v>906</v>
      </c>
      <c r="F682" s="2" t="s">
        <v>59</v>
      </c>
      <c r="G682" s="2" t="s">
        <v>488</v>
      </c>
      <c r="H682" s="7">
        <v>299376</v>
      </c>
      <c r="I682">
        <v>25</v>
      </c>
      <c r="J682">
        <v>27</v>
      </c>
      <c r="K682" s="14">
        <v>0.6</v>
      </c>
      <c r="L682" s="7">
        <f t="shared" si="20"/>
        <v>179625.60000000001</v>
      </c>
      <c r="M682" s="14">
        <v>0.72</v>
      </c>
      <c r="N682" s="7">
        <f t="shared" si="21"/>
        <v>215550.72</v>
      </c>
    </row>
    <row r="683" spans="1:14" x14ac:dyDescent="0.2">
      <c r="A683" s="2" t="s">
        <v>971</v>
      </c>
      <c r="B683" s="2" t="s">
        <v>56</v>
      </c>
      <c r="C683" s="2" t="s">
        <v>52</v>
      </c>
      <c r="D683" s="2">
        <v>1012400</v>
      </c>
      <c r="E683" s="2" t="s">
        <v>220</v>
      </c>
      <c r="F683" s="2" t="s">
        <v>67</v>
      </c>
      <c r="G683" s="2" t="s">
        <v>219</v>
      </c>
      <c r="H683" s="7">
        <v>0</v>
      </c>
      <c r="I683">
        <v>25</v>
      </c>
      <c r="J683">
        <v>27</v>
      </c>
      <c r="K683" s="14">
        <v>0.6</v>
      </c>
      <c r="L683" s="7">
        <f t="shared" si="20"/>
        <v>0</v>
      </c>
      <c r="M683" s="14">
        <v>0.72</v>
      </c>
      <c r="N683" s="7">
        <f t="shared" si="21"/>
        <v>0</v>
      </c>
    </row>
    <row r="684" spans="1:14" x14ac:dyDescent="0.2">
      <c r="A684" s="2" t="s">
        <v>971</v>
      </c>
      <c r="B684" s="2" t="s">
        <v>56</v>
      </c>
      <c r="C684" s="2" t="s">
        <v>52</v>
      </c>
      <c r="D684" s="2">
        <v>1012483</v>
      </c>
      <c r="E684" s="2" t="s">
        <v>91</v>
      </c>
      <c r="F684" s="2" t="s">
        <v>63</v>
      </c>
      <c r="G684" s="2" t="s">
        <v>90</v>
      </c>
      <c r="H684" s="7">
        <v>179734.46400000001</v>
      </c>
      <c r="I684">
        <v>25</v>
      </c>
      <c r="J684">
        <v>27</v>
      </c>
      <c r="K684" s="14">
        <v>0.6</v>
      </c>
      <c r="L684" s="7">
        <f t="shared" si="20"/>
        <v>107840.6784</v>
      </c>
      <c r="M684" s="14">
        <v>0.72</v>
      </c>
      <c r="N684" s="7">
        <f t="shared" si="21"/>
        <v>129408.81408</v>
      </c>
    </row>
    <row r="685" spans="1:14" x14ac:dyDescent="0.2">
      <c r="A685" s="2" t="s">
        <v>971</v>
      </c>
      <c r="B685" s="2" t="s">
        <v>56</v>
      </c>
      <c r="C685" s="2" t="s">
        <v>52</v>
      </c>
      <c r="D685" s="2">
        <v>1012518</v>
      </c>
      <c r="E685" s="2" t="s">
        <v>66</v>
      </c>
      <c r="F685" s="2" t="s">
        <v>67</v>
      </c>
      <c r="G685" s="2" t="s">
        <v>65</v>
      </c>
      <c r="H685" s="7">
        <v>108864</v>
      </c>
      <c r="I685">
        <v>25</v>
      </c>
      <c r="J685">
        <v>27</v>
      </c>
      <c r="K685" s="14">
        <v>0.6</v>
      </c>
      <c r="L685" s="7">
        <f t="shared" si="20"/>
        <v>65318.399999999994</v>
      </c>
      <c r="M685" s="14">
        <v>0.72</v>
      </c>
      <c r="N685" s="7">
        <f t="shared" si="21"/>
        <v>78382.080000000002</v>
      </c>
    </row>
    <row r="686" spans="1:14" x14ac:dyDescent="0.2">
      <c r="A686" s="2" t="s">
        <v>971</v>
      </c>
      <c r="B686" s="2" t="s">
        <v>56</v>
      </c>
      <c r="C686" s="2" t="s">
        <v>52</v>
      </c>
      <c r="D686" s="2">
        <v>1012519</v>
      </c>
      <c r="E686" s="2" t="s">
        <v>216</v>
      </c>
      <c r="F686" s="2" t="s">
        <v>59</v>
      </c>
      <c r="G686" s="2" t="s">
        <v>221</v>
      </c>
      <c r="H686" s="7">
        <v>29937.599999999999</v>
      </c>
      <c r="I686">
        <v>25</v>
      </c>
      <c r="J686">
        <v>27</v>
      </c>
      <c r="K686" s="14">
        <v>0.6</v>
      </c>
      <c r="L686" s="7">
        <f t="shared" si="20"/>
        <v>17962.559999999998</v>
      </c>
      <c r="M686" s="14">
        <v>0.72</v>
      </c>
      <c r="N686" s="7">
        <f t="shared" si="21"/>
        <v>21555.071999999996</v>
      </c>
    </row>
    <row r="687" spans="1:14" x14ac:dyDescent="0.2">
      <c r="A687" s="2" t="s">
        <v>971</v>
      </c>
      <c r="B687" s="2" t="s">
        <v>56</v>
      </c>
      <c r="C687" s="2" t="s">
        <v>52</v>
      </c>
      <c r="D687" s="2">
        <v>1012520</v>
      </c>
      <c r="E687" s="2" t="s">
        <v>58</v>
      </c>
      <c r="F687" s="2" t="s">
        <v>59</v>
      </c>
      <c r="G687" s="2" t="s">
        <v>113</v>
      </c>
      <c r="H687" s="7">
        <v>0</v>
      </c>
      <c r="I687">
        <v>25</v>
      </c>
      <c r="J687">
        <v>27</v>
      </c>
      <c r="K687" s="14">
        <v>0.6</v>
      </c>
      <c r="L687" s="7">
        <f t="shared" si="20"/>
        <v>0</v>
      </c>
      <c r="M687" s="14">
        <v>0.72</v>
      </c>
      <c r="N687" s="7">
        <f t="shared" si="21"/>
        <v>0</v>
      </c>
    </row>
    <row r="688" spans="1:14" x14ac:dyDescent="0.2">
      <c r="A688" s="2" t="s">
        <v>971</v>
      </c>
      <c r="B688" s="2" t="s">
        <v>56</v>
      </c>
      <c r="C688" s="2" t="s">
        <v>52</v>
      </c>
      <c r="D688" s="2">
        <v>1012521</v>
      </c>
      <c r="E688" s="2" t="s">
        <v>69</v>
      </c>
      <c r="F688" s="2" t="s">
        <v>59</v>
      </c>
      <c r="G688" s="2" t="s">
        <v>114</v>
      </c>
      <c r="H688" s="7">
        <v>0</v>
      </c>
      <c r="I688">
        <v>25</v>
      </c>
      <c r="J688">
        <v>27</v>
      </c>
      <c r="K688" s="14">
        <v>0.6</v>
      </c>
      <c r="L688" s="7">
        <f t="shared" si="20"/>
        <v>0</v>
      </c>
      <c r="M688" s="14">
        <v>0.72</v>
      </c>
      <c r="N688" s="7">
        <f t="shared" si="21"/>
        <v>0</v>
      </c>
    </row>
    <row r="689" spans="1:14" x14ac:dyDescent="0.2">
      <c r="A689" s="2" t="s">
        <v>971</v>
      </c>
      <c r="B689" s="2" t="s">
        <v>56</v>
      </c>
      <c r="C689" s="2" t="s">
        <v>52</v>
      </c>
      <c r="D689" s="2">
        <v>1012522</v>
      </c>
      <c r="E689" s="2" t="s">
        <v>110</v>
      </c>
      <c r="F689" s="2" t="s">
        <v>59</v>
      </c>
      <c r="G689" s="2" t="s">
        <v>115</v>
      </c>
      <c r="H689" s="7">
        <v>59875.199999999997</v>
      </c>
      <c r="I689">
        <v>25</v>
      </c>
      <c r="J689">
        <v>27</v>
      </c>
      <c r="K689" s="14">
        <v>0.6</v>
      </c>
      <c r="L689" s="7">
        <f t="shared" si="20"/>
        <v>35925.119999999995</v>
      </c>
      <c r="M689" s="14">
        <v>0.72</v>
      </c>
      <c r="N689" s="7">
        <f t="shared" si="21"/>
        <v>43110.143999999993</v>
      </c>
    </row>
    <row r="690" spans="1:14" x14ac:dyDescent="0.2">
      <c r="A690" s="2" t="s">
        <v>971</v>
      </c>
      <c r="B690" s="2" t="s">
        <v>56</v>
      </c>
      <c r="C690" s="2" t="s">
        <v>52</v>
      </c>
      <c r="D690" s="2">
        <v>1012523</v>
      </c>
      <c r="E690" s="2" t="s">
        <v>117</v>
      </c>
      <c r="F690" s="2" t="s">
        <v>59</v>
      </c>
      <c r="G690" s="2" t="s">
        <v>116</v>
      </c>
      <c r="H690" s="7">
        <v>0</v>
      </c>
      <c r="I690">
        <v>25</v>
      </c>
      <c r="J690">
        <v>27</v>
      </c>
      <c r="K690" s="14">
        <v>0.6</v>
      </c>
      <c r="L690" s="7">
        <f t="shared" si="20"/>
        <v>0</v>
      </c>
      <c r="M690" s="14">
        <v>0.72</v>
      </c>
      <c r="N690" s="7">
        <f t="shared" si="21"/>
        <v>0</v>
      </c>
    </row>
    <row r="691" spans="1:14" x14ac:dyDescent="0.2">
      <c r="A691" s="2" t="s">
        <v>971</v>
      </c>
      <c r="B691" s="2" t="s">
        <v>56</v>
      </c>
      <c r="C691" s="2" t="s">
        <v>52</v>
      </c>
      <c r="D691" s="2">
        <v>1012524</v>
      </c>
      <c r="E691" s="2" t="s">
        <v>139</v>
      </c>
      <c r="F691" s="2" t="s">
        <v>59</v>
      </c>
      <c r="G691" s="2" t="s">
        <v>144</v>
      </c>
      <c r="H691" s="7">
        <v>0</v>
      </c>
      <c r="I691">
        <v>25</v>
      </c>
      <c r="J691">
        <v>27</v>
      </c>
      <c r="K691" s="14">
        <v>0.6</v>
      </c>
      <c r="L691" s="7">
        <f t="shared" si="20"/>
        <v>0</v>
      </c>
      <c r="M691" s="14">
        <v>0.72</v>
      </c>
      <c r="N691" s="7">
        <f t="shared" si="21"/>
        <v>0</v>
      </c>
    </row>
    <row r="692" spans="1:14" x14ac:dyDescent="0.2">
      <c r="A692" s="2" t="s">
        <v>971</v>
      </c>
      <c r="B692" s="2" t="s">
        <v>56</v>
      </c>
      <c r="C692" s="2" t="s">
        <v>52</v>
      </c>
      <c r="D692" s="2">
        <v>1012579</v>
      </c>
      <c r="E692" s="2" t="s">
        <v>146</v>
      </c>
      <c r="F692" s="2" t="s">
        <v>59</v>
      </c>
      <c r="G692" s="2" t="s">
        <v>145</v>
      </c>
      <c r="H692" s="7">
        <v>0</v>
      </c>
      <c r="I692">
        <v>25</v>
      </c>
      <c r="J692">
        <v>27</v>
      </c>
      <c r="K692" s="14">
        <v>0.6</v>
      </c>
      <c r="L692" s="7">
        <f t="shared" si="20"/>
        <v>0</v>
      </c>
      <c r="M692" s="14">
        <v>0.72</v>
      </c>
      <c r="N692" s="7">
        <f t="shared" si="21"/>
        <v>0</v>
      </c>
    </row>
    <row r="693" spans="1:14" x14ac:dyDescent="0.2">
      <c r="A693" s="2" t="s">
        <v>971</v>
      </c>
      <c r="B693" s="2" t="s">
        <v>56</v>
      </c>
      <c r="C693" s="2" t="s">
        <v>52</v>
      </c>
      <c r="D693" s="2">
        <v>1012597</v>
      </c>
      <c r="E693" s="2" t="s">
        <v>148</v>
      </c>
      <c r="F693" s="2" t="s">
        <v>63</v>
      </c>
      <c r="G693" s="2" t="s">
        <v>147</v>
      </c>
      <c r="H693" s="7">
        <v>0</v>
      </c>
      <c r="I693">
        <v>25</v>
      </c>
      <c r="J693">
        <v>27</v>
      </c>
      <c r="K693" s="14">
        <v>0.6</v>
      </c>
      <c r="L693" s="7">
        <f t="shared" si="20"/>
        <v>0</v>
      </c>
      <c r="M693" s="14">
        <v>0.72</v>
      </c>
      <c r="N693" s="7">
        <f t="shared" si="21"/>
        <v>0</v>
      </c>
    </row>
    <row r="694" spans="1:14" x14ac:dyDescent="0.2">
      <c r="A694" s="2" t="s">
        <v>971</v>
      </c>
      <c r="B694" s="2" t="s">
        <v>56</v>
      </c>
      <c r="C694" s="2" t="s">
        <v>52</v>
      </c>
      <c r="D694" s="2">
        <v>1012601</v>
      </c>
      <c r="E694" s="2" t="s">
        <v>716</v>
      </c>
      <c r="F694" s="2" t="s">
        <v>54</v>
      </c>
      <c r="G694" s="2" t="s">
        <v>717</v>
      </c>
      <c r="H694" s="7">
        <v>0</v>
      </c>
      <c r="I694">
        <v>25</v>
      </c>
      <c r="J694">
        <v>27</v>
      </c>
      <c r="K694" s="14">
        <v>0.6</v>
      </c>
      <c r="L694" s="7">
        <f t="shared" si="20"/>
        <v>0</v>
      </c>
      <c r="M694" s="14">
        <v>0.72</v>
      </c>
      <c r="N694" s="7">
        <f t="shared" si="21"/>
        <v>0</v>
      </c>
    </row>
    <row r="695" spans="1:14" x14ac:dyDescent="0.2">
      <c r="A695" s="2" t="s">
        <v>971</v>
      </c>
      <c r="B695" s="2" t="s">
        <v>56</v>
      </c>
      <c r="C695" s="2" t="s">
        <v>52</v>
      </c>
      <c r="D695" s="2">
        <v>1012806</v>
      </c>
      <c r="E695" s="2" t="s">
        <v>223</v>
      </c>
      <c r="F695" s="2" t="s">
        <v>224</v>
      </c>
      <c r="G695" s="2" t="s">
        <v>222</v>
      </c>
      <c r="H695" s="7">
        <v>0</v>
      </c>
      <c r="I695">
        <v>25</v>
      </c>
      <c r="J695">
        <v>27</v>
      </c>
      <c r="K695" s="14">
        <v>0.6</v>
      </c>
      <c r="L695" s="7">
        <f t="shared" si="20"/>
        <v>0</v>
      </c>
      <c r="M695" s="14">
        <v>0.72</v>
      </c>
      <c r="N695" s="7">
        <f t="shared" si="21"/>
        <v>0</v>
      </c>
    </row>
    <row r="696" spans="1:14" x14ac:dyDescent="0.2">
      <c r="A696" s="2" t="s">
        <v>971</v>
      </c>
      <c r="B696" s="2" t="s">
        <v>56</v>
      </c>
      <c r="C696" s="2" t="s">
        <v>52</v>
      </c>
      <c r="D696" s="2">
        <v>1012837</v>
      </c>
      <c r="E696" s="2" t="s">
        <v>718</v>
      </c>
      <c r="F696" s="2" t="s">
        <v>63</v>
      </c>
      <c r="G696" s="2" t="s">
        <v>719</v>
      </c>
      <c r="H696" s="7">
        <v>0</v>
      </c>
      <c r="I696">
        <v>25</v>
      </c>
      <c r="J696">
        <v>27</v>
      </c>
      <c r="K696" s="14">
        <v>0.6</v>
      </c>
      <c r="L696" s="7">
        <f t="shared" si="20"/>
        <v>0</v>
      </c>
      <c r="M696" s="14">
        <v>0.72</v>
      </c>
      <c r="N696" s="7">
        <f t="shared" si="21"/>
        <v>0</v>
      </c>
    </row>
    <row r="697" spans="1:14" x14ac:dyDescent="0.2">
      <c r="A697" s="2" t="s">
        <v>971</v>
      </c>
      <c r="B697" s="2" t="s">
        <v>56</v>
      </c>
      <c r="C697" s="2" t="s">
        <v>226</v>
      </c>
      <c r="D697" s="2">
        <v>1010877</v>
      </c>
      <c r="E697" s="2" t="s">
        <v>720</v>
      </c>
      <c r="F697" s="2" t="s">
        <v>54</v>
      </c>
      <c r="G697" s="2" t="s">
        <v>387</v>
      </c>
      <c r="H697" s="7">
        <v>0</v>
      </c>
      <c r="I697">
        <v>25</v>
      </c>
      <c r="J697">
        <v>27</v>
      </c>
      <c r="K697" s="14">
        <v>0.6</v>
      </c>
      <c r="L697" s="7">
        <f t="shared" si="20"/>
        <v>0</v>
      </c>
      <c r="M697" s="14">
        <v>0.72</v>
      </c>
      <c r="N697" s="7">
        <f t="shared" si="21"/>
        <v>0</v>
      </c>
    </row>
    <row r="698" spans="1:14" x14ac:dyDescent="0.2">
      <c r="A698" s="2" t="s">
        <v>971</v>
      </c>
      <c r="B698" s="2" t="s">
        <v>56</v>
      </c>
      <c r="C698" s="2" t="s">
        <v>226</v>
      </c>
      <c r="D698" s="2">
        <v>1011748</v>
      </c>
      <c r="E698" s="2" t="s">
        <v>227</v>
      </c>
      <c r="F698" s="2" t="s">
        <v>59</v>
      </c>
      <c r="G698" s="2" t="s">
        <v>225</v>
      </c>
      <c r="H698" s="7">
        <v>0</v>
      </c>
      <c r="I698">
        <v>25</v>
      </c>
      <c r="J698">
        <v>27</v>
      </c>
      <c r="K698" s="14">
        <v>0.6</v>
      </c>
      <c r="L698" s="7">
        <f t="shared" si="20"/>
        <v>0</v>
      </c>
      <c r="M698" s="14">
        <v>0.72</v>
      </c>
      <c r="N698" s="7">
        <f t="shared" si="21"/>
        <v>0</v>
      </c>
    </row>
    <row r="699" spans="1:14" x14ac:dyDescent="0.2">
      <c r="A699" s="2" t="s">
        <v>971</v>
      </c>
      <c r="B699" s="2" t="s">
        <v>56</v>
      </c>
      <c r="C699" s="2" t="s">
        <v>226</v>
      </c>
      <c r="D699" s="2">
        <v>1011749</v>
      </c>
      <c r="E699" s="2" t="s">
        <v>721</v>
      </c>
      <c r="F699" s="2" t="s">
        <v>59</v>
      </c>
      <c r="G699" s="2" t="s">
        <v>543</v>
      </c>
      <c r="H699" s="7">
        <v>0</v>
      </c>
      <c r="I699">
        <v>25</v>
      </c>
      <c r="J699">
        <v>27</v>
      </c>
      <c r="K699" s="14">
        <v>0.6</v>
      </c>
      <c r="L699" s="7">
        <f t="shared" si="20"/>
        <v>0</v>
      </c>
      <c r="M699" s="14">
        <v>0.72</v>
      </c>
      <c r="N699" s="7">
        <f t="shared" si="21"/>
        <v>0</v>
      </c>
    </row>
    <row r="700" spans="1:14" x14ac:dyDescent="0.2">
      <c r="A700" s="2" t="s">
        <v>971</v>
      </c>
      <c r="B700" s="2" t="s">
        <v>56</v>
      </c>
      <c r="C700" s="2" t="s">
        <v>226</v>
      </c>
      <c r="D700" s="2">
        <v>1011906</v>
      </c>
      <c r="E700" s="2" t="s">
        <v>722</v>
      </c>
      <c r="F700" s="2" t="s">
        <v>67</v>
      </c>
      <c r="G700" s="2" t="s">
        <v>540</v>
      </c>
      <c r="H700" s="7">
        <v>0</v>
      </c>
      <c r="I700">
        <v>25</v>
      </c>
      <c r="J700">
        <v>27</v>
      </c>
      <c r="K700" s="14">
        <v>0.6</v>
      </c>
      <c r="L700" s="7">
        <f t="shared" si="20"/>
        <v>0</v>
      </c>
      <c r="M700" s="14">
        <v>0.72</v>
      </c>
      <c r="N700" s="7">
        <f t="shared" si="21"/>
        <v>0</v>
      </c>
    </row>
    <row r="701" spans="1:14" x14ac:dyDescent="0.2">
      <c r="A701" s="2" t="s">
        <v>971</v>
      </c>
      <c r="B701" s="2" t="s">
        <v>56</v>
      </c>
      <c r="C701" s="2" t="s">
        <v>226</v>
      </c>
      <c r="D701" s="2">
        <v>1011973</v>
      </c>
      <c r="E701" s="2" t="s">
        <v>907</v>
      </c>
      <c r="F701" s="2" t="s">
        <v>59</v>
      </c>
      <c r="G701" s="2" t="s">
        <v>908</v>
      </c>
      <c r="H701" s="7">
        <v>0</v>
      </c>
      <c r="I701">
        <v>25</v>
      </c>
      <c r="J701">
        <v>27</v>
      </c>
      <c r="K701" s="14">
        <v>0.6</v>
      </c>
      <c r="L701" s="7">
        <f t="shared" si="20"/>
        <v>0</v>
      </c>
      <c r="M701" s="14">
        <v>0.72</v>
      </c>
      <c r="N701" s="7">
        <f t="shared" si="21"/>
        <v>0</v>
      </c>
    </row>
    <row r="702" spans="1:14" x14ac:dyDescent="0.2">
      <c r="A702" s="2" t="s">
        <v>971</v>
      </c>
      <c r="B702" s="2" t="s">
        <v>56</v>
      </c>
      <c r="C702" s="2" t="s">
        <v>226</v>
      </c>
      <c r="D702" s="2">
        <v>1011974</v>
      </c>
      <c r="E702" s="2" t="s">
        <v>909</v>
      </c>
      <c r="F702" s="2" t="s">
        <v>59</v>
      </c>
      <c r="G702" s="2" t="s">
        <v>910</v>
      </c>
      <c r="H702" s="7">
        <v>0</v>
      </c>
      <c r="I702">
        <v>25</v>
      </c>
      <c r="J702">
        <v>27</v>
      </c>
      <c r="K702" s="14">
        <v>0.6</v>
      </c>
      <c r="L702" s="7">
        <f t="shared" si="20"/>
        <v>0</v>
      </c>
      <c r="M702" s="14">
        <v>0.72</v>
      </c>
      <c r="N702" s="7">
        <f t="shared" si="21"/>
        <v>0</v>
      </c>
    </row>
    <row r="703" spans="1:14" x14ac:dyDescent="0.2">
      <c r="A703" s="2" t="s">
        <v>971</v>
      </c>
      <c r="B703" s="2" t="s">
        <v>56</v>
      </c>
      <c r="C703" s="2" t="s">
        <v>226</v>
      </c>
      <c r="D703" s="2">
        <v>1011975</v>
      </c>
      <c r="E703" s="2" t="s">
        <v>911</v>
      </c>
      <c r="F703" s="2" t="s">
        <v>59</v>
      </c>
      <c r="G703" s="2" t="s">
        <v>912</v>
      </c>
      <c r="H703" s="7">
        <v>0</v>
      </c>
      <c r="I703">
        <v>25</v>
      </c>
      <c r="J703">
        <v>27</v>
      </c>
      <c r="K703" s="14">
        <v>0.6</v>
      </c>
      <c r="L703" s="7">
        <f t="shared" si="20"/>
        <v>0</v>
      </c>
      <c r="M703" s="14">
        <v>0.72</v>
      </c>
      <c r="N703" s="7">
        <f t="shared" si="21"/>
        <v>0</v>
      </c>
    </row>
    <row r="704" spans="1:14" x14ac:dyDescent="0.2">
      <c r="A704" s="2" t="s">
        <v>971</v>
      </c>
      <c r="B704" s="2" t="s">
        <v>56</v>
      </c>
      <c r="C704" s="2" t="s">
        <v>226</v>
      </c>
      <c r="D704" s="2">
        <v>1011976</v>
      </c>
      <c r="E704" s="2" t="s">
        <v>913</v>
      </c>
      <c r="F704" s="2" t="s">
        <v>59</v>
      </c>
      <c r="G704" s="2" t="s">
        <v>914</v>
      </c>
      <c r="H704" s="7">
        <v>0</v>
      </c>
      <c r="I704">
        <v>25</v>
      </c>
      <c r="J704">
        <v>27</v>
      </c>
      <c r="K704" s="14">
        <v>0.6</v>
      </c>
      <c r="L704" s="7">
        <f t="shared" si="20"/>
        <v>0</v>
      </c>
      <c r="M704" s="14">
        <v>0.72</v>
      </c>
      <c r="N704" s="7">
        <f t="shared" si="21"/>
        <v>0</v>
      </c>
    </row>
    <row r="705" spans="1:14" x14ac:dyDescent="0.2">
      <c r="A705" s="2" t="s">
        <v>971</v>
      </c>
      <c r="B705" s="2" t="s">
        <v>56</v>
      </c>
      <c r="C705" s="2" t="s">
        <v>226</v>
      </c>
      <c r="D705" s="2">
        <v>1012207</v>
      </c>
      <c r="E705" s="2" t="s">
        <v>723</v>
      </c>
      <c r="F705" s="2" t="s">
        <v>54</v>
      </c>
      <c r="G705" s="2" t="s">
        <v>464</v>
      </c>
      <c r="H705" s="7">
        <v>0</v>
      </c>
      <c r="I705">
        <v>25</v>
      </c>
      <c r="J705">
        <v>27</v>
      </c>
      <c r="K705" s="14">
        <v>0.6</v>
      </c>
      <c r="L705" s="7">
        <f t="shared" si="20"/>
        <v>0</v>
      </c>
      <c r="M705" s="14">
        <v>0.72</v>
      </c>
      <c r="N705" s="7">
        <f t="shared" si="21"/>
        <v>0</v>
      </c>
    </row>
    <row r="706" spans="1:14" x14ac:dyDescent="0.2">
      <c r="A706" s="2" t="s">
        <v>971</v>
      </c>
      <c r="B706" s="2" t="s">
        <v>56</v>
      </c>
      <c r="C706" s="2" t="s">
        <v>226</v>
      </c>
      <c r="D706" s="2">
        <v>1012405</v>
      </c>
      <c r="E706" s="2" t="s">
        <v>724</v>
      </c>
      <c r="F706" s="2" t="s">
        <v>59</v>
      </c>
      <c r="G706" s="2" t="s">
        <v>725</v>
      </c>
      <c r="H706" s="7">
        <v>0</v>
      </c>
      <c r="I706">
        <v>25</v>
      </c>
      <c r="J706">
        <v>27</v>
      </c>
      <c r="K706" s="14">
        <v>0.6</v>
      </c>
      <c r="L706" s="7">
        <f t="shared" ref="L706:L769" si="22">K706 * H706</f>
        <v>0</v>
      </c>
      <c r="M706" s="14">
        <v>0.72</v>
      </c>
      <c r="N706" s="7">
        <f t="shared" ref="N706:N769" si="23">M706 * H706</f>
        <v>0</v>
      </c>
    </row>
    <row r="707" spans="1:14" x14ac:dyDescent="0.2">
      <c r="A707" s="2" t="s">
        <v>971</v>
      </c>
      <c r="B707" s="2" t="s">
        <v>56</v>
      </c>
      <c r="C707" s="2" t="s">
        <v>226</v>
      </c>
      <c r="D707" s="2">
        <v>1012432</v>
      </c>
      <c r="E707" s="2" t="s">
        <v>726</v>
      </c>
      <c r="F707" s="2" t="s">
        <v>59</v>
      </c>
      <c r="G707" s="2" t="s">
        <v>454</v>
      </c>
      <c r="H707" s="7">
        <v>0</v>
      </c>
      <c r="I707">
        <v>25</v>
      </c>
      <c r="J707">
        <v>27</v>
      </c>
      <c r="K707" s="14">
        <v>0.6</v>
      </c>
      <c r="L707" s="7">
        <f t="shared" si="22"/>
        <v>0</v>
      </c>
      <c r="M707" s="14">
        <v>0.72</v>
      </c>
      <c r="N707" s="7">
        <f t="shared" si="23"/>
        <v>0</v>
      </c>
    </row>
    <row r="708" spans="1:14" x14ac:dyDescent="0.2">
      <c r="A708" s="2" t="s">
        <v>971</v>
      </c>
      <c r="B708" s="2" t="s">
        <v>56</v>
      </c>
      <c r="C708" s="2" t="s">
        <v>226</v>
      </c>
      <c r="D708" s="2">
        <v>1012724</v>
      </c>
      <c r="E708" s="2" t="s">
        <v>727</v>
      </c>
      <c r="F708" s="2" t="s">
        <v>54</v>
      </c>
      <c r="G708" s="2" t="s">
        <v>427</v>
      </c>
      <c r="H708" s="7">
        <v>41498.084999999999</v>
      </c>
      <c r="I708">
        <v>25</v>
      </c>
      <c r="J708">
        <v>27</v>
      </c>
      <c r="K708" s="14">
        <v>0.6</v>
      </c>
      <c r="L708" s="7">
        <f t="shared" si="22"/>
        <v>24898.850999999999</v>
      </c>
      <c r="M708" s="14">
        <v>0.72</v>
      </c>
      <c r="N708" s="7">
        <f t="shared" si="23"/>
        <v>29878.621199999998</v>
      </c>
    </row>
    <row r="709" spans="1:14" x14ac:dyDescent="0.2">
      <c r="A709" s="2" t="s">
        <v>971</v>
      </c>
      <c r="B709" s="2" t="s">
        <v>56</v>
      </c>
      <c r="C709" s="2" t="s">
        <v>226</v>
      </c>
      <c r="D709" s="2">
        <v>1012730</v>
      </c>
      <c r="E709" s="2" t="s">
        <v>728</v>
      </c>
      <c r="F709" s="2" t="s">
        <v>54</v>
      </c>
      <c r="G709" s="2" t="s">
        <v>426</v>
      </c>
      <c r="H709" s="7">
        <v>0</v>
      </c>
      <c r="I709">
        <v>25</v>
      </c>
      <c r="J709">
        <v>27</v>
      </c>
      <c r="K709" s="14">
        <v>0.6</v>
      </c>
      <c r="L709" s="7">
        <f t="shared" si="22"/>
        <v>0</v>
      </c>
      <c r="M709" s="14">
        <v>0.72</v>
      </c>
      <c r="N709" s="7">
        <f t="shared" si="23"/>
        <v>0</v>
      </c>
    </row>
    <row r="710" spans="1:14" x14ac:dyDescent="0.2">
      <c r="A710" s="2" t="s">
        <v>971</v>
      </c>
      <c r="B710" s="2" t="s">
        <v>56</v>
      </c>
      <c r="C710" s="2" t="s">
        <v>226</v>
      </c>
      <c r="D710" s="2">
        <v>1012745</v>
      </c>
      <c r="E710" s="2" t="s">
        <v>729</v>
      </c>
      <c r="F710" s="2" t="s">
        <v>54</v>
      </c>
      <c r="G710" s="2" t="s">
        <v>425</v>
      </c>
      <c r="H710" s="7">
        <v>30485.741999999998</v>
      </c>
      <c r="I710">
        <v>25</v>
      </c>
      <c r="J710">
        <v>27</v>
      </c>
      <c r="K710" s="14">
        <v>0.6</v>
      </c>
      <c r="L710" s="7">
        <f t="shared" si="22"/>
        <v>18291.445199999998</v>
      </c>
      <c r="M710" s="14">
        <v>0.72</v>
      </c>
      <c r="N710" s="7">
        <f t="shared" si="23"/>
        <v>21949.734239999998</v>
      </c>
    </row>
    <row r="711" spans="1:14" x14ac:dyDescent="0.2">
      <c r="A711" s="2" t="s">
        <v>971</v>
      </c>
      <c r="B711" s="2" t="s">
        <v>56</v>
      </c>
      <c r="C711" s="2" t="s">
        <v>226</v>
      </c>
      <c r="D711" s="2">
        <v>1012805</v>
      </c>
      <c r="E711" s="2" t="s">
        <v>730</v>
      </c>
      <c r="F711" s="2" t="s">
        <v>224</v>
      </c>
      <c r="G711" s="2" t="s">
        <v>669</v>
      </c>
      <c r="H711" s="7">
        <v>0</v>
      </c>
      <c r="I711">
        <v>25</v>
      </c>
      <c r="J711">
        <v>27</v>
      </c>
      <c r="K711" s="14">
        <v>0.6</v>
      </c>
      <c r="L711" s="7">
        <f t="shared" si="22"/>
        <v>0</v>
      </c>
      <c r="M711" s="14">
        <v>0.72</v>
      </c>
      <c r="N711" s="7">
        <f t="shared" si="23"/>
        <v>0</v>
      </c>
    </row>
    <row r="712" spans="1:14" x14ac:dyDescent="0.2">
      <c r="A712" s="2" t="s">
        <v>971</v>
      </c>
      <c r="B712" s="2" t="s">
        <v>56</v>
      </c>
      <c r="C712" s="2" t="s">
        <v>150</v>
      </c>
      <c r="D712" s="2">
        <v>1011047</v>
      </c>
      <c r="E712" s="2" t="s">
        <v>915</v>
      </c>
      <c r="F712" s="2" t="s">
        <v>59</v>
      </c>
      <c r="G712" s="2" t="s">
        <v>534</v>
      </c>
      <c r="H712" s="7">
        <v>0</v>
      </c>
      <c r="I712">
        <v>23</v>
      </c>
      <c r="J712">
        <v>27</v>
      </c>
      <c r="K712" s="14">
        <v>0.56521739130434778</v>
      </c>
      <c r="L712" s="7">
        <f t="shared" si="22"/>
        <v>0</v>
      </c>
      <c r="M712" s="14">
        <v>0.69565217391304346</v>
      </c>
      <c r="N712" s="7">
        <f t="shared" si="23"/>
        <v>0</v>
      </c>
    </row>
    <row r="713" spans="1:14" x14ac:dyDescent="0.2">
      <c r="A713" s="2" t="s">
        <v>971</v>
      </c>
      <c r="B713" s="2" t="s">
        <v>56</v>
      </c>
      <c r="C713" s="2" t="s">
        <v>150</v>
      </c>
      <c r="D713" s="2">
        <v>1011127</v>
      </c>
      <c r="E713" s="2" t="s">
        <v>229</v>
      </c>
      <c r="F713" s="2" t="s">
        <v>59</v>
      </c>
      <c r="G713" s="2" t="s">
        <v>228</v>
      </c>
      <c r="H713" s="7">
        <v>741180</v>
      </c>
      <c r="I713">
        <v>23</v>
      </c>
      <c r="J713">
        <v>27</v>
      </c>
      <c r="K713" s="14">
        <v>0.56521739130434778</v>
      </c>
      <c r="L713" s="7">
        <f t="shared" si="22"/>
        <v>418927.82608695648</v>
      </c>
      <c r="M713" s="14">
        <v>0.69565217391304346</v>
      </c>
      <c r="N713" s="7">
        <f t="shared" si="23"/>
        <v>515603.47826086957</v>
      </c>
    </row>
    <row r="714" spans="1:14" x14ac:dyDescent="0.2">
      <c r="A714" s="2" t="s">
        <v>971</v>
      </c>
      <c r="B714" s="2" t="s">
        <v>56</v>
      </c>
      <c r="C714" s="2" t="s">
        <v>150</v>
      </c>
      <c r="D714" s="2">
        <v>1011150</v>
      </c>
      <c r="E714" s="2" t="s">
        <v>151</v>
      </c>
      <c r="F714" s="2" t="s">
        <v>63</v>
      </c>
      <c r="G714" s="2" t="s">
        <v>149</v>
      </c>
      <c r="H714" s="7">
        <v>60021</v>
      </c>
      <c r="I714">
        <v>23</v>
      </c>
      <c r="J714">
        <v>27</v>
      </c>
      <c r="K714" s="14">
        <v>0.56521739130434778</v>
      </c>
      <c r="L714" s="7">
        <f t="shared" si="22"/>
        <v>33924.913043478256</v>
      </c>
      <c r="M714" s="14">
        <v>0.69565217391304346</v>
      </c>
      <c r="N714" s="7">
        <f t="shared" si="23"/>
        <v>41753.739130434784</v>
      </c>
    </row>
    <row r="715" spans="1:14" x14ac:dyDescent="0.2">
      <c r="A715" s="2" t="s">
        <v>971</v>
      </c>
      <c r="B715" s="2" t="s">
        <v>56</v>
      </c>
      <c r="C715" s="2" t="s">
        <v>150</v>
      </c>
      <c r="D715" s="2">
        <v>1011151</v>
      </c>
      <c r="E715" s="2" t="s">
        <v>153</v>
      </c>
      <c r="F715" s="2" t="s">
        <v>67</v>
      </c>
      <c r="G715" s="2" t="s">
        <v>152</v>
      </c>
      <c r="H715" s="7">
        <v>60021</v>
      </c>
      <c r="I715">
        <v>23</v>
      </c>
      <c r="J715">
        <v>27</v>
      </c>
      <c r="K715" s="14">
        <v>0.56521739130434778</v>
      </c>
      <c r="L715" s="7">
        <f t="shared" si="22"/>
        <v>33924.913043478256</v>
      </c>
      <c r="M715" s="14">
        <v>0.69565217391304346</v>
      </c>
      <c r="N715" s="7">
        <f t="shared" si="23"/>
        <v>41753.739130434784</v>
      </c>
    </row>
    <row r="716" spans="1:14" x14ac:dyDescent="0.2">
      <c r="A716" s="2" t="s">
        <v>971</v>
      </c>
      <c r="B716" s="2" t="s">
        <v>56</v>
      </c>
      <c r="C716" s="2" t="s">
        <v>150</v>
      </c>
      <c r="D716" s="2">
        <v>1011611</v>
      </c>
      <c r="E716" s="2" t="s">
        <v>731</v>
      </c>
      <c r="F716" s="2" t="s">
        <v>59</v>
      </c>
      <c r="G716" s="2" t="s">
        <v>533</v>
      </c>
      <c r="H716" s="7">
        <v>0</v>
      </c>
      <c r="I716">
        <v>23</v>
      </c>
      <c r="J716">
        <v>27</v>
      </c>
      <c r="K716" s="14">
        <v>0.56521739130434778</v>
      </c>
      <c r="L716" s="7">
        <f t="shared" si="22"/>
        <v>0</v>
      </c>
      <c r="M716" s="14">
        <v>0.69565217391304346</v>
      </c>
      <c r="N716" s="7">
        <f t="shared" si="23"/>
        <v>0</v>
      </c>
    </row>
    <row r="717" spans="1:14" x14ac:dyDescent="0.2">
      <c r="A717" s="2" t="s">
        <v>971</v>
      </c>
      <c r="B717" s="2" t="s">
        <v>56</v>
      </c>
      <c r="C717" s="2" t="s">
        <v>150</v>
      </c>
      <c r="D717" s="2">
        <v>1011614</v>
      </c>
      <c r="E717" s="2" t="s">
        <v>732</v>
      </c>
      <c r="F717" s="2" t="s">
        <v>59</v>
      </c>
      <c r="G717" s="2" t="s">
        <v>487</v>
      </c>
      <c r="H717" s="7">
        <v>59862</v>
      </c>
      <c r="I717">
        <v>23</v>
      </c>
      <c r="J717">
        <v>27</v>
      </c>
      <c r="K717" s="14">
        <v>0.56521739130434778</v>
      </c>
      <c r="L717" s="7">
        <f t="shared" si="22"/>
        <v>33835.043478260865</v>
      </c>
      <c r="M717" s="14">
        <v>0.69565217391304346</v>
      </c>
      <c r="N717" s="7">
        <f t="shared" si="23"/>
        <v>41643.130434782608</v>
      </c>
    </row>
    <row r="718" spans="1:14" x14ac:dyDescent="0.2">
      <c r="A718" s="2" t="s">
        <v>971</v>
      </c>
      <c r="B718" s="2" t="s">
        <v>56</v>
      </c>
      <c r="C718" s="2" t="s">
        <v>150</v>
      </c>
      <c r="D718" s="2">
        <v>1011748</v>
      </c>
      <c r="E718" s="2" t="s">
        <v>227</v>
      </c>
      <c r="F718" s="2" t="s">
        <v>59</v>
      </c>
      <c r="G718" s="2" t="s">
        <v>482</v>
      </c>
      <c r="H718" s="7">
        <v>0</v>
      </c>
      <c r="I718">
        <v>23</v>
      </c>
      <c r="J718">
        <v>27</v>
      </c>
      <c r="K718" s="14">
        <v>0.56521739130434778</v>
      </c>
      <c r="L718" s="7">
        <f t="shared" si="22"/>
        <v>0</v>
      </c>
      <c r="M718" s="14">
        <v>0.69565217391304346</v>
      </c>
      <c r="N718" s="7">
        <f t="shared" si="23"/>
        <v>0</v>
      </c>
    </row>
    <row r="719" spans="1:14" x14ac:dyDescent="0.2">
      <c r="A719" s="2" t="s">
        <v>971</v>
      </c>
      <c r="B719" s="2" t="s">
        <v>56</v>
      </c>
      <c r="C719" s="2" t="s">
        <v>150</v>
      </c>
      <c r="D719" s="2">
        <v>1012278</v>
      </c>
      <c r="E719" s="2" t="s">
        <v>231</v>
      </c>
      <c r="F719" s="2" t="s">
        <v>63</v>
      </c>
      <c r="G719" s="2" t="s">
        <v>230</v>
      </c>
      <c r="H719" s="7">
        <v>0</v>
      </c>
      <c r="I719">
        <v>23</v>
      </c>
      <c r="J719">
        <v>27</v>
      </c>
      <c r="K719" s="14">
        <v>0.56521739130434778</v>
      </c>
      <c r="L719" s="7">
        <f t="shared" si="22"/>
        <v>0</v>
      </c>
      <c r="M719" s="14">
        <v>0.69565217391304346</v>
      </c>
      <c r="N719" s="7">
        <f t="shared" si="23"/>
        <v>0</v>
      </c>
    </row>
    <row r="720" spans="1:14" x14ac:dyDescent="0.2">
      <c r="A720" s="2" t="s">
        <v>971</v>
      </c>
      <c r="B720" s="2" t="s">
        <v>56</v>
      </c>
      <c r="C720" s="2" t="s">
        <v>150</v>
      </c>
      <c r="D720" s="2">
        <v>1012534</v>
      </c>
      <c r="E720" s="2" t="s">
        <v>233</v>
      </c>
      <c r="F720" s="2" t="s">
        <v>234</v>
      </c>
      <c r="G720" s="2" t="s">
        <v>232</v>
      </c>
      <c r="H720" s="7">
        <v>0</v>
      </c>
      <c r="I720">
        <v>23</v>
      </c>
      <c r="J720">
        <v>27</v>
      </c>
      <c r="K720" s="14">
        <v>0.56521739130434778</v>
      </c>
      <c r="L720" s="7">
        <f t="shared" si="22"/>
        <v>0</v>
      </c>
      <c r="M720" s="14">
        <v>0.69565217391304346</v>
      </c>
      <c r="N720" s="7">
        <f t="shared" si="23"/>
        <v>0</v>
      </c>
    </row>
    <row r="721" spans="1:14" x14ac:dyDescent="0.2">
      <c r="A721" s="2" t="s">
        <v>971</v>
      </c>
      <c r="B721" s="2" t="s">
        <v>56</v>
      </c>
      <c r="C721" s="2" t="s">
        <v>150</v>
      </c>
      <c r="D721" s="2">
        <v>1012725</v>
      </c>
      <c r="E721" s="2" t="s">
        <v>155</v>
      </c>
      <c r="F721" s="2" t="s">
        <v>67</v>
      </c>
      <c r="G721" s="2" t="s">
        <v>154</v>
      </c>
      <c r="H721" s="7">
        <v>0</v>
      </c>
      <c r="I721">
        <v>23</v>
      </c>
      <c r="J721">
        <v>27</v>
      </c>
      <c r="K721" s="14">
        <v>0.56521739130434778</v>
      </c>
      <c r="L721" s="7">
        <f t="shared" si="22"/>
        <v>0</v>
      </c>
      <c r="M721" s="14">
        <v>0.69565217391304346</v>
      </c>
      <c r="N721" s="7">
        <f t="shared" si="23"/>
        <v>0</v>
      </c>
    </row>
    <row r="722" spans="1:14" x14ac:dyDescent="0.2">
      <c r="A722" s="2" t="s">
        <v>971</v>
      </c>
      <c r="B722" s="2" t="s">
        <v>56</v>
      </c>
      <c r="C722" s="2" t="s">
        <v>150</v>
      </c>
      <c r="D722" s="2">
        <v>1012764</v>
      </c>
      <c r="E722" s="2" t="s">
        <v>733</v>
      </c>
      <c r="F722" s="2" t="s">
        <v>710</v>
      </c>
      <c r="G722" s="2" t="s">
        <v>491</v>
      </c>
      <c r="H722" s="7">
        <v>0</v>
      </c>
      <c r="I722">
        <v>23</v>
      </c>
      <c r="J722">
        <v>27</v>
      </c>
      <c r="K722" s="14">
        <v>0.56521739130434778</v>
      </c>
      <c r="L722" s="7">
        <f t="shared" si="22"/>
        <v>0</v>
      </c>
      <c r="M722" s="14">
        <v>0.69565217391304346</v>
      </c>
      <c r="N722" s="7">
        <f t="shared" si="23"/>
        <v>0</v>
      </c>
    </row>
    <row r="723" spans="1:14" x14ac:dyDescent="0.2">
      <c r="A723" s="2" t="s">
        <v>971</v>
      </c>
      <c r="B723" s="2" t="s">
        <v>56</v>
      </c>
      <c r="C723" s="2" t="s">
        <v>150</v>
      </c>
      <c r="D723" s="2">
        <v>1012796</v>
      </c>
      <c r="E723" s="2" t="s">
        <v>734</v>
      </c>
      <c r="F723" s="2" t="s">
        <v>63</v>
      </c>
      <c r="G723" s="2" t="s">
        <v>523</v>
      </c>
      <c r="H723" s="7">
        <v>0</v>
      </c>
      <c r="I723">
        <v>23</v>
      </c>
      <c r="J723">
        <v>27</v>
      </c>
      <c r="K723" s="14">
        <v>0.56521739130434778</v>
      </c>
      <c r="L723" s="7">
        <f t="shared" si="22"/>
        <v>0</v>
      </c>
      <c r="M723" s="14">
        <v>0.69565217391304346</v>
      </c>
      <c r="N723" s="7">
        <f t="shared" si="23"/>
        <v>0</v>
      </c>
    </row>
    <row r="724" spans="1:14" x14ac:dyDescent="0.2">
      <c r="A724" s="2" t="s">
        <v>971</v>
      </c>
      <c r="B724" s="2" t="s">
        <v>56</v>
      </c>
      <c r="C724" s="2" t="s">
        <v>735</v>
      </c>
      <c r="D724" s="2">
        <v>1011421</v>
      </c>
      <c r="E724" s="2" t="s">
        <v>736</v>
      </c>
      <c r="F724" s="2" t="s">
        <v>710</v>
      </c>
      <c r="G724" s="2" t="s">
        <v>484</v>
      </c>
      <c r="H724" s="7">
        <v>839732.15899999999</v>
      </c>
      <c r="I724">
        <v>25</v>
      </c>
      <c r="J724">
        <v>27</v>
      </c>
      <c r="K724" s="14">
        <v>0.6</v>
      </c>
      <c r="L724" s="7">
        <f t="shared" si="22"/>
        <v>503839.29539999994</v>
      </c>
      <c r="M724" s="14">
        <v>0.72</v>
      </c>
      <c r="N724" s="7">
        <f t="shared" si="23"/>
        <v>604607.15447999991</v>
      </c>
    </row>
    <row r="725" spans="1:14" x14ac:dyDescent="0.2">
      <c r="A725" s="2" t="s">
        <v>971</v>
      </c>
      <c r="B725" s="2" t="s">
        <v>56</v>
      </c>
      <c r="C725" s="2" t="s">
        <v>735</v>
      </c>
      <c r="D725" s="2">
        <v>1011558</v>
      </c>
      <c r="E725" s="2" t="s">
        <v>737</v>
      </c>
      <c r="F725" s="2" t="s">
        <v>710</v>
      </c>
      <c r="G725" s="2" t="s">
        <v>603</v>
      </c>
      <c r="H725" s="7">
        <v>73482.759000000005</v>
      </c>
      <c r="I725">
        <v>25</v>
      </c>
      <c r="J725">
        <v>27</v>
      </c>
      <c r="K725" s="14">
        <v>0.6</v>
      </c>
      <c r="L725" s="7">
        <f t="shared" si="22"/>
        <v>44089.655400000003</v>
      </c>
      <c r="M725" s="14">
        <v>0.72</v>
      </c>
      <c r="N725" s="7">
        <f t="shared" si="23"/>
        <v>52907.586480000005</v>
      </c>
    </row>
    <row r="726" spans="1:14" x14ac:dyDescent="0.2">
      <c r="A726" s="2" t="s">
        <v>971</v>
      </c>
      <c r="B726" s="2" t="s">
        <v>56</v>
      </c>
      <c r="C726" s="2" t="s">
        <v>735</v>
      </c>
      <c r="D726" s="2">
        <v>1012208</v>
      </c>
      <c r="E726" s="2" t="s">
        <v>916</v>
      </c>
      <c r="F726" s="2" t="s">
        <v>917</v>
      </c>
      <c r="G726" s="2" t="s">
        <v>641</v>
      </c>
      <c r="H726" s="7">
        <v>68678.838000000003</v>
      </c>
      <c r="I726">
        <v>25</v>
      </c>
      <c r="J726">
        <v>27</v>
      </c>
      <c r="K726" s="14">
        <v>0.6</v>
      </c>
      <c r="L726" s="7">
        <f t="shared" si="22"/>
        <v>41207.302799999998</v>
      </c>
      <c r="M726" s="14">
        <v>0.72</v>
      </c>
      <c r="N726" s="7">
        <f t="shared" si="23"/>
        <v>49448.763359999997</v>
      </c>
    </row>
    <row r="727" spans="1:14" x14ac:dyDescent="0.2">
      <c r="A727" s="2" t="s">
        <v>971</v>
      </c>
      <c r="B727" s="2" t="s">
        <v>56</v>
      </c>
      <c r="C727" s="2" t="s">
        <v>741</v>
      </c>
      <c r="D727" s="2">
        <v>1012612</v>
      </c>
      <c r="E727" s="2" t="s">
        <v>742</v>
      </c>
      <c r="F727" s="2" t="s">
        <v>710</v>
      </c>
      <c r="G727" s="2" t="s">
        <v>429</v>
      </c>
      <c r="H727" s="7">
        <v>67839.834000000003</v>
      </c>
      <c r="I727">
        <v>25</v>
      </c>
      <c r="J727">
        <v>27</v>
      </c>
      <c r="K727" s="14">
        <v>0.6</v>
      </c>
      <c r="L727" s="7">
        <f t="shared" si="22"/>
        <v>40703.900399999999</v>
      </c>
      <c r="M727" s="14">
        <v>0.72</v>
      </c>
      <c r="N727" s="7">
        <f t="shared" si="23"/>
        <v>48844.680480000003</v>
      </c>
    </row>
    <row r="728" spans="1:14" x14ac:dyDescent="0.2">
      <c r="A728" s="2" t="s">
        <v>971</v>
      </c>
      <c r="B728" s="2" t="s">
        <v>56</v>
      </c>
      <c r="C728" s="2" t="s">
        <v>46</v>
      </c>
      <c r="D728" s="2">
        <v>1011417</v>
      </c>
      <c r="E728" s="2" t="s">
        <v>743</v>
      </c>
      <c r="F728" s="2" t="s">
        <v>63</v>
      </c>
      <c r="G728" s="2" t="s">
        <v>421</v>
      </c>
      <c r="H728" s="7">
        <v>0</v>
      </c>
      <c r="I728">
        <v>25</v>
      </c>
      <c r="J728">
        <v>27</v>
      </c>
      <c r="K728" s="14">
        <v>0.6</v>
      </c>
      <c r="L728" s="7">
        <f t="shared" si="22"/>
        <v>0</v>
      </c>
      <c r="M728" s="14">
        <v>0.72</v>
      </c>
      <c r="N728" s="7">
        <f t="shared" si="23"/>
        <v>0</v>
      </c>
    </row>
    <row r="729" spans="1:14" x14ac:dyDescent="0.2">
      <c r="A729" s="2" t="s">
        <v>971</v>
      </c>
      <c r="B729" s="2" t="s">
        <v>56</v>
      </c>
      <c r="C729" s="2" t="s">
        <v>46</v>
      </c>
      <c r="D729" s="2">
        <v>1011586</v>
      </c>
      <c r="E729" s="2" t="s">
        <v>744</v>
      </c>
      <c r="F729" s="2" t="s">
        <v>63</v>
      </c>
      <c r="G729" s="2" t="s">
        <v>420</v>
      </c>
      <c r="H729" s="7">
        <v>119724</v>
      </c>
      <c r="I729">
        <v>25</v>
      </c>
      <c r="J729">
        <v>27</v>
      </c>
      <c r="K729" s="14">
        <v>0.6</v>
      </c>
      <c r="L729" s="7">
        <f t="shared" si="22"/>
        <v>71834.399999999994</v>
      </c>
      <c r="M729" s="14">
        <v>0.72</v>
      </c>
      <c r="N729" s="7">
        <f t="shared" si="23"/>
        <v>86201.279999999999</v>
      </c>
    </row>
    <row r="730" spans="1:14" x14ac:dyDescent="0.2">
      <c r="A730" s="2" t="s">
        <v>971</v>
      </c>
      <c r="B730" s="2" t="s">
        <v>56</v>
      </c>
      <c r="C730" s="2" t="s">
        <v>46</v>
      </c>
      <c r="D730" s="2">
        <v>1011967</v>
      </c>
      <c r="E730" s="2" t="s">
        <v>244</v>
      </c>
      <c r="F730" s="2" t="s">
        <v>245</v>
      </c>
      <c r="G730" s="2" t="s">
        <v>418</v>
      </c>
      <c r="H730" s="7">
        <v>0</v>
      </c>
      <c r="I730">
        <v>25</v>
      </c>
      <c r="J730">
        <v>27</v>
      </c>
      <c r="K730" s="14">
        <v>0.6</v>
      </c>
      <c r="L730" s="7">
        <f t="shared" si="22"/>
        <v>0</v>
      </c>
      <c r="M730" s="14">
        <v>0.72</v>
      </c>
      <c r="N730" s="7">
        <f t="shared" si="23"/>
        <v>0</v>
      </c>
    </row>
    <row r="731" spans="1:14" x14ac:dyDescent="0.2">
      <c r="A731" s="2" t="s">
        <v>971</v>
      </c>
      <c r="B731" s="2" t="s">
        <v>56</v>
      </c>
      <c r="C731" s="2" t="s">
        <v>46</v>
      </c>
      <c r="D731" s="2">
        <v>1011968</v>
      </c>
      <c r="E731" s="2" t="s">
        <v>247</v>
      </c>
      <c r="F731" s="2" t="s">
        <v>245</v>
      </c>
      <c r="G731" s="2" t="s">
        <v>438</v>
      </c>
      <c r="H731" s="7">
        <v>41940</v>
      </c>
      <c r="I731">
        <v>25</v>
      </c>
      <c r="J731">
        <v>27</v>
      </c>
      <c r="K731" s="14">
        <v>0.6</v>
      </c>
      <c r="L731" s="7">
        <f t="shared" si="22"/>
        <v>25164</v>
      </c>
      <c r="M731" s="14">
        <v>0.72</v>
      </c>
      <c r="N731" s="7">
        <f t="shared" si="23"/>
        <v>30196.799999999999</v>
      </c>
    </row>
    <row r="732" spans="1:14" x14ac:dyDescent="0.2">
      <c r="A732" s="2" t="s">
        <v>971</v>
      </c>
      <c r="B732" s="2" t="s">
        <v>56</v>
      </c>
      <c r="C732" s="2" t="s">
        <v>46</v>
      </c>
      <c r="D732" s="2">
        <v>1011969</v>
      </c>
      <c r="E732" s="2" t="s">
        <v>745</v>
      </c>
      <c r="F732" s="2" t="s">
        <v>245</v>
      </c>
      <c r="G732" s="2" t="s">
        <v>417</v>
      </c>
      <c r="H732" s="7">
        <v>72000</v>
      </c>
      <c r="I732">
        <v>25</v>
      </c>
      <c r="J732">
        <v>27</v>
      </c>
      <c r="K732" s="14">
        <v>0.6</v>
      </c>
      <c r="L732" s="7">
        <f t="shared" si="22"/>
        <v>43200</v>
      </c>
      <c r="M732" s="14">
        <v>0.72</v>
      </c>
      <c r="N732" s="7">
        <f t="shared" si="23"/>
        <v>51840</v>
      </c>
    </row>
    <row r="733" spans="1:14" x14ac:dyDescent="0.2">
      <c r="A733" s="2" t="s">
        <v>971</v>
      </c>
      <c r="B733" s="2" t="s">
        <v>56</v>
      </c>
      <c r="C733" s="2" t="s">
        <v>46</v>
      </c>
      <c r="D733" s="2">
        <v>1012005</v>
      </c>
      <c r="E733" s="2" t="s">
        <v>746</v>
      </c>
      <c r="F733" s="2" t="s">
        <v>245</v>
      </c>
      <c r="G733" s="2" t="s">
        <v>531</v>
      </c>
      <c r="H733" s="7">
        <v>0</v>
      </c>
      <c r="I733">
        <v>25</v>
      </c>
      <c r="J733">
        <v>27</v>
      </c>
      <c r="K733" s="14">
        <v>0.6</v>
      </c>
      <c r="L733" s="7">
        <f t="shared" si="22"/>
        <v>0</v>
      </c>
      <c r="M733" s="14">
        <v>0.72</v>
      </c>
      <c r="N733" s="7">
        <f t="shared" si="23"/>
        <v>0</v>
      </c>
    </row>
    <row r="734" spans="1:14" x14ac:dyDescent="0.2">
      <c r="A734" s="2" t="s">
        <v>971</v>
      </c>
      <c r="B734" s="2" t="s">
        <v>56</v>
      </c>
      <c r="C734" s="2" t="s">
        <v>46</v>
      </c>
      <c r="D734" s="2">
        <v>1012218</v>
      </c>
      <c r="E734" s="2" t="s">
        <v>236</v>
      </c>
      <c r="F734" s="2" t="s">
        <v>63</v>
      </c>
      <c r="G734" s="2" t="s">
        <v>235</v>
      </c>
      <c r="H734" s="7">
        <v>0</v>
      </c>
      <c r="I734">
        <v>25</v>
      </c>
      <c r="J734">
        <v>27</v>
      </c>
      <c r="K734" s="14">
        <v>0.6</v>
      </c>
      <c r="L734" s="7">
        <f t="shared" si="22"/>
        <v>0</v>
      </c>
      <c r="M734" s="14">
        <v>0.72</v>
      </c>
      <c r="N734" s="7">
        <f t="shared" si="23"/>
        <v>0</v>
      </c>
    </row>
    <row r="735" spans="1:14" x14ac:dyDescent="0.2">
      <c r="A735" s="2" t="s">
        <v>971</v>
      </c>
      <c r="B735" s="2" t="s">
        <v>56</v>
      </c>
      <c r="C735" s="2" t="s">
        <v>46</v>
      </c>
      <c r="D735" s="2">
        <v>1012275</v>
      </c>
      <c r="E735" s="2" t="s">
        <v>238</v>
      </c>
      <c r="F735" s="2" t="s">
        <v>63</v>
      </c>
      <c r="G735" s="2" t="s">
        <v>237</v>
      </c>
      <c r="H735" s="7">
        <v>0</v>
      </c>
      <c r="I735">
        <v>25</v>
      </c>
      <c r="J735">
        <v>27</v>
      </c>
      <c r="K735" s="14">
        <v>0.6</v>
      </c>
      <c r="L735" s="7">
        <f t="shared" si="22"/>
        <v>0</v>
      </c>
      <c r="M735" s="14">
        <v>0.72</v>
      </c>
      <c r="N735" s="7">
        <f t="shared" si="23"/>
        <v>0</v>
      </c>
    </row>
    <row r="736" spans="1:14" x14ac:dyDescent="0.2">
      <c r="A736" s="2" t="s">
        <v>971</v>
      </c>
      <c r="B736" s="2" t="s">
        <v>56</v>
      </c>
      <c r="C736" s="2" t="s">
        <v>46</v>
      </c>
      <c r="D736" s="2">
        <v>1012434</v>
      </c>
      <c r="E736" s="2" t="s">
        <v>240</v>
      </c>
      <c r="F736" s="2" t="s">
        <v>63</v>
      </c>
      <c r="G736" s="2" t="s">
        <v>239</v>
      </c>
      <c r="H736" s="7">
        <v>0</v>
      </c>
      <c r="I736">
        <v>25</v>
      </c>
      <c r="J736">
        <v>27</v>
      </c>
      <c r="K736" s="14">
        <v>0.6</v>
      </c>
      <c r="L736" s="7">
        <f t="shared" si="22"/>
        <v>0</v>
      </c>
      <c r="M736" s="14">
        <v>0.72</v>
      </c>
      <c r="N736" s="7">
        <f t="shared" si="23"/>
        <v>0</v>
      </c>
    </row>
    <row r="737" spans="1:14" x14ac:dyDescent="0.2">
      <c r="A737" s="2" t="s">
        <v>971</v>
      </c>
      <c r="B737" s="2" t="s">
        <v>56</v>
      </c>
      <c r="C737" s="2" t="s">
        <v>46</v>
      </c>
      <c r="D737" s="2">
        <v>1012448</v>
      </c>
      <c r="E737" s="2" t="s">
        <v>747</v>
      </c>
      <c r="F737" s="2" t="s">
        <v>245</v>
      </c>
      <c r="G737" s="2" t="s">
        <v>451</v>
      </c>
      <c r="H737" s="7">
        <v>143100</v>
      </c>
      <c r="I737">
        <v>25</v>
      </c>
      <c r="J737">
        <v>27</v>
      </c>
      <c r="K737" s="14">
        <v>0.6</v>
      </c>
      <c r="L737" s="7">
        <f t="shared" si="22"/>
        <v>85860</v>
      </c>
      <c r="M737" s="14">
        <v>0.72</v>
      </c>
      <c r="N737" s="7">
        <f t="shared" si="23"/>
        <v>103032</v>
      </c>
    </row>
    <row r="738" spans="1:14" x14ac:dyDescent="0.2">
      <c r="A738" s="2" t="s">
        <v>971</v>
      </c>
      <c r="B738" s="2" t="s">
        <v>56</v>
      </c>
      <c r="C738" s="2" t="s">
        <v>46</v>
      </c>
      <c r="D738" s="2">
        <v>1012451</v>
      </c>
      <c r="E738" s="2" t="s">
        <v>157</v>
      </c>
      <c r="F738" s="2" t="s">
        <v>63</v>
      </c>
      <c r="G738" s="2" t="s">
        <v>156</v>
      </c>
      <c r="H738" s="7">
        <v>65610</v>
      </c>
      <c r="I738">
        <v>25</v>
      </c>
      <c r="J738">
        <v>27</v>
      </c>
      <c r="K738" s="14">
        <v>0.6</v>
      </c>
      <c r="L738" s="7">
        <f t="shared" si="22"/>
        <v>39366</v>
      </c>
      <c r="M738" s="14">
        <v>0.72</v>
      </c>
      <c r="N738" s="7">
        <f t="shared" si="23"/>
        <v>47239.199999999997</v>
      </c>
    </row>
    <row r="739" spans="1:14" x14ac:dyDescent="0.2">
      <c r="A739" s="2" t="s">
        <v>971</v>
      </c>
      <c r="B739" s="2" t="s">
        <v>56</v>
      </c>
      <c r="C739" s="2" t="s">
        <v>46</v>
      </c>
      <c r="D739" s="2">
        <v>1012452</v>
      </c>
      <c r="E739" s="2" t="s">
        <v>748</v>
      </c>
      <c r="F739" s="2" t="s">
        <v>63</v>
      </c>
      <c r="G739" s="2" t="s">
        <v>419</v>
      </c>
      <c r="H739" s="7">
        <v>0</v>
      </c>
      <c r="I739">
        <v>25</v>
      </c>
      <c r="J739">
        <v>27</v>
      </c>
      <c r="K739" s="14">
        <v>0.6</v>
      </c>
      <c r="L739" s="7">
        <f t="shared" si="22"/>
        <v>0</v>
      </c>
      <c r="M739" s="14">
        <v>0.72</v>
      </c>
      <c r="N739" s="7">
        <f t="shared" si="23"/>
        <v>0</v>
      </c>
    </row>
    <row r="740" spans="1:14" x14ac:dyDescent="0.2">
      <c r="A740" s="2" t="s">
        <v>971</v>
      </c>
      <c r="B740" s="2" t="s">
        <v>56</v>
      </c>
      <c r="C740" s="2" t="s">
        <v>46</v>
      </c>
      <c r="D740" s="2">
        <v>1012453</v>
      </c>
      <c r="E740" s="2" t="s">
        <v>242</v>
      </c>
      <c r="F740" s="2" t="s">
        <v>63</v>
      </c>
      <c r="G740" s="2" t="s">
        <v>241</v>
      </c>
      <c r="H740" s="7">
        <v>2996.4</v>
      </c>
      <c r="I740">
        <v>25</v>
      </c>
      <c r="J740">
        <v>27</v>
      </c>
      <c r="K740" s="14">
        <v>0.6</v>
      </c>
      <c r="L740" s="7">
        <f t="shared" si="22"/>
        <v>1797.84</v>
      </c>
      <c r="M740" s="14">
        <v>0.72</v>
      </c>
      <c r="N740" s="7">
        <f t="shared" si="23"/>
        <v>2157.4079999999999</v>
      </c>
    </row>
    <row r="741" spans="1:14" x14ac:dyDescent="0.2">
      <c r="A741" s="2" t="s">
        <v>971</v>
      </c>
      <c r="B741" s="2" t="s">
        <v>56</v>
      </c>
      <c r="C741" s="2" t="s">
        <v>46</v>
      </c>
      <c r="D741" s="2">
        <v>1012455</v>
      </c>
      <c r="E741" s="2" t="s">
        <v>749</v>
      </c>
      <c r="F741" s="2" t="s">
        <v>63</v>
      </c>
      <c r="G741" s="2" t="s">
        <v>450</v>
      </c>
      <c r="H741" s="7">
        <v>0</v>
      </c>
      <c r="I741">
        <v>25</v>
      </c>
      <c r="J741">
        <v>27</v>
      </c>
      <c r="K741" s="14">
        <v>0.6</v>
      </c>
      <c r="L741" s="7">
        <f t="shared" si="22"/>
        <v>0</v>
      </c>
      <c r="M741" s="14">
        <v>0.72</v>
      </c>
      <c r="N741" s="7">
        <f t="shared" si="23"/>
        <v>0</v>
      </c>
    </row>
    <row r="742" spans="1:14" x14ac:dyDescent="0.2">
      <c r="A742" s="2" t="s">
        <v>971</v>
      </c>
      <c r="B742" s="2" t="s">
        <v>56</v>
      </c>
      <c r="C742" s="2" t="s">
        <v>46</v>
      </c>
      <c r="D742" s="2">
        <v>1012502</v>
      </c>
      <c r="E742" s="2" t="s">
        <v>918</v>
      </c>
      <c r="F742" s="2" t="s">
        <v>245</v>
      </c>
      <c r="G742" s="2" t="s">
        <v>565</v>
      </c>
      <c r="H742" s="7">
        <v>71160</v>
      </c>
      <c r="I742">
        <v>25</v>
      </c>
      <c r="J742">
        <v>27</v>
      </c>
      <c r="K742" s="14">
        <v>0.6</v>
      </c>
      <c r="L742" s="7">
        <f t="shared" si="22"/>
        <v>42696</v>
      </c>
      <c r="M742" s="14">
        <v>0.72</v>
      </c>
      <c r="N742" s="7">
        <f t="shared" si="23"/>
        <v>51235.199999999997</v>
      </c>
    </row>
    <row r="743" spans="1:14" x14ac:dyDescent="0.2">
      <c r="A743" s="2" t="s">
        <v>971</v>
      </c>
      <c r="B743" s="2" t="s">
        <v>56</v>
      </c>
      <c r="C743" s="2" t="s">
        <v>46</v>
      </c>
      <c r="D743" s="2">
        <v>1012503</v>
      </c>
      <c r="E743" s="2" t="s">
        <v>750</v>
      </c>
      <c r="F743" s="2" t="s">
        <v>245</v>
      </c>
      <c r="G743" s="2" t="s">
        <v>448</v>
      </c>
      <c r="H743" s="7">
        <v>0</v>
      </c>
      <c r="I743">
        <v>25</v>
      </c>
      <c r="J743">
        <v>27</v>
      </c>
      <c r="K743" s="14">
        <v>0.6</v>
      </c>
      <c r="L743" s="7">
        <f t="shared" si="22"/>
        <v>0</v>
      </c>
      <c r="M743" s="14">
        <v>0.72</v>
      </c>
      <c r="N743" s="7">
        <f t="shared" si="23"/>
        <v>0</v>
      </c>
    </row>
    <row r="744" spans="1:14" x14ac:dyDescent="0.2">
      <c r="A744" s="2" t="s">
        <v>971</v>
      </c>
      <c r="B744" s="2" t="s">
        <v>56</v>
      </c>
      <c r="C744" s="2" t="s">
        <v>46</v>
      </c>
      <c r="D744" s="2">
        <v>1012504</v>
      </c>
      <c r="E744" s="2" t="s">
        <v>747</v>
      </c>
      <c r="F744" s="2" t="s">
        <v>245</v>
      </c>
      <c r="G744" s="2" t="s">
        <v>563</v>
      </c>
      <c r="H744" s="7">
        <v>72000</v>
      </c>
      <c r="I744">
        <v>25</v>
      </c>
      <c r="J744">
        <v>27</v>
      </c>
      <c r="K744" s="14">
        <v>0.6</v>
      </c>
      <c r="L744" s="7">
        <f t="shared" si="22"/>
        <v>43200</v>
      </c>
      <c r="M744" s="14">
        <v>0.72</v>
      </c>
      <c r="N744" s="7">
        <f t="shared" si="23"/>
        <v>51840</v>
      </c>
    </row>
    <row r="745" spans="1:14" x14ac:dyDescent="0.2">
      <c r="A745" s="2" t="s">
        <v>971</v>
      </c>
      <c r="B745" s="2" t="s">
        <v>56</v>
      </c>
      <c r="C745" s="2" t="s">
        <v>46</v>
      </c>
      <c r="D745" s="2">
        <v>1012525</v>
      </c>
      <c r="E745" s="2" t="s">
        <v>244</v>
      </c>
      <c r="F745" s="2" t="s">
        <v>245</v>
      </c>
      <c r="G745" s="2" t="s">
        <v>243</v>
      </c>
      <c r="H745" s="7">
        <v>0</v>
      </c>
      <c r="I745">
        <v>25</v>
      </c>
      <c r="J745">
        <v>27</v>
      </c>
      <c r="K745" s="14">
        <v>0.6</v>
      </c>
      <c r="L745" s="7">
        <f t="shared" si="22"/>
        <v>0</v>
      </c>
      <c r="M745" s="14">
        <v>0.72</v>
      </c>
      <c r="N745" s="7">
        <f t="shared" si="23"/>
        <v>0</v>
      </c>
    </row>
    <row r="746" spans="1:14" x14ac:dyDescent="0.2">
      <c r="A746" s="2" t="s">
        <v>971</v>
      </c>
      <c r="B746" s="2" t="s">
        <v>56</v>
      </c>
      <c r="C746" s="2" t="s">
        <v>46</v>
      </c>
      <c r="D746" s="2">
        <v>1012526</v>
      </c>
      <c r="E746" s="2" t="s">
        <v>247</v>
      </c>
      <c r="F746" s="2" t="s">
        <v>245</v>
      </c>
      <c r="G746" s="2" t="s">
        <v>246</v>
      </c>
      <c r="H746" s="7">
        <v>24360</v>
      </c>
      <c r="I746">
        <v>25</v>
      </c>
      <c r="J746">
        <v>27</v>
      </c>
      <c r="K746" s="14">
        <v>0.6</v>
      </c>
      <c r="L746" s="7">
        <f t="shared" si="22"/>
        <v>14616</v>
      </c>
      <c r="M746" s="14">
        <v>0.72</v>
      </c>
      <c r="N746" s="7">
        <f t="shared" si="23"/>
        <v>17539.2</v>
      </c>
    </row>
    <row r="747" spans="1:14" x14ac:dyDescent="0.2">
      <c r="A747" s="2" t="s">
        <v>971</v>
      </c>
      <c r="B747" s="2" t="s">
        <v>56</v>
      </c>
      <c r="C747" s="2" t="s">
        <v>46</v>
      </c>
      <c r="D747" s="2">
        <v>1012527</v>
      </c>
      <c r="E747" s="2" t="s">
        <v>751</v>
      </c>
      <c r="F747" s="2" t="s">
        <v>245</v>
      </c>
      <c r="G747" s="2" t="s">
        <v>557</v>
      </c>
      <c r="H747" s="7">
        <v>72000</v>
      </c>
      <c r="I747">
        <v>25</v>
      </c>
      <c r="J747">
        <v>27</v>
      </c>
      <c r="K747" s="14">
        <v>0.6</v>
      </c>
      <c r="L747" s="7">
        <f t="shared" si="22"/>
        <v>43200</v>
      </c>
      <c r="M747" s="14">
        <v>0.72</v>
      </c>
      <c r="N747" s="7">
        <f t="shared" si="23"/>
        <v>51840</v>
      </c>
    </row>
    <row r="748" spans="1:14" x14ac:dyDescent="0.2">
      <c r="A748" s="2" t="s">
        <v>971</v>
      </c>
      <c r="B748" s="2" t="s">
        <v>56</v>
      </c>
      <c r="C748" s="2" t="s">
        <v>46</v>
      </c>
      <c r="D748" s="2">
        <v>1012595</v>
      </c>
      <c r="E748" s="2" t="s">
        <v>249</v>
      </c>
      <c r="F748" s="2" t="s">
        <v>59</v>
      </c>
      <c r="G748" s="2" t="s">
        <v>248</v>
      </c>
      <c r="H748" s="7">
        <v>0</v>
      </c>
      <c r="I748">
        <v>25</v>
      </c>
      <c r="J748">
        <v>27</v>
      </c>
      <c r="K748" s="14">
        <v>0.6</v>
      </c>
      <c r="L748" s="7">
        <f t="shared" si="22"/>
        <v>0</v>
      </c>
      <c r="M748" s="14">
        <v>0.72</v>
      </c>
      <c r="N748" s="7">
        <f t="shared" si="23"/>
        <v>0</v>
      </c>
    </row>
    <row r="749" spans="1:14" x14ac:dyDescent="0.2">
      <c r="A749" s="2" t="s">
        <v>971</v>
      </c>
      <c r="B749" s="2" t="s">
        <v>56</v>
      </c>
      <c r="C749" s="2" t="s">
        <v>46</v>
      </c>
      <c r="D749" s="2">
        <v>1012622</v>
      </c>
      <c r="E749" s="2" t="s">
        <v>251</v>
      </c>
      <c r="F749" s="2" t="s">
        <v>124</v>
      </c>
      <c r="G749" s="2" t="s">
        <v>250</v>
      </c>
      <c r="H749" s="7">
        <v>0</v>
      </c>
      <c r="I749">
        <v>25</v>
      </c>
      <c r="J749">
        <v>27</v>
      </c>
      <c r="K749" s="14">
        <v>0.6</v>
      </c>
      <c r="L749" s="7">
        <f t="shared" si="22"/>
        <v>0</v>
      </c>
      <c r="M749" s="14">
        <v>0.72</v>
      </c>
      <c r="N749" s="7">
        <f t="shared" si="23"/>
        <v>0</v>
      </c>
    </row>
    <row r="750" spans="1:14" x14ac:dyDescent="0.2">
      <c r="A750" s="2" t="s">
        <v>971</v>
      </c>
      <c r="B750" s="2" t="s">
        <v>56</v>
      </c>
      <c r="C750" s="2" t="s">
        <v>46</v>
      </c>
      <c r="D750" s="2">
        <v>1012681</v>
      </c>
      <c r="E750" s="2" t="s">
        <v>753</v>
      </c>
      <c r="F750" s="2" t="s">
        <v>259</v>
      </c>
      <c r="G750" s="2" t="s">
        <v>449</v>
      </c>
      <c r="H750" s="7">
        <v>72000</v>
      </c>
      <c r="I750">
        <v>25</v>
      </c>
      <c r="J750">
        <v>27</v>
      </c>
      <c r="K750" s="14">
        <v>0.6</v>
      </c>
      <c r="L750" s="7">
        <f t="shared" si="22"/>
        <v>43200</v>
      </c>
      <c r="M750" s="14">
        <v>0.72</v>
      </c>
      <c r="N750" s="7">
        <f t="shared" si="23"/>
        <v>51840</v>
      </c>
    </row>
    <row r="751" spans="1:14" x14ac:dyDescent="0.2">
      <c r="A751" s="2" t="s">
        <v>971</v>
      </c>
      <c r="B751" s="2" t="s">
        <v>56</v>
      </c>
      <c r="C751" s="2" t="s">
        <v>46</v>
      </c>
      <c r="D751" s="2">
        <v>1012823</v>
      </c>
      <c r="E751" s="2" t="s">
        <v>919</v>
      </c>
      <c r="F751" s="2" t="s">
        <v>224</v>
      </c>
      <c r="G751" s="2" t="s">
        <v>522</v>
      </c>
      <c r="H751" s="7">
        <v>0</v>
      </c>
      <c r="I751">
        <v>25</v>
      </c>
      <c r="J751">
        <v>27</v>
      </c>
      <c r="K751" s="14">
        <v>0.6</v>
      </c>
      <c r="L751" s="7">
        <f t="shared" si="22"/>
        <v>0</v>
      </c>
      <c r="M751" s="14">
        <v>0.72</v>
      </c>
      <c r="N751" s="7">
        <f t="shared" si="23"/>
        <v>0</v>
      </c>
    </row>
    <row r="752" spans="1:14" x14ac:dyDescent="0.2">
      <c r="A752" s="2" t="s">
        <v>971</v>
      </c>
      <c r="B752" s="2" t="s">
        <v>56</v>
      </c>
      <c r="C752" s="2" t="s">
        <v>37</v>
      </c>
      <c r="D752" s="2">
        <v>1012326</v>
      </c>
      <c r="E752" s="2" t="s">
        <v>253</v>
      </c>
      <c r="F752" s="2" t="s">
        <v>54</v>
      </c>
      <c r="G752" s="2" t="s">
        <v>252</v>
      </c>
      <c r="H752" s="7">
        <v>0</v>
      </c>
      <c r="I752">
        <v>25</v>
      </c>
      <c r="J752">
        <v>27</v>
      </c>
      <c r="K752" s="14">
        <v>0.6</v>
      </c>
      <c r="L752" s="7">
        <f t="shared" si="22"/>
        <v>0</v>
      </c>
      <c r="M752" s="14">
        <v>0.72</v>
      </c>
      <c r="N752" s="7">
        <f t="shared" si="23"/>
        <v>0</v>
      </c>
    </row>
    <row r="753" spans="1:14" x14ac:dyDescent="0.2">
      <c r="A753" s="2" t="s">
        <v>971</v>
      </c>
      <c r="B753" s="2" t="s">
        <v>34</v>
      </c>
      <c r="C753" s="2" t="s">
        <v>52</v>
      </c>
      <c r="D753" s="2">
        <v>1020822</v>
      </c>
      <c r="E753" s="2" t="s">
        <v>255</v>
      </c>
      <c r="F753" s="2" t="s">
        <v>172</v>
      </c>
      <c r="G753" s="2" t="s">
        <v>254</v>
      </c>
      <c r="H753" s="7">
        <v>0</v>
      </c>
      <c r="I753">
        <v>25</v>
      </c>
      <c r="J753">
        <v>27</v>
      </c>
      <c r="K753" s="14">
        <v>0.6</v>
      </c>
      <c r="L753" s="7">
        <f t="shared" si="22"/>
        <v>0</v>
      </c>
      <c r="M753" s="14">
        <v>0.72</v>
      </c>
      <c r="N753" s="7">
        <f t="shared" si="23"/>
        <v>0</v>
      </c>
    </row>
    <row r="754" spans="1:14" x14ac:dyDescent="0.2">
      <c r="A754" s="2" t="s">
        <v>971</v>
      </c>
      <c r="B754" s="2" t="s">
        <v>34</v>
      </c>
      <c r="C754" s="2" t="s">
        <v>52</v>
      </c>
      <c r="D754" s="2">
        <v>1020828</v>
      </c>
      <c r="E754" s="2" t="s">
        <v>75</v>
      </c>
      <c r="F754" s="2" t="s">
        <v>76</v>
      </c>
      <c r="G754" s="2" t="s">
        <v>74</v>
      </c>
      <c r="H754" s="7">
        <v>0</v>
      </c>
      <c r="I754">
        <v>25</v>
      </c>
      <c r="J754">
        <v>27</v>
      </c>
      <c r="K754" s="14">
        <v>0.6</v>
      </c>
      <c r="L754" s="7">
        <f t="shared" si="22"/>
        <v>0</v>
      </c>
      <c r="M754" s="14">
        <v>0.72</v>
      </c>
      <c r="N754" s="7">
        <f t="shared" si="23"/>
        <v>0</v>
      </c>
    </row>
    <row r="755" spans="1:14" x14ac:dyDescent="0.2">
      <c r="A755" s="2" t="s">
        <v>971</v>
      </c>
      <c r="B755" s="2" t="s">
        <v>34</v>
      </c>
      <c r="C755" s="2" t="s">
        <v>52</v>
      </c>
      <c r="D755" s="2">
        <v>1021140</v>
      </c>
      <c r="E755" s="2" t="s">
        <v>756</v>
      </c>
      <c r="F755" s="2" t="s">
        <v>76</v>
      </c>
      <c r="G755" s="2" t="s">
        <v>412</v>
      </c>
      <c r="H755" s="7">
        <v>0</v>
      </c>
      <c r="I755">
        <v>25</v>
      </c>
      <c r="J755">
        <v>27</v>
      </c>
      <c r="K755" s="14">
        <v>0.6</v>
      </c>
      <c r="L755" s="7">
        <f t="shared" si="22"/>
        <v>0</v>
      </c>
      <c r="M755" s="14">
        <v>0.72</v>
      </c>
      <c r="N755" s="7">
        <f t="shared" si="23"/>
        <v>0</v>
      </c>
    </row>
    <row r="756" spans="1:14" x14ac:dyDescent="0.2">
      <c r="A756" s="2" t="s">
        <v>971</v>
      </c>
      <c r="B756" s="2" t="s">
        <v>34</v>
      </c>
      <c r="C756" s="2" t="s">
        <v>52</v>
      </c>
      <c r="D756" s="2">
        <v>1021398</v>
      </c>
      <c r="E756" s="2" t="s">
        <v>119</v>
      </c>
      <c r="F756" s="2" t="s">
        <v>67</v>
      </c>
      <c r="G756" s="2" t="s">
        <v>118</v>
      </c>
      <c r="H756" s="7">
        <v>0</v>
      </c>
      <c r="I756">
        <v>25</v>
      </c>
      <c r="J756">
        <v>27</v>
      </c>
      <c r="K756" s="14">
        <v>0.6</v>
      </c>
      <c r="L756" s="7">
        <f t="shared" si="22"/>
        <v>0</v>
      </c>
      <c r="M756" s="14">
        <v>0.72</v>
      </c>
      <c r="N756" s="7">
        <f t="shared" si="23"/>
        <v>0</v>
      </c>
    </row>
    <row r="757" spans="1:14" x14ac:dyDescent="0.2">
      <c r="A757" s="2" t="s">
        <v>971</v>
      </c>
      <c r="B757" s="2" t="s">
        <v>34</v>
      </c>
      <c r="C757" s="2" t="s">
        <v>52</v>
      </c>
      <c r="D757" s="2">
        <v>1021538</v>
      </c>
      <c r="E757" s="2" t="s">
        <v>177</v>
      </c>
      <c r="F757" s="2" t="s">
        <v>178</v>
      </c>
      <c r="G757" s="2" t="s">
        <v>256</v>
      </c>
      <c r="H757" s="7">
        <v>72011.964000000007</v>
      </c>
      <c r="I757">
        <v>25</v>
      </c>
      <c r="J757">
        <v>27</v>
      </c>
      <c r="K757" s="14">
        <v>0.6</v>
      </c>
      <c r="L757" s="7">
        <f t="shared" si="22"/>
        <v>43207.178400000004</v>
      </c>
      <c r="M757" s="14">
        <v>0.72</v>
      </c>
      <c r="N757" s="7">
        <f t="shared" si="23"/>
        <v>51848.614080000007</v>
      </c>
    </row>
    <row r="758" spans="1:14" x14ac:dyDescent="0.2">
      <c r="A758" s="2" t="s">
        <v>971</v>
      </c>
      <c r="B758" s="2" t="s">
        <v>34</v>
      </c>
      <c r="C758" s="2" t="s">
        <v>52</v>
      </c>
      <c r="D758" s="2">
        <v>1021539</v>
      </c>
      <c r="E758" s="2" t="s">
        <v>758</v>
      </c>
      <c r="F758" s="2" t="s">
        <v>178</v>
      </c>
      <c r="G758" s="2" t="s">
        <v>437</v>
      </c>
      <c r="H758" s="7">
        <v>0</v>
      </c>
      <c r="I758">
        <v>25</v>
      </c>
      <c r="J758">
        <v>27</v>
      </c>
      <c r="K758" s="14">
        <v>0.6</v>
      </c>
      <c r="L758" s="7">
        <f t="shared" si="22"/>
        <v>0</v>
      </c>
      <c r="M758" s="14">
        <v>0.72</v>
      </c>
      <c r="N758" s="7">
        <f t="shared" si="23"/>
        <v>0</v>
      </c>
    </row>
    <row r="759" spans="1:14" x14ac:dyDescent="0.2">
      <c r="A759" s="2" t="s">
        <v>971</v>
      </c>
      <c r="B759" s="2" t="s">
        <v>34</v>
      </c>
      <c r="C759" s="2" t="s">
        <v>52</v>
      </c>
      <c r="D759" s="2">
        <v>1022619</v>
      </c>
      <c r="E759" s="2" t="s">
        <v>159</v>
      </c>
      <c r="F759" s="2" t="s">
        <v>160</v>
      </c>
      <c r="G759" s="2" t="s">
        <v>158</v>
      </c>
      <c r="H759" s="7">
        <v>0</v>
      </c>
      <c r="I759">
        <v>25</v>
      </c>
      <c r="J759">
        <v>27</v>
      </c>
      <c r="K759" s="14">
        <v>0.6</v>
      </c>
      <c r="L759" s="7">
        <f t="shared" si="22"/>
        <v>0</v>
      </c>
      <c r="M759" s="14">
        <v>0.72</v>
      </c>
      <c r="N759" s="7">
        <f t="shared" si="23"/>
        <v>0</v>
      </c>
    </row>
    <row r="760" spans="1:14" x14ac:dyDescent="0.2">
      <c r="A760" s="2" t="s">
        <v>971</v>
      </c>
      <c r="B760" s="2" t="s">
        <v>34</v>
      </c>
      <c r="C760" s="2" t="s">
        <v>52</v>
      </c>
      <c r="D760" s="2">
        <v>1022814</v>
      </c>
      <c r="E760" s="2" t="s">
        <v>759</v>
      </c>
      <c r="F760" s="2" t="s">
        <v>124</v>
      </c>
      <c r="G760" s="2" t="s">
        <v>760</v>
      </c>
      <c r="H760" s="7">
        <v>0</v>
      </c>
      <c r="I760">
        <v>25</v>
      </c>
      <c r="J760">
        <v>27</v>
      </c>
      <c r="K760" s="14">
        <v>0.6</v>
      </c>
      <c r="L760" s="7">
        <f t="shared" si="22"/>
        <v>0</v>
      </c>
      <c r="M760" s="14">
        <v>0.72</v>
      </c>
      <c r="N760" s="7">
        <f t="shared" si="23"/>
        <v>0</v>
      </c>
    </row>
    <row r="761" spans="1:14" x14ac:dyDescent="0.2">
      <c r="A761" s="2" t="s">
        <v>971</v>
      </c>
      <c r="B761" s="2" t="s">
        <v>34</v>
      </c>
      <c r="C761" s="2" t="s">
        <v>52</v>
      </c>
      <c r="D761" s="2">
        <v>1023273</v>
      </c>
      <c r="E761" s="2" t="s">
        <v>261</v>
      </c>
      <c r="F761" s="2" t="s">
        <v>96</v>
      </c>
      <c r="G761" s="2" t="s">
        <v>260</v>
      </c>
      <c r="H761" s="7">
        <v>0</v>
      </c>
      <c r="I761">
        <v>25</v>
      </c>
      <c r="J761">
        <v>27</v>
      </c>
      <c r="K761" s="14">
        <v>0.6</v>
      </c>
      <c r="L761" s="7">
        <f t="shared" si="22"/>
        <v>0</v>
      </c>
      <c r="M761" s="14">
        <v>0.72</v>
      </c>
      <c r="N761" s="7">
        <f t="shared" si="23"/>
        <v>0</v>
      </c>
    </row>
    <row r="762" spans="1:14" x14ac:dyDescent="0.2">
      <c r="A762" s="2" t="s">
        <v>971</v>
      </c>
      <c r="B762" s="2" t="s">
        <v>34</v>
      </c>
      <c r="C762" s="2" t="s">
        <v>52</v>
      </c>
      <c r="D762" s="2">
        <v>1023274</v>
      </c>
      <c r="E762" s="2" t="s">
        <v>162</v>
      </c>
      <c r="F762" s="2" t="s">
        <v>96</v>
      </c>
      <c r="G762" s="2" t="s">
        <v>161</v>
      </c>
      <c r="H762" s="7">
        <v>0</v>
      </c>
      <c r="I762">
        <v>25</v>
      </c>
      <c r="J762">
        <v>27</v>
      </c>
      <c r="K762" s="14">
        <v>0.6</v>
      </c>
      <c r="L762" s="7">
        <f t="shared" si="22"/>
        <v>0</v>
      </c>
      <c r="M762" s="14">
        <v>0.72</v>
      </c>
      <c r="N762" s="7">
        <f t="shared" si="23"/>
        <v>0</v>
      </c>
    </row>
    <row r="763" spans="1:14" x14ac:dyDescent="0.2">
      <c r="A763" s="2" t="s">
        <v>971</v>
      </c>
      <c r="B763" s="2" t="s">
        <v>34</v>
      </c>
      <c r="C763" s="2" t="s">
        <v>52</v>
      </c>
      <c r="D763" s="2">
        <v>1023276</v>
      </c>
      <c r="E763" s="2" t="s">
        <v>95</v>
      </c>
      <c r="F763" s="2" t="s">
        <v>96</v>
      </c>
      <c r="G763" s="2" t="s">
        <v>94</v>
      </c>
      <c r="H763" s="7">
        <v>0</v>
      </c>
      <c r="I763">
        <v>25</v>
      </c>
      <c r="J763">
        <v>27</v>
      </c>
      <c r="K763" s="14">
        <v>0.6</v>
      </c>
      <c r="L763" s="7">
        <f t="shared" si="22"/>
        <v>0</v>
      </c>
      <c r="M763" s="14">
        <v>0.72</v>
      </c>
      <c r="N763" s="7">
        <f t="shared" si="23"/>
        <v>0</v>
      </c>
    </row>
    <row r="764" spans="1:14" x14ac:dyDescent="0.2">
      <c r="A764" s="2" t="s">
        <v>971</v>
      </c>
      <c r="B764" s="2" t="s">
        <v>34</v>
      </c>
      <c r="C764" s="2" t="s">
        <v>52</v>
      </c>
      <c r="D764" s="2">
        <v>1023446</v>
      </c>
      <c r="E764" s="2" t="s">
        <v>761</v>
      </c>
      <c r="F764" s="2" t="s">
        <v>178</v>
      </c>
      <c r="G764" s="2" t="s">
        <v>614</v>
      </c>
      <c r="H764" s="7">
        <v>0</v>
      </c>
      <c r="I764">
        <v>25</v>
      </c>
      <c r="J764">
        <v>27</v>
      </c>
      <c r="K764" s="14">
        <v>0.6</v>
      </c>
      <c r="L764" s="7">
        <f t="shared" si="22"/>
        <v>0</v>
      </c>
      <c r="M764" s="14">
        <v>0.72</v>
      </c>
      <c r="N764" s="7">
        <f t="shared" si="23"/>
        <v>0</v>
      </c>
    </row>
    <row r="765" spans="1:14" x14ac:dyDescent="0.2">
      <c r="A765" s="2" t="s">
        <v>971</v>
      </c>
      <c r="B765" s="2" t="s">
        <v>34</v>
      </c>
      <c r="C765" s="2" t="s">
        <v>226</v>
      </c>
      <c r="D765" s="2">
        <v>1020660</v>
      </c>
      <c r="E765" s="2" t="s">
        <v>166</v>
      </c>
      <c r="F765" s="2" t="s">
        <v>167</v>
      </c>
      <c r="G765" s="2" t="s">
        <v>497</v>
      </c>
      <c r="H765" s="7">
        <v>0</v>
      </c>
      <c r="I765">
        <v>25</v>
      </c>
      <c r="J765">
        <v>27</v>
      </c>
      <c r="K765" s="14">
        <v>0.6</v>
      </c>
      <c r="L765" s="7">
        <f t="shared" si="22"/>
        <v>0</v>
      </c>
      <c r="M765" s="14">
        <v>0.72</v>
      </c>
      <c r="N765" s="7">
        <f t="shared" si="23"/>
        <v>0</v>
      </c>
    </row>
    <row r="766" spans="1:14" x14ac:dyDescent="0.2">
      <c r="A766" s="2" t="s">
        <v>971</v>
      </c>
      <c r="B766" s="2" t="s">
        <v>34</v>
      </c>
      <c r="C766" s="2" t="s">
        <v>226</v>
      </c>
      <c r="D766" s="2">
        <v>1020853</v>
      </c>
      <c r="E766" s="2" t="s">
        <v>119</v>
      </c>
      <c r="F766" s="2" t="s">
        <v>67</v>
      </c>
      <c r="G766" s="2" t="s">
        <v>262</v>
      </c>
      <c r="H766" s="7">
        <v>240000</v>
      </c>
      <c r="I766">
        <v>25</v>
      </c>
      <c r="J766">
        <v>27</v>
      </c>
      <c r="K766" s="14">
        <v>0.6</v>
      </c>
      <c r="L766" s="7">
        <f t="shared" si="22"/>
        <v>144000</v>
      </c>
      <c r="M766" s="14">
        <v>0.72</v>
      </c>
      <c r="N766" s="7">
        <f t="shared" si="23"/>
        <v>172800</v>
      </c>
    </row>
    <row r="767" spans="1:14" x14ac:dyDescent="0.2">
      <c r="A767" s="2" t="s">
        <v>971</v>
      </c>
      <c r="B767" s="2" t="s">
        <v>34</v>
      </c>
      <c r="C767" s="2" t="s">
        <v>226</v>
      </c>
      <c r="D767" s="2">
        <v>1021550</v>
      </c>
      <c r="E767" s="2" t="s">
        <v>762</v>
      </c>
      <c r="F767" s="2" t="s">
        <v>181</v>
      </c>
      <c r="G767" s="2" t="s">
        <v>763</v>
      </c>
      <c r="H767" s="7">
        <v>2280</v>
      </c>
      <c r="I767">
        <v>25</v>
      </c>
      <c r="J767">
        <v>27</v>
      </c>
      <c r="K767" s="14">
        <v>0.6</v>
      </c>
      <c r="L767" s="7">
        <f t="shared" si="22"/>
        <v>1368</v>
      </c>
      <c r="M767" s="14">
        <v>0.72</v>
      </c>
      <c r="N767" s="7">
        <f t="shared" si="23"/>
        <v>1641.6</v>
      </c>
    </row>
    <row r="768" spans="1:14" x14ac:dyDescent="0.2">
      <c r="A768" s="2" t="s">
        <v>971</v>
      </c>
      <c r="B768" s="2" t="s">
        <v>34</v>
      </c>
      <c r="C768" s="2" t="s">
        <v>226</v>
      </c>
      <c r="D768" s="2">
        <v>1022858</v>
      </c>
      <c r="E768" s="2" t="s">
        <v>768</v>
      </c>
      <c r="F768" s="2" t="s">
        <v>43</v>
      </c>
      <c r="G768" s="2" t="s">
        <v>428</v>
      </c>
      <c r="H768" s="7">
        <v>0</v>
      </c>
      <c r="I768">
        <v>25</v>
      </c>
      <c r="J768">
        <v>27</v>
      </c>
      <c r="K768" s="14">
        <v>0.6</v>
      </c>
      <c r="L768" s="7">
        <f t="shared" si="22"/>
        <v>0</v>
      </c>
      <c r="M768" s="14">
        <v>0.72</v>
      </c>
      <c r="N768" s="7">
        <f t="shared" si="23"/>
        <v>0</v>
      </c>
    </row>
    <row r="769" spans="1:14" x14ac:dyDescent="0.2">
      <c r="A769" s="2" t="s">
        <v>971</v>
      </c>
      <c r="B769" s="2" t="s">
        <v>34</v>
      </c>
      <c r="C769" s="2" t="s">
        <v>226</v>
      </c>
      <c r="D769" s="2">
        <v>1023422</v>
      </c>
      <c r="E769" s="2" t="s">
        <v>920</v>
      </c>
      <c r="F769" s="2" t="s">
        <v>259</v>
      </c>
      <c r="G769" s="2" t="s">
        <v>539</v>
      </c>
      <c r="H769" s="7">
        <v>0</v>
      </c>
      <c r="I769">
        <v>25</v>
      </c>
      <c r="J769">
        <v>27</v>
      </c>
      <c r="K769" s="14">
        <v>0.6</v>
      </c>
      <c r="L769" s="7">
        <f t="shared" si="22"/>
        <v>0</v>
      </c>
      <c r="M769" s="14">
        <v>0.72</v>
      </c>
      <c r="N769" s="7">
        <f t="shared" si="23"/>
        <v>0</v>
      </c>
    </row>
    <row r="770" spans="1:14" x14ac:dyDescent="0.2">
      <c r="A770" s="2" t="s">
        <v>971</v>
      </c>
      <c r="B770" s="2" t="s">
        <v>34</v>
      </c>
      <c r="C770" s="2" t="s">
        <v>150</v>
      </c>
      <c r="D770" s="2">
        <v>1020845</v>
      </c>
      <c r="E770" s="2" t="s">
        <v>771</v>
      </c>
      <c r="F770" s="2" t="s">
        <v>43</v>
      </c>
      <c r="G770" s="2" t="s">
        <v>496</v>
      </c>
      <c r="H770" s="7">
        <v>0</v>
      </c>
      <c r="I770">
        <v>23</v>
      </c>
      <c r="J770">
        <v>27</v>
      </c>
      <c r="K770" s="14">
        <v>0.56521739130434778</v>
      </c>
      <c r="L770" s="7">
        <f t="shared" ref="L770:L833" si="24">K770 * H770</f>
        <v>0</v>
      </c>
      <c r="M770" s="14">
        <v>0.69565217391304346</v>
      </c>
      <c r="N770" s="7">
        <f t="shared" ref="N770:N833" si="25">M770 * H770</f>
        <v>0</v>
      </c>
    </row>
    <row r="771" spans="1:14" x14ac:dyDescent="0.2">
      <c r="A771" s="2" t="s">
        <v>971</v>
      </c>
      <c r="B771" s="2" t="s">
        <v>34</v>
      </c>
      <c r="C771" s="2" t="s">
        <v>150</v>
      </c>
      <c r="D771" s="2">
        <v>1021020</v>
      </c>
      <c r="E771" s="2" t="s">
        <v>772</v>
      </c>
      <c r="F771" s="2" t="s">
        <v>773</v>
      </c>
      <c r="G771" s="2" t="s">
        <v>608</v>
      </c>
      <c r="H771" s="7">
        <v>0</v>
      </c>
      <c r="I771">
        <v>23</v>
      </c>
      <c r="J771">
        <v>27</v>
      </c>
      <c r="K771" s="14">
        <v>0.56521739130434778</v>
      </c>
      <c r="L771" s="7">
        <f t="shared" si="24"/>
        <v>0</v>
      </c>
      <c r="M771" s="14">
        <v>0.69565217391304346</v>
      </c>
      <c r="N771" s="7">
        <f t="shared" si="25"/>
        <v>0</v>
      </c>
    </row>
    <row r="772" spans="1:14" x14ac:dyDescent="0.2">
      <c r="A772" s="2" t="s">
        <v>971</v>
      </c>
      <c r="B772" s="2" t="s">
        <v>34</v>
      </c>
      <c r="C772" s="2" t="s">
        <v>150</v>
      </c>
      <c r="D772" s="2">
        <v>1021270</v>
      </c>
      <c r="E772" s="2" t="s">
        <v>774</v>
      </c>
      <c r="F772" s="2" t="s">
        <v>175</v>
      </c>
      <c r="G772" s="2" t="s">
        <v>424</v>
      </c>
      <c r="H772" s="7">
        <v>0</v>
      </c>
      <c r="I772">
        <v>23</v>
      </c>
      <c r="J772">
        <v>27</v>
      </c>
      <c r="K772" s="14">
        <v>0.56521739130434778</v>
      </c>
      <c r="L772" s="7">
        <f t="shared" si="24"/>
        <v>0</v>
      </c>
      <c r="M772" s="14">
        <v>0.69565217391304346</v>
      </c>
      <c r="N772" s="7">
        <f t="shared" si="25"/>
        <v>0</v>
      </c>
    </row>
    <row r="773" spans="1:14" x14ac:dyDescent="0.2">
      <c r="A773" s="2" t="s">
        <v>971</v>
      </c>
      <c r="B773" s="2" t="s">
        <v>34</v>
      </c>
      <c r="C773" s="2" t="s">
        <v>150</v>
      </c>
      <c r="D773" s="2">
        <v>1021272</v>
      </c>
      <c r="E773" s="2" t="s">
        <v>264</v>
      </c>
      <c r="F773" s="2" t="s">
        <v>175</v>
      </c>
      <c r="G773" s="2" t="s">
        <v>263</v>
      </c>
      <c r="H773" s="7">
        <v>288111.609</v>
      </c>
      <c r="I773">
        <v>23</v>
      </c>
      <c r="J773">
        <v>27</v>
      </c>
      <c r="K773" s="14">
        <v>0.56521739130434778</v>
      </c>
      <c r="L773" s="7">
        <f t="shared" si="24"/>
        <v>162845.69204347825</v>
      </c>
      <c r="M773" s="14">
        <v>0.69565217391304346</v>
      </c>
      <c r="N773" s="7">
        <f t="shared" si="25"/>
        <v>200425.46713043479</v>
      </c>
    </row>
    <row r="774" spans="1:14" x14ac:dyDescent="0.2">
      <c r="A774" s="2" t="s">
        <v>971</v>
      </c>
      <c r="B774" s="2" t="s">
        <v>34</v>
      </c>
      <c r="C774" s="2" t="s">
        <v>150</v>
      </c>
      <c r="D774" s="2">
        <v>1021555</v>
      </c>
      <c r="E774" s="2" t="s">
        <v>775</v>
      </c>
      <c r="F774" s="2" t="s">
        <v>48</v>
      </c>
      <c r="G774" s="2" t="s">
        <v>422</v>
      </c>
      <c r="H774" s="7">
        <v>76193.388999999996</v>
      </c>
      <c r="I774">
        <v>23</v>
      </c>
      <c r="J774">
        <v>27</v>
      </c>
      <c r="K774" s="14">
        <v>0.56521739130434778</v>
      </c>
      <c r="L774" s="7">
        <f t="shared" si="24"/>
        <v>43065.828565217387</v>
      </c>
      <c r="M774" s="14">
        <v>0.69565217391304346</v>
      </c>
      <c r="N774" s="7">
        <f t="shared" si="25"/>
        <v>53004.096695652166</v>
      </c>
    </row>
    <row r="775" spans="1:14" x14ac:dyDescent="0.2">
      <c r="A775" s="2" t="s">
        <v>971</v>
      </c>
      <c r="B775" s="2" t="s">
        <v>34</v>
      </c>
      <c r="C775" s="2" t="s">
        <v>150</v>
      </c>
      <c r="D775" s="2">
        <v>1021874</v>
      </c>
      <c r="E775" s="2" t="s">
        <v>776</v>
      </c>
      <c r="F775" s="2" t="s">
        <v>48</v>
      </c>
      <c r="G775" s="2" t="s">
        <v>514</v>
      </c>
      <c r="H775" s="7">
        <v>417195.06599999999</v>
      </c>
      <c r="I775">
        <v>23</v>
      </c>
      <c r="J775">
        <v>27</v>
      </c>
      <c r="K775" s="14">
        <v>0.56521739130434778</v>
      </c>
      <c r="L775" s="7">
        <f t="shared" si="24"/>
        <v>235805.90686956519</v>
      </c>
      <c r="M775" s="14">
        <v>0.69565217391304346</v>
      </c>
      <c r="N775" s="7">
        <f t="shared" si="25"/>
        <v>290222.65460869565</v>
      </c>
    </row>
    <row r="776" spans="1:14" x14ac:dyDescent="0.2">
      <c r="A776" s="2" t="s">
        <v>971</v>
      </c>
      <c r="B776" s="2" t="s">
        <v>34</v>
      </c>
      <c r="C776" s="2" t="s">
        <v>150</v>
      </c>
      <c r="D776" s="2">
        <v>1022115</v>
      </c>
      <c r="E776" s="2" t="s">
        <v>921</v>
      </c>
      <c r="F776" s="2" t="s">
        <v>773</v>
      </c>
      <c r="G776" s="2" t="s">
        <v>922</v>
      </c>
      <c r="H776" s="7">
        <v>144058.152</v>
      </c>
      <c r="I776">
        <v>23</v>
      </c>
      <c r="J776">
        <v>27</v>
      </c>
      <c r="K776" s="14">
        <v>0.56521739130434778</v>
      </c>
      <c r="L776" s="7">
        <f t="shared" si="24"/>
        <v>81424.172869565213</v>
      </c>
      <c r="M776" s="14">
        <v>0.69565217391304346</v>
      </c>
      <c r="N776" s="7">
        <f t="shared" si="25"/>
        <v>100214.36660869565</v>
      </c>
    </row>
    <row r="777" spans="1:14" x14ac:dyDescent="0.2">
      <c r="A777" s="2" t="s">
        <v>971</v>
      </c>
      <c r="B777" s="2" t="s">
        <v>34</v>
      </c>
      <c r="C777" s="2" t="s">
        <v>150</v>
      </c>
      <c r="D777" s="2">
        <v>1022854</v>
      </c>
      <c r="E777" s="2" t="s">
        <v>923</v>
      </c>
      <c r="F777" s="2" t="s">
        <v>172</v>
      </c>
      <c r="G777" s="2" t="s">
        <v>550</v>
      </c>
      <c r="H777" s="7">
        <v>0</v>
      </c>
      <c r="I777">
        <v>23</v>
      </c>
      <c r="J777">
        <v>27</v>
      </c>
      <c r="K777" s="14">
        <v>0.56521739130434778</v>
      </c>
      <c r="L777" s="7">
        <f t="shared" si="24"/>
        <v>0</v>
      </c>
      <c r="M777" s="14">
        <v>0.69565217391304346</v>
      </c>
      <c r="N777" s="7">
        <f t="shared" si="25"/>
        <v>0</v>
      </c>
    </row>
    <row r="778" spans="1:14" x14ac:dyDescent="0.2">
      <c r="A778" s="2" t="s">
        <v>971</v>
      </c>
      <c r="B778" s="2" t="s">
        <v>34</v>
      </c>
      <c r="C778" s="2" t="s">
        <v>150</v>
      </c>
      <c r="D778" s="2">
        <v>1023218</v>
      </c>
      <c r="E778" s="2" t="s">
        <v>266</v>
      </c>
      <c r="F778" s="2" t="s">
        <v>259</v>
      </c>
      <c r="G778" s="2" t="s">
        <v>265</v>
      </c>
      <c r="H778" s="7">
        <v>71340</v>
      </c>
      <c r="I778">
        <v>23</v>
      </c>
      <c r="J778">
        <v>27</v>
      </c>
      <c r="K778" s="14">
        <v>0.56521739130434778</v>
      </c>
      <c r="L778" s="7">
        <f t="shared" si="24"/>
        <v>40322.608695652169</v>
      </c>
      <c r="M778" s="14">
        <v>0.69565217391304346</v>
      </c>
      <c r="N778" s="7">
        <f t="shared" si="25"/>
        <v>49627.82608695652</v>
      </c>
    </row>
    <row r="779" spans="1:14" x14ac:dyDescent="0.2">
      <c r="A779" s="2" t="s">
        <v>971</v>
      </c>
      <c r="B779" s="2" t="s">
        <v>34</v>
      </c>
      <c r="C779" s="2" t="s">
        <v>150</v>
      </c>
      <c r="D779" s="2">
        <v>1023302</v>
      </c>
      <c r="E779" s="2" t="s">
        <v>47</v>
      </c>
      <c r="F779" s="2" t="s">
        <v>48</v>
      </c>
      <c r="G779" s="2" t="s">
        <v>268</v>
      </c>
      <c r="H779" s="7">
        <v>432120</v>
      </c>
      <c r="I779">
        <v>23</v>
      </c>
      <c r="J779">
        <v>27</v>
      </c>
      <c r="K779" s="14">
        <v>0.56521739130434778</v>
      </c>
      <c r="L779" s="7">
        <f t="shared" si="24"/>
        <v>244241.73913043475</v>
      </c>
      <c r="M779" s="14">
        <v>0.69565217391304346</v>
      </c>
      <c r="N779" s="7">
        <f t="shared" si="25"/>
        <v>300605.21739130432</v>
      </c>
    </row>
    <row r="780" spans="1:14" x14ac:dyDescent="0.2">
      <c r="A780" s="2" t="s">
        <v>971</v>
      </c>
      <c r="B780" s="2" t="s">
        <v>34</v>
      </c>
      <c r="C780" s="2" t="s">
        <v>150</v>
      </c>
      <c r="D780" s="2">
        <v>1023319</v>
      </c>
      <c r="E780" s="2" t="s">
        <v>778</v>
      </c>
      <c r="F780" s="2" t="s">
        <v>181</v>
      </c>
      <c r="G780" s="2" t="s">
        <v>559</v>
      </c>
      <c r="H780" s="7">
        <v>0</v>
      </c>
      <c r="I780">
        <v>23</v>
      </c>
      <c r="J780">
        <v>27</v>
      </c>
      <c r="K780" s="14">
        <v>0.56521739130434778</v>
      </c>
      <c r="L780" s="7">
        <f t="shared" si="24"/>
        <v>0</v>
      </c>
      <c r="M780" s="14">
        <v>0.69565217391304346</v>
      </c>
      <c r="N780" s="7">
        <f t="shared" si="25"/>
        <v>0</v>
      </c>
    </row>
    <row r="781" spans="1:14" x14ac:dyDescent="0.2">
      <c r="A781" s="2" t="s">
        <v>971</v>
      </c>
      <c r="B781" s="2" t="s">
        <v>34</v>
      </c>
      <c r="C781" s="2" t="s">
        <v>150</v>
      </c>
      <c r="D781" s="2">
        <v>1023324</v>
      </c>
      <c r="E781" s="2" t="s">
        <v>270</v>
      </c>
      <c r="F781" s="2" t="s">
        <v>96</v>
      </c>
      <c r="G781" s="2" t="s">
        <v>269</v>
      </c>
      <c r="H781" s="7">
        <v>0</v>
      </c>
      <c r="I781">
        <v>23</v>
      </c>
      <c r="J781">
        <v>27</v>
      </c>
      <c r="K781" s="14">
        <v>0.56521739130434778</v>
      </c>
      <c r="L781" s="7">
        <f t="shared" si="24"/>
        <v>0</v>
      </c>
      <c r="M781" s="14">
        <v>0.69565217391304346</v>
      </c>
      <c r="N781" s="7">
        <f t="shared" si="25"/>
        <v>0</v>
      </c>
    </row>
    <row r="782" spans="1:14" x14ac:dyDescent="0.2">
      <c r="A782" s="2" t="s">
        <v>971</v>
      </c>
      <c r="B782" s="2" t="s">
        <v>34</v>
      </c>
      <c r="C782" s="2" t="s">
        <v>150</v>
      </c>
      <c r="D782" s="2">
        <v>1023343</v>
      </c>
      <c r="E782" s="2" t="s">
        <v>779</v>
      </c>
      <c r="F782" s="2" t="s">
        <v>181</v>
      </c>
      <c r="G782" s="2" t="s">
        <v>483</v>
      </c>
      <c r="H782" s="7">
        <v>0</v>
      </c>
      <c r="I782">
        <v>23</v>
      </c>
      <c r="J782">
        <v>27</v>
      </c>
      <c r="K782" s="14">
        <v>0.56521739130434778</v>
      </c>
      <c r="L782" s="7">
        <f t="shared" si="24"/>
        <v>0</v>
      </c>
      <c r="M782" s="14">
        <v>0.69565217391304346</v>
      </c>
      <c r="N782" s="7">
        <f t="shared" si="25"/>
        <v>0</v>
      </c>
    </row>
    <row r="783" spans="1:14" x14ac:dyDescent="0.2">
      <c r="A783" s="2" t="s">
        <v>971</v>
      </c>
      <c r="B783" s="2" t="s">
        <v>34</v>
      </c>
      <c r="C783" s="2" t="s">
        <v>150</v>
      </c>
      <c r="D783" s="2">
        <v>1023450</v>
      </c>
      <c r="E783" s="2" t="s">
        <v>781</v>
      </c>
      <c r="F783" s="2" t="s">
        <v>76</v>
      </c>
      <c r="G783" s="2" t="s">
        <v>532</v>
      </c>
      <c r="H783" s="7">
        <v>0</v>
      </c>
      <c r="I783">
        <v>23</v>
      </c>
      <c r="J783">
        <v>27</v>
      </c>
      <c r="K783" s="14">
        <v>0.56521739130434778</v>
      </c>
      <c r="L783" s="7">
        <f t="shared" si="24"/>
        <v>0</v>
      </c>
      <c r="M783" s="14">
        <v>0.69565217391304346</v>
      </c>
      <c r="N783" s="7">
        <f t="shared" si="25"/>
        <v>0</v>
      </c>
    </row>
    <row r="784" spans="1:14" x14ac:dyDescent="0.2">
      <c r="A784" s="2" t="s">
        <v>971</v>
      </c>
      <c r="B784" s="2" t="s">
        <v>34</v>
      </c>
      <c r="C784" s="2" t="s">
        <v>735</v>
      </c>
      <c r="D784" s="2">
        <v>1020352</v>
      </c>
      <c r="E784" s="2" t="s">
        <v>782</v>
      </c>
      <c r="F784" s="2" t="s">
        <v>175</v>
      </c>
      <c r="G784" s="2" t="s">
        <v>600</v>
      </c>
      <c r="H784" s="7">
        <v>71935.032000000007</v>
      </c>
      <c r="I784">
        <v>25</v>
      </c>
      <c r="J784">
        <v>27</v>
      </c>
      <c r="K784" s="14">
        <v>0.6</v>
      </c>
      <c r="L784" s="7">
        <f t="shared" si="24"/>
        <v>43161.019200000002</v>
      </c>
      <c r="M784" s="14">
        <v>0.72</v>
      </c>
      <c r="N784" s="7">
        <f t="shared" si="25"/>
        <v>51793.223040000004</v>
      </c>
    </row>
    <row r="785" spans="1:14" x14ac:dyDescent="0.2">
      <c r="A785" s="2" t="s">
        <v>971</v>
      </c>
      <c r="B785" s="2" t="s">
        <v>34</v>
      </c>
      <c r="C785" s="2" t="s">
        <v>735</v>
      </c>
      <c r="D785" s="2">
        <v>1020848</v>
      </c>
      <c r="E785" s="2" t="s">
        <v>785</v>
      </c>
      <c r="F785" s="2" t="s">
        <v>43</v>
      </c>
      <c r="G785" s="2" t="s">
        <v>503</v>
      </c>
      <c r="H785" s="7">
        <v>144008.18700000001</v>
      </c>
      <c r="I785">
        <v>25</v>
      </c>
      <c r="J785">
        <v>27</v>
      </c>
      <c r="K785" s="14">
        <v>0.6</v>
      </c>
      <c r="L785" s="7">
        <f t="shared" si="24"/>
        <v>86404.912200000006</v>
      </c>
      <c r="M785" s="14">
        <v>0.72</v>
      </c>
      <c r="N785" s="7">
        <f t="shared" si="25"/>
        <v>103685.89464</v>
      </c>
    </row>
    <row r="786" spans="1:14" x14ac:dyDescent="0.2">
      <c r="A786" s="2" t="s">
        <v>971</v>
      </c>
      <c r="B786" s="2" t="s">
        <v>34</v>
      </c>
      <c r="C786" s="2" t="s">
        <v>735</v>
      </c>
      <c r="D786" s="2">
        <v>1020869</v>
      </c>
      <c r="E786" s="2" t="s">
        <v>272</v>
      </c>
      <c r="F786" s="2" t="s">
        <v>191</v>
      </c>
      <c r="G786" s="2" t="s">
        <v>610</v>
      </c>
      <c r="H786" s="7">
        <v>64910.843999999997</v>
      </c>
      <c r="I786">
        <v>25</v>
      </c>
      <c r="J786">
        <v>27</v>
      </c>
      <c r="K786" s="14">
        <v>0.6</v>
      </c>
      <c r="L786" s="7">
        <f t="shared" si="24"/>
        <v>38946.506399999998</v>
      </c>
      <c r="M786" s="14">
        <v>0.72</v>
      </c>
      <c r="N786" s="7">
        <f t="shared" si="25"/>
        <v>46735.807679999998</v>
      </c>
    </row>
    <row r="787" spans="1:14" x14ac:dyDescent="0.2">
      <c r="A787" s="2" t="s">
        <v>971</v>
      </c>
      <c r="B787" s="2" t="s">
        <v>34</v>
      </c>
      <c r="C787" s="2" t="s">
        <v>735</v>
      </c>
      <c r="D787" s="2">
        <v>1020944</v>
      </c>
      <c r="E787" s="2" t="s">
        <v>787</v>
      </c>
      <c r="F787" s="2" t="s">
        <v>96</v>
      </c>
      <c r="G787" s="2" t="s">
        <v>498</v>
      </c>
      <c r="H787" s="7">
        <v>335889.50799999997</v>
      </c>
      <c r="I787">
        <v>25</v>
      </c>
      <c r="J787">
        <v>27</v>
      </c>
      <c r="K787" s="14">
        <v>0.6</v>
      </c>
      <c r="L787" s="7">
        <f t="shared" si="24"/>
        <v>201533.70479999998</v>
      </c>
      <c r="M787" s="14">
        <v>0.72</v>
      </c>
      <c r="N787" s="7">
        <f t="shared" si="25"/>
        <v>241840.44575999997</v>
      </c>
    </row>
    <row r="788" spans="1:14" x14ac:dyDescent="0.2">
      <c r="A788" s="2" t="s">
        <v>971</v>
      </c>
      <c r="B788" s="2" t="s">
        <v>34</v>
      </c>
      <c r="C788" s="2" t="s">
        <v>735</v>
      </c>
      <c r="D788" s="2">
        <v>1021077</v>
      </c>
      <c r="E788" s="2" t="s">
        <v>776</v>
      </c>
      <c r="F788" s="2" t="s">
        <v>48</v>
      </c>
      <c r="G788" s="2" t="s">
        <v>788</v>
      </c>
      <c r="H788" s="7">
        <v>71865.236999999994</v>
      </c>
      <c r="I788">
        <v>25</v>
      </c>
      <c r="J788">
        <v>27</v>
      </c>
      <c r="K788" s="14">
        <v>0.6</v>
      </c>
      <c r="L788" s="7">
        <f t="shared" si="24"/>
        <v>43119.142199999995</v>
      </c>
      <c r="M788" s="14">
        <v>0.72</v>
      </c>
      <c r="N788" s="7">
        <f t="shared" si="25"/>
        <v>51742.970639999992</v>
      </c>
    </row>
    <row r="789" spans="1:14" x14ac:dyDescent="0.2">
      <c r="A789" s="2" t="s">
        <v>971</v>
      </c>
      <c r="B789" s="2" t="s">
        <v>34</v>
      </c>
      <c r="C789" s="2" t="s">
        <v>735</v>
      </c>
      <c r="D789" s="2">
        <v>1021092</v>
      </c>
      <c r="E789" s="2" t="s">
        <v>924</v>
      </c>
      <c r="F789" s="2" t="s">
        <v>181</v>
      </c>
      <c r="G789" s="2" t="s">
        <v>525</v>
      </c>
      <c r="H789" s="7">
        <v>71989.758000000002</v>
      </c>
      <c r="I789">
        <v>25</v>
      </c>
      <c r="J789">
        <v>27</v>
      </c>
      <c r="K789" s="14">
        <v>0.6</v>
      </c>
      <c r="L789" s="7">
        <f t="shared" si="24"/>
        <v>43193.854800000001</v>
      </c>
      <c r="M789" s="14">
        <v>0.72</v>
      </c>
      <c r="N789" s="7">
        <f t="shared" si="25"/>
        <v>51832.625760000003</v>
      </c>
    </row>
    <row r="790" spans="1:14" x14ac:dyDescent="0.2">
      <c r="A790" s="2" t="s">
        <v>971</v>
      </c>
      <c r="B790" s="2" t="s">
        <v>34</v>
      </c>
      <c r="C790" s="2" t="s">
        <v>735</v>
      </c>
      <c r="D790" s="2">
        <v>1021187</v>
      </c>
      <c r="E790" s="2" t="s">
        <v>790</v>
      </c>
      <c r="F790" s="2" t="s">
        <v>175</v>
      </c>
      <c r="G790" s="2" t="s">
        <v>617</v>
      </c>
      <c r="H790" s="7">
        <v>23987.683000000001</v>
      </c>
      <c r="I790">
        <v>25</v>
      </c>
      <c r="J790">
        <v>27</v>
      </c>
      <c r="K790" s="14">
        <v>0.6</v>
      </c>
      <c r="L790" s="7">
        <f t="shared" si="24"/>
        <v>14392.6098</v>
      </c>
      <c r="M790" s="14">
        <v>0.72</v>
      </c>
      <c r="N790" s="7">
        <f t="shared" si="25"/>
        <v>17271.13176</v>
      </c>
    </row>
    <row r="791" spans="1:14" x14ac:dyDescent="0.2">
      <c r="A791" s="2" t="s">
        <v>971</v>
      </c>
      <c r="B791" s="2" t="s">
        <v>34</v>
      </c>
      <c r="C791" s="2" t="s">
        <v>735</v>
      </c>
      <c r="D791" s="2">
        <v>1021976</v>
      </c>
      <c r="E791" s="2" t="s">
        <v>792</v>
      </c>
      <c r="F791" s="2" t="s">
        <v>39</v>
      </c>
      <c r="G791" s="2" t="s">
        <v>512</v>
      </c>
      <c r="H791" s="7">
        <v>72219.851999999999</v>
      </c>
      <c r="I791">
        <v>25</v>
      </c>
      <c r="J791">
        <v>27</v>
      </c>
      <c r="K791" s="14">
        <v>0.6</v>
      </c>
      <c r="L791" s="7">
        <f t="shared" si="24"/>
        <v>43331.911199999995</v>
      </c>
      <c r="M791" s="14">
        <v>0.72</v>
      </c>
      <c r="N791" s="7">
        <f t="shared" si="25"/>
        <v>51998.293439999994</v>
      </c>
    </row>
    <row r="792" spans="1:14" x14ac:dyDescent="0.2">
      <c r="A792" s="2" t="s">
        <v>971</v>
      </c>
      <c r="B792" s="2" t="s">
        <v>34</v>
      </c>
      <c r="C792" s="2" t="s">
        <v>735</v>
      </c>
      <c r="D792" s="2">
        <v>1022149</v>
      </c>
      <c r="E792" s="2" t="s">
        <v>794</v>
      </c>
      <c r="F792" s="2" t="s">
        <v>773</v>
      </c>
      <c r="G792" s="2" t="s">
        <v>537</v>
      </c>
      <c r="H792" s="7">
        <v>15013.62</v>
      </c>
      <c r="I792">
        <v>25</v>
      </c>
      <c r="J792">
        <v>27</v>
      </c>
      <c r="K792" s="14">
        <v>0.6</v>
      </c>
      <c r="L792" s="7">
        <f t="shared" si="24"/>
        <v>9008.1720000000005</v>
      </c>
      <c r="M792" s="14">
        <v>0.72</v>
      </c>
      <c r="N792" s="7">
        <f t="shared" si="25"/>
        <v>10809.806399999999</v>
      </c>
    </row>
    <row r="793" spans="1:14" x14ac:dyDescent="0.2">
      <c r="A793" s="2" t="s">
        <v>971</v>
      </c>
      <c r="B793" s="2" t="s">
        <v>34</v>
      </c>
      <c r="C793" s="2" t="s">
        <v>735</v>
      </c>
      <c r="D793" s="2">
        <v>1022150</v>
      </c>
      <c r="E793" s="2" t="s">
        <v>776</v>
      </c>
      <c r="F793" s="2" t="s">
        <v>48</v>
      </c>
      <c r="G793" s="2" t="s">
        <v>500</v>
      </c>
      <c r="H793" s="7">
        <v>167948.28200000001</v>
      </c>
      <c r="I793">
        <v>25</v>
      </c>
      <c r="J793">
        <v>27</v>
      </c>
      <c r="K793" s="14">
        <v>0.6</v>
      </c>
      <c r="L793" s="7">
        <f t="shared" si="24"/>
        <v>100768.96920000001</v>
      </c>
      <c r="M793" s="14">
        <v>0.72</v>
      </c>
      <c r="N793" s="7">
        <f t="shared" si="25"/>
        <v>120922.76304000001</v>
      </c>
    </row>
    <row r="794" spans="1:14" x14ac:dyDescent="0.2">
      <c r="A794" s="2" t="s">
        <v>971</v>
      </c>
      <c r="B794" s="2" t="s">
        <v>34</v>
      </c>
      <c r="C794" s="2" t="s">
        <v>735</v>
      </c>
      <c r="D794" s="2">
        <v>1022709</v>
      </c>
      <c r="E794" s="2" t="s">
        <v>780</v>
      </c>
      <c r="F794" s="2" t="s">
        <v>96</v>
      </c>
      <c r="G794" s="2" t="s">
        <v>493</v>
      </c>
      <c r="H794" s="7">
        <v>13442.727000000001</v>
      </c>
      <c r="I794">
        <v>25</v>
      </c>
      <c r="J794">
        <v>27</v>
      </c>
      <c r="K794" s="14">
        <v>0.6</v>
      </c>
      <c r="L794" s="7">
        <f t="shared" si="24"/>
        <v>8065.6361999999999</v>
      </c>
      <c r="M794" s="14">
        <v>0.72</v>
      </c>
      <c r="N794" s="7">
        <f t="shared" si="25"/>
        <v>9678.7634400000006</v>
      </c>
    </row>
    <row r="795" spans="1:14" x14ac:dyDescent="0.2">
      <c r="A795" s="2" t="s">
        <v>971</v>
      </c>
      <c r="B795" s="2" t="s">
        <v>34</v>
      </c>
      <c r="C795" s="2" t="s">
        <v>735</v>
      </c>
      <c r="D795" s="2">
        <v>1023433</v>
      </c>
      <c r="E795" s="2" t="s">
        <v>796</v>
      </c>
      <c r="F795" s="2" t="s">
        <v>773</v>
      </c>
      <c r="G795" s="2" t="s">
        <v>490</v>
      </c>
      <c r="H795" s="7">
        <v>72191.058000000005</v>
      </c>
      <c r="I795">
        <v>25</v>
      </c>
      <c r="J795">
        <v>27</v>
      </c>
      <c r="K795" s="14">
        <v>0.6</v>
      </c>
      <c r="L795" s="7">
        <f t="shared" si="24"/>
        <v>43314.6348</v>
      </c>
      <c r="M795" s="14">
        <v>0.72</v>
      </c>
      <c r="N795" s="7">
        <f t="shared" si="25"/>
        <v>51977.561760000004</v>
      </c>
    </row>
    <row r="796" spans="1:14" x14ac:dyDescent="0.2">
      <c r="A796" s="2" t="s">
        <v>971</v>
      </c>
      <c r="B796" s="2" t="s">
        <v>34</v>
      </c>
      <c r="C796" s="2" t="s">
        <v>741</v>
      </c>
      <c r="D796" s="2">
        <v>1020860</v>
      </c>
      <c r="E796" s="2" t="s">
        <v>797</v>
      </c>
      <c r="F796" s="2" t="s">
        <v>43</v>
      </c>
      <c r="G796" s="2" t="s">
        <v>403</v>
      </c>
      <c r="H796" s="7">
        <v>66003.437999999995</v>
      </c>
      <c r="I796">
        <v>25</v>
      </c>
      <c r="J796">
        <v>27</v>
      </c>
      <c r="K796" s="14">
        <v>0.6</v>
      </c>
      <c r="L796" s="7">
        <f t="shared" si="24"/>
        <v>39602.062799999992</v>
      </c>
      <c r="M796" s="14">
        <v>0.72</v>
      </c>
      <c r="N796" s="7">
        <f t="shared" si="25"/>
        <v>47522.475359999997</v>
      </c>
    </row>
    <row r="797" spans="1:14" x14ac:dyDescent="0.2">
      <c r="A797" s="2" t="s">
        <v>971</v>
      </c>
      <c r="B797" s="2" t="s">
        <v>34</v>
      </c>
      <c r="C797" s="2" t="s">
        <v>741</v>
      </c>
      <c r="D797" s="2">
        <v>1020861</v>
      </c>
      <c r="E797" s="2" t="s">
        <v>798</v>
      </c>
      <c r="F797" s="2" t="s">
        <v>43</v>
      </c>
      <c r="G797" s="2" t="s">
        <v>400</v>
      </c>
      <c r="H797" s="7">
        <v>132031.011</v>
      </c>
      <c r="I797">
        <v>25</v>
      </c>
      <c r="J797">
        <v>27</v>
      </c>
      <c r="K797" s="14">
        <v>0.6</v>
      </c>
      <c r="L797" s="7">
        <f t="shared" si="24"/>
        <v>79218.606599999999</v>
      </c>
      <c r="M797" s="14">
        <v>0.72</v>
      </c>
      <c r="N797" s="7">
        <f t="shared" si="25"/>
        <v>95062.327919999996</v>
      </c>
    </row>
    <row r="798" spans="1:14" x14ac:dyDescent="0.2">
      <c r="A798" s="2" t="s">
        <v>971</v>
      </c>
      <c r="B798" s="2" t="s">
        <v>34</v>
      </c>
      <c r="C798" s="2" t="s">
        <v>741</v>
      </c>
      <c r="D798" s="2">
        <v>1020904</v>
      </c>
      <c r="E798" s="2" t="s">
        <v>925</v>
      </c>
      <c r="F798" s="2" t="s">
        <v>178</v>
      </c>
      <c r="G798" s="2" t="s">
        <v>474</v>
      </c>
      <c r="H798" s="7">
        <v>65987.351999999999</v>
      </c>
      <c r="I798">
        <v>25</v>
      </c>
      <c r="J798">
        <v>27</v>
      </c>
      <c r="K798" s="14">
        <v>0.6</v>
      </c>
      <c r="L798" s="7">
        <f t="shared" si="24"/>
        <v>39592.411199999995</v>
      </c>
      <c r="M798" s="14">
        <v>0.72</v>
      </c>
      <c r="N798" s="7">
        <f t="shared" si="25"/>
        <v>47510.89344</v>
      </c>
    </row>
    <row r="799" spans="1:14" x14ac:dyDescent="0.2">
      <c r="A799" s="2" t="s">
        <v>971</v>
      </c>
      <c r="B799" s="2" t="s">
        <v>34</v>
      </c>
      <c r="C799" s="2" t="s">
        <v>741</v>
      </c>
      <c r="D799" s="2">
        <v>1021046</v>
      </c>
      <c r="E799" s="2" t="s">
        <v>926</v>
      </c>
      <c r="F799" s="2" t="s">
        <v>167</v>
      </c>
      <c r="G799" s="2" t="s">
        <v>611</v>
      </c>
      <c r="H799" s="7">
        <v>65760.668999999994</v>
      </c>
      <c r="I799">
        <v>25</v>
      </c>
      <c r="J799">
        <v>27</v>
      </c>
      <c r="K799" s="14">
        <v>0.6</v>
      </c>
      <c r="L799" s="7">
        <f t="shared" si="24"/>
        <v>39456.401399999995</v>
      </c>
      <c r="M799" s="14">
        <v>0.72</v>
      </c>
      <c r="N799" s="7">
        <f t="shared" si="25"/>
        <v>47347.681679999994</v>
      </c>
    </row>
    <row r="800" spans="1:14" x14ac:dyDescent="0.2">
      <c r="A800" s="2" t="s">
        <v>971</v>
      </c>
      <c r="B800" s="2" t="s">
        <v>34</v>
      </c>
      <c r="C800" s="2" t="s">
        <v>741</v>
      </c>
      <c r="D800" s="2">
        <v>1021149</v>
      </c>
      <c r="E800" s="2" t="s">
        <v>927</v>
      </c>
      <c r="F800" s="2" t="s">
        <v>172</v>
      </c>
      <c r="G800" s="2" t="s">
        <v>399</v>
      </c>
      <c r="H800" s="7">
        <v>66000</v>
      </c>
      <c r="I800">
        <v>25</v>
      </c>
      <c r="J800">
        <v>27</v>
      </c>
      <c r="K800" s="14">
        <v>0.6</v>
      </c>
      <c r="L800" s="7">
        <f t="shared" si="24"/>
        <v>39600</v>
      </c>
      <c r="M800" s="14">
        <v>0.72</v>
      </c>
      <c r="N800" s="7">
        <f t="shared" si="25"/>
        <v>47520</v>
      </c>
    </row>
    <row r="801" spans="1:14" x14ac:dyDescent="0.2">
      <c r="A801" s="2" t="s">
        <v>971</v>
      </c>
      <c r="B801" s="2" t="s">
        <v>34</v>
      </c>
      <c r="C801" s="2" t="s">
        <v>741</v>
      </c>
      <c r="D801" s="2">
        <v>1021150</v>
      </c>
      <c r="E801" s="2" t="s">
        <v>972</v>
      </c>
      <c r="F801" s="2" t="s">
        <v>172</v>
      </c>
      <c r="G801" s="2" t="s">
        <v>402</v>
      </c>
      <c r="H801" s="7">
        <v>66000</v>
      </c>
      <c r="I801">
        <v>25</v>
      </c>
      <c r="J801">
        <v>27</v>
      </c>
      <c r="K801" s="14">
        <v>0.6</v>
      </c>
      <c r="L801" s="7">
        <f t="shared" si="24"/>
        <v>39600</v>
      </c>
      <c r="M801" s="14">
        <v>0.72</v>
      </c>
      <c r="N801" s="7">
        <f t="shared" si="25"/>
        <v>47520</v>
      </c>
    </row>
    <row r="802" spans="1:14" x14ac:dyDescent="0.2">
      <c r="A802" s="2" t="s">
        <v>971</v>
      </c>
      <c r="B802" s="2" t="s">
        <v>34</v>
      </c>
      <c r="C802" s="2" t="s">
        <v>741</v>
      </c>
      <c r="D802" s="2">
        <v>1021151</v>
      </c>
      <c r="E802" s="2" t="s">
        <v>928</v>
      </c>
      <c r="F802" s="2" t="s">
        <v>172</v>
      </c>
      <c r="G802" s="2" t="s">
        <v>656</v>
      </c>
      <c r="H802" s="7">
        <v>66000</v>
      </c>
      <c r="I802">
        <v>25</v>
      </c>
      <c r="J802">
        <v>27</v>
      </c>
      <c r="K802" s="14">
        <v>0.6</v>
      </c>
      <c r="L802" s="7">
        <f t="shared" si="24"/>
        <v>39600</v>
      </c>
      <c r="M802" s="14">
        <v>0.72</v>
      </c>
      <c r="N802" s="7">
        <f t="shared" si="25"/>
        <v>47520</v>
      </c>
    </row>
    <row r="803" spans="1:14" x14ac:dyDescent="0.2">
      <c r="A803" s="2" t="s">
        <v>971</v>
      </c>
      <c r="B803" s="2" t="s">
        <v>34</v>
      </c>
      <c r="C803" s="2" t="s">
        <v>741</v>
      </c>
      <c r="D803" s="2">
        <v>1021156</v>
      </c>
      <c r="E803" s="2" t="s">
        <v>799</v>
      </c>
      <c r="F803" s="2" t="s">
        <v>172</v>
      </c>
      <c r="G803" s="2" t="s">
        <v>515</v>
      </c>
      <c r="H803" s="7">
        <v>72000</v>
      </c>
      <c r="I803">
        <v>25</v>
      </c>
      <c r="J803">
        <v>27</v>
      </c>
      <c r="K803" s="14">
        <v>0.6</v>
      </c>
      <c r="L803" s="7">
        <f t="shared" si="24"/>
        <v>43200</v>
      </c>
      <c r="M803" s="14">
        <v>0.72</v>
      </c>
      <c r="N803" s="7">
        <f t="shared" si="25"/>
        <v>51840</v>
      </c>
    </row>
    <row r="804" spans="1:14" x14ac:dyDescent="0.2">
      <c r="A804" s="2" t="s">
        <v>971</v>
      </c>
      <c r="B804" s="2" t="s">
        <v>34</v>
      </c>
      <c r="C804" s="2" t="s">
        <v>741</v>
      </c>
      <c r="D804" s="2">
        <v>1021470</v>
      </c>
      <c r="E804" s="2" t="s">
        <v>929</v>
      </c>
      <c r="F804" s="2" t="s">
        <v>167</v>
      </c>
      <c r="G804" s="2" t="s">
        <v>398</v>
      </c>
      <c r="H804" s="7">
        <v>66027.69</v>
      </c>
      <c r="I804">
        <v>25</v>
      </c>
      <c r="J804">
        <v>27</v>
      </c>
      <c r="K804" s="14">
        <v>0.6</v>
      </c>
      <c r="L804" s="7">
        <f t="shared" si="24"/>
        <v>39616.614000000001</v>
      </c>
      <c r="M804" s="14">
        <v>0.72</v>
      </c>
      <c r="N804" s="7">
        <f t="shared" si="25"/>
        <v>47539.936800000003</v>
      </c>
    </row>
    <row r="805" spans="1:14" x14ac:dyDescent="0.2">
      <c r="A805" s="2" t="s">
        <v>971</v>
      </c>
      <c r="B805" s="2" t="s">
        <v>34</v>
      </c>
      <c r="C805" s="2" t="s">
        <v>741</v>
      </c>
      <c r="D805" s="2">
        <v>1021655</v>
      </c>
      <c r="E805" s="2" t="s">
        <v>800</v>
      </c>
      <c r="F805" s="2" t="s">
        <v>259</v>
      </c>
      <c r="G805" s="2" t="s">
        <v>801</v>
      </c>
      <c r="H805" s="7">
        <v>33030</v>
      </c>
      <c r="I805">
        <v>25</v>
      </c>
      <c r="J805">
        <v>27</v>
      </c>
      <c r="K805" s="14">
        <v>0.6</v>
      </c>
      <c r="L805" s="7">
        <f t="shared" si="24"/>
        <v>19818</v>
      </c>
      <c r="M805" s="14">
        <v>0.72</v>
      </c>
      <c r="N805" s="7">
        <f t="shared" si="25"/>
        <v>23781.599999999999</v>
      </c>
    </row>
    <row r="806" spans="1:14" x14ac:dyDescent="0.2">
      <c r="A806" s="2" t="s">
        <v>971</v>
      </c>
      <c r="B806" s="2" t="s">
        <v>34</v>
      </c>
      <c r="C806" s="2" t="s">
        <v>741</v>
      </c>
      <c r="D806" s="2">
        <v>1021664</v>
      </c>
      <c r="E806" s="2" t="s">
        <v>802</v>
      </c>
      <c r="F806" s="2" t="s">
        <v>191</v>
      </c>
      <c r="G806" s="2" t="s">
        <v>452</v>
      </c>
      <c r="H806" s="7">
        <v>66592.713000000003</v>
      </c>
      <c r="I806">
        <v>25</v>
      </c>
      <c r="J806">
        <v>27</v>
      </c>
      <c r="K806" s="14">
        <v>0.6</v>
      </c>
      <c r="L806" s="7">
        <f t="shared" si="24"/>
        <v>39955.627800000002</v>
      </c>
      <c r="M806" s="14">
        <v>0.72</v>
      </c>
      <c r="N806" s="7">
        <f t="shared" si="25"/>
        <v>47946.753360000002</v>
      </c>
    </row>
    <row r="807" spans="1:14" x14ac:dyDescent="0.2">
      <c r="A807" s="2" t="s">
        <v>971</v>
      </c>
      <c r="B807" s="2" t="s">
        <v>34</v>
      </c>
      <c r="C807" s="2" t="s">
        <v>741</v>
      </c>
      <c r="D807" s="2">
        <v>1022182</v>
      </c>
      <c r="E807" s="2" t="s">
        <v>804</v>
      </c>
      <c r="F807" s="2" t="s">
        <v>76</v>
      </c>
      <c r="G807" s="2" t="s">
        <v>519</v>
      </c>
      <c r="H807" s="7">
        <v>65940</v>
      </c>
      <c r="I807">
        <v>25</v>
      </c>
      <c r="J807">
        <v>27</v>
      </c>
      <c r="K807" s="14">
        <v>0.6</v>
      </c>
      <c r="L807" s="7">
        <f t="shared" si="24"/>
        <v>39564</v>
      </c>
      <c r="M807" s="14">
        <v>0.72</v>
      </c>
      <c r="N807" s="7">
        <f t="shared" si="25"/>
        <v>47476.799999999996</v>
      </c>
    </row>
    <row r="808" spans="1:14" x14ac:dyDescent="0.2">
      <c r="A808" s="2" t="s">
        <v>971</v>
      </c>
      <c r="B808" s="2" t="s">
        <v>34</v>
      </c>
      <c r="C808" s="2" t="s">
        <v>741</v>
      </c>
      <c r="D808" s="2">
        <v>1022885</v>
      </c>
      <c r="E808" s="2" t="s">
        <v>805</v>
      </c>
      <c r="F808" s="2" t="s">
        <v>178</v>
      </c>
      <c r="G808" s="2" t="s">
        <v>401</v>
      </c>
      <c r="H808" s="7">
        <v>263826.10499999998</v>
      </c>
      <c r="I808">
        <v>25</v>
      </c>
      <c r="J808">
        <v>27</v>
      </c>
      <c r="K808" s="14">
        <v>0.6</v>
      </c>
      <c r="L808" s="7">
        <f t="shared" si="24"/>
        <v>158295.66299999997</v>
      </c>
      <c r="M808" s="14">
        <v>0.72</v>
      </c>
      <c r="N808" s="7">
        <f t="shared" si="25"/>
        <v>189954.79559999998</v>
      </c>
    </row>
    <row r="809" spans="1:14" x14ac:dyDescent="0.2">
      <c r="A809" s="2" t="s">
        <v>971</v>
      </c>
      <c r="B809" s="2" t="s">
        <v>34</v>
      </c>
      <c r="C809" s="2" t="s">
        <v>741</v>
      </c>
      <c r="D809" s="2">
        <v>1022887</v>
      </c>
      <c r="E809" s="2" t="s">
        <v>806</v>
      </c>
      <c r="F809" s="2" t="s">
        <v>178</v>
      </c>
      <c r="G809" s="2" t="s">
        <v>404</v>
      </c>
      <c r="H809" s="7">
        <v>396146.826</v>
      </c>
      <c r="I809">
        <v>25</v>
      </c>
      <c r="J809">
        <v>27</v>
      </c>
      <c r="K809" s="14">
        <v>0.6</v>
      </c>
      <c r="L809" s="7">
        <f t="shared" si="24"/>
        <v>237688.0956</v>
      </c>
      <c r="M809" s="14">
        <v>0.72</v>
      </c>
      <c r="N809" s="7">
        <f t="shared" si="25"/>
        <v>285225.71471999999</v>
      </c>
    </row>
    <row r="810" spans="1:14" x14ac:dyDescent="0.2">
      <c r="A810" s="2" t="s">
        <v>971</v>
      </c>
      <c r="B810" s="2" t="s">
        <v>34</v>
      </c>
      <c r="C810" s="2" t="s">
        <v>741</v>
      </c>
      <c r="D810" s="2">
        <v>1023037</v>
      </c>
      <c r="E810" s="2" t="s">
        <v>808</v>
      </c>
      <c r="F810" s="2" t="s">
        <v>178</v>
      </c>
      <c r="G810" s="2" t="s">
        <v>555</v>
      </c>
      <c r="H810" s="7">
        <v>132052.95600000001</v>
      </c>
      <c r="I810">
        <v>25</v>
      </c>
      <c r="J810">
        <v>27</v>
      </c>
      <c r="K810" s="14">
        <v>0.6</v>
      </c>
      <c r="L810" s="7">
        <f t="shared" si="24"/>
        <v>79231.7736</v>
      </c>
      <c r="M810" s="14">
        <v>0.72</v>
      </c>
      <c r="N810" s="7">
        <f t="shared" si="25"/>
        <v>95078.128320000003</v>
      </c>
    </row>
    <row r="811" spans="1:14" x14ac:dyDescent="0.2">
      <c r="A811" s="2" t="s">
        <v>971</v>
      </c>
      <c r="B811" s="2" t="s">
        <v>34</v>
      </c>
      <c r="C811" s="2" t="s">
        <v>741</v>
      </c>
      <c r="D811" s="2">
        <v>1023283</v>
      </c>
      <c r="E811" s="2" t="s">
        <v>809</v>
      </c>
      <c r="F811" s="2" t="s">
        <v>259</v>
      </c>
      <c r="G811" s="2" t="s">
        <v>468</v>
      </c>
      <c r="H811" s="7">
        <v>223545.492</v>
      </c>
      <c r="I811">
        <v>25</v>
      </c>
      <c r="J811">
        <v>27</v>
      </c>
      <c r="K811" s="14">
        <v>0.6</v>
      </c>
      <c r="L811" s="7">
        <f t="shared" si="24"/>
        <v>134127.29519999999</v>
      </c>
      <c r="M811" s="14">
        <v>0.72</v>
      </c>
      <c r="N811" s="7">
        <f t="shared" si="25"/>
        <v>160952.75423999998</v>
      </c>
    </row>
    <row r="812" spans="1:14" x14ac:dyDescent="0.2">
      <c r="A812" s="2" t="s">
        <v>971</v>
      </c>
      <c r="B812" s="2" t="s">
        <v>34</v>
      </c>
      <c r="C812" s="2" t="s">
        <v>812</v>
      </c>
      <c r="D812" s="2">
        <v>1021864</v>
      </c>
      <c r="E812" s="2" t="s">
        <v>813</v>
      </c>
      <c r="F812" s="2" t="s">
        <v>175</v>
      </c>
      <c r="G812" s="2" t="s">
        <v>814</v>
      </c>
      <c r="H812" s="7">
        <v>71958.816000000006</v>
      </c>
      <c r="I812">
        <v>25</v>
      </c>
      <c r="J812">
        <v>27</v>
      </c>
      <c r="K812" s="14">
        <v>0.6</v>
      </c>
      <c r="L812" s="7">
        <f t="shared" si="24"/>
        <v>43175.289600000004</v>
      </c>
      <c r="M812" s="14">
        <v>0.72</v>
      </c>
      <c r="N812" s="7">
        <f t="shared" si="25"/>
        <v>51810.347520000003</v>
      </c>
    </row>
    <row r="813" spans="1:14" x14ac:dyDescent="0.2">
      <c r="A813" s="2" t="s">
        <v>971</v>
      </c>
      <c r="B813" s="2" t="s">
        <v>34</v>
      </c>
      <c r="C813" s="2" t="s">
        <v>812</v>
      </c>
      <c r="D813" s="2">
        <v>1022217</v>
      </c>
      <c r="E813" s="2" t="s">
        <v>815</v>
      </c>
      <c r="F813" s="2" t="s">
        <v>48</v>
      </c>
      <c r="G813" s="2" t="s">
        <v>816</v>
      </c>
      <c r="H813" s="7">
        <v>937.62</v>
      </c>
      <c r="I813">
        <v>25</v>
      </c>
      <c r="J813">
        <v>27</v>
      </c>
      <c r="K813" s="14">
        <v>0.6</v>
      </c>
      <c r="L813" s="7">
        <f t="shared" si="24"/>
        <v>562.572</v>
      </c>
      <c r="M813" s="14">
        <v>0.72</v>
      </c>
      <c r="N813" s="7">
        <f t="shared" si="25"/>
        <v>675.08640000000003</v>
      </c>
    </row>
    <row r="814" spans="1:14" x14ac:dyDescent="0.2">
      <c r="A814" s="2" t="s">
        <v>971</v>
      </c>
      <c r="B814" s="2" t="s">
        <v>34</v>
      </c>
      <c r="C814" s="2" t="s">
        <v>46</v>
      </c>
      <c r="D814" s="2">
        <v>1021204</v>
      </c>
      <c r="E814" s="2" t="s">
        <v>291</v>
      </c>
      <c r="F814" s="2" t="s">
        <v>48</v>
      </c>
      <c r="G814" s="2" t="s">
        <v>821</v>
      </c>
      <c r="H814" s="7">
        <v>72000</v>
      </c>
      <c r="I814">
        <v>25</v>
      </c>
      <c r="J814">
        <v>27</v>
      </c>
      <c r="K814" s="14">
        <v>0.6</v>
      </c>
      <c r="L814" s="7">
        <f t="shared" si="24"/>
        <v>43200</v>
      </c>
      <c r="M814" s="14">
        <v>0.72</v>
      </c>
      <c r="N814" s="7">
        <f t="shared" si="25"/>
        <v>51840</v>
      </c>
    </row>
    <row r="815" spans="1:14" x14ac:dyDescent="0.2">
      <c r="A815" s="2" t="s">
        <v>971</v>
      </c>
      <c r="B815" s="2" t="s">
        <v>34</v>
      </c>
      <c r="C815" s="2" t="s">
        <v>46</v>
      </c>
      <c r="D815" s="2">
        <v>1021731</v>
      </c>
      <c r="E815" s="2" t="s">
        <v>274</v>
      </c>
      <c r="F815" s="2" t="s">
        <v>167</v>
      </c>
      <c r="G815" s="2" t="s">
        <v>273</v>
      </c>
      <c r="H815" s="7">
        <v>145140</v>
      </c>
      <c r="I815">
        <v>25</v>
      </c>
      <c r="J815">
        <v>27</v>
      </c>
      <c r="K815" s="14">
        <v>0.6</v>
      </c>
      <c r="L815" s="7">
        <f t="shared" si="24"/>
        <v>87084</v>
      </c>
      <c r="M815" s="14">
        <v>0.72</v>
      </c>
      <c r="N815" s="7">
        <f t="shared" si="25"/>
        <v>104500.8</v>
      </c>
    </row>
    <row r="816" spans="1:14" x14ac:dyDescent="0.2">
      <c r="A816" s="2" t="s">
        <v>971</v>
      </c>
      <c r="B816" s="2" t="s">
        <v>34</v>
      </c>
      <c r="C816" s="2" t="s">
        <v>46</v>
      </c>
      <c r="D816" s="2">
        <v>1021732</v>
      </c>
      <c r="E816" s="2" t="s">
        <v>276</v>
      </c>
      <c r="F816" s="2" t="s">
        <v>172</v>
      </c>
      <c r="G816" s="2" t="s">
        <v>275</v>
      </c>
      <c r="H816" s="7">
        <v>222300</v>
      </c>
      <c r="I816">
        <v>25</v>
      </c>
      <c r="J816">
        <v>27</v>
      </c>
      <c r="K816" s="14">
        <v>0.6</v>
      </c>
      <c r="L816" s="7">
        <f t="shared" si="24"/>
        <v>133380</v>
      </c>
      <c r="M816" s="14">
        <v>0.72</v>
      </c>
      <c r="N816" s="7">
        <f t="shared" si="25"/>
        <v>160056</v>
      </c>
    </row>
    <row r="817" spans="1:14" x14ac:dyDescent="0.2">
      <c r="A817" s="2" t="s">
        <v>971</v>
      </c>
      <c r="B817" s="2" t="s">
        <v>34</v>
      </c>
      <c r="C817" s="2" t="s">
        <v>46</v>
      </c>
      <c r="D817" s="2">
        <v>1021733</v>
      </c>
      <c r="E817" s="2" t="s">
        <v>270</v>
      </c>
      <c r="F817" s="2" t="s">
        <v>96</v>
      </c>
      <c r="G817" s="2" t="s">
        <v>277</v>
      </c>
      <c r="H817" s="7">
        <v>87289.433999999994</v>
      </c>
      <c r="I817">
        <v>25</v>
      </c>
      <c r="J817">
        <v>27</v>
      </c>
      <c r="K817" s="14">
        <v>0.6</v>
      </c>
      <c r="L817" s="7">
        <f t="shared" si="24"/>
        <v>52373.660399999993</v>
      </c>
      <c r="M817" s="14">
        <v>0.72</v>
      </c>
      <c r="N817" s="7">
        <f t="shared" si="25"/>
        <v>62848.392479999995</v>
      </c>
    </row>
    <row r="818" spans="1:14" x14ac:dyDescent="0.2">
      <c r="A818" s="2" t="s">
        <v>971</v>
      </c>
      <c r="B818" s="2" t="s">
        <v>34</v>
      </c>
      <c r="C818" s="2" t="s">
        <v>46</v>
      </c>
      <c r="D818" s="2">
        <v>1021735</v>
      </c>
      <c r="E818" s="2" t="s">
        <v>279</v>
      </c>
      <c r="F818" s="2" t="s">
        <v>259</v>
      </c>
      <c r="G818" s="2" t="s">
        <v>278</v>
      </c>
      <c r="H818" s="7">
        <v>162620</v>
      </c>
      <c r="I818">
        <v>25</v>
      </c>
      <c r="J818">
        <v>27</v>
      </c>
      <c r="K818" s="14">
        <v>0.6</v>
      </c>
      <c r="L818" s="7">
        <f t="shared" si="24"/>
        <v>97572</v>
      </c>
      <c r="M818" s="14">
        <v>0.72</v>
      </c>
      <c r="N818" s="7">
        <f t="shared" si="25"/>
        <v>117086.39999999999</v>
      </c>
    </row>
    <row r="819" spans="1:14" x14ac:dyDescent="0.2">
      <c r="A819" s="2" t="s">
        <v>971</v>
      </c>
      <c r="B819" s="2" t="s">
        <v>34</v>
      </c>
      <c r="C819" s="2" t="s">
        <v>46</v>
      </c>
      <c r="D819" s="2">
        <v>1021737</v>
      </c>
      <c r="E819" s="2" t="s">
        <v>281</v>
      </c>
      <c r="F819" s="2" t="s">
        <v>259</v>
      </c>
      <c r="G819" s="2" t="s">
        <v>280</v>
      </c>
      <c r="H819" s="7">
        <v>0</v>
      </c>
      <c r="I819">
        <v>25</v>
      </c>
      <c r="J819">
        <v>27</v>
      </c>
      <c r="K819" s="14">
        <v>0.6</v>
      </c>
      <c r="L819" s="7">
        <f t="shared" si="24"/>
        <v>0</v>
      </c>
      <c r="M819" s="14">
        <v>0.72</v>
      </c>
      <c r="N819" s="7">
        <f t="shared" si="25"/>
        <v>0</v>
      </c>
    </row>
    <row r="820" spans="1:14" x14ac:dyDescent="0.2">
      <c r="A820" s="2" t="s">
        <v>971</v>
      </c>
      <c r="B820" s="2" t="s">
        <v>34</v>
      </c>
      <c r="C820" s="2" t="s">
        <v>46</v>
      </c>
      <c r="D820" s="2">
        <v>1021738</v>
      </c>
      <c r="E820" s="2" t="s">
        <v>283</v>
      </c>
      <c r="F820" s="2" t="s">
        <v>259</v>
      </c>
      <c r="G820" s="2" t="s">
        <v>282</v>
      </c>
      <c r="H820" s="7">
        <v>60</v>
      </c>
      <c r="I820">
        <v>25</v>
      </c>
      <c r="J820">
        <v>27</v>
      </c>
      <c r="K820" s="14">
        <v>0.6</v>
      </c>
      <c r="L820" s="7">
        <f t="shared" si="24"/>
        <v>36</v>
      </c>
      <c r="M820" s="14">
        <v>0.72</v>
      </c>
      <c r="N820" s="7">
        <f t="shared" si="25"/>
        <v>43.199999999999996</v>
      </c>
    </row>
    <row r="821" spans="1:14" x14ac:dyDescent="0.2">
      <c r="A821" s="2" t="s">
        <v>971</v>
      </c>
      <c r="B821" s="2" t="s">
        <v>34</v>
      </c>
      <c r="C821" s="2" t="s">
        <v>46</v>
      </c>
      <c r="D821" s="2">
        <v>1021739</v>
      </c>
      <c r="E821" s="2" t="s">
        <v>822</v>
      </c>
      <c r="F821" s="2" t="s">
        <v>196</v>
      </c>
      <c r="G821" s="2" t="s">
        <v>416</v>
      </c>
      <c r="H821" s="7">
        <v>0</v>
      </c>
      <c r="I821">
        <v>25</v>
      </c>
      <c r="J821">
        <v>27</v>
      </c>
      <c r="K821" s="14">
        <v>0.6</v>
      </c>
      <c r="L821" s="7">
        <f t="shared" si="24"/>
        <v>0</v>
      </c>
      <c r="M821" s="14">
        <v>0.72</v>
      </c>
      <c r="N821" s="7">
        <f t="shared" si="25"/>
        <v>0</v>
      </c>
    </row>
    <row r="822" spans="1:14" x14ac:dyDescent="0.2">
      <c r="A822" s="2" t="s">
        <v>971</v>
      </c>
      <c r="B822" s="2" t="s">
        <v>34</v>
      </c>
      <c r="C822" s="2" t="s">
        <v>46</v>
      </c>
      <c r="D822" s="2">
        <v>1021740</v>
      </c>
      <c r="E822" s="2" t="s">
        <v>285</v>
      </c>
      <c r="F822" s="2" t="s">
        <v>259</v>
      </c>
      <c r="G822" s="2" t="s">
        <v>284</v>
      </c>
      <c r="H822" s="7">
        <v>0</v>
      </c>
      <c r="I822">
        <v>25</v>
      </c>
      <c r="J822">
        <v>27</v>
      </c>
      <c r="K822" s="14">
        <v>0.6</v>
      </c>
      <c r="L822" s="7">
        <f t="shared" si="24"/>
        <v>0</v>
      </c>
      <c r="M822" s="14">
        <v>0.72</v>
      </c>
      <c r="N822" s="7">
        <f t="shared" si="25"/>
        <v>0</v>
      </c>
    </row>
    <row r="823" spans="1:14" x14ac:dyDescent="0.2">
      <c r="A823" s="2" t="s">
        <v>971</v>
      </c>
      <c r="B823" s="2" t="s">
        <v>34</v>
      </c>
      <c r="C823" s="2" t="s">
        <v>46</v>
      </c>
      <c r="D823" s="2">
        <v>1021766</v>
      </c>
      <c r="E823" s="2" t="s">
        <v>287</v>
      </c>
      <c r="F823" s="2" t="s">
        <v>172</v>
      </c>
      <c r="G823" s="2" t="s">
        <v>286</v>
      </c>
      <c r="H823" s="7">
        <v>264024</v>
      </c>
      <c r="I823">
        <v>25</v>
      </c>
      <c r="J823">
        <v>27</v>
      </c>
      <c r="K823" s="14">
        <v>0.6</v>
      </c>
      <c r="L823" s="7">
        <f t="shared" si="24"/>
        <v>158414.39999999999</v>
      </c>
      <c r="M823" s="14">
        <v>0.72</v>
      </c>
      <c r="N823" s="7">
        <f t="shared" si="25"/>
        <v>190097.28</v>
      </c>
    </row>
    <row r="824" spans="1:14" x14ac:dyDescent="0.2">
      <c r="A824" s="2" t="s">
        <v>971</v>
      </c>
      <c r="B824" s="2" t="s">
        <v>34</v>
      </c>
      <c r="C824" s="2" t="s">
        <v>46</v>
      </c>
      <c r="D824" s="2">
        <v>1021767</v>
      </c>
      <c r="E824" s="2" t="s">
        <v>289</v>
      </c>
      <c r="F824" s="2" t="s">
        <v>172</v>
      </c>
      <c r="G824" s="2" t="s">
        <v>288</v>
      </c>
      <c r="H824" s="7">
        <v>393138</v>
      </c>
      <c r="I824">
        <v>25</v>
      </c>
      <c r="J824">
        <v>27</v>
      </c>
      <c r="K824" s="14">
        <v>0.6</v>
      </c>
      <c r="L824" s="7">
        <f t="shared" si="24"/>
        <v>235882.8</v>
      </c>
      <c r="M824" s="14">
        <v>0.72</v>
      </c>
      <c r="N824" s="7">
        <f t="shared" si="25"/>
        <v>283059.36</v>
      </c>
    </row>
    <row r="825" spans="1:14" x14ac:dyDescent="0.2">
      <c r="A825" s="2" t="s">
        <v>971</v>
      </c>
      <c r="B825" s="2" t="s">
        <v>34</v>
      </c>
      <c r="C825" s="2" t="s">
        <v>46</v>
      </c>
      <c r="D825" s="2">
        <v>1021774</v>
      </c>
      <c r="E825" s="2" t="s">
        <v>823</v>
      </c>
      <c r="F825" s="2" t="s">
        <v>172</v>
      </c>
      <c r="G825" s="2" t="s">
        <v>443</v>
      </c>
      <c r="H825" s="7">
        <v>0</v>
      </c>
      <c r="I825">
        <v>25</v>
      </c>
      <c r="J825">
        <v>27</v>
      </c>
      <c r="K825" s="14">
        <v>0.6</v>
      </c>
      <c r="L825" s="7">
        <f t="shared" si="24"/>
        <v>0</v>
      </c>
      <c r="M825" s="14">
        <v>0.72</v>
      </c>
      <c r="N825" s="7">
        <f t="shared" si="25"/>
        <v>0</v>
      </c>
    </row>
    <row r="826" spans="1:14" x14ac:dyDescent="0.2">
      <c r="A826" s="2" t="s">
        <v>971</v>
      </c>
      <c r="B826" s="2" t="s">
        <v>34</v>
      </c>
      <c r="C826" s="2" t="s">
        <v>46</v>
      </c>
      <c r="D826" s="2">
        <v>1021905</v>
      </c>
      <c r="E826" s="2" t="s">
        <v>824</v>
      </c>
      <c r="F826" s="2" t="s">
        <v>181</v>
      </c>
      <c r="G826" s="2" t="s">
        <v>554</v>
      </c>
      <c r="H826" s="7">
        <v>0</v>
      </c>
      <c r="I826">
        <v>25</v>
      </c>
      <c r="J826">
        <v>27</v>
      </c>
      <c r="K826" s="14">
        <v>0.6</v>
      </c>
      <c r="L826" s="7">
        <f t="shared" si="24"/>
        <v>0</v>
      </c>
      <c r="M826" s="14">
        <v>0.72</v>
      </c>
      <c r="N826" s="7">
        <f t="shared" si="25"/>
        <v>0</v>
      </c>
    </row>
    <row r="827" spans="1:14" x14ac:dyDescent="0.2">
      <c r="A827" s="2" t="s">
        <v>971</v>
      </c>
      <c r="B827" s="2" t="s">
        <v>34</v>
      </c>
      <c r="C827" s="2" t="s">
        <v>46</v>
      </c>
      <c r="D827" s="2">
        <v>1021971</v>
      </c>
      <c r="E827" s="2" t="s">
        <v>825</v>
      </c>
      <c r="F827" s="2" t="s">
        <v>175</v>
      </c>
      <c r="G827" s="2" t="s">
        <v>556</v>
      </c>
      <c r="H827" s="7">
        <v>0</v>
      </c>
      <c r="I827">
        <v>25</v>
      </c>
      <c r="J827">
        <v>27</v>
      </c>
      <c r="K827" s="14">
        <v>0.6</v>
      </c>
      <c r="L827" s="7">
        <f t="shared" si="24"/>
        <v>0</v>
      </c>
      <c r="M827" s="14">
        <v>0.72</v>
      </c>
      <c r="N827" s="7">
        <f t="shared" si="25"/>
        <v>0</v>
      </c>
    </row>
    <row r="828" spans="1:14" x14ac:dyDescent="0.2">
      <c r="A828" s="2" t="s">
        <v>971</v>
      </c>
      <c r="B828" s="2" t="s">
        <v>34</v>
      </c>
      <c r="C828" s="2" t="s">
        <v>46</v>
      </c>
      <c r="D828" s="2">
        <v>1021992</v>
      </c>
      <c r="E828" s="2" t="s">
        <v>291</v>
      </c>
      <c r="F828" s="2" t="s">
        <v>48</v>
      </c>
      <c r="G828" s="2" t="s">
        <v>290</v>
      </c>
      <c r="H828" s="7">
        <v>0</v>
      </c>
      <c r="I828">
        <v>25</v>
      </c>
      <c r="J828">
        <v>27</v>
      </c>
      <c r="K828" s="14">
        <v>0.6</v>
      </c>
      <c r="L828" s="7">
        <f t="shared" si="24"/>
        <v>0</v>
      </c>
      <c r="M828" s="14">
        <v>0.72</v>
      </c>
      <c r="N828" s="7">
        <f t="shared" si="25"/>
        <v>0</v>
      </c>
    </row>
    <row r="829" spans="1:14" x14ac:dyDescent="0.2">
      <c r="A829" s="2" t="s">
        <v>971</v>
      </c>
      <c r="B829" s="2" t="s">
        <v>34</v>
      </c>
      <c r="C829" s="2" t="s">
        <v>46</v>
      </c>
      <c r="D829" s="2">
        <v>1022033</v>
      </c>
      <c r="E829" s="2" t="s">
        <v>826</v>
      </c>
      <c r="F829" s="2" t="s">
        <v>196</v>
      </c>
      <c r="G829" s="2" t="s">
        <v>415</v>
      </c>
      <c r="H829" s="7">
        <v>71910</v>
      </c>
      <c r="I829">
        <v>25</v>
      </c>
      <c r="J829">
        <v>27</v>
      </c>
      <c r="K829" s="14">
        <v>0.6</v>
      </c>
      <c r="L829" s="7">
        <f t="shared" si="24"/>
        <v>43146</v>
      </c>
      <c r="M829" s="14">
        <v>0.72</v>
      </c>
      <c r="N829" s="7">
        <f t="shared" si="25"/>
        <v>51775.199999999997</v>
      </c>
    </row>
    <row r="830" spans="1:14" x14ac:dyDescent="0.2">
      <c r="A830" s="2" t="s">
        <v>971</v>
      </c>
      <c r="B830" s="2" t="s">
        <v>34</v>
      </c>
      <c r="C830" s="2" t="s">
        <v>46</v>
      </c>
      <c r="D830" s="2">
        <v>1022073</v>
      </c>
      <c r="E830" s="2" t="s">
        <v>47</v>
      </c>
      <c r="F830" s="2" t="s">
        <v>48</v>
      </c>
      <c r="G830" s="2" t="s">
        <v>45</v>
      </c>
      <c r="H830" s="7">
        <v>0</v>
      </c>
      <c r="I830">
        <v>25</v>
      </c>
      <c r="J830">
        <v>27</v>
      </c>
      <c r="K830" s="14">
        <v>0.6</v>
      </c>
      <c r="L830" s="7">
        <f t="shared" si="24"/>
        <v>0</v>
      </c>
      <c r="M830" s="14">
        <v>0.72</v>
      </c>
      <c r="N830" s="7">
        <f t="shared" si="25"/>
        <v>0</v>
      </c>
    </row>
    <row r="831" spans="1:14" x14ac:dyDescent="0.2">
      <c r="A831" s="2" t="s">
        <v>971</v>
      </c>
      <c r="B831" s="2" t="s">
        <v>34</v>
      </c>
      <c r="C831" s="2" t="s">
        <v>46</v>
      </c>
      <c r="D831" s="2">
        <v>1022080</v>
      </c>
      <c r="E831" s="2" t="s">
        <v>293</v>
      </c>
      <c r="F831" s="2" t="s">
        <v>259</v>
      </c>
      <c r="G831" s="2" t="s">
        <v>292</v>
      </c>
      <c r="H831" s="7">
        <v>145170</v>
      </c>
      <c r="I831">
        <v>25</v>
      </c>
      <c r="J831">
        <v>27</v>
      </c>
      <c r="K831" s="14">
        <v>0.6</v>
      </c>
      <c r="L831" s="7">
        <f t="shared" si="24"/>
        <v>87102</v>
      </c>
      <c r="M831" s="14">
        <v>0.72</v>
      </c>
      <c r="N831" s="7">
        <f t="shared" si="25"/>
        <v>104522.4</v>
      </c>
    </row>
    <row r="832" spans="1:14" x14ac:dyDescent="0.2">
      <c r="A832" s="2" t="s">
        <v>971</v>
      </c>
      <c r="B832" s="2" t="s">
        <v>34</v>
      </c>
      <c r="C832" s="2" t="s">
        <v>46</v>
      </c>
      <c r="D832" s="2">
        <v>1022082</v>
      </c>
      <c r="E832" s="2" t="s">
        <v>930</v>
      </c>
      <c r="F832" s="2" t="s">
        <v>181</v>
      </c>
      <c r="G832" s="2" t="s">
        <v>553</v>
      </c>
      <c r="H832" s="7">
        <v>0</v>
      </c>
      <c r="I832">
        <v>25</v>
      </c>
      <c r="J832">
        <v>27</v>
      </c>
      <c r="K832" s="14">
        <v>0.6</v>
      </c>
      <c r="L832" s="7">
        <f t="shared" si="24"/>
        <v>0</v>
      </c>
      <c r="M832" s="14">
        <v>0.72</v>
      </c>
      <c r="N832" s="7">
        <f t="shared" si="25"/>
        <v>0</v>
      </c>
    </row>
    <row r="833" spans="1:14" x14ac:dyDescent="0.2">
      <c r="A833" s="2" t="s">
        <v>971</v>
      </c>
      <c r="B833" s="2" t="s">
        <v>34</v>
      </c>
      <c r="C833" s="2" t="s">
        <v>46</v>
      </c>
      <c r="D833" s="2">
        <v>1022096</v>
      </c>
      <c r="E833" s="2" t="s">
        <v>827</v>
      </c>
      <c r="F833" s="2" t="s">
        <v>172</v>
      </c>
      <c r="G833" s="2" t="s">
        <v>440</v>
      </c>
      <c r="H833" s="7">
        <v>289980</v>
      </c>
      <c r="I833">
        <v>25</v>
      </c>
      <c r="J833">
        <v>27</v>
      </c>
      <c r="K833" s="14">
        <v>0.6</v>
      </c>
      <c r="L833" s="7">
        <f t="shared" si="24"/>
        <v>173988</v>
      </c>
      <c r="M833" s="14">
        <v>0.72</v>
      </c>
      <c r="N833" s="7">
        <f t="shared" si="25"/>
        <v>208785.6</v>
      </c>
    </row>
    <row r="834" spans="1:14" x14ac:dyDescent="0.2">
      <c r="A834" s="2" t="s">
        <v>971</v>
      </c>
      <c r="B834" s="2" t="s">
        <v>34</v>
      </c>
      <c r="C834" s="2" t="s">
        <v>46</v>
      </c>
      <c r="D834" s="2">
        <v>1022099</v>
      </c>
      <c r="E834" s="2" t="s">
        <v>295</v>
      </c>
      <c r="F834" s="2" t="s">
        <v>172</v>
      </c>
      <c r="G834" s="2" t="s">
        <v>294</v>
      </c>
      <c r="H834" s="7">
        <v>97596</v>
      </c>
      <c r="I834">
        <v>25</v>
      </c>
      <c r="J834">
        <v>27</v>
      </c>
      <c r="K834" s="14">
        <v>0.6</v>
      </c>
      <c r="L834" s="7">
        <f t="shared" ref="L834:L897" si="26">K834 * H834</f>
        <v>58557.599999999999</v>
      </c>
      <c r="M834" s="14">
        <v>0.72</v>
      </c>
      <c r="N834" s="7">
        <f t="shared" ref="N834:N897" si="27">M834 * H834</f>
        <v>70269.119999999995</v>
      </c>
    </row>
    <row r="835" spans="1:14" x14ac:dyDescent="0.2">
      <c r="A835" s="2" t="s">
        <v>971</v>
      </c>
      <c r="B835" s="2" t="s">
        <v>34</v>
      </c>
      <c r="C835" s="2" t="s">
        <v>46</v>
      </c>
      <c r="D835" s="2">
        <v>1022125</v>
      </c>
      <c r="E835" s="2" t="s">
        <v>297</v>
      </c>
      <c r="F835" s="2" t="s">
        <v>167</v>
      </c>
      <c r="G835" s="2" t="s">
        <v>296</v>
      </c>
      <c r="H835" s="7">
        <v>220736.66099999999</v>
      </c>
      <c r="I835">
        <v>25</v>
      </c>
      <c r="J835">
        <v>27</v>
      </c>
      <c r="K835" s="14">
        <v>0.6</v>
      </c>
      <c r="L835" s="7">
        <f t="shared" si="26"/>
        <v>132441.99659999998</v>
      </c>
      <c r="M835" s="14">
        <v>0.72</v>
      </c>
      <c r="N835" s="7">
        <f t="shared" si="27"/>
        <v>158930.39591999998</v>
      </c>
    </row>
    <row r="836" spans="1:14" x14ac:dyDescent="0.2">
      <c r="A836" s="2" t="s">
        <v>971</v>
      </c>
      <c r="B836" s="2" t="s">
        <v>34</v>
      </c>
      <c r="C836" s="2" t="s">
        <v>46</v>
      </c>
      <c r="D836" s="2">
        <v>1022169</v>
      </c>
      <c r="E836" s="2" t="s">
        <v>299</v>
      </c>
      <c r="F836" s="2" t="s">
        <v>181</v>
      </c>
      <c r="G836" s="2" t="s">
        <v>298</v>
      </c>
      <c r="H836" s="7">
        <v>215190</v>
      </c>
      <c r="I836">
        <v>25</v>
      </c>
      <c r="J836">
        <v>27</v>
      </c>
      <c r="K836" s="14">
        <v>0.6</v>
      </c>
      <c r="L836" s="7">
        <f t="shared" si="26"/>
        <v>129114</v>
      </c>
      <c r="M836" s="14">
        <v>0.72</v>
      </c>
      <c r="N836" s="7">
        <f t="shared" si="27"/>
        <v>154936.79999999999</v>
      </c>
    </row>
    <row r="837" spans="1:14" x14ac:dyDescent="0.2">
      <c r="A837" s="2" t="s">
        <v>971</v>
      </c>
      <c r="B837" s="2" t="s">
        <v>34</v>
      </c>
      <c r="C837" s="2" t="s">
        <v>46</v>
      </c>
      <c r="D837" s="2">
        <v>1022183</v>
      </c>
      <c r="E837" s="2" t="s">
        <v>166</v>
      </c>
      <c r="F837" s="2" t="s">
        <v>167</v>
      </c>
      <c r="G837" s="2" t="s">
        <v>165</v>
      </c>
      <c r="H837" s="7">
        <v>691164.42099999997</v>
      </c>
      <c r="I837">
        <v>25</v>
      </c>
      <c r="J837">
        <v>27</v>
      </c>
      <c r="K837" s="14">
        <v>0.6</v>
      </c>
      <c r="L837" s="7">
        <f t="shared" si="26"/>
        <v>414698.65259999997</v>
      </c>
      <c r="M837" s="14">
        <v>0.72</v>
      </c>
      <c r="N837" s="7">
        <f t="shared" si="27"/>
        <v>497638.38311999995</v>
      </c>
    </row>
    <row r="838" spans="1:14" x14ac:dyDescent="0.2">
      <c r="A838" s="2" t="s">
        <v>971</v>
      </c>
      <c r="B838" s="2" t="s">
        <v>34</v>
      </c>
      <c r="C838" s="2" t="s">
        <v>46</v>
      </c>
      <c r="D838" s="2">
        <v>1022186</v>
      </c>
      <c r="E838" s="2" t="s">
        <v>828</v>
      </c>
      <c r="F838" s="2" t="s">
        <v>172</v>
      </c>
      <c r="G838" s="2" t="s">
        <v>388</v>
      </c>
      <c r="H838" s="7">
        <v>73062</v>
      </c>
      <c r="I838">
        <v>25</v>
      </c>
      <c r="J838">
        <v>27</v>
      </c>
      <c r="K838" s="14">
        <v>0.6</v>
      </c>
      <c r="L838" s="7">
        <f t="shared" si="26"/>
        <v>43837.2</v>
      </c>
      <c r="M838" s="14">
        <v>0.72</v>
      </c>
      <c r="N838" s="7">
        <f t="shared" si="27"/>
        <v>52604.639999999999</v>
      </c>
    </row>
    <row r="839" spans="1:14" x14ac:dyDescent="0.2">
      <c r="A839" s="2" t="s">
        <v>971</v>
      </c>
      <c r="B839" s="2" t="s">
        <v>34</v>
      </c>
      <c r="C839" s="2" t="s">
        <v>46</v>
      </c>
      <c r="D839" s="2">
        <v>1022193</v>
      </c>
      <c r="E839" s="2" t="s">
        <v>169</v>
      </c>
      <c r="F839" s="2" t="s">
        <v>43</v>
      </c>
      <c r="G839" s="2" t="s">
        <v>168</v>
      </c>
      <c r="H839" s="7">
        <v>0</v>
      </c>
      <c r="I839">
        <v>25</v>
      </c>
      <c r="J839">
        <v>27</v>
      </c>
      <c r="K839" s="14">
        <v>0.6</v>
      </c>
      <c r="L839" s="7">
        <f t="shared" si="26"/>
        <v>0</v>
      </c>
      <c r="M839" s="14">
        <v>0.72</v>
      </c>
      <c r="N839" s="7">
        <f t="shared" si="27"/>
        <v>0</v>
      </c>
    </row>
    <row r="840" spans="1:14" x14ac:dyDescent="0.2">
      <c r="A840" s="2" t="s">
        <v>971</v>
      </c>
      <c r="B840" s="2" t="s">
        <v>34</v>
      </c>
      <c r="C840" s="2" t="s">
        <v>46</v>
      </c>
      <c r="D840" s="2">
        <v>1022212</v>
      </c>
      <c r="E840" s="2" t="s">
        <v>301</v>
      </c>
      <c r="F840" s="2" t="s">
        <v>196</v>
      </c>
      <c r="G840" s="2" t="s">
        <v>300</v>
      </c>
      <c r="H840" s="7">
        <v>521692.408</v>
      </c>
      <c r="I840">
        <v>25</v>
      </c>
      <c r="J840">
        <v>27</v>
      </c>
      <c r="K840" s="14">
        <v>0.6</v>
      </c>
      <c r="L840" s="7">
        <f t="shared" si="26"/>
        <v>313015.4448</v>
      </c>
      <c r="M840" s="14">
        <v>0.72</v>
      </c>
      <c r="N840" s="7">
        <f t="shared" si="27"/>
        <v>375618.53375999996</v>
      </c>
    </row>
    <row r="841" spans="1:14" x14ac:dyDescent="0.2">
      <c r="A841" s="2" t="s">
        <v>971</v>
      </c>
      <c r="B841" s="2" t="s">
        <v>34</v>
      </c>
      <c r="C841" s="2" t="s">
        <v>46</v>
      </c>
      <c r="D841" s="2">
        <v>1022291</v>
      </c>
      <c r="E841" s="2" t="s">
        <v>829</v>
      </c>
      <c r="F841" s="2" t="s">
        <v>167</v>
      </c>
      <c r="G841" s="2" t="s">
        <v>414</v>
      </c>
      <c r="H841" s="7">
        <v>71466.171000000002</v>
      </c>
      <c r="I841">
        <v>25</v>
      </c>
      <c r="J841">
        <v>27</v>
      </c>
      <c r="K841" s="14">
        <v>0.6</v>
      </c>
      <c r="L841" s="7">
        <f t="shared" si="26"/>
        <v>42879.702599999997</v>
      </c>
      <c r="M841" s="14">
        <v>0.72</v>
      </c>
      <c r="N841" s="7">
        <f t="shared" si="27"/>
        <v>51455.643120000001</v>
      </c>
    </row>
    <row r="842" spans="1:14" x14ac:dyDescent="0.2">
      <c r="A842" s="2" t="s">
        <v>971</v>
      </c>
      <c r="B842" s="2" t="s">
        <v>34</v>
      </c>
      <c r="C842" s="2" t="s">
        <v>46</v>
      </c>
      <c r="D842" s="2">
        <v>1022373</v>
      </c>
      <c r="E842" s="2" t="s">
        <v>303</v>
      </c>
      <c r="F842" s="2" t="s">
        <v>181</v>
      </c>
      <c r="G842" s="2" t="s">
        <v>302</v>
      </c>
      <c r="H842" s="7">
        <v>0</v>
      </c>
      <c r="I842">
        <v>25</v>
      </c>
      <c r="J842">
        <v>27</v>
      </c>
      <c r="K842" s="14">
        <v>0.6</v>
      </c>
      <c r="L842" s="7">
        <f t="shared" si="26"/>
        <v>0</v>
      </c>
      <c r="M842" s="14">
        <v>0.72</v>
      </c>
      <c r="N842" s="7">
        <f t="shared" si="27"/>
        <v>0</v>
      </c>
    </row>
    <row r="843" spans="1:14" x14ac:dyDescent="0.2">
      <c r="A843" s="2" t="s">
        <v>971</v>
      </c>
      <c r="B843" s="2" t="s">
        <v>34</v>
      </c>
      <c r="C843" s="2" t="s">
        <v>46</v>
      </c>
      <c r="D843" s="2">
        <v>1022378</v>
      </c>
      <c r="E843" s="2" t="s">
        <v>305</v>
      </c>
      <c r="F843" s="2" t="s">
        <v>172</v>
      </c>
      <c r="G843" s="2" t="s">
        <v>304</v>
      </c>
      <c r="H843" s="7">
        <v>72000</v>
      </c>
      <c r="I843">
        <v>25</v>
      </c>
      <c r="J843">
        <v>27</v>
      </c>
      <c r="K843" s="14">
        <v>0.6</v>
      </c>
      <c r="L843" s="7">
        <f t="shared" si="26"/>
        <v>43200</v>
      </c>
      <c r="M843" s="14">
        <v>0.72</v>
      </c>
      <c r="N843" s="7">
        <f t="shared" si="27"/>
        <v>51840</v>
      </c>
    </row>
    <row r="844" spans="1:14" x14ac:dyDescent="0.2">
      <c r="A844" s="2" t="s">
        <v>971</v>
      </c>
      <c r="B844" s="2" t="s">
        <v>34</v>
      </c>
      <c r="C844" s="2" t="s">
        <v>46</v>
      </c>
      <c r="D844" s="2">
        <v>1022379</v>
      </c>
      <c r="E844" s="2" t="s">
        <v>307</v>
      </c>
      <c r="F844" s="2" t="s">
        <v>39</v>
      </c>
      <c r="G844" s="2" t="s">
        <v>306</v>
      </c>
      <c r="H844" s="7">
        <v>24290.795999999998</v>
      </c>
      <c r="I844">
        <v>25</v>
      </c>
      <c r="J844">
        <v>27</v>
      </c>
      <c r="K844" s="14">
        <v>0.6</v>
      </c>
      <c r="L844" s="7">
        <f t="shared" si="26"/>
        <v>14574.477599999998</v>
      </c>
      <c r="M844" s="14">
        <v>0.72</v>
      </c>
      <c r="N844" s="7">
        <f t="shared" si="27"/>
        <v>17489.373119999997</v>
      </c>
    </row>
    <row r="845" spans="1:14" x14ac:dyDescent="0.2">
      <c r="A845" s="2" t="s">
        <v>971</v>
      </c>
      <c r="B845" s="2" t="s">
        <v>34</v>
      </c>
      <c r="C845" s="2" t="s">
        <v>46</v>
      </c>
      <c r="D845" s="2">
        <v>1022381</v>
      </c>
      <c r="E845" s="2" t="s">
        <v>830</v>
      </c>
      <c r="F845" s="2" t="s">
        <v>48</v>
      </c>
      <c r="G845" s="2" t="s">
        <v>447</v>
      </c>
      <c r="H845" s="7">
        <v>144030</v>
      </c>
      <c r="I845">
        <v>25</v>
      </c>
      <c r="J845">
        <v>27</v>
      </c>
      <c r="K845" s="14">
        <v>0.6</v>
      </c>
      <c r="L845" s="7">
        <f t="shared" si="26"/>
        <v>86418</v>
      </c>
      <c r="M845" s="14">
        <v>0.72</v>
      </c>
      <c r="N845" s="7">
        <f t="shared" si="27"/>
        <v>103701.59999999999</v>
      </c>
    </row>
    <row r="846" spans="1:14" x14ac:dyDescent="0.2">
      <c r="A846" s="2" t="s">
        <v>971</v>
      </c>
      <c r="B846" s="2" t="s">
        <v>34</v>
      </c>
      <c r="C846" s="2" t="s">
        <v>46</v>
      </c>
      <c r="D846" s="2">
        <v>1022388</v>
      </c>
      <c r="E846" s="2" t="s">
        <v>171</v>
      </c>
      <c r="F846" s="2" t="s">
        <v>172</v>
      </c>
      <c r="G846" s="2" t="s">
        <v>170</v>
      </c>
      <c r="H846" s="7">
        <v>144480</v>
      </c>
      <c r="I846">
        <v>25</v>
      </c>
      <c r="J846">
        <v>27</v>
      </c>
      <c r="K846" s="14">
        <v>0.6</v>
      </c>
      <c r="L846" s="7">
        <f t="shared" si="26"/>
        <v>86688</v>
      </c>
      <c r="M846" s="14">
        <v>0.72</v>
      </c>
      <c r="N846" s="7">
        <f t="shared" si="27"/>
        <v>104025.59999999999</v>
      </c>
    </row>
    <row r="847" spans="1:14" x14ac:dyDescent="0.2">
      <c r="A847" s="2" t="s">
        <v>971</v>
      </c>
      <c r="B847" s="2" t="s">
        <v>34</v>
      </c>
      <c r="C847" s="2" t="s">
        <v>46</v>
      </c>
      <c r="D847" s="2">
        <v>1022414</v>
      </c>
      <c r="E847" s="2" t="s">
        <v>309</v>
      </c>
      <c r="F847" s="2" t="s">
        <v>76</v>
      </c>
      <c r="G847" s="2" t="s">
        <v>308</v>
      </c>
      <c r="H847" s="7">
        <v>217560</v>
      </c>
      <c r="I847">
        <v>25</v>
      </c>
      <c r="J847">
        <v>27</v>
      </c>
      <c r="K847" s="14">
        <v>0.6</v>
      </c>
      <c r="L847" s="7">
        <f t="shared" si="26"/>
        <v>130536</v>
      </c>
      <c r="M847" s="14">
        <v>0.72</v>
      </c>
      <c r="N847" s="7">
        <f t="shared" si="27"/>
        <v>156643.19999999998</v>
      </c>
    </row>
    <row r="848" spans="1:14" x14ac:dyDescent="0.2">
      <c r="A848" s="2" t="s">
        <v>971</v>
      </c>
      <c r="B848" s="2" t="s">
        <v>34</v>
      </c>
      <c r="C848" s="2" t="s">
        <v>46</v>
      </c>
      <c r="D848" s="2">
        <v>1022416</v>
      </c>
      <c r="E848" s="2" t="s">
        <v>833</v>
      </c>
      <c r="F848" s="2" t="s">
        <v>76</v>
      </c>
      <c r="G848" s="2" t="s">
        <v>834</v>
      </c>
      <c r="H848" s="7">
        <v>0</v>
      </c>
      <c r="I848">
        <v>25</v>
      </c>
      <c r="J848">
        <v>27</v>
      </c>
      <c r="K848" s="14">
        <v>0.6</v>
      </c>
      <c r="L848" s="7">
        <f t="shared" si="26"/>
        <v>0</v>
      </c>
      <c r="M848" s="14">
        <v>0.72</v>
      </c>
      <c r="N848" s="7">
        <f t="shared" si="27"/>
        <v>0</v>
      </c>
    </row>
    <row r="849" spans="1:14" x14ac:dyDescent="0.2">
      <c r="A849" s="2" t="s">
        <v>971</v>
      </c>
      <c r="B849" s="2" t="s">
        <v>34</v>
      </c>
      <c r="C849" s="2" t="s">
        <v>46</v>
      </c>
      <c r="D849" s="2">
        <v>1022417</v>
      </c>
      <c r="E849" s="2" t="s">
        <v>174</v>
      </c>
      <c r="F849" s="2" t="s">
        <v>175</v>
      </c>
      <c r="G849" s="2" t="s">
        <v>173</v>
      </c>
      <c r="H849" s="7">
        <v>0</v>
      </c>
      <c r="I849">
        <v>25</v>
      </c>
      <c r="J849">
        <v>27</v>
      </c>
      <c r="K849" s="14">
        <v>0.6</v>
      </c>
      <c r="L849" s="7">
        <f t="shared" si="26"/>
        <v>0</v>
      </c>
      <c r="M849" s="14">
        <v>0.72</v>
      </c>
      <c r="N849" s="7">
        <f t="shared" si="27"/>
        <v>0</v>
      </c>
    </row>
    <row r="850" spans="1:14" x14ac:dyDescent="0.2">
      <c r="A850" s="2" t="s">
        <v>971</v>
      </c>
      <c r="B850" s="2" t="s">
        <v>34</v>
      </c>
      <c r="C850" s="2" t="s">
        <v>46</v>
      </c>
      <c r="D850" s="2">
        <v>1022541</v>
      </c>
      <c r="E850" s="2" t="s">
        <v>835</v>
      </c>
      <c r="F850" s="2" t="s">
        <v>48</v>
      </c>
      <c r="G850" s="2" t="s">
        <v>445</v>
      </c>
      <c r="H850" s="7">
        <v>23549.687999999998</v>
      </c>
      <c r="I850">
        <v>25</v>
      </c>
      <c r="J850">
        <v>27</v>
      </c>
      <c r="K850" s="14">
        <v>0.6</v>
      </c>
      <c r="L850" s="7">
        <f t="shared" si="26"/>
        <v>14129.812799999998</v>
      </c>
      <c r="M850" s="14">
        <v>0.72</v>
      </c>
      <c r="N850" s="7">
        <f t="shared" si="27"/>
        <v>16955.77536</v>
      </c>
    </row>
    <row r="851" spans="1:14" x14ac:dyDescent="0.2">
      <c r="A851" s="2" t="s">
        <v>971</v>
      </c>
      <c r="B851" s="2" t="s">
        <v>34</v>
      </c>
      <c r="C851" s="2" t="s">
        <v>46</v>
      </c>
      <c r="D851" s="2">
        <v>1022568</v>
      </c>
      <c r="E851" s="2" t="s">
        <v>311</v>
      </c>
      <c r="F851" s="2" t="s">
        <v>178</v>
      </c>
      <c r="G851" s="2" t="s">
        <v>310</v>
      </c>
      <c r="H851" s="7">
        <v>0</v>
      </c>
      <c r="I851">
        <v>25</v>
      </c>
      <c r="J851">
        <v>27</v>
      </c>
      <c r="K851" s="14">
        <v>0.6</v>
      </c>
      <c r="L851" s="7">
        <f t="shared" si="26"/>
        <v>0</v>
      </c>
      <c r="M851" s="14">
        <v>0.72</v>
      </c>
      <c r="N851" s="7">
        <f t="shared" si="27"/>
        <v>0</v>
      </c>
    </row>
    <row r="852" spans="1:14" x14ac:dyDescent="0.2">
      <c r="A852" s="2" t="s">
        <v>971</v>
      </c>
      <c r="B852" s="2" t="s">
        <v>34</v>
      </c>
      <c r="C852" s="2" t="s">
        <v>46</v>
      </c>
      <c r="D852" s="2">
        <v>1022636</v>
      </c>
      <c r="E852" s="2" t="s">
        <v>313</v>
      </c>
      <c r="F852" s="2" t="s">
        <v>172</v>
      </c>
      <c r="G852" s="2" t="s">
        <v>312</v>
      </c>
      <c r="H852" s="7">
        <v>128385</v>
      </c>
      <c r="I852">
        <v>25</v>
      </c>
      <c r="J852">
        <v>27</v>
      </c>
      <c r="K852" s="14">
        <v>0.6</v>
      </c>
      <c r="L852" s="7">
        <f t="shared" si="26"/>
        <v>77031</v>
      </c>
      <c r="M852" s="14">
        <v>0.72</v>
      </c>
      <c r="N852" s="7">
        <f t="shared" si="27"/>
        <v>92437.2</v>
      </c>
    </row>
    <row r="853" spans="1:14" x14ac:dyDescent="0.2">
      <c r="A853" s="2" t="s">
        <v>971</v>
      </c>
      <c r="B853" s="2" t="s">
        <v>34</v>
      </c>
      <c r="C853" s="2" t="s">
        <v>46</v>
      </c>
      <c r="D853" s="2">
        <v>1022637</v>
      </c>
      <c r="E853" s="2" t="s">
        <v>315</v>
      </c>
      <c r="F853" s="2" t="s">
        <v>172</v>
      </c>
      <c r="G853" s="2" t="s">
        <v>314</v>
      </c>
      <c r="H853" s="7">
        <v>65295</v>
      </c>
      <c r="I853">
        <v>25</v>
      </c>
      <c r="J853">
        <v>27</v>
      </c>
      <c r="K853" s="14">
        <v>0.6</v>
      </c>
      <c r="L853" s="7">
        <f t="shared" si="26"/>
        <v>39177</v>
      </c>
      <c r="M853" s="14">
        <v>0.72</v>
      </c>
      <c r="N853" s="7">
        <f t="shared" si="27"/>
        <v>47012.4</v>
      </c>
    </row>
    <row r="854" spans="1:14" x14ac:dyDescent="0.2">
      <c r="A854" s="2" t="s">
        <v>971</v>
      </c>
      <c r="B854" s="2" t="s">
        <v>34</v>
      </c>
      <c r="C854" s="2" t="s">
        <v>46</v>
      </c>
      <c r="D854" s="2">
        <v>1022639</v>
      </c>
      <c r="E854" s="2" t="s">
        <v>317</v>
      </c>
      <c r="F854" s="2" t="s">
        <v>196</v>
      </c>
      <c r="G854" s="2" t="s">
        <v>316</v>
      </c>
      <c r="H854" s="7">
        <v>634117.89599999995</v>
      </c>
      <c r="I854">
        <v>25</v>
      </c>
      <c r="J854">
        <v>27</v>
      </c>
      <c r="K854" s="14">
        <v>0.6</v>
      </c>
      <c r="L854" s="7">
        <f t="shared" si="26"/>
        <v>380470.73759999993</v>
      </c>
      <c r="M854" s="14">
        <v>0.72</v>
      </c>
      <c r="N854" s="7">
        <f t="shared" si="27"/>
        <v>456564.88511999993</v>
      </c>
    </row>
    <row r="855" spans="1:14" x14ac:dyDescent="0.2">
      <c r="A855" s="2" t="s">
        <v>971</v>
      </c>
      <c r="B855" s="2" t="s">
        <v>34</v>
      </c>
      <c r="C855" s="2" t="s">
        <v>46</v>
      </c>
      <c r="D855" s="2">
        <v>1022640</v>
      </c>
      <c r="E855" s="2" t="s">
        <v>319</v>
      </c>
      <c r="F855" s="2" t="s">
        <v>196</v>
      </c>
      <c r="G855" s="2" t="s">
        <v>318</v>
      </c>
      <c r="H855" s="7">
        <v>4874.4539999999997</v>
      </c>
      <c r="I855">
        <v>25</v>
      </c>
      <c r="J855">
        <v>27</v>
      </c>
      <c r="K855" s="14">
        <v>0.6</v>
      </c>
      <c r="L855" s="7">
        <f t="shared" si="26"/>
        <v>2924.6723999999999</v>
      </c>
      <c r="M855" s="14">
        <v>0.72</v>
      </c>
      <c r="N855" s="7">
        <f t="shared" si="27"/>
        <v>3509.6068799999998</v>
      </c>
    </row>
    <row r="856" spans="1:14" x14ac:dyDescent="0.2">
      <c r="A856" s="2" t="s">
        <v>971</v>
      </c>
      <c r="B856" s="2" t="s">
        <v>34</v>
      </c>
      <c r="C856" s="2" t="s">
        <v>46</v>
      </c>
      <c r="D856" s="2">
        <v>1022646</v>
      </c>
      <c r="E856" s="2" t="s">
        <v>177</v>
      </c>
      <c r="F856" s="2" t="s">
        <v>178</v>
      </c>
      <c r="G856" s="2" t="s">
        <v>176</v>
      </c>
      <c r="H856" s="7">
        <v>0</v>
      </c>
      <c r="I856">
        <v>25</v>
      </c>
      <c r="J856">
        <v>27</v>
      </c>
      <c r="K856" s="14">
        <v>0.6</v>
      </c>
      <c r="L856" s="7">
        <f t="shared" si="26"/>
        <v>0</v>
      </c>
      <c r="M856" s="14">
        <v>0.72</v>
      </c>
      <c r="N856" s="7">
        <f t="shared" si="27"/>
        <v>0</v>
      </c>
    </row>
    <row r="857" spans="1:14" x14ac:dyDescent="0.2">
      <c r="A857" s="2" t="s">
        <v>971</v>
      </c>
      <c r="B857" s="2" t="s">
        <v>34</v>
      </c>
      <c r="C857" s="2" t="s">
        <v>46</v>
      </c>
      <c r="D857" s="2">
        <v>1022748</v>
      </c>
      <c r="E857" s="2" t="s">
        <v>836</v>
      </c>
      <c r="F857" s="2" t="s">
        <v>259</v>
      </c>
      <c r="G857" s="2" t="s">
        <v>444</v>
      </c>
      <c r="H857" s="7">
        <v>144510</v>
      </c>
      <c r="I857">
        <v>25</v>
      </c>
      <c r="J857">
        <v>27</v>
      </c>
      <c r="K857" s="14">
        <v>0.6</v>
      </c>
      <c r="L857" s="7">
        <f t="shared" si="26"/>
        <v>86706</v>
      </c>
      <c r="M857" s="14">
        <v>0.72</v>
      </c>
      <c r="N857" s="7">
        <f t="shared" si="27"/>
        <v>104047.2</v>
      </c>
    </row>
    <row r="858" spans="1:14" x14ac:dyDescent="0.2">
      <c r="A858" s="2" t="s">
        <v>971</v>
      </c>
      <c r="B858" s="2" t="s">
        <v>34</v>
      </c>
      <c r="C858" s="2" t="s">
        <v>46</v>
      </c>
      <c r="D858" s="2">
        <v>1022753</v>
      </c>
      <c r="E858" s="2" t="s">
        <v>321</v>
      </c>
      <c r="F858" s="2" t="s">
        <v>167</v>
      </c>
      <c r="G858" s="2" t="s">
        <v>320</v>
      </c>
      <c r="H858" s="7">
        <v>144960</v>
      </c>
      <c r="I858">
        <v>25</v>
      </c>
      <c r="J858">
        <v>27</v>
      </c>
      <c r="K858" s="14">
        <v>0.6</v>
      </c>
      <c r="L858" s="7">
        <f t="shared" si="26"/>
        <v>86976</v>
      </c>
      <c r="M858" s="14">
        <v>0.72</v>
      </c>
      <c r="N858" s="7">
        <f t="shared" si="27"/>
        <v>104371.2</v>
      </c>
    </row>
    <row r="859" spans="1:14" x14ac:dyDescent="0.2">
      <c r="A859" s="2" t="s">
        <v>971</v>
      </c>
      <c r="B859" s="2" t="s">
        <v>34</v>
      </c>
      <c r="C859" s="2" t="s">
        <v>46</v>
      </c>
      <c r="D859" s="2">
        <v>1022851</v>
      </c>
      <c r="E859" s="2" t="s">
        <v>323</v>
      </c>
      <c r="F859" s="2" t="s">
        <v>39</v>
      </c>
      <c r="G859" s="2" t="s">
        <v>322</v>
      </c>
      <c r="H859" s="7">
        <v>0</v>
      </c>
      <c r="I859">
        <v>25</v>
      </c>
      <c r="J859">
        <v>27</v>
      </c>
      <c r="K859" s="14">
        <v>0.6</v>
      </c>
      <c r="L859" s="7">
        <f t="shared" si="26"/>
        <v>0</v>
      </c>
      <c r="M859" s="14">
        <v>0.72</v>
      </c>
      <c r="N859" s="7">
        <f t="shared" si="27"/>
        <v>0</v>
      </c>
    </row>
    <row r="860" spans="1:14" x14ac:dyDescent="0.2">
      <c r="A860" s="2" t="s">
        <v>971</v>
      </c>
      <c r="B860" s="2" t="s">
        <v>34</v>
      </c>
      <c r="C860" s="2" t="s">
        <v>46</v>
      </c>
      <c r="D860" s="2">
        <v>1022856</v>
      </c>
      <c r="E860" s="2" t="s">
        <v>837</v>
      </c>
      <c r="F860" s="2" t="s">
        <v>48</v>
      </c>
      <c r="G860" s="2" t="s">
        <v>446</v>
      </c>
      <c r="H860" s="7">
        <v>142482.21900000001</v>
      </c>
      <c r="I860">
        <v>25</v>
      </c>
      <c r="J860">
        <v>27</v>
      </c>
      <c r="K860" s="14">
        <v>0.6</v>
      </c>
      <c r="L860" s="7">
        <f t="shared" si="26"/>
        <v>85489.33140000001</v>
      </c>
      <c r="M860" s="14">
        <v>0.72</v>
      </c>
      <c r="N860" s="7">
        <f t="shared" si="27"/>
        <v>102587.19768</v>
      </c>
    </row>
    <row r="861" spans="1:14" x14ac:dyDescent="0.2">
      <c r="A861" s="2" t="s">
        <v>971</v>
      </c>
      <c r="B861" s="2" t="s">
        <v>34</v>
      </c>
      <c r="C861" s="2" t="s">
        <v>46</v>
      </c>
      <c r="D861" s="2">
        <v>1022936</v>
      </c>
      <c r="E861" s="2" t="s">
        <v>119</v>
      </c>
      <c r="F861" s="2" t="s">
        <v>67</v>
      </c>
      <c r="G861" s="2" t="s">
        <v>676</v>
      </c>
      <c r="H861" s="7">
        <v>0</v>
      </c>
      <c r="I861">
        <v>25</v>
      </c>
      <c r="J861">
        <v>27</v>
      </c>
      <c r="K861" s="14">
        <v>0.6</v>
      </c>
      <c r="L861" s="7">
        <f t="shared" si="26"/>
        <v>0</v>
      </c>
      <c r="M861" s="14">
        <v>0.72</v>
      </c>
      <c r="N861" s="7">
        <f t="shared" si="27"/>
        <v>0</v>
      </c>
    </row>
    <row r="862" spans="1:14" x14ac:dyDescent="0.2">
      <c r="A862" s="2" t="s">
        <v>971</v>
      </c>
      <c r="B862" s="2" t="s">
        <v>34</v>
      </c>
      <c r="C862" s="2" t="s">
        <v>46</v>
      </c>
      <c r="D862" s="2">
        <v>1022939</v>
      </c>
      <c r="E862" s="2" t="s">
        <v>838</v>
      </c>
      <c r="F862" s="2" t="s">
        <v>191</v>
      </c>
      <c r="G862" s="2" t="s">
        <v>505</v>
      </c>
      <c r="H862" s="7">
        <v>72840</v>
      </c>
      <c r="I862">
        <v>25</v>
      </c>
      <c r="J862">
        <v>27</v>
      </c>
      <c r="K862" s="14">
        <v>0.6</v>
      </c>
      <c r="L862" s="7">
        <f t="shared" si="26"/>
        <v>43704</v>
      </c>
      <c r="M862" s="14">
        <v>0.72</v>
      </c>
      <c r="N862" s="7">
        <f t="shared" si="27"/>
        <v>52444.799999999996</v>
      </c>
    </row>
    <row r="863" spans="1:14" x14ac:dyDescent="0.2">
      <c r="A863" s="2" t="s">
        <v>971</v>
      </c>
      <c r="B863" s="2" t="s">
        <v>34</v>
      </c>
      <c r="C863" s="2" t="s">
        <v>46</v>
      </c>
      <c r="D863" s="2">
        <v>1022941</v>
      </c>
      <c r="E863" s="2" t="s">
        <v>840</v>
      </c>
      <c r="F863" s="2" t="s">
        <v>167</v>
      </c>
      <c r="G863" s="2" t="s">
        <v>392</v>
      </c>
      <c r="H863" s="7">
        <v>0</v>
      </c>
      <c r="I863">
        <v>25</v>
      </c>
      <c r="J863">
        <v>27</v>
      </c>
      <c r="K863" s="14">
        <v>0.6</v>
      </c>
      <c r="L863" s="7">
        <f t="shared" si="26"/>
        <v>0</v>
      </c>
      <c r="M863" s="14">
        <v>0.72</v>
      </c>
      <c r="N863" s="7">
        <f t="shared" si="27"/>
        <v>0</v>
      </c>
    </row>
    <row r="864" spans="1:14" x14ac:dyDescent="0.2">
      <c r="A864" s="2" t="s">
        <v>971</v>
      </c>
      <c r="B864" s="2" t="s">
        <v>34</v>
      </c>
      <c r="C864" s="2" t="s">
        <v>46</v>
      </c>
      <c r="D864" s="2">
        <v>1022943</v>
      </c>
      <c r="E864" s="2" t="s">
        <v>325</v>
      </c>
      <c r="F864" s="2" t="s">
        <v>43</v>
      </c>
      <c r="G864" s="2" t="s">
        <v>324</v>
      </c>
      <c r="H864" s="7">
        <v>0</v>
      </c>
      <c r="I864">
        <v>25</v>
      </c>
      <c r="J864">
        <v>27</v>
      </c>
      <c r="K864" s="14">
        <v>0.6</v>
      </c>
      <c r="L864" s="7">
        <f t="shared" si="26"/>
        <v>0</v>
      </c>
      <c r="M864" s="14">
        <v>0.72</v>
      </c>
      <c r="N864" s="7">
        <f t="shared" si="27"/>
        <v>0</v>
      </c>
    </row>
    <row r="865" spans="1:14" x14ac:dyDescent="0.2">
      <c r="A865" s="2" t="s">
        <v>971</v>
      </c>
      <c r="B865" s="2" t="s">
        <v>34</v>
      </c>
      <c r="C865" s="2" t="s">
        <v>46</v>
      </c>
      <c r="D865" s="2">
        <v>1022945</v>
      </c>
      <c r="E865" s="2" t="s">
        <v>47</v>
      </c>
      <c r="F865" s="2" t="s">
        <v>48</v>
      </c>
      <c r="G865" s="2" t="s">
        <v>442</v>
      </c>
      <c r="H865" s="7">
        <v>0</v>
      </c>
      <c r="I865">
        <v>25</v>
      </c>
      <c r="J865">
        <v>27</v>
      </c>
      <c r="K865" s="14">
        <v>0.6</v>
      </c>
      <c r="L865" s="7">
        <f t="shared" si="26"/>
        <v>0</v>
      </c>
      <c r="M865" s="14">
        <v>0.72</v>
      </c>
      <c r="N865" s="7">
        <f t="shared" si="27"/>
        <v>0</v>
      </c>
    </row>
    <row r="866" spans="1:14" x14ac:dyDescent="0.2">
      <c r="A866" s="2" t="s">
        <v>971</v>
      </c>
      <c r="B866" s="2" t="s">
        <v>34</v>
      </c>
      <c r="C866" s="2" t="s">
        <v>46</v>
      </c>
      <c r="D866" s="2">
        <v>1023034</v>
      </c>
      <c r="E866" s="2" t="s">
        <v>774</v>
      </c>
      <c r="F866" s="2" t="s">
        <v>175</v>
      </c>
      <c r="G866" s="2" t="s">
        <v>441</v>
      </c>
      <c r="H866" s="7">
        <v>172780</v>
      </c>
      <c r="I866">
        <v>25</v>
      </c>
      <c r="J866">
        <v>27</v>
      </c>
      <c r="K866" s="14">
        <v>0.6</v>
      </c>
      <c r="L866" s="7">
        <f t="shared" si="26"/>
        <v>103668</v>
      </c>
      <c r="M866" s="14">
        <v>0.72</v>
      </c>
      <c r="N866" s="7">
        <f t="shared" si="27"/>
        <v>124401.59999999999</v>
      </c>
    </row>
    <row r="867" spans="1:14" x14ac:dyDescent="0.2">
      <c r="A867" s="2" t="s">
        <v>971</v>
      </c>
      <c r="B867" s="2" t="s">
        <v>34</v>
      </c>
      <c r="C867" s="2" t="s">
        <v>46</v>
      </c>
      <c r="D867" s="2">
        <v>1023066</v>
      </c>
      <c r="E867" s="2" t="s">
        <v>841</v>
      </c>
      <c r="F867" s="2" t="s">
        <v>76</v>
      </c>
      <c r="G867" s="2" t="s">
        <v>529</v>
      </c>
      <c r="H867" s="7">
        <v>0</v>
      </c>
      <c r="I867">
        <v>25</v>
      </c>
      <c r="J867">
        <v>27</v>
      </c>
      <c r="K867" s="14">
        <v>0.6</v>
      </c>
      <c r="L867" s="7">
        <f t="shared" si="26"/>
        <v>0</v>
      </c>
      <c r="M867" s="14">
        <v>0.72</v>
      </c>
      <c r="N867" s="7">
        <f t="shared" si="27"/>
        <v>0</v>
      </c>
    </row>
    <row r="868" spans="1:14" x14ac:dyDescent="0.2">
      <c r="A868" s="2" t="s">
        <v>971</v>
      </c>
      <c r="B868" s="2" t="s">
        <v>34</v>
      </c>
      <c r="C868" s="2" t="s">
        <v>46</v>
      </c>
      <c r="D868" s="2">
        <v>1023093</v>
      </c>
      <c r="E868" s="2" t="s">
        <v>180</v>
      </c>
      <c r="F868" s="2" t="s">
        <v>181</v>
      </c>
      <c r="G868" s="2" t="s">
        <v>179</v>
      </c>
      <c r="H868" s="7">
        <v>0</v>
      </c>
      <c r="I868">
        <v>25</v>
      </c>
      <c r="J868">
        <v>27</v>
      </c>
      <c r="K868" s="14">
        <v>0.6</v>
      </c>
      <c r="L868" s="7">
        <f t="shared" si="26"/>
        <v>0</v>
      </c>
      <c r="M868" s="14">
        <v>0.72</v>
      </c>
      <c r="N868" s="7">
        <f t="shared" si="27"/>
        <v>0</v>
      </c>
    </row>
    <row r="869" spans="1:14" x14ac:dyDescent="0.2">
      <c r="A869" s="2" t="s">
        <v>971</v>
      </c>
      <c r="B869" s="2" t="s">
        <v>34</v>
      </c>
      <c r="C869" s="2" t="s">
        <v>46</v>
      </c>
      <c r="D869" s="2">
        <v>1023109</v>
      </c>
      <c r="E869" s="2" t="s">
        <v>835</v>
      </c>
      <c r="F869" s="2" t="s">
        <v>48</v>
      </c>
      <c r="G869" s="2" t="s">
        <v>466</v>
      </c>
      <c r="H869" s="7">
        <v>0</v>
      </c>
      <c r="I869">
        <v>25</v>
      </c>
      <c r="J869">
        <v>27</v>
      </c>
      <c r="K869" s="14">
        <v>0.6</v>
      </c>
      <c r="L869" s="7">
        <f t="shared" si="26"/>
        <v>0</v>
      </c>
      <c r="M869" s="14">
        <v>0.72</v>
      </c>
      <c r="N869" s="7">
        <f t="shared" si="27"/>
        <v>0</v>
      </c>
    </row>
    <row r="870" spans="1:14" x14ac:dyDescent="0.2">
      <c r="A870" s="2" t="s">
        <v>971</v>
      </c>
      <c r="B870" s="2" t="s">
        <v>34</v>
      </c>
      <c r="C870" s="2" t="s">
        <v>46</v>
      </c>
      <c r="D870" s="2">
        <v>1023291</v>
      </c>
      <c r="E870" s="2" t="s">
        <v>842</v>
      </c>
      <c r="F870" s="2" t="s">
        <v>172</v>
      </c>
      <c r="G870" s="2" t="s">
        <v>530</v>
      </c>
      <c r="H870" s="7">
        <v>0</v>
      </c>
      <c r="I870">
        <v>25</v>
      </c>
      <c r="J870">
        <v>27</v>
      </c>
      <c r="K870" s="14">
        <v>0.6</v>
      </c>
      <c r="L870" s="7">
        <f t="shared" si="26"/>
        <v>0</v>
      </c>
      <c r="M870" s="14">
        <v>0.72</v>
      </c>
      <c r="N870" s="7">
        <f t="shared" si="27"/>
        <v>0</v>
      </c>
    </row>
    <row r="871" spans="1:14" x14ac:dyDescent="0.2">
      <c r="A871" s="2" t="s">
        <v>971</v>
      </c>
      <c r="B871" s="2" t="s">
        <v>34</v>
      </c>
      <c r="C871" s="2" t="s">
        <v>46</v>
      </c>
      <c r="D871" s="2">
        <v>1023306</v>
      </c>
      <c r="E871" s="2" t="s">
        <v>174</v>
      </c>
      <c r="F871" s="2" t="s">
        <v>175</v>
      </c>
      <c r="G871" s="2" t="s">
        <v>330</v>
      </c>
      <c r="H871" s="7">
        <v>143460</v>
      </c>
      <c r="I871">
        <v>25</v>
      </c>
      <c r="J871">
        <v>27</v>
      </c>
      <c r="K871" s="14">
        <v>0.6</v>
      </c>
      <c r="L871" s="7">
        <f t="shared" si="26"/>
        <v>86076</v>
      </c>
      <c r="M871" s="14">
        <v>0.72</v>
      </c>
      <c r="N871" s="7">
        <f t="shared" si="27"/>
        <v>103291.2</v>
      </c>
    </row>
    <row r="872" spans="1:14" x14ac:dyDescent="0.2">
      <c r="A872" s="2" t="s">
        <v>971</v>
      </c>
      <c r="B872" s="2" t="s">
        <v>34</v>
      </c>
      <c r="C872" s="2" t="s">
        <v>46</v>
      </c>
      <c r="D872" s="2">
        <v>1023373</v>
      </c>
      <c r="E872" s="2" t="s">
        <v>844</v>
      </c>
      <c r="F872" s="2" t="s">
        <v>167</v>
      </c>
      <c r="G872" s="2" t="s">
        <v>459</v>
      </c>
      <c r="H872" s="7">
        <v>0</v>
      </c>
      <c r="I872">
        <v>25</v>
      </c>
      <c r="J872">
        <v>27</v>
      </c>
      <c r="K872" s="14">
        <v>0.6</v>
      </c>
      <c r="L872" s="7">
        <f t="shared" si="26"/>
        <v>0</v>
      </c>
      <c r="M872" s="14">
        <v>0.72</v>
      </c>
      <c r="N872" s="7">
        <f t="shared" si="27"/>
        <v>0</v>
      </c>
    </row>
    <row r="873" spans="1:14" x14ac:dyDescent="0.2">
      <c r="A873" s="2" t="s">
        <v>971</v>
      </c>
      <c r="B873" s="2" t="s">
        <v>34</v>
      </c>
      <c r="C873" s="2" t="s">
        <v>46</v>
      </c>
      <c r="D873" s="2">
        <v>1023411</v>
      </c>
      <c r="E873" s="2" t="s">
        <v>332</v>
      </c>
      <c r="F873" s="2" t="s">
        <v>96</v>
      </c>
      <c r="G873" s="2" t="s">
        <v>331</v>
      </c>
      <c r="H873" s="7">
        <v>69199.184999999998</v>
      </c>
      <c r="I873">
        <v>25</v>
      </c>
      <c r="J873">
        <v>27</v>
      </c>
      <c r="K873" s="14">
        <v>0.6</v>
      </c>
      <c r="L873" s="7">
        <f t="shared" si="26"/>
        <v>41519.510999999999</v>
      </c>
      <c r="M873" s="14">
        <v>0.72</v>
      </c>
      <c r="N873" s="7">
        <f t="shared" si="27"/>
        <v>49823.413199999995</v>
      </c>
    </row>
    <row r="874" spans="1:14" x14ac:dyDescent="0.2">
      <c r="A874" s="2" t="s">
        <v>971</v>
      </c>
      <c r="B874" s="2" t="s">
        <v>34</v>
      </c>
      <c r="C874" s="2" t="s">
        <v>46</v>
      </c>
      <c r="D874" s="2">
        <v>1023412</v>
      </c>
      <c r="E874" s="2" t="s">
        <v>334</v>
      </c>
      <c r="F874" s="2" t="s">
        <v>96</v>
      </c>
      <c r="G874" s="2" t="s">
        <v>333</v>
      </c>
      <c r="H874" s="7">
        <v>0</v>
      </c>
      <c r="I874">
        <v>25</v>
      </c>
      <c r="J874">
        <v>27</v>
      </c>
      <c r="K874" s="14">
        <v>0.6</v>
      </c>
      <c r="L874" s="7">
        <f t="shared" si="26"/>
        <v>0</v>
      </c>
      <c r="M874" s="14">
        <v>0.72</v>
      </c>
      <c r="N874" s="7">
        <f t="shared" si="27"/>
        <v>0</v>
      </c>
    </row>
    <row r="875" spans="1:14" x14ac:dyDescent="0.2">
      <c r="A875" s="2" t="s">
        <v>971</v>
      </c>
      <c r="B875" s="2" t="s">
        <v>34</v>
      </c>
      <c r="C875" s="2" t="s">
        <v>37</v>
      </c>
      <c r="D875" s="2">
        <v>1021204</v>
      </c>
      <c r="E875" s="2" t="s">
        <v>291</v>
      </c>
      <c r="F875" s="2" t="s">
        <v>48</v>
      </c>
      <c r="G875" s="2" t="s">
        <v>393</v>
      </c>
      <c r="H875" s="7">
        <v>0</v>
      </c>
      <c r="I875">
        <v>25</v>
      </c>
      <c r="J875">
        <v>27</v>
      </c>
      <c r="K875" s="14">
        <v>0.6</v>
      </c>
      <c r="L875" s="7">
        <f t="shared" si="26"/>
        <v>0</v>
      </c>
      <c r="M875" s="14">
        <v>0.72</v>
      </c>
      <c r="N875" s="7">
        <f t="shared" si="27"/>
        <v>0</v>
      </c>
    </row>
    <row r="876" spans="1:14" x14ac:dyDescent="0.2">
      <c r="A876" s="2" t="s">
        <v>971</v>
      </c>
      <c r="B876" s="2" t="s">
        <v>34</v>
      </c>
      <c r="C876" s="2" t="s">
        <v>37</v>
      </c>
      <c r="D876" s="2">
        <v>1021921</v>
      </c>
      <c r="E876" s="2" t="s">
        <v>185</v>
      </c>
      <c r="F876" s="2" t="s">
        <v>43</v>
      </c>
      <c r="G876" s="2" t="s">
        <v>184</v>
      </c>
      <c r="H876" s="7">
        <v>0</v>
      </c>
      <c r="I876">
        <v>25</v>
      </c>
      <c r="J876">
        <v>27</v>
      </c>
      <c r="K876" s="14">
        <v>0.6</v>
      </c>
      <c r="L876" s="7">
        <f t="shared" si="26"/>
        <v>0</v>
      </c>
      <c r="M876" s="14">
        <v>0.72</v>
      </c>
      <c r="N876" s="7">
        <f t="shared" si="27"/>
        <v>0</v>
      </c>
    </row>
    <row r="877" spans="1:14" x14ac:dyDescent="0.2">
      <c r="A877" s="2" t="s">
        <v>971</v>
      </c>
      <c r="B877" s="2" t="s">
        <v>34</v>
      </c>
      <c r="C877" s="2" t="s">
        <v>37</v>
      </c>
      <c r="D877" s="2">
        <v>1021924</v>
      </c>
      <c r="E877" s="2" t="s">
        <v>188</v>
      </c>
      <c r="F877" s="2" t="s">
        <v>43</v>
      </c>
      <c r="G877" s="2" t="s">
        <v>187</v>
      </c>
      <c r="H877" s="7">
        <v>49036.881000000001</v>
      </c>
      <c r="I877">
        <v>25</v>
      </c>
      <c r="J877">
        <v>27</v>
      </c>
      <c r="K877" s="14">
        <v>0.6</v>
      </c>
      <c r="L877" s="7">
        <f t="shared" si="26"/>
        <v>29422.1286</v>
      </c>
      <c r="M877" s="14">
        <v>0.72</v>
      </c>
      <c r="N877" s="7">
        <f t="shared" si="27"/>
        <v>35306.554320000003</v>
      </c>
    </row>
    <row r="878" spans="1:14" x14ac:dyDescent="0.2">
      <c r="A878" s="2" t="s">
        <v>971</v>
      </c>
      <c r="B878" s="2" t="s">
        <v>34</v>
      </c>
      <c r="C878" s="2" t="s">
        <v>37</v>
      </c>
      <c r="D878" s="2">
        <v>1021925</v>
      </c>
      <c r="E878" s="2" t="s">
        <v>845</v>
      </c>
      <c r="F878" s="2" t="s">
        <v>43</v>
      </c>
      <c r="G878" s="2" t="s">
        <v>432</v>
      </c>
      <c r="H878" s="7">
        <v>57063.173999999999</v>
      </c>
      <c r="I878">
        <v>25</v>
      </c>
      <c r="J878">
        <v>27</v>
      </c>
      <c r="K878" s="14">
        <v>0.6</v>
      </c>
      <c r="L878" s="7">
        <f t="shared" si="26"/>
        <v>34237.904399999999</v>
      </c>
      <c r="M878" s="14">
        <v>0.72</v>
      </c>
      <c r="N878" s="7">
        <f t="shared" si="27"/>
        <v>41085.485280000001</v>
      </c>
    </row>
    <row r="879" spans="1:14" x14ac:dyDescent="0.2">
      <c r="A879" s="2" t="s">
        <v>971</v>
      </c>
      <c r="B879" s="2" t="s">
        <v>34</v>
      </c>
      <c r="C879" s="2" t="s">
        <v>37</v>
      </c>
      <c r="D879" s="2">
        <v>1021929</v>
      </c>
      <c r="E879" s="2" t="s">
        <v>336</v>
      </c>
      <c r="F879" s="2" t="s">
        <v>178</v>
      </c>
      <c r="G879" s="2" t="s">
        <v>335</v>
      </c>
      <c r="H879" s="7">
        <v>3000</v>
      </c>
      <c r="I879">
        <v>25</v>
      </c>
      <c r="J879">
        <v>27</v>
      </c>
      <c r="K879" s="14">
        <v>0.6</v>
      </c>
      <c r="L879" s="7">
        <f t="shared" si="26"/>
        <v>1800</v>
      </c>
      <c r="M879" s="14">
        <v>0.72</v>
      </c>
      <c r="N879" s="7">
        <f t="shared" si="27"/>
        <v>2160</v>
      </c>
    </row>
    <row r="880" spans="1:14" x14ac:dyDescent="0.2">
      <c r="A880" s="2" t="s">
        <v>971</v>
      </c>
      <c r="B880" s="2" t="s">
        <v>34</v>
      </c>
      <c r="C880" s="2" t="s">
        <v>37</v>
      </c>
      <c r="D880" s="2">
        <v>1021931</v>
      </c>
      <c r="E880" s="2" t="s">
        <v>190</v>
      </c>
      <c r="F880" s="2" t="s">
        <v>191</v>
      </c>
      <c r="G880" s="2" t="s">
        <v>189</v>
      </c>
      <c r="H880" s="7">
        <v>12029.022000000001</v>
      </c>
      <c r="I880">
        <v>25</v>
      </c>
      <c r="J880">
        <v>27</v>
      </c>
      <c r="K880" s="14">
        <v>0.6</v>
      </c>
      <c r="L880" s="7">
        <f t="shared" si="26"/>
        <v>7217.4132</v>
      </c>
      <c r="M880" s="14">
        <v>0.72</v>
      </c>
      <c r="N880" s="7">
        <f t="shared" si="27"/>
        <v>8660.895840000001</v>
      </c>
    </row>
    <row r="881" spans="1:14" x14ac:dyDescent="0.2">
      <c r="A881" s="2" t="s">
        <v>971</v>
      </c>
      <c r="B881" s="2" t="s">
        <v>34</v>
      </c>
      <c r="C881" s="2" t="s">
        <v>37</v>
      </c>
      <c r="D881" s="2">
        <v>1021936</v>
      </c>
      <c r="E881" s="2" t="s">
        <v>846</v>
      </c>
      <c r="F881" s="2" t="s">
        <v>39</v>
      </c>
      <c r="G881" s="2" t="s">
        <v>411</v>
      </c>
      <c r="H881" s="7">
        <v>144000</v>
      </c>
      <c r="I881">
        <v>25</v>
      </c>
      <c r="J881">
        <v>27</v>
      </c>
      <c r="K881" s="14">
        <v>0.6</v>
      </c>
      <c r="L881" s="7">
        <f t="shared" si="26"/>
        <v>86400</v>
      </c>
      <c r="M881" s="14">
        <v>0.72</v>
      </c>
      <c r="N881" s="7">
        <f t="shared" si="27"/>
        <v>103680</v>
      </c>
    </row>
    <row r="882" spans="1:14" x14ac:dyDescent="0.2">
      <c r="A882" s="2" t="s">
        <v>971</v>
      </c>
      <c r="B882" s="2" t="s">
        <v>34</v>
      </c>
      <c r="C882" s="2" t="s">
        <v>37</v>
      </c>
      <c r="D882" s="2">
        <v>1021944</v>
      </c>
      <c r="E882" s="2" t="s">
        <v>193</v>
      </c>
      <c r="F882" s="2" t="s">
        <v>181</v>
      </c>
      <c r="G882" s="2" t="s">
        <v>192</v>
      </c>
      <c r="H882" s="7">
        <v>0</v>
      </c>
      <c r="I882">
        <v>25</v>
      </c>
      <c r="J882">
        <v>27</v>
      </c>
      <c r="K882" s="14">
        <v>0.6</v>
      </c>
      <c r="L882" s="7">
        <f t="shared" si="26"/>
        <v>0</v>
      </c>
      <c r="M882" s="14">
        <v>0.72</v>
      </c>
      <c r="N882" s="7">
        <f t="shared" si="27"/>
        <v>0</v>
      </c>
    </row>
    <row r="883" spans="1:14" x14ac:dyDescent="0.2">
      <c r="A883" s="2" t="s">
        <v>971</v>
      </c>
      <c r="B883" s="2" t="s">
        <v>34</v>
      </c>
      <c r="C883" s="2" t="s">
        <v>37</v>
      </c>
      <c r="D883" s="2">
        <v>1021945</v>
      </c>
      <c r="E883" s="2" t="s">
        <v>195</v>
      </c>
      <c r="F883" s="2" t="s">
        <v>196</v>
      </c>
      <c r="G883" s="2" t="s">
        <v>194</v>
      </c>
      <c r="H883" s="7">
        <v>0</v>
      </c>
      <c r="I883">
        <v>25</v>
      </c>
      <c r="J883">
        <v>27</v>
      </c>
      <c r="K883" s="14">
        <v>0.6</v>
      </c>
      <c r="L883" s="7">
        <f t="shared" si="26"/>
        <v>0</v>
      </c>
      <c r="M883" s="14">
        <v>0.72</v>
      </c>
      <c r="N883" s="7">
        <f t="shared" si="27"/>
        <v>0</v>
      </c>
    </row>
    <row r="884" spans="1:14" x14ac:dyDescent="0.2">
      <c r="A884" s="2" t="s">
        <v>971</v>
      </c>
      <c r="B884" s="2" t="s">
        <v>34</v>
      </c>
      <c r="C884" s="2" t="s">
        <v>37</v>
      </c>
      <c r="D884" s="2">
        <v>1021952</v>
      </c>
      <c r="E884" s="2" t="s">
        <v>75</v>
      </c>
      <c r="F884" s="2" t="s">
        <v>76</v>
      </c>
      <c r="G884" s="2" t="s">
        <v>125</v>
      </c>
      <c r="H884" s="7">
        <v>0</v>
      </c>
      <c r="I884">
        <v>25</v>
      </c>
      <c r="J884">
        <v>27</v>
      </c>
      <c r="K884" s="14">
        <v>0.6</v>
      </c>
      <c r="L884" s="7">
        <f t="shared" si="26"/>
        <v>0</v>
      </c>
      <c r="M884" s="14">
        <v>0.72</v>
      </c>
      <c r="N884" s="7">
        <f t="shared" si="27"/>
        <v>0</v>
      </c>
    </row>
    <row r="885" spans="1:14" x14ac:dyDescent="0.2">
      <c r="A885" s="2" t="s">
        <v>971</v>
      </c>
      <c r="B885" s="2" t="s">
        <v>34</v>
      </c>
      <c r="C885" s="2" t="s">
        <v>37</v>
      </c>
      <c r="D885" s="2">
        <v>1021987</v>
      </c>
      <c r="E885" s="2" t="s">
        <v>847</v>
      </c>
      <c r="F885" s="2" t="s">
        <v>259</v>
      </c>
      <c r="G885" s="2" t="s">
        <v>435</v>
      </c>
      <c r="H885" s="7">
        <v>0</v>
      </c>
      <c r="I885">
        <v>25</v>
      </c>
      <c r="J885">
        <v>27</v>
      </c>
      <c r="K885" s="14">
        <v>0.6</v>
      </c>
      <c r="L885" s="7">
        <f t="shared" si="26"/>
        <v>0</v>
      </c>
      <c r="M885" s="14">
        <v>0.72</v>
      </c>
      <c r="N885" s="7">
        <f t="shared" si="27"/>
        <v>0</v>
      </c>
    </row>
    <row r="886" spans="1:14" x14ac:dyDescent="0.2">
      <c r="A886" s="2" t="s">
        <v>971</v>
      </c>
      <c r="B886" s="2" t="s">
        <v>34</v>
      </c>
      <c r="C886" s="2" t="s">
        <v>37</v>
      </c>
      <c r="D886" s="2">
        <v>1022101</v>
      </c>
      <c r="E886" s="2" t="s">
        <v>338</v>
      </c>
      <c r="F886" s="2" t="s">
        <v>43</v>
      </c>
      <c r="G886" s="2" t="s">
        <v>337</v>
      </c>
      <c r="H886" s="7">
        <v>0</v>
      </c>
      <c r="I886">
        <v>25</v>
      </c>
      <c r="J886">
        <v>27</v>
      </c>
      <c r="K886" s="14">
        <v>0.6</v>
      </c>
      <c r="L886" s="7">
        <f t="shared" si="26"/>
        <v>0</v>
      </c>
      <c r="M886" s="14">
        <v>0.72</v>
      </c>
      <c r="N886" s="7">
        <f t="shared" si="27"/>
        <v>0</v>
      </c>
    </row>
    <row r="887" spans="1:14" x14ac:dyDescent="0.2">
      <c r="A887" s="2" t="s">
        <v>971</v>
      </c>
      <c r="B887" s="2" t="s">
        <v>34</v>
      </c>
      <c r="C887" s="2" t="s">
        <v>37</v>
      </c>
      <c r="D887" s="2">
        <v>1022128</v>
      </c>
      <c r="E887" s="2" t="s">
        <v>848</v>
      </c>
      <c r="F887" s="2" t="s">
        <v>96</v>
      </c>
      <c r="G887" s="2" t="s">
        <v>469</v>
      </c>
      <c r="H887" s="7">
        <v>0</v>
      </c>
      <c r="I887">
        <v>25</v>
      </c>
      <c r="J887">
        <v>27</v>
      </c>
      <c r="K887" s="14">
        <v>0.6</v>
      </c>
      <c r="L887" s="7">
        <f t="shared" si="26"/>
        <v>0</v>
      </c>
      <c r="M887" s="14">
        <v>0.72</v>
      </c>
      <c r="N887" s="7">
        <f t="shared" si="27"/>
        <v>0</v>
      </c>
    </row>
    <row r="888" spans="1:14" x14ac:dyDescent="0.2">
      <c r="A888" s="2" t="s">
        <v>971</v>
      </c>
      <c r="B888" s="2" t="s">
        <v>34</v>
      </c>
      <c r="C888" s="2" t="s">
        <v>37</v>
      </c>
      <c r="D888" s="2">
        <v>1022141</v>
      </c>
      <c r="E888" s="2" t="s">
        <v>127</v>
      </c>
      <c r="F888" s="2" t="s">
        <v>96</v>
      </c>
      <c r="G888" s="2" t="s">
        <v>126</v>
      </c>
      <c r="H888" s="7">
        <v>30068.025000000001</v>
      </c>
      <c r="I888">
        <v>25</v>
      </c>
      <c r="J888">
        <v>27</v>
      </c>
      <c r="K888" s="14">
        <v>0.6</v>
      </c>
      <c r="L888" s="7">
        <f t="shared" si="26"/>
        <v>18040.814999999999</v>
      </c>
      <c r="M888" s="14">
        <v>0.72</v>
      </c>
      <c r="N888" s="7">
        <f t="shared" si="27"/>
        <v>21648.977999999999</v>
      </c>
    </row>
    <row r="889" spans="1:14" x14ac:dyDescent="0.2">
      <c r="A889" s="2" t="s">
        <v>971</v>
      </c>
      <c r="B889" s="2" t="s">
        <v>34</v>
      </c>
      <c r="C889" s="2" t="s">
        <v>37</v>
      </c>
      <c r="D889" s="2">
        <v>1022142</v>
      </c>
      <c r="E889" s="2" t="s">
        <v>849</v>
      </c>
      <c r="F889" s="2" t="s">
        <v>96</v>
      </c>
      <c r="G889" s="2" t="s">
        <v>390</v>
      </c>
      <c r="H889" s="7">
        <v>0</v>
      </c>
      <c r="I889">
        <v>25</v>
      </c>
      <c r="J889">
        <v>27</v>
      </c>
      <c r="K889" s="14">
        <v>0.6</v>
      </c>
      <c r="L889" s="7">
        <f t="shared" si="26"/>
        <v>0</v>
      </c>
      <c r="M889" s="14">
        <v>0.72</v>
      </c>
      <c r="N889" s="7">
        <f t="shared" si="27"/>
        <v>0</v>
      </c>
    </row>
    <row r="890" spans="1:14" x14ac:dyDescent="0.2">
      <c r="A890" s="2" t="s">
        <v>971</v>
      </c>
      <c r="B890" s="2" t="s">
        <v>34</v>
      </c>
      <c r="C890" s="2" t="s">
        <v>37</v>
      </c>
      <c r="D890" s="2">
        <v>1022293</v>
      </c>
      <c r="E890" s="2" t="s">
        <v>340</v>
      </c>
      <c r="F890" s="2" t="s">
        <v>160</v>
      </c>
      <c r="G890" s="2" t="s">
        <v>339</v>
      </c>
      <c r="H890" s="7">
        <v>0</v>
      </c>
      <c r="I890">
        <v>25</v>
      </c>
      <c r="J890">
        <v>27</v>
      </c>
      <c r="K890" s="14">
        <v>0.6</v>
      </c>
      <c r="L890" s="7">
        <f t="shared" si="26"/>
        <v>0</v>
      </c>
      <c r="M890" s="14">
        <v>0.72</v>
      </c>
      <c r="N890" s="7">
        <f t="shared" si="27"/>
        <v>0</v>
      </c>
    </row>
    <row r="891" spans="1:14" x14ac:dyDescent="0.2">
      <c r="A891" s="2" t="s">
        <v>971</v>
      </c>
      <c r="B891" s="2" t="s">
        <v>34</v>
      </c>
      <c r="C891" s="2" t="s">
        <v>37</v>
      </c>
      <c r="D891" s="2">
        <v>1022398</v>
      </c>
      <c r="E891" s="2" t="s">
        <v>850</v>
      </c>
      <c r="F891" s="2" t="s">
        <v>96</v>
      </c>
      <c r="G891" s="2" t="s">
        <v>431</v>
      </c>
      <c r="H891" s="7">
        <v>0</v>
      </c>
      <c r="I891">
        <v>25</v>
      </c>
      <c r="J891">
        <v>27</v>
      </c>
      <c r="K891" s="14">
        <v>0.6</v>
      </c>
      <c r="L891" s="7">
        <f t="shared" si="26"/>
        <v>0</v>
      </c>
      <c r="M891" s="14">
        <v>0.72</v>
      </c>
      <c r="N891" s="7">
        <f t="shared" si="27"/>
        <v>0</v>
      </c>
    </row>
    <row r="892" spans="1:14" x14ac:dyDescent="0.2">
      <c r="A892" s="2" t="s">
        <v>971</v>
      </c>
      <c r="B892" s="2" t="s">
        <v>34</v>
      </c>
      <c r="C892" s="2" t="s">
        <v>37</v>
      </c>
      <c r="D892" s="2">
        <v>1022413</v>
      </c>
      <c r="E892" s="2" t="s">
        <v>851</v>
      </c>
      <c r="F892" s="2" t="s">
        <v>259</v>
      </c>
      <c r="G892" s="2" t="s">
        <v>434</v>
      </c>
      <c r="H892" s="7">
        <v>0</v>
      </c>
      <c r="I892">
        <v>25</v>
      </c>
      <c r="J892">
        <v>27</v>
      </c>
      <c r="K892" s="14">
        <v>0.6</v>
      </c>
      <c r="L892" s="7">
        <f t="shared" si="26"/>
        <v>0</v>
      </c>
      <c r="M892" s="14">
        <v>0.72</v>
      </c>
      <c r="N892" s="7">
        <f t="shared" si="27"/>
        <v>0</v>
      </c>
    </row>
    <row r="893" spans="1:14" x14ac:dyDescent="0.2">
      <c r="A893" s="2" t="s">
        <v>971</v>
      </c>
      <c r="B893" s="2" t="s">
        <v>34</v>
      </c>
      <c r="C893" s="2" t="s">
        <v>37</v>
      </c>
      <c r="D893" s="2">
        <v>1022515</v>
      </c>
      <c r="E893" s="2" t="s">
        <v>198</v>
      </c>
      <c r="F893" s="2" t="s">
        <v>178</v>
      </c>
      <c r="G893" s="2" t="s">
        <v>197</v>
      </c>
      <c r="H893" s="7">
        <v>0</v>
      </c>
      <c r="I893">
        <v>25</v>
      </c>
      <c r="J893">
        <v>27</v>
      </c>
      <c r="K893" s="14">
        <v>0.6</v>
      </c>
      <c r="L893" s="7">
        <f t="shared" si="26"/>
        <v>0</v>
      </c>
      <c r="M893" s="14">
        <v>0.72</v>
      </c>
      <c r="N893" s="7">
        <f t="shared" si="27"/>
        <v>0</v>
      </c>
    </row>
    <row r="894" spans="1:14" x14ac:dyDescent="0.2">
      <c r="A894" s="2" t="s">
        <v>971</v>
      </c>
      <c r="B894" s="2" t="s">
        <v>34</v>
      </c>
      <c r="C894" s="2" t="s">
        <v>37</v>
      </c>
      <c r="D894" s="2">
        <v>1022570</v>
      </c>
      <c r="E894" s="2" t="s">
        <v>852</v>
      </c>
      <c r="F894" s="2" t="s">
        <v>178</v>
      </c>
      <c r="G894" s="2" t="s">
        <v>476</v>
      </c>
      <c r="H894" s="7">
        <v>0</v>
      </c>
      <c r="I894">
        <v>25</v>
      </c>
      <c r="J894">
        <v>27</v>
      </c>
      <c r="K894" s="14">
        <v>0.6</v>
      </c>
      <c r="L894" s="7">
        <f t="shared" si="26"/>
        <v>0</v>
      </c>
      <c r="M894" s="14">
        <v>0.72</v>
      </c>
      <c r="N894" s="7">
        <f t="shared" si="27"/>
        <v>0</v>
      </c>
    </row>
    <row r="895" spans="1:14" x14ac:dyDescent="0.2">
      <c r="A895" s="2" t="s">
        <v>971</v>
      </c>
      <c r="B895" s="2" t="s">
        <v>34</v>
      </c>
      <c r="C895" s="2" t="s">
        <v>37</v>
      </c>
      <c r="D895" s="2">
        <v>1022621</v>
      </c>
      <c r="E895" s="2" t="s">
        <v>200</v>
      </c>
      <c r="F895" s="2" t="s">
        <v>178</v>
      </c>
      <c r="G895" s="2" t="s">
        <v>199</v>
      </c>
      <c r="H895" s="7">
        <v>64039.89</v>
      </c>
      <c r="I895">
        <v>25</v>
      </c>
      <c r="J895">
        <v>27</v>
      </c>
      <c r="K895" s="14">
        <v>0.6</v>
      </c>
      <c r="L895" s="7">
        <f t="shared" si="26"/>
        <v>38423.934000000001</v>
      </c>
      <c r="M895" s="14">
        <v>0.72</v>
      </c>
      <c r="N895" s="7">
        <f t="shared" si="27"/>
        <v>46108.720799999996</v>
      </c>
    </row>
    <row r="896" spans="1:14" x14ac:dyDescent="0.2">
      <c r="A896" s="2" t="s">
        <v>971</v>
      </c>
      <c r="B896" s="2" t="s">
        <v>34</v>
      </c>
      <c r="C896" s="2" t="s">
        <v>37</v>
      </c>
      <c r="D896" s="2">
        <v>1022751</v>
      </c>
      <c r="E896" s="2" t="s">
        <v>38</v>
      </c>
      <c r="F896" s="2" t="s">
        <v>39</v>
      </c>
      <c r="G896" s="2" t="s">
        <v>36</v>
      </c>
      <c r="H896" s="7">
        <v>12012</v>
      </c>
      <c r="I896">
        <v>25</v>
      </c>
      <c r="J896">
        <v>27</v>
      </c>
      <c r="K896" s="14">
        <v>0.6</v>
      </c>
      <c r="L896" s="7">
        <f t="shared" si="26"/>
        <v>7207.2</v>
      </c>
      <c r="M896" s="14">
        <v>0.72</v>
      </c>
      <c r="N896" s="7">
        <f t="shared" si="27"/>
        <v>8648.64</v>
      </c>
    </row>
    <row r="897" spans="1:14" x14ac:dyDescent="0.2">
      <c r="A897" s="2" t="s">
        <v>971</v>
      </c>
      <c r="B897" s="2" t="s">
        <v>34</v>
      </c>
      <c r="C897" s="2" t="s">
        <v>37</v>
      </c>
      <c r="D897" s="2">
        <v>1022767</v>
      </c>
      <c r="E897" s="2" t="s">
        <v>853</v>
      </c>
      <c r="F897" s="2" t="s">
        <v>48</v>
      </c>
      <c r="G897" s="2" t="s">
        <v>465</v>
      </c>
      <c r="H897" s="7">
        <v>72000</v>
      </c>
      <c r="I897">
        <v>25</v>
      </c>
      <c r="J897">
        <v>27</v>
      </c>
      <c r="K897" s="14">
        <v>0.6</v>
      </c>
      <c r="L897" s="7">
        <f t="shared" si="26"/>
        <v>43200</v>
      </c>
      <c r="M897" s="14">
        <v>0.72</v>
      </c>
      <c r="N897" s="7">
        <f t="shared" si="27"/>
        <v>51840</v>
      </c>
    </row>
    <row r="898" spans="1:14" x14ac:dyDescent="0.2">
      <c r="A898" s="2" t="s">
        <v>971</v>
      </c>
      <c r="B898" s="2" t="s">
        <v>34</v>
      </c>
      <c r="C898" s="2" t="s">
        <v>37</v>
      </c>
      <c r="D898" s="2">
        <v>1022791</v>
      </c>
      <c r="E898" s="2" t="s">
        <v>854</v>
      </c>
      <c r="F898" s="2" t="s">
        <v>124</v>
      </c>
      <c r="G898" s="2" t="s">
        <v>501</v>
      </c>
      <c r="H898" s="7">
        <v>0</v>
      </c>
      <c r="I898">
        <v>25</v>
      </c>
      <c r="J898">
        <v>27</v>
      </c>
      <c r="K898" s="14">
        <v>0.6</v>
      </c>
      <c r="L898" s="7">
        <f t="shared" ref="L898:L961" si="28">K898 * H898</f>
        <v>0</v>
      </c>
      <c r="M898" s="14">
        <v>0.72</v>
      </c>
      <c r="N898" s="7">
        <f t="shared" ref="N898:N961" si="29">M898 * H898</f>
        <v>0</v>
      </c>
    </row>
    <row r="899" spans="1:14" x14ac:dyDescent="0.2">
      <c r="A899" s="2" t="s">
        <v>971</v>
      </c>
      <c r="B899" s="2" t="s">
        <v>34</v>
      </c>
      <c r="C899" s="2" t="s">
        <v>37</v>
      </c>
      <c r="D899" s="2">
        <v>1022863</v>
      </c>
      <c r="E899" s="2" t="s">
        <v>202</v>
      </c>
      <c r="F899" s="2" t="s">
        <v>43</v>
      </c>
      <c r="G899" s="2" t="s">
        <v>201</v>
      </c>
      <c r="H899" s="7">
        <v>15014.901</v>
      </c>
      <c r="I899">
        <v>25</v>
      </c>
      <c r="J899">
        <v>27</v>
      </c>
      <c r="K899" s="14">
        <v>0.6</v>
      </c>
      <c r="L899" s="7">
        <f t="shared" si="28"/>
        <v>9008.9405999999999</v>
      </c>
      <c r="M899" s="14">
        <v>0.72</v>
      </c>
      <c r="N899" s="7">
        <f t="shared" si="29"/>
        <v>10810.728719999999</v>
      </c>
    </row>
    <row r="900" spans="1:14" x14ac:dyDescent="0.2">
      <c r="A900" s="2" t="s">
        <v>971</v>
      </c>
      <c r="B900" s="2" t="s">
        <v>34</v>
      </c>
      <c r="C900" s="2" t="s">
        <v>37</v>
      </c>
      <c r="D900" s="2">
        <v>1022864</v>
      </c>
      <c r="E900" s="2" t="s">
        <v>42</v>
      </c>
      <c r="F900" s="2" t="s">
        <v>43</v>
      </c>
      <c r="G900" s="2" t="s">
        <v>41</v>
      </c>
      <c r="H900" s="7">
        <v>24121.74</v>
      </c>
      <c r="I900">
        <v>25</v>
      </c>
      <c r="J900">
        <v>27</v>
      </c>
      <c r="K900" s="14">
        <v>0.6</v>
      </c>
      <c r="L900" s="7">
        <f t="shared" si="28"/>
        <v>14473.044</v>
      </c>
      <c r="M900" s="14">
        <v>0.72</v>
      </c>
      <c r="N900" s="7">
        <f t="shared" si="29"/>
        <v>17367.6528</v>
      </c>
    </row>
    <row r="901" spans="1:14" x14ac:dyDescent="0.2">
      <c r="A901" s="2" t="s">
        <v>971</v>
      </c>
      <c r="B901" s="2" t="s">
        <v>34</v>
      </c>
      <c r="C901" s="2" t="s">
        <v>37</v>
      </c>
      <c r="D901" s="2">
        <v>1022865</v>
      </c>
      <c r="E901" s="2" t="s">
        <v>344</v>
      </c>
      <c r="F901" s="2" t="s">
        <v>178</v>
      </c>
      <c r="G901" s="2" t="s">
        <v>343</v>
      </c>
      <c r="H901" s="7">
        <v>0</v>
      </c>
      <c r="I901">
        <v>25</v>
      </c>
      <c r="J901">
        <v>27</v>
      </c>
      <c r="K901" s="14">
        <v>0.6</v>
      </c>
      <c r="L901" s="7">
        <f t="shared" si="28"/>
        <v>0</v>
      </c>
      <c r="M901" s="14">
        <v>0.72</v>
      </c>
      <c r="N901" s="7">
        <f t="shared" si="29"/>
        <v>0</v>
      </c>
    </row>
    <row r="902" spans="1:14" x14ac:dyDescent="0.2">
      <c r="A902" s="2" t="s">
        <v>971</v>
      </c>
      <c r="B902" s="2" t="s">
        <v>34</v>
      </c>
      <c r="C902" s="2" t="s">
        <v>37</v>
      </c>
      <c r="D902" s="2">
        <v>1022866</v>
      </c>
      <c r="E902" s="2" t="s">
        <v>204</v>
      </c>
      <c r="F902" s="2" t="s">
        <v>178</v>
      </c>
      <c r="G902" s="2" t="s">
        <v>203</v>
      </c>
      <c r="H902" s="7">
        <v>12042.981</v>
      </c>
      <c r="I902">
        <v>25</v>
      </c>
      <c r="J902">
        <v>27</v>
      </c>
      <c r="K902" s="14">
        <v>0.6</v>
      </c>
      <c r="L902" s="7">
        <f t="shared" si="28"/>
        <v>7225.7885999999999</v>
      </c>
      <c r="M902" s="14">
        <v>0.72</v>
      </c>
      <c r="N902" s="7">
        <f t="shared" si="29"/>
        <v>8670.9463199999991</v>
      </c>
    </row>
    <row r="903" spans="1:14" x14ac:dyDescent="0.2">
      <c r="A903" s="2" t="s">
        <v>971</v>
      </c>
      <c r="B903" s="2" t="s">
        <v>34</v>
      </c>
      <c r="C903" s="2" t="s">
        <v>37</v>
      </c>
      <c r="D903" s="2">
        <v>1022914</v>
      </c>
      <c r="E903" s="2" t="s">
        <v>858</v>
      </c>
      <c r="F903" s="2" t="s">
        <v>48</v>
      </c>
      <c r="G903" s="2" t="s">
        <v>460</v>
      </c>
      <c r="H903" s="7">
        <v>0</v>
      </c>
      <c r="I903">
        <v>25</v>
      </c>
      <c r="J903">
        <v>27</v>
      </c>
      <c r="K903" s="14">
        <v>0.6</v>
      </c>
      <c r="L903" s="7">
        <f t="shared" si="28"/>
        <v>0</v>
      </c>
      <c r="M903" s="14">
        <v>0.72</v>
      </c>
      <c r="N903" s="7">
        <f t="shared" si="29"/>
        <v>0</v>
      </c>
    </row>
    <row r="904" spans="1:14" x14ac:dyDescent="0.2">
      <c r="A904" s="2" t="s">
        <v>971</v>
      </c>
      <c r="B904" s="2" t="s">
        <v>34</v>
      </c>
      <c r="C904" s="2" t="s">
        <v>37</v>
      </c>
      <c r="D904" s="2">
        <v>1022918</v>
      </c>
      <c r="E904" s="2" t="s">
        <v>859</v>
      </c>
      <c r="F904" s="2" t="s">
        <v>48</v>
      </c>
      <c r="G904" s="2" t="s">
        <v>410</v>
      </c>
      <c r="H904" s="7">
        <v>0</v>
      </c>
      <c r="I904">
        <v>25</v>
      </c>
      <c r="J904">
        <v>27</v>
      </c>
      <c r="K904" s="14">
        <v>0.6</v>
      </c>
      <c r="L904" s="7">
        <f t="shared" si="28"/>
        <v>0</v>
      </c>
      <c r="M904" s="14">
        <v>0.72</v>
      </c>
      <c r="N904" s="7">
        <f t="shared" si="29"/>
        <v>0</v>
      </c>
    </row>
    <row r="905" spans="1:14" x14ac:dyDescent="0.2">
      <c r="A905" s="2" t="s">
        <v>971</v>
      </c>
      <c r="B905" s="2" t="s">
        <v>34</v>
      </c>
      <c r="C905" s="2" t="s">
        <v>37</v>
      </c>
      <c r="D905" s="2">
        <v>1022975</v>
      </c>
      <c r="E905" s="2" t="s">
        <v>860</v>
      </c>
      <c r="F905" s="2" t="s">
        <v>172</v>
      </c>
      <c r="G905" s="2" t="s">
        <v>433</v>
      </c>
      <c r="H905" s="7">
        <v>0</v>
      </c>
      <c r="I905">
        <v>25</v>
      </c>
      <c r="J905">
        <v>27</v>
      </c>
      <c r="K905" s="14">
        <v>0.6</v>
      </c>
      <c r="L905" s="7">
        <f t="shared" si="28"/>
        <v>0</v>
      </c>
      <c r="M905" s="14">
        <v>0.72</v>
      </c>
      <c r="N905" s="7">
        <f t="shared" si="29"/>
        <v>0</v>
      </c>
    </row>
    <row r="906" spans="1:14" x14ac:dyDescent="0.2">
      <c r="A906" s="2" t="s">
        <v>971</v>
      </c>
      <c r="B906" s="2" t="s">
        <v>34</v>
      </c>
      <c r="C906" s="2" t="s">
        <v>37</v>
      </c>
      <c r="D906" s="2">
        <v>1022989</v>
      </c>
      <c r="E906" s="2" t="s">
        <v>861</v>
      </c>
      <c r="F906" s="2" t="s">
        <v>43</v>
      </c>
      <c r="G906" s="2" t="s">
        <v>561</v>
      </c>
      <c r="H906" s="7">
        <v>0</v>
      </c>
      <c r="I906">
        <v>25</v>
      </c>
      <c r="J906">
        <v>27</v>
      </c>
      <c r="K906" s="14">
        <v>0.6</v>
      </c>
      <c r="L906" s="7">
        <f t="shared" si="28"/>
        <v>0</v>
      </c>
      <c r="M906" s="14">
        <v>0.72</v>
      </c>
      <c r="N906" s="7">
        <f t="shared" si="29"/>
        <v>0</v>
      </c>
    </row>
    <row r="907" spans="1:14" x14ac:dyDescent="0.2">
      <c r="A907" s="2" t="s">
        <v>971</v>
      </c>
      <c r="B907" s="2" t="s">
        <v>34</v>
      </c>
      <c r="C907" s="2" t="s">
        <v>37</v>
      </c>
      <c r="D907" s="2">
        <v>1023123</v>
      </c>
      <c r="E907" s="2" t="s">
        <v>346</v>
      </c>
      <c r="F907" s="2" t="s">
        <v>43</v>
      </c>
      <c r="G907" s="2" t="s">
        <v>345</v>
      </c>
      <c r="H907" s="7">
        <v>0</v>
      </c>
      <c r="I907">
        <v>25</v>
      </c>
      <c r="J907">
        <v>27</v>
      </c>
      <c r="K907" s="14">
        <v>0.6</v>
      </c>
      <c r="L907" s="7">
        <f t="shared" si="28"/>
        <v>0</v>
      </c>
      <c r="M907" s="14">
        <v>0.72</v>
      </c>
      <c r="N907" s="7">
        <f t="shared" si="29"/>
        <v>0</v>
      </c>
    </row>
    <row r="908" spans="1:14" x14ac:dyDescent="0.2">
      <c r="A908" s="2" t="s">
        <v>971</v>
      </c>
      <c r="B908" s="2" t="s">
        <v>34</v>
      </c>
      <c r="C908" s="2" t="s">
        <v>37</v>
      </c>
      <c r="D908" s="2">
        <v>1023247</v>
      </c>
      <c r="E908" s="2" t="s">
        <v>865</v>
      </c>
      <c r="F908" s="2" t="s">
        <v>178</v>
      </c>
      <c r="G908" s="2" t="s">
        <v>478</v>
      </c>
      <c r="H908" s="7">
        <v>6000</v>
      </c>
      <c r="I908">
        <v>25</v>
      </c>
      <c r="J908">
        <v>27</v>
      </c>
      <c r="K908" s="14">
        <v>0.6</v>
      </c>
      <c r="L908" s="7">
        <f t="shared" si="28"/>
        <v>3600</v>
      </c>
      <c r="M908" s="14">
        <v>0.72</v>
      </c>
      <c r="N908" s="7">
        <f t="shared" si="29"/>
        <v>4320</v>
      </c>
    </row>
    <row r="909" spans="1:14" x14ac:dyDescent="0.2">
      <c r="A909" s="2" t="s">
        <v>971</v>
      </c>
      <c r="B909" s="2" t="s">
        <v>34</v>
      </c>
      <c r="C909" s="2" t="s">
        <v>37</v>
      </c>
      <c r="D909" s="2">
        <v>1023265</v>
      </c>
      <c r="E909" s="2" t="s">
        <v>348</v>
      </c>
      <c r="F909" s="2" t="s">
        <v>191</v>
      </c>
      <c r="G909" s="2" t="s">
        <v>347</v>
      </c>
      <c r="H909" s="7">
        <v>6005.1090000000004</v>
      </c>
      <c r="I909">
        <v>25</v>
      </c>
      <c r="J909">
        <v>27</v>
      </c>
      <c r="K909" s="14">
        <v>0.6</v>
      </c>
      <c r="L909" s="7">
        <f t="shared" si="28"/>
        <v>3603.0654</v>
      </c>
      <c r="M909" s="14">
        <v>0.72</v>
      </c>
      <c r="N909" s="7">
        <f t="shared" si="29"/>
        <v>4323.6784800000005</v>
      </c>
    </row>
    <row r="910" spans="1:14" x14ac:dyDescent="0.2">
      <c r="A910" s="2" t="s">
        <v>971</v>
      </c>
      <c r="B910" s="2" t="s">
        <v>34</v>
      </c>
      <c r="C910" s="2" t="s">
        <v>37</v>
      </c>
      <c r="D910" s="2">
        <v>1023269</v>
      </c>
      <c r="E910" s="2" t="s">
        <v>866</v>
      </c>
      <c r="F910" s="2" t="s">
        <v>96</v>
      </c>
      <c r="G910" s="2" t="s">
        <v>436</v>
      </c>
      <c r="H910" s="7">
        <v>29967.252</v>
      </c>
      <c r="I910">
        <v>25</v>
      </c>
      <c r="J910">
        <v>27</v>
      </c>
      <c r="K910" s="14">
        <v>0.6</v>
      </c>
      <c r="L910" s="7">
        <f t="shared" si="28"/>
        <v>17980.351200000001</v>
      </c>
      <c r="M910" s="14">
        <v>0.72</v>
      </c>
      <c r="N910" s="7">
        <f t="shared" si="29"/>
        <v>21576.421439999998</v>
      </c>
    </row>
    <row r="911" spans="1:14" x14ac:dyDescent="0.2">
      <c r="A911" s="2" t="s">
        <v>971</v>
      </c>
      <c r="B911" s="2" t="s">
        <v>34</v>
      </c>
      <c r="C911" s="2" t="s">
        <v>37</v>
      </c>
      <c r="D911" s="2">
        <v>1023491</v>
      </c>
      <c r="E911" s="2" t="s">
        <v>931</v>
      </c>
      <c r="F911" s="2" t="s">
        <v>259</v>
      </c>
      <c r="G911" s="2" t="s">
        <v>932</v>
      </c>
      <c r="H911" s="7">
        <v>123.24</v>
      </c>
      <c r="I911">
        <v>25</v>
      </c>
      <c r="J911">
        <v>27</v>
      </c>
      <c r="K911" s="14">
        <v>0.6</v>
      </c>
      <c r="L911" s="7">
        <f t="shared" si="28"/>
        <v>73.943999999999988</v>
      </c>
      <c r="M911" s="14">
        <v>0.72</v>
      </c>
      <c r="N911" s="7">
        <f t="shared" si="29"/>
        <v>88.732799999999997</v>
      </c>
    </row>
    <row r="912" spans="1:14" x14ac:dyDescent="0.2">
      <c r="A912" s="2" t="s">
        <v>971</v>
      </c>
      <c r="B912" s="2" t="s">
        <v>34</v>
      </c>
      <c r="C912" s="2" t="s">
        <v>867</v>
      </c>
      <c r="D912" s="2">
        <v>1020105</v>
      </c>
      <c r="E912" s="2" t="s">
        <v>868</v>
      </c>
      <c r="F912" s="2" t="s">
        <v>43</v>
      </c>
      <c r="G912" s="2" t="s">
        <v>869</v>
      </c>
      <c r="H912" s="7">
        <v>11928.800999999999</v>
      </c>
      <c r="I912">
        <v>25</v>
      </c>
      <c r="J912">
        <v>27</v>
      </c>
      <c r="K912" s="14">
        <v>0.6</v>
      </c>
      <c r="L912" s="7">
        <f t="shared" si="28"/>
        <v>7157.2805999999991</v>
      </c>
      <c r="M912" s="14">
        <v>0.72</v>
      </c>
      <c r="N912" s="7">
        <f t="shared" si="29"/>
        <v>8588.736719999999</v>
      </c>
    </row>
    <row r="913" spans="1:14" x14ac:dyDescent="0.2">
      <c r="A913" s="2" t="s">
        <v>971</v>
      </c>
      <c r="B913" s="2" t="s">
        <v>34</v>
      </c>
      <c r="C913" s="2" t="s">
        <v>867</v>
      </c>
      <c r="D913" s="2">
        <v>1020110</v>
      </c>
      <c r="E913" s="2" t="s">
        <v>870</v>
      </c>
      <c r="F913" s="2" t="s">
        <v>43</v>
      </c>
      <c r="G913" s="2" t="s">
        <v>871</v>
      </c>
      <c r="H913" s="7">
        <v>50401.120999999999</v>
      </c>
      <c r="I913">
        <v>25</v>
      </c>
      <c r="J913">
        <v>27</v>
      </c>
      <c r="K913" s="14">
        <v>0.6</v>
      </c>
      <c r="L913" s="7">
        <f t="shared" si="28"/>
        <v>30240.672599999998</v>
      </c>
      <c r="M913" s="14">
        <v>0.72</v>
      </c>
      <c r="N913" s="7">
        <f t="shared" si="29"/>
        <v>36288.807119999998</v>
      </c>
    </row>
    <row r="914" spans="1:14" x14ac:dyDescent="0.2">
      <c r="A914" s="2" t="s">
        <v>971</v>
      </c>
      <c r="B914" s="2" t="s">
        <v>34</v>
      </c>
      <c r="C914" s="2" t="s">
        <v>867</v>
      </c>
      <c r="D914" s="2">
        <v>1020284</v>
      </c>
      <c r="E914" s="2" t="s">
        <v>933</v>
      </c>
      <c r="F914" s="2" t="s">
        <v>96</v>
      </c>
      <c r="G914" s="2" t="s">
        <v>934</v>
      </c>
      <c r="H914" s="7">
        <v>3988.67</v>
      </c>
      <c r="I914">
        <v>25</v>
      </c>
      <c r="J914">
        <v>27</v>
      </c>
      <c r="K914" s="14">
        <v>0.6</v>
      </c>
      <c r="L914" s="7">
        <f t="shared" si="28"/>
        <v>2393.2019999999998</v>
      </c>
      <c r="M914" s="14">
        <v>0.72</v>
      </c>
      <c r="N914" s="7">
        <f t="shared" si="29"/>
        <v>2871.8424</v>
      </c>
    </row>
    <row r="915" spans="1:14" x14ac:dyDescent="0.2">
      <c r="A915" s="2" t="s">
        <v>971</v>
      </c>
      <c r="B915" s="2" t="s">
        <v>34</v>
      </c>
      <c r="C915" s="2" t="s">
        <v>867</v>
      </c>
      <c r="D915" s="2">
        <v>1020326</v>
      </c>
      <c r="E915" s="2" t="s">
        <v>935</v>
      </c>
      <c r="F915" s="2" t="s">
        <v>39</v>
      </c>
      <c r="G915" s="2" t="s">
        <v>936</v>
      </c>
      <c r="H915" s="7">
        <v>144920</v>
      </c>
      <c r="I915">
        <v>25</v>
      </c>
      <c r="J915">
        <v>27</v>
      </c>
      <c r="K915" s="14">
        <v>0.6</v>
      </c>
      <c r="L915" s="7">
        <f t="shared" si="28"/>
        <v>86952</v>
      </c>
      <c r="M915" s="14">
        <v>0.72</v>
      </c>
      <c r="N915" s="7">
        <f t="shared" si="29"/>
        <v>104342.39999999999</v>
      </c>
    </row>
    <row r="916" spans="1:14" x14ac:dyDescent="0.2">
      <c r="A916" s="2" t="s">
        <v>971</v>
      </c>
      <c r="B916" s="2" t="s">
        <v>34</v>
      </c>
      <c r="C916" s="2" t="s">
        <v>867</v>
      </c>
      <c r="D916" s="2">
        <v>1020589</v>
      </c>
      <c r="E916" s="2" t="s">
        <v>872</v>
      </c>
      <c r="F916" s="2" t="s">
        <v>43</v>
      </c>
      <c r="G916" s="2" t="s">
        <v>873</v>
      </c>
      <c r="H916" s="7">
        <v>9068.7929999999997</v>
      </c>
      <c r="I916">
        <v>25</v>
      </c>
      <c r="J916">
        <v>27</v>
      </c>
      <c r="K916" s="14">
        <v>0.6</v>
      </c>
      <c r="L916" s="7">
        <f t="shared" si="28"/>
        <v>5441.2757999999994</v>
      </c>
      <c r="M916" s="14">
        <v>0.72</v>
      </c>
      <c r="N916" s="7">
        <f t="shared" si="29"/>
        <v>6529.5309599999991</v>
      </c>
    </row>
    <row r="917" spans="1:14" x14ac:dyDescent="0.2">
      <c r="A917" s="2" t="s">
        <v>971</v>
      </c>
      <c r="B917" s="2" t="s">
        <v>34</v>
      </c>
      <c r="C917" s="2" t="s">
        <v>867</v>
      </c>
      <c r="D917" s="2">
        <v>1020592</v>
      </c>
      <c r="E917" s="2" t="s">
        <v>874</v>
      </c>
      <c r="F917" s="2" t="s">
        <v>43</v>
      </c>
      <c r="G917" s="2" t="s">
        <v>875</v>
      </c>
      <c r="H917" s="7">
        <v>14142.588</v>
      </c>
      <c r="I917">
        <v>25</v>
      </c>
      <c r="J917">
        <v>27</v>
      </c>
      <c r="K917" s="14">
        <v>0.6</v>
      </c>
      <c r="L917" s="7">
        <f t="shared" si="28"/>
        <v>8485.5527999999995</v>
      </c>
      <c r="M917" s="14">
        <v>0.72</v>
      </c>
      <c r="N917" s="7">
        <f t="shared" si="29"/>
        <v>10182.663359999999</v>
      </c>
    </row>
    <row r="918" spans="1:14" x14ac:dyDescent="0.2">
      <c r="A918" s="2" t="s">
        <v>971</v>
      </c>
      <c r="B918" s="2" t="s">
        <v>34</v>
      </c>
      <c r="C918" s="2" t="s">
        <v>867</v>
      </c>
      <c r="D918" s="2">
        <v>1020637</v>
      </c>
      <c r="E918" s="2" t="s">
        <v>878</v>
      </c>
      <c r="F918" s="2" t="s">
        <v>178</v>
      </c>
      <c r="G918" s="2" t="s">
        <v>879</v>
      </c>
      <c r="H918" s="7">
        <v>13740.975</v>
      </c>
      <c r="I918">
        <v>25</v>
      </c>
      <c r="J918">
        <v>27</v>
      </c>
      <c r="K918" s="14">
        <v>0.6</v>
      </c>
      <c r="L918" s="7">
        <f t="shared" si="28"/>
        <v>8244.5849999999991</v>
      </c>
      <c r="M918" s="14">
        <v>0.72</v>
      </c>
      <c r="N918" s="7">
        <f t="shared" si="29"/>
        <v>9893.5020000000004</v>
      </c>
    </row>
    <row r="919" spans="1:14" x14ac:dyDescent="0.2">
      <c r="A919" s="2" t="s">
        <v>971</v>
      </c>
      <c r="B919" s="2" t="s">
        <v>34</v>
      </c>
      <c r="C919" s="2" t="s">
        <v>867</v>
      </c>
      <c r="D919" s="2">
        <v>1020665</v>
      </c>
      <c r="E919" s="2" t="s">
        <v>937</v>
      </c>
      <c r="F919" s="2" t="s">
        <v>96</v>
      </c>
      <c r="G919" s="2" t="s">
        <v>938</v>
      </c>
      <c r="H919" s="7">
        <v>5010.7160000000003</v>
      </c>
      <c r="I919">
        <v>25</v>
      </c>
      <c r="J919">
        <v>27</v>
      </c>
      <c r="K919" s="14">
        <v>0.6</v>
      </c>
      <c r="L919" s="7">
        <f t="shared" si="28"/>
        <v>3006.4295999999999</v>
      </c>
      <c r="M919" s="14">
        <v>0.72</v>
      </c>
      <c r="N919" s="7">
        <f t="shared" si="29"/>
        <v>3607.7155200000002</v>
      </c>
    </row>
    <row r="920" spans="1:14" x14ac:dyDescent="0.2">
      <c r="A920" s="2" t="s">
        <v>971</v>
      </c>
      <c r="B920" s="2" t="s">
        <v>34</v>
      </c>
      <c r="C920" s="2" t="s">
        <v>867</v>
      </c>
      <c r="D920" s="2">
        <v>1020681</v>
      </c>
      <c r="E920" s="2" t="s">
        <v>973</v>
      </c>
      <c r="F920" s="2" t="s">
        <v>43</v>
      </c>
      <c r="G920" s="2" t="s">
        <v>974</v>
      </c>
      <c r="H920" s="7">
        <v>10024.25</v>
      </c>
      <c r="I920">
        <v>25</v>
      </c>
      <c r="J920">
        <v>27</v>
      </c>
      <c r="K920" s="14">
        <v>0.6</v>
      </c>
      <c r="L920" s="7">
        <f t="shared" si="28"/>
        <v>6014.55</v>
      </c>
      <c r="M920" s="14">
        <v>0.72</v>
      </c>
      <c r="N920" s="7">
        <f t="shared" si="29"/>
        <v>7217.46</v>
      </c>
    </row>
    <row r="921" spans="1:14" x14ac:dyDescent="0.2">
      <c r="A921" s="2" t="s">
        <v>971</v>
      </c>
      <c r="B921" s="2" t="s">
        <v>34</v>
      </c>
      <c r="C921" s="2" t="s">
        <v>867</v>
      </c>
      <c r="D921" s="2">
        <v>1020758</v>
      </c>
      <c r="E921" s="2" t="s">
        <v>939</v>
      </c>
      <c r="F921" s="2" t="s">
        <v>43</v>
      </c>
      <c r="G921" s="2" t="s">
        <v>940</v>
      </c>
      <c r="H921" s="7">
        <v>1213.9280000000001</v>
      </c>
      <c r="I921">
        <v>25</v>
      </c>
      <c r="J921">
        <v>27</v>
      </c>
      <c r="K921" s="14">
        <v>0.6</v>
      </c>
      <c r="L921" s="7">
        <f t="shared" si="28"/>
        <v>728.35680000000002</v>
      </c>
      <c r="M921" s="14">
        <v>0.72</v>
      </c>
      <c r="N921" s="7">
        <f t="shared" si="29"/>
        <v>874.02816000000007</v>
      </c>
    </row>
    <row r="922" spans="1:14" x14ac:dyDescent="0.2">
      <c r="A922" s="2" t="s">
        <v>971</v>
      </c>
      <c r="B922" s="2" t="s">
        <v>34</v>
      </c>
      <c r="C922" s="2" t="s">
        <v>867</v>
      </c>
      <c r="D922" s="2">
        <v>1020990</v>
      </c>
      <c r="E922" s="2" t="s">
        <v>941</v>
      </c>
      <c r="F922" s="2" t="s">
        <v>96</v>
      </c>
      <c r="G922" s="2" t="s">
        <v>942</v>
      </c>
      <c r="H922" s="7">
        <v>3387.404</v>
      </c>
      <c r="I922">
        <v>25</v>
      </c>
      <c r="J922">
        <v>27</v>
      </c>
      <c r="K922" s="14">
        <v>0.6</v>
      </c>
      <c r="L922" s="7">
        <f t="shared" si="28"/>
        <v>2032.4423999999999</v>
      </c>
      <c r="M922" s="14">
        <v>0.72</v>
      </c>
      <c r="N922" s="7">
        <f t="shared" si="29"/>
        <v>2438.9308799999999</v>
      </c>
    </row>
    <row r="923" spans="1:14" x14ac:dyDescent="0.2">
      <c r="A923" s="2" t="s">
        <v>971</v>
      </c>
      <c r="B923" s="2" t="s">
        <v>34</v>
      </c>
      <c r="C923" s="2" t="s">
        <v>867</v>
      </c>
      <c r="D923" s="2">
        <v>1020991</v>
      </c>
      <c r="E923" s="2" t="s">
        <v>943</v>
      </c>
      <c r="F923" s="2" t="s">
        <v>96</v>
      </c>
      <c r="G923" s="2" t="s">
        <v>944</v>
      </c>
      <c r="H923" s="7">
        <v>2994.4520000000002</v>
      </c>
      <c r="I923">
        <v>25</v>
      </c>
      <c r="J923">
        <v>27</v>
      </c>
      <c r="K923" s="14">
        <v>0.6</v>
      </c>
      <c r="L923" s="7">
        <f t="shared" si="28"/>
        <v>1796.6712</v>
      </c>
      <c r="M923" s="14">
        <v>0.72</v>
      </c>
      <c r="N923" s="7">
        <f t="shared" si="29"/>
        <v>2156.0054399999999</v>
      </c>
    </row>
    <row r="924" spans="1:14" x14ac:dyDescent="0.2">
      <c r="A924" s="2" t="s">
        <v>971</v>
      </c>
      <c r="B924" s="2" t="s">
        <v>34</v>
      </c>
      <c r="C924" s="2" t="s">
        <v>867</v>
      </c>
      <c r="D924" s="2">
        <v>1022370</v>
      </c>
      <c r="E924" s="2" t="s">
        <v>949</v>
      </c>
      <c r="F924" s="2" t="s">
        <v>43</v>
      </c>
      <c r="G924" s="2" t="s">
        <v>950</v>
      </c>
      <c r="H924" s="7">
        <v>11624.212</v>
      </c>
      <c r="I924">
        <v>25</v>
      </c>
      <c r="J924">
        <v>27</v>
      </c>
      <c r="K924" s="14">
        <v>0.6</v>
      </c>
      <c r="L924" s="7">
        <f t="shared" si="28"/>
        <v>6974.5271999999995</v>
      </c>
      <c r="M924" s="14">
        <v>0.72</v>
      </c>
      <c r="N924" s="7">
        <f t="shared" si="29"/>
        <v>8369.4326399999991</v>
      </c>
    </row>
    <row r="925" spans="1:14" x14ac:dyDescent="0.2">
      <c r="A925" s="2" t="s">
        <v>971</v>
      </c>
      <c r="B925" s="2" t="s">
        <v>34</v>
      </c>
      <c r="C925" s="2" t="s">
        <v>867</v>
      </c>
      <c r="D925" s="2">
        <v>1022664</v>
      </c>
      <c r="E925" s="2" t="s">
        <v>953</v>
      </c>
      <c r="F925" s="2" t="s">
        <v>43</v>
      </c>
      <c r="G925" s="2" t="s">
        <v>954</v>
      </c>
      <c r="H925" s="7">
        <v>22012.173999999999</v>
      </c>
      <c r="I925">
        <v>25</v>
      </c>
      <c r="J925">
        <v>27</v>
      </c>
      <c r="K925" s="14">
        <v>0.6</v>
      </c>
      <c r="L925" s="7">
        <f t="shared" si="28"/>
        <v>13207.304399999999</v>
      </c>
      <c r="M925" s="14">
        <v>0.72</v>
      </c>
      <c r="N925" s="7">
        <f t="shared" si="29"/>
        <v>15848.76528</v>
      </c>
    </row>
    <row r="926" spans="1:14" x14ac:dyDescent="0.2">
      <c r="A926" s="2" t="s">
        <v>971</v>
      </c>
      <c r="B926" s="2" t="s">
        <v>34</v>
      </c>
      <c r="C926" s="2" t="s">
        <v>867</v>
      </c>
      <c r="D926" s="2">
        <v>1023350</v>
      </c>
      <c r="E926" s="2" t="s">
        <v>884</v>
      </c>
      <c r="F926" s="2" t="s">
        <v>43</v>
      </c>
      <c r="G926" s="2" t="s">
        <v>885</v>
      </c>
      <c r="H926" s="7">
        <v>6004.1620000000003</v>
      </c>
      <c r="I926">
        <v>25</v>
      </c>
      <c r="J926">
        <v>27</v>
      </c>
      <c r="K926" s="14">
        <v>0.6</v>
      </c>
      <c r="L926" s="7">
        <f t="shared" si="28"/>
        <v>3602.4972000000002</v>
      </c>
      <c r="M926" s="14">
        <v>0.72</v>
      </c>
      <c r="N926" s="7">
        <f t="shared" si="29"/>
        <v>4322.9966400000003</v>
      </c>
    </row>
    <row r="927" spans="1:14" x14ac:dyDescent="0.2">
      <c r="A927" s="2" t="s">
        <v>971</v>
      </c>
      <c r="B927" s="2" t="s">
        <v>34</v>
      </c>
      <c r="C927" s="2" t="s">
        <v>867</v>
      </c>
      <c r="D927" s="2">
        <v>1023419</v>
      </c>
      <c r="E927" s="2" t="s">
        <v>955</v>
      </c>
      <c r="F927" s="2" t="s">
        <v>48</v>
      </c>
      <c r="G927" s="2" t="s">
        <v>956</v>
      </c>
      <c r="H927" s="7">
        <v>48000</v>
      </c>
      <c r="I927">
        <v>25</v>
      </c>
      <c r="J927">
        <v>27</v>
      </c>
      <c r="K927" s="14">
        <v>0.6</v>
      </c>
      <c r="L927" s="7">
        <f t="shared" si="28"/>
        <v>28800</v>
      </c>
      <c r="M927" s="14">
        <v>0.72</v>
      </c>
      <c r="N927" s="7">
        <f t="shared" si="29"/>
        <v>34560</v>
      </c>
    </row>
    <row r="928" spans="1:14" x14ac:dyDescent="0.2">
      <c r="A928" s="2" t="s">
        <v>971</v>
      </c>
      <c r="B928" s="2" t="s">
        <v>34</v>
      </c>
      <c r="C928" s="2" t="s">
        <v>957</v>
      </c>
      <c r="D928" s="2">
        <v>1023477</v>
      </c>
      <c r="E928" s="2" t="s">
        <v>769</v>
      </c>
      <c r="F928" s="2" t="s">
        <v>259</v>
      </c>
      <c r="G928" s="2" t="s">
        <v>958</v>
      </c>
      <c r="H928" s="7">
        <v>657540</v>
      </c>
      <c r="I928">
        <v>25</v>
      </c>
      <c r="J928">
        <v>27</v>
      </c>
      <c r="K928" s="14">
        <v>0.6</v>
      </c>
      <c r="L928" s="7">
        <f t="shared" si="28"/>
        <v>394524</v>
      </c>
      <c r="M928" s="14">
        <v>0.72</v>
      </c>
      <c r="N928" s="7">
        <f t="shared" si="29"/>
        <v>473428.8</v>
      </c>
    </row>
    <row r="929" spans="1:14" x14ac:dyDescent="0.2">
      <c r="A929" s="2" t="s">
        <v>971</v>
      </c>
      <c r="B929" s="2" t="s">
        <v>50</v>
      </c>
      <c r="C929" s="2" t="s">
        <v>705</v>
      </c>
      <c r="D929" s="2">
        <v>1030635</v>
      </c>
      <c r="E929" s="2" t="s">
        <v>894</v>
      </c>
      <c r="F929" s="2" t="s">
        <v>54</v>
      </c>
      <c r="G929" s="2" t="s">
        <v>959</v>
      </c>
      <c r="H929" s="7">
        <v>66000</v>
      </c>
      <c r="I929">
        <v>25</v>
      </c>
      <c r="J929">
        <v>27</v>
      </c>
      <c r="K929" s="14">
        <v>0.6</v>
      </c>
      <c r="L929" s="7">
        <f t="shared" si="28"/>
        <v>39600</v>
      </c>
      <c r="M929" s="14">
        <v>0.72</v>
      </c>
      <c r="N929" s="7">
        <f t="shared" si="29"/>
        <v>47520</v>
      </c>
    </row>
    <row r="930" spans="1:14" x14ac:dyDescent="0.2">
      <c r="A930" s="2" t="s">
        <v>971</v>
      </c>
      <c r="B930" s="2" t="s">
        <v>50</v>
      </c>
      <c r="C930" s="2" t="s">
        <v>52</v>
      </c>
      <c r="D930" s="2">
        <v>1030228</v>
      </c>
      <c r="E930" s="2" t="s">
        <v>206</v>
      </c>
      <c r="F930" s="2" t="s">
        <v>207</v>
      </c>
      <c r="G930" s="2" t="s">
        <v>205</v>
      </c>
      <c r="H930" s="7">
        <v>147565.152</v>
      </c>
      <c r="I930">
        <v>25</v>
      </c>
      <c r="J930">
        <v>27</v>
      </c>
      <c r="K930" s="14">
        <v>0.6</v>
      </c>
      <c r="L930" s="7">
        <f t="shared" si="28"/>
        <v>88539.091199999995</v>
      </c>
      <c r="M930" s="14">
        <v>0.72</v>
      </c>
      <c r="N930" s="7">
        <f t="shared" si="29"/>
        <v>106246.90944</v>
      </c>
    </row>
    <row r="931" spans="1:14" x14ac:dyDescent="0.2">
      <c r="A931" s="2" t="s">
        <v>971</v>
      </c>
      <c r="B931" s="2" t="s">
        <v>50</v>
      </c>
      <c r="C931" s="2" t="s">
        <v>52</v>
      </c>
      <c r="D931" s="2">
        <v>1030239</v>
      </c>
      <c r="E931" s="2" t="s">
        <v>209</v>
      </c>
      <c r="F931" s="2" t="s">
        <v>63</v>
      </c>
      <c r="G931" s="2" t="s">
        <v>208</v>
      </c>
      <c r="H931" s="7">
        <v>0</v>
      </c>
      <c r="I931">
        <v>25</v>
      </c>
      <c r="J931">
        <v>27</v>
      </c>
      <c r="K931" s="14">
        <v>0.6</v>
      </c>
      <c r="L931" s="7">
        <f t="shared" si="28"/>
        <v>0</v>
      </c>
      <c r="M931" s="14">
        <v>0.72</v>
      </c>
      <c r="N931" s="7">
        <f t="shared" si="29"/>
        <v>0</v>
      </c>
    </row>
    <row r="932" spans="1:14" x14ac:dyDescent="0.2">
      <c r="A932" s="2" t="s">
        <v>971</v>
      </c>
      <c r="B932" s="2" t="s">
        <v>50</v>
      </c>
      <c r="C932" s="2" t="s">
        <v>52</v>
      </c>
      <c r="D932" s="2">
        <v>1030321</v>
      </c>
      <c r="E932" s="2" t="s">
        <v>350</v>
      </c>
      <c r="F932" s="2" t="s">
        <v>132</v>
      </c>
      <c r="G932" s="2" t="s">
        <v>349</v>
      </c>
      <c r="H932" s="7">
        <v>24450.432000000001</v>
      </c>
      <c r="I932">
        <v>25</v>
      </c>
      <c r="J932">
        <v>27</v>
      </c>
      <c r="K932" s="14">
        <v>0.6</v>
      </c>
      <c r="L932" s="7">
        <f t="shared" si="28"/>
        <v>14670.2592</v>
      </c>
      <c r="M932" s="14">
        <v>0.72</v>
      </c>
      <c r="N932" s="7">
        <f t="shared" si="29"/>
        <v>17604.311040000001</v>
      </c>
    </row>
    <row r="933" spans="1:14" x14ac:dyDescent="0.2">
      <c r="A933" s="2" t="s">
        <v>971</v>
      </c>
      <c r="B933" s="2" t="s">
        <v>50</v>
      </c>
      <c r="C933" s="2" t="s">
        <v>52</v>
      </c>
      <c r="D933" s="2">
        <v>1030360</v>
      </c>
      <c r="E933" s="2" t="s">
        <v>352</v>
      </c>
      <c r="F933" s="2" t="s">
        <v>132</v>
      </c>
      <c r="G933" s="2" t="s">
        <v>351</v>
      </c>
      <c r="H933" s="7">
        <v>9245.241</v>
      </c>
      <c r="I933">
        <v>25</v>
      </c>
      <c r="J933">
        <v>27</v>
      </c>
      <c r="K933" s="14">
        <v>0.6</v>
      </c>
      <c r="L933" s="7">
        <f t="shared" si="28"/>
        <v>5547.1445999999996</v>
      </c>
      <c r="M933" s="14">
        <v>0.72</v>
      </c>
      <c r="N933" s="7">
        <f t="shared" si="29"/>
        <v>6656.5735199999999</v>
      </c>
    </row>
    <row r="934" spans="1:14" x14ac:dyDescent="0.2">
      <c r="A934" s="2" t="s">
        <v>971</v>
      </c>
      <c r="B934" s="2" t="s">
        <v>50</v>
      </c>
      <c r="C934" s="2" t="s">
        <v>52</v>
      </c>
      <c r="D934" s="2">
        <v>1030366</v>
      </c>
      <c r="E934" s="2" t="s">
        <v>354</v>
      </c>
      <c r="F934" s="2" t="s">
        <v>132</v>
      </c>
      <c r="G934" s="2" t="s">
        <v>353</v>
      </c>
      <c r="H934" s="7">
        <v>0</v>
      </c>
      <c r="I934">
        <v>25</v>
      </c>
      <c r="J934">
        <v>27</v>
      </c>
      <c r="K934" s="14">
        <v>0.6</v>
      </c>
      <c r="L934" s="7">
        <f t="shared" si="28"/>
        <v>0</v>
      </c>
      <c r="M934" s="14">
        <v>0.72</v>
      </c>
      <c r="N934" s="7">
        <f t="shared" si="29"/>
        <v>0</v>
      </c>
    </row>
    <row r="935" spans="1:14" x14ac:dyDescent="0.2">
      <c r="A935" s="2" t="s">
        <v>971</v>
      </c>
      <c r="B935" s="2" t="s">
        <v>50</v>
      </c>
      <c r="C935" s="2" t="s">
        <v>52</v>
      </c>
      <c r="D935" s="2">
        <v>1030370</v>
      </c>
      <c r="E935" s="2" t="s">
        <v>356</v>
      </c>
      <c r="F935" s="2" t="s">
        <v>181</v>
      </c>
      <c r="G935" s="2" t="s">
        <v>355</v>
      </c>
      <c r="H935" s="7">
        <v>0</v>
      </c>
      <c r="I935">
        <v>25</v>
      </c>
      <c r="J935">
        <v>27</v>
      </c>
      <c r="K935" s="14">
        <v>0.6</v>
      </c>
      <c r="L935" s="7">
        <f t="shared" si="28"/>
        <v>0</v>
      </c>
      <c r="M935" s="14">
        <v>0.72</v>
      </c>
      <c r="N935" s="7">
        <f t="shared" si="29"/>
        <v>0</v>
      </c>
    </row>
    <row r="936" spans="1:14" x14ac:dyDescent="0.2">
      <c r="A936" s="2" t="s">
        <v>971</v>
      </c>
      <c r="B936" s="2" t="s">
        <v>50</v>
      </c>
      <c r="C936" s="2" t="s">
        <v>52</v>
      </c>
      <c r="D936" s="2">
        <v>1030379</v>
      </c>
      <c r="E936" s="2" t="s">
        <v>98</v>
      </c>
      <c r="F936" s="2" t="s">
        <v>79</v>
      </c>
      <c r="G936" s="2" t="s">
        <v>97</v>
      </c>
      <c r="H936" s="7">
        <v>284507.76</v>
      </c>
      <c r="I936">
        <v>25</v>
      </c>
      <c r="J936">
        <v>27</v>
      </c>
      <c r="K936" s="14">
        <v>0.6</v>
      </c>
      <c r="L936" s="7">
        <f t="shared" si="28"/>
        <v>170704.65599999999</v>
      </c>
      <c r="M936" s="14">
        <v>0.72</v>
      </c>
      <c r="N936" s="7">
        <f t="shared" si="29"/>
        <v>204845.58720000001</v>
      </c>
    </row>
    <row r="937" spans="1:14" x14ac:dyDescent="0.2">
      <c r="A937" s="2" t="s">
        <v>971</v>
      </c>
      <c r="B937" s="2" t="s">
        <v>50</v>
      </c>
      <c r="C937" s="2" t="s">
        <v>52</v>
      </c>
      <c r="D937" s="2">
        <v>1030424</v>
      </c>
      <c r="E937" s="2" t="s">
        <v>360</v>
      </c>
      <c r="F937" s="2" t="s">
        <v>79</v>
      </c>
      <c r="G937" s="2" t="s">
        <v>359</v>
      </c>
      <c r="H937" s="7">
        <v>0</v>
      </c>
      <c r="I937">
        <v>25</v>
      </c>
      <c r="J937">
        <v>27</v>
      </c>
      <c r="K937" s="14">
        <v>0.6</v>
      </c>
      <c r="L937" s="7">
        <f t="shared" si="28"/>
        <v>0</v>
      </c>
      <c r="M937" s="14">
        <v>0.72</v>
      </c>
      <c r="N937" s="7">
        <f t="shared" si="29"/>
        <v>0</v>
      </c>
    </row>
    <row r="938" spans="1:14" x14ac:dyDescent="0.2">
      <c r="A938" s="2" t="s">
        <v>971</v>
      </c>
      <c r="B938" s="2" t="s">
        <v>50</v>
      </c>
      <c r="C938" s="2" t="s">
        <v>52</v>
      </c>
      <c r="D938" s="2">
        <v>1030452</v>
      </c>
      <c r="E938" s="2" t="s">
        <v>78</v>
      </c>
      <c r="F938" s="2" t="s">
        <v>79</v>
      </c>
      <c r="G938" s="2" t="s">
        <v>77</v>
      </c>
      <c r="H938" s="7">
        <v>23999.298999999999</v>
      </c>
      <c r="I938">
        <v>25</v>
      </c>
      <c r="J938">
        <v>27</v>
      </c>
      <c r="K938" s="14">
        <v>0.6</v>
      </c>
      <c r="L938" s="7">
        <f t="shared" si="28"/>
        <v>14399.579399999999</v>
      </c>
      <c r="M938" s="14">
        <v>0.72</v>
      </c>
      <c r="N938" s="7">
        <f t="shared" si="29"/>
        <v>17279.495279999999</v>
      </c>
    </row>
    <row r="939" spans="1:14" x14ac:dyDescent="0.2">
      <c r="A939" s="2" t="s">
        <v>971</v>
      </c>
      <c r="B939" s="2" t="s">
        <v>50</v>
      </c>
      <c r="C939" s="2" t="s">
        <v>52</v>
      </c>
      <c r="D939" s="2">
        <v>1030461</v>
      </c>
      <c r="E939" s="2" t="s">
        <v>129</v>
      </c>
      <c r="F939" s="2" t="s">
        <v>79</v>
      </c>
      <c r="G939" s="2" t="s">
        <v>128</v>
      </c>
      <c r="H939" s="7">
        <v>63032.966999999997</v>
      </c>
      <c r="I939">
        <v>25</v>
      </c>
      <c r="J939">
        <v>27</v>
      </c>
      <c r="K939" s="14">
        <v>0.6</v>
      </c>
      <c r="L939" s="7">
        <f t="shared" si="28"/>
        <v>37819.780199999994</v>
      </c>
      <c r="M939" s="14">
        <v>0.72</v>
      </c>
      <c r="N939" s="7">
        <f t="shared" si="29"/>
        <v>45383.736239999998</v>
      </c>
    </row>
    <row r="940" spans="1:14" x14ac:dyDescent="0.2">
      <c r="A940" s="2" t="s">
        <v>971</v>
      </c>
      <c r="B940" s="2" t="s">
        <v>50</v>
      </c>
      <c r="C940" s="2" t="s">
        <v>52</v>
      </c>
      <c r="D940" s="2">
        <v>1030520</v>
      </c>
      <c r="E940" s="2" t="s">
        <v>960</v>
      </c>
      <c r="F940" s="2" t="s">
        <v>79</v>
      </c>
      <c r="G940" s="2" t="s">
        <v>961</v>
      </c>
      <c r="H940" s="7">
        <v>71997.66</v>
      </c>
      <c r="I940">
        <v>25</v>
      </c>
      <c r="J940">
        <v>27</v>
      </c>
      <c r="K940" s="14">
        <v>0.6</v>
      </c>
      <c r="L940" s="7">
        <f t="shared" si="28"/>
        <v>43198.595999999998</v>
      </c>
      <c r="M940" s="14">
        <v>0.72</v>
      </c>
      <c r="N940" s="7">
        <f t="shared" si="29"/>
        <v>51838.315199999997</v>
      </c>
    </row>
    <row r="941" spans="1:14" x14ac:dyDescent="0.2">
      <c r="A941" s="2" t="s">
        <v>971</v>
      </c>
      <c r="B941" s="2" t="s">
        <v>50</v>
      </c>
      <c r="C941" s="2" t="s">
        <v>52</v>
      </c>
      <c r="D941" s="2">
        <v>1030735</v>
      </c>
      <c r="E941" s="2" t="s">
        <v>362</v>
      </c>
      <c r="F941" s="2" t="s">
        <v>54</v>
      </c>
      <c r="G941" s="2" t="s">
        <v>361</v>
      </c>
      <c r="H941" s="7">
        <v>0</v>
      </c>
      <c r="I941">
        <v>25</v>
      </c>
      <c r="J941">
        <v>27</v>
      </c>
      <c r="K941" s="14">
        <v>0.6</v>
      </c>
      <c r="L941" s="7">
        <f t="shared" si="28"/>
        <v>0</v>
      </c>
      <c r="M941" s="14">
        <v>0.72</v>
      </c>
      <c r="N941" s="7">
        <f t="shared" si="29"/>
        <v>0</v>
      </c>
    </row>
    <row r="942" spans="1:14" x14ac:dyDescent="0.2">
      <c r="A942" s="2" t="s">
        <v>971</v>
      </c>
      <c r="B942" s="2" t="s">
        <v>50</v>
      </c>
      <c r="C942" s="2" t="s">
        <v>52</v>
      </c>
      <c r="D942" s="2">
        <v>1030782</v>
      </c>
      <c r="E942" s="2" t="s">
        <v>81</v>
      </c>
      <c r="F942" s="2" t="s">
        <v>79</v>
      </c>
      <c r="G942" s="2" t="s">
        <v>80</v>
      </c>
      <c r="H942" s="7">
        <v>0</v>
      </c>
      <c r="I942">
        <v>25</v>
      </c>
      <c r="J942">
        <v>27</v>
      </c>
      <c r="K942" s="14">
        <v>0.6</v>
      </c>
      <c r="L942" s="7">
        <f t="shared" si="28"/>
        <v>0</v>
      </c>
      <c r="M942" s="14">
        <v>0.72</v>
      </c>
      <c r="N942" s="7">
        <f t="shared" si="29"/>
        <v>0</v>
      </c>
    </row>
    <row r="943" spans="1:14" x14ac:dyDescent="0.2">
      <c r="A943" s="2" t="s">
        <v>971</v>
      </c>
      <c r="B943" s="2" t="s">
        <v>50</v>
      </c>
      <c r="C943" s="2" t="s">
        <v>52</v>
      </c>
      <c r="D943" s="2">
        <v>1030785</v>
      </c>
      <c r="E943" s="2" t="s">
        <v>366</v>
      </c>
      <c r="F943" s="2" t="s">
        <v>132</v>
      </c>
      <c r="G943" s="2" t="s">
        <v>365</v>
      </c>
      <c r="H943" s="7">
        <v>0</v>
      </c>
      <c r="I943">
        <v>25</v>
      </c>
      <c r="J943">
        <v>27</v>
      </c>
      <c r="K943" s="14">
        <v>0.6</v>
      </c>
      <c r="L943" s="7">
        <f t="shared" si="28"/>
        <v>0</v>
      </c>
      <c r="M943" s="14">
        <v>0.72</v>
      </c>
      <c r="N943" s="7">
        <f t="shared" si="29"/>
        <v>0</v>
      </c>
    </row>
    <row r="944" spans="1:14" x14ac:dyDescent="0.2">
      <c r="A944" s="2" t="s">
        <v>971</v>
      </c>
      <c r="B944" s="2" t="s">
        <v>50</v>
      </c>
      <c r="C944" s="2" t="s">
        <v>52</v>
      </c>
      <c r="D944" s="2">
        <v>1030818</v>
      </c>
      <c r="E944" s="2" t="s">
        <v>134</v>
      </c>
      <c r="F944" s="2" t="s">
        <v>79</v>
      </c>
      <c r="G944" s="2" t="s">
        <v>133</v>
      </c>
      <c r="H944" s="7">
        <v>0</v>
      </c>
      <c r="I944">
        <v>25</v>
      </c>
      <c r="J944">
        <v>27</v>
      </c>
      <c r="K944" s="14">
        <v>0.6</v>
      </c>
      <c r="L944" s="7">
        <f t="shared" si="28"/>
        <v>0</v>
      </c>
      <c r="M944" s="14">
        <v>0.72</v>
      </c>
      <c r="N944" s="7">
        <f t="shared" si="29"/>
        <v>0</v>
      </c>
    </row>
    <row r="945" spans="1:14" x14ac:dyDescent="0.2">
      <c r="A945" s="2" t="s">
        <v>971</v>
      </c>
      <c r="B945" s="2" t="s">
        <v>50</v>
      </c>
      <c r="C945" s="2" t="s">
        <v>52</v>
      </c>
      <c r="D945" s="2">
        <v>1030837</v>
      </c>
      <c r="E945" s="2" t="s">
        <v>888</v>
      </c>
      <c r="F945" s="2" t="s">
        <v>79</v>
      </c>
      <c r="G945" s="2" t="s">
        <v>408</v>
      </c>
      <c r="H945" s="7">
        <v>0</v>
      </c>
      <c r="I945">
        <v>25</v>
      </c>
      <c r="J945">
        <v>27</v>
      </c>
      <c r="K945" s="14">
        <v>0.6</v>
      </c>
      <c r="L945" s="7">
        <f t="shared" si="28"/>
        <v>0</v>
      </c>
      <c r="M945" s="14">
        <v>0.72</v>
      </c>
      <c r="N945" s="7">
        <f t="shared" si="29"/>
        <v>0</v>
      </c>
    </row>
    <row r="946" spans="1:14" x14ac:dyDescent="0.2">
      <c r="A946" s="2" t="s">
        <v>971</v>
      </c>
      <c r="B946" s="2" t="s">
        <v>50</v>
      </c>
      <c r="C946" s="2" t="s">
        <v>52</v>
      </c>
      <c r="D946" s="2">
        <v>1030838</v>
      </c>
      <c r="E946" s="2" t="s">
        <v>962</v>
      </c>
      <c r="F946" s="2" t="s">
        <v>79</v>
      </c>
      <c r="G946" s="2" t="s">
        <v>516</v>
      </c>
      <c r="H946" s="7">
        <v>0</v>
      </c>
      <c r="I946">
        <v>25</v>
      </c>
      <c r="J946">
        <v>27</v>
      </c>
      <c r="K946" s="14">
        <v>0.6</v>
      </c>
      <c r="L946" s="7">
        <f t="shared" si="28"/>
        <v>0</v>
      </c>
      <c r="M946" s="14">
        <v>0.72</v>
      </c>
      <c r="N946" s="7">
        <f t="shared" si="29"/>
        <v>0</v>
      </c>
    </row>
    <row r="947" spans="1:14" x14ac:dyDescent="0.2">
      <c r="A947" s="2" t="s">
        <v>971</v>
      </c>
      <c r="B947" s="2" t="s">
        <v>50</v>
      </c>
      <c r="C947" s="2" t="s">
        <v>226</v>
      </c>
      <c r="D947" s="2">
        <v>1030224</v>
      </c>
      <c r="E947" s="2" t="s">
        <v>380</v>
      </c>
      <c r="F947" s="2" t="s">
        <v>214</v>
      </c>
      <c r="G947" s="2" t="s">
        <v>527</v>
      </c>
      <c r="H947" s="7">
        <v>143119.962</v>
      </c>
      <c r="I947">
        <v>25</v>
      </c>
      <c r="J947">
        <v>27</v>
      </c>
      <c r="K947" s="14">
        <v>0.6</v>
      </c>
      <c r="L947" s="7">
        <f t="shared" si="28"/>
        <v>85871.977199999994</v>
      </c>
      <c r="M947" s="14">
        <v>0.72</v>
      </c>
      <c r="N947" s="7">
        <f t="shared" si="29"/>
        <v>103046.37264</v>
      </c>
    </row>
    <row r="948" spans="1:14" x14ac:dyDescent="0.2">
      <c r="A948" s="2" t="s">
        <v>971</v>
      </c>
      <c r="B948" s="2" t="s">
        <v>50</v>
      </c>
      <c r="C948" s="2" t="s">
        <v>226</v>
      </c>
      <c r="D948" s="2">
        <v>1030265</v>
      </c>
      <c r="E948" s="2" t="s">
        <v>368</v>
      </c>
      <c r="F948" s="2" t="s">
        <v>79</v>
      </c>
      <c r="G948" s="2" t="s">
        <v>367</v>
      </c>
      <c r="H948" s="7">
        <v>0</v>
      </c>
      <c r="I948">
        <v>25</v>
      </c>
      <c r="J948">
        <v>27</v>
      </c>
      <c r="K948" s="14">
        <v>0.6</v>
      </c>
      <c r="L948" s="7">
        <f t="shared" si="28"/>
        <v>0</v>
      </c>
      <c r="M948" s="14">
        <v>0.72</v>
      </c>
      <c r="N948" s="7">
        <f t="shared" si="29"/>
        <v>0</v>
      </c>
    </row>
    <row r="949" spans="1:14" x14ac:dyDescent="0.2">
      <c r="A949" s="2" t="s">
        <v>971</v>
      </c>
      <c r="B949" s="2" t="s">
        <v>50</v>
      </c>
      <c r="C949" s="2" t="s">
        <v>226</v>
      </c>
      <c r="D949" s="2">
        <v>1030279</v>
      </c>
      <c r="E949" s="2" t="s">
        <v>889</v>
      </c>
      <c r="F949" s="2" t="s">
        <v>207</v>
      </c>
      <c r="G949" s="2" t="s">
        <v>461</v>
      </c>
      <c r="H949" s="7">
        <v>64800</v>
      </c>
      <c r="I949">
        <v>25</v>
      </c>
      <c r="J949">
        <v>27</v>
      </c>
      <c r="K949" s="14">
        <v>0.6</v>
      </c>
      <c r="L949" s="7">
        <f t="shared" si="28"/>
        <v>38880</v>
      </c>
      <c r="M949" s="14">
        <v>0.72</v>
      </c>
      <c r="N949" s="7">
        <f t="shared" si="29"/>
        <v>46656</v>
      </c>
    </row>
    <row r="950" spans="1:14" x14ac:dyDescent="0.2">
      <c r="A950" s="2" t="s">
        <v>971</v>
      </c>
      <c r="B950" s="2" t="s">
        <v>50</v>
      </c>
      <c r="C950" s="2" t="s">
        <v>226</v>
      </c>
      <c r="D950" s="2">
        <v>1030355</v>
      </c>
      <c r="E950" s="2" t="s">
        <v>890</v>
      </c>
      <c r="F950" s="2" t="s">
        <v>891</v>
      </c>
      <c r="G950" s="2" t="s">
        <v>385</v>
      </c>
      <c r="H950" s="7">
        <v>72000</v>
      </c>
      <c r="I950">
        <v>25</v>
      </c>
      <c r="J950">
        <v>27</v>
      </c>
      <c r="K950" s="14">
        <v>0.6</v>
      </c>
      <c r="L950" s="7">
        <f t="shared" si="28"/>
        <v>43200</v>
      </c>
      <c r="M950" s="14">
        <v>0.72</v>
      </c>
      <c r="N950" s="7">
        <f t="shared" si="29"/>
        <v>51840</v>
      </c>
    </row>
    <row r="951" spans="1:14" x14ac:dyDescent="0.2">
      <c r="A951" s="2" t="s">
        <v>971</v>
      </c>
      <c r="B951" s="2" t="s">
        <v>50</v>
      </c>
      <c r="C951" s="2" t="s">
        <v>150</v>
      </c>
      <c r="D951" s="2">
        <v>1030337</v>
      </c>
      <c r="E951" s="2" t="s">
        <v>370</v>
      </c>
      <c r="F951" s="2" t="s">
        <v>79</v>
      </c>
      <c r="G951" s="2" t="s">
        <v>369</v>
      </c>
      <c r="H951" s="7">
        <v>285300</v>
      </c>
      <c r="I951">
        <v>23</v>
      </c>
      <c r="J951">
        <v>27</v>
      </c>
      <c r="K951" s="14">
        <v>0.56521739130434778</v>
      </c>
      <c r="L951" s="7">
        <f t="shared" si="28"/>
        <v>161256.52173913043</v>
      </c>
      <c r="M951" s="14">
        <v>0.69565217391304346</v>
      </c>
      <c r="N951" s="7">
        <f t="shared" si="29"/>
        <v>198469.5652173913</v>
      </c>
    </row>
    <row r="952" spans="1:14" x14ac:dyDescent="0.2">
      <c r="A952" s="2" t="s">
        <v>971</v>
      </c>
      <c r="B952" s="2" t="s">
        <v>50</v>
      </c>
      <c r="C952" s="2" t="s">
        <v>150</v>
      </c>
      <c r="D952" s="2">
        <v>1030658</v>
      </c>
      <c r="E952" s="2" t="s">
        <v>372</v>
      </c>
      <c r="F952" s="2" t="s">
        <v>207</v>
      </c>
      <c r="G952" s="2" t="s">
        <v>371</v>
      </c>
      <c r="H952" s="7">
        <v>72052.08</v>
      </c>
      <c r="I952">
        <v>23</v>
      </c>
      <c r="J952">
        <v>27</v>
      </c>
      <c r="K952" s="14">
        <v>0.56521739130434778</v>
      </c>
      <c r="L952" s="7">
        <f t="shared" si="28"/>
        <v>40725.088695652172</v>
      </c>
      <c r="M952" s="14">
        <v>0.69565217391304346</v>
      </c>
      <c r="N952" s="7">
        <f t="shared" si="29"/>
        <v>50123.186086956521</v>
      </c>
    </row>
    <row r="953" spans="1:14" x14ac:dyDescent="0.2">
      <c r="A953" s="2" t="s">
        <v>971</v>
      </c>
      <c r="B953" s="2" t="s">
        <v>50</v>
      </c>
      <c r="C953" s="2" t="s">
        <v>150</v>
      </c>
      <c r="D953" s="2">
        <v>1030792</v>
      </c>
      <c r="E953" s="2" t="s">
        <v>374</v>
      </c>
      <c r="F953" s="2" t="s">
        <v>79</v>
      </c>
      <c r="G953" s="2" t="s">
        <v>373</v>
      </c>
      <c r="H953" s="7">
        <v>0</v>
      </c>
      <c r="I953">
        <v>23</v>
      </c>
      <c r="J953">
        <v>27</v>
      </c>
      <c r="K953" s="14">
        <v>0.56521739130434778</v>
      </c>
      <c r="L953" s="7">
        <f t="shared" si="28"/>
        <v>0</v>
      </c>
      <c r="M953" s="14">
        <v>0.69565217391304346</v>
      </c>
      <c r="N953" s="7">
        <f t="shared" si="29"/>
        <v>0</v>
      </c>
    </row>
    <row r="954" spans="1:14" x14ac:dyDescent="0.2">
      <c r="A954" s="2" t="s">
        <v>971</v>
      </c>
      <c r="B954" s="2" t="s">
        <v>50</v>
      </c>
      <c r="C954" s="2" t="s">
        <v>150</v>
      </c>
      <c r="D954" s="2">
        <v>1030802</v>
      </c>
      <c r="E954" s="2" t="s">
        <v>895</v>
      </c>
      <c r="F954" s="2" t="s">
        <v>710</v>
      </c>
      <c r="G954" s="2" t="s">
        <v>492</v>
      </c>
      <c r="H954" s="7">
        <v>143294.736</v>
      </c>
      <c r="I954">
        <v>23</v>
      </c>
      <c r="J954">
        <v>27</v>
      </c>
      <c r="K954" s="14">
        <v>0.56521739130434778</v>
      </c>
      <c r="L954" s="7">
        <f t="shared" si="28"/>
        <v>80992.676869565214</v>
      </c>
      <c r="M954" s="14">
        <v>0.69565217391304346</v>
      </c>
      <c r="N954" s="7">
        <f t="shared" si="29"/>
        <v>99683.294608695651</v>
      </c>
    </row>
    <row r="955" spans="1:14" x14ac:dyDescent="0.2">
      <c r="A955" s="2" t="s">
        <v>971</v>
      </c>
      <c r="B955" s="2" t="s">
        <v>50</v>
      </c>
      <c r="C955" s="2" t="s">
        <v>150</v>
      </c>
      <c r="D955" s="2">
        <v>1030810</v>
      </c>
      <c r="E955" s="2" t="s">
        <v>376</v>
      </c>
      <c r="F955" s="2" t="s">
        <v>214</v>
      </c>
      <c r="G955" s="2" t="s">
        <v>375</v>
      </c>
      <c r="H955" s="7">
        <v>0</v>
      </c>
      <c r="I955">
        <v>23</v>
      </c>
      <c r="J955">
        <v>27</v>
      </c>
      <c r="K955" s="14">
        <v>0.56521739130434778</v>
      </c>
      <c r="L955" s="7">
        <f t="shared" si="28"/>
        <v>0</v>
      </c>
      <c r="M955" s="14">
        <v>0.69565217391304346</v>
      </c>
      <c r="N955" s="7">
        <f t="shared" si="29"/>
        <v>0</v>
      </c>
    </row>
    <row r="956" spans="1:14" x14ac:dyDescent="0.2">
      <c r="A956" s="2" t="s">
        <v>971</v>
      </c>
      <c r="B956" s="2" t="s">
        <v>50</v>
      </c>
      <c r="C956" s="2" t="s">
        <v>735</v>
      </c>
      <c r="D956" s="2">
        <v>1030126</v>
      </c>
      <c r="E956" s="2" t="s">
        <v>963</v>
      </c>
      <c r="F956" s="2" t="s">
        <v>964</v>
      </c>
      <c r="G956" s="2" t="s">
        <v>965</v>
      </c>
      <c r="H956" s="7">
        <v>126</v>
      </c>
      <c r="I956">
        <v>25</v>
      </c>
      <c r="J956">
        <v>27</v>
      </c>
      <c r="K956" s="14">
        <v>0.6</v>
      </c>
      <c r="L956" s="7">
        <f t="shared" si="28"/>
        <v>75.599999999999994</v>
      </c>
      <c r="M956" s="14">
        <v>0.72</v>
      </c>
      <c r="N956" s="7">
        <f t="shared" si="29"/>
        <v>90.72</v>
      </c>
    </row>
    <row r="957" spans="1:14" x14ac:dyDescent="0.2">
      <c r="A957" s="2" t="s">
        <v>971</v>
      </c>
      <c r="B957" s="2" t="s">
        <v>50</v>
      </c>
      <c r="C957" s="2" t="s">
        <v>735</v>
      </c>
      <c r="D957" s="2">
        <v>1030576</v>
      </c>
      <c r="E957" s="2" t="s">
        <v>966</v>
      </c>
      <c r="F957" s="2" t="s">
        <v>964</v>
      </c>
      <c r="G957" s="2" t="s">
        <v>967</v>
      </c>
      <c r="H957" s="7">
        <v>151.596</v>
      </c>
      <c r="I957">
        <v>25</v>
      </c>
      <c r="J957">
        <v>27</v>
      </c>
      <c r="K957" s="14">
        <v>0.6</v>
      </c>
      <c r="L957" s="7">
        <f t="shared" si="28"/>
        <v>90.957599999999999</v>
      </c>
      <c r="M957" s="14">
        <v>0.72</v>
      </c>
      <c r="N957" s="7">
        <f t="shared" si="29"/>
        <v>109.14912</v>
      </c>
    </row>
    <row r="958" spans="1:14" x14ac:dyDescent="0.2">
      <c r="A958" s="2" t="s">
        <v>971</v>
      </c>
      <c r="B958" s="2" t="s">
        <v>50</v>
      </c>
      <c r="C958" s="2" t="s">
        <v>735</v>
      </c>
      <c r="D958" s="2">
        <v>1030817</v>
      </c>
      <c r="E958" s="2" t="s">
        <v>380</v>
      </c>
      <c r="F958" s="2" t="s">
        <v>214</v>
      </c>
      <c r="G958" s="2" t="s">
        <v>504</v>
      </c>
      <c r="H958" s="7">
        <v>71999.229000000007</v>
      </c>
      <c r="I958">
        <v>25</v>
      </c>
      <c r="J958">
        <v>27</v>
      </c>
      <c r="K958" s="14">
        <v>0.6</v>
      </c>
      <c r="L958" s="7">
        <f t="shared" si="28"/>
        <v>43199.537400000001</v>
      </c>
      <c r="M958" s="14">
        <v>0.72</v>
      </c>
      <c r="N958" s="7">
        <f t="shared" si="29"/>
        <v>51839.444880000003</v>
      </c>
    </row>
    <row r="959" spans="1:14" x14ac:dyDescent="0.2">
      <c r="A959" s="2" t="s">
        <v>971</v>
      </c>
      <c r="B959" s="2" t="s">
        <v>50</v>
      </c>
      <c r="C959" s="2" t="s">
        <v>735</v>
      </c>
      <c r="D959" s="2">
        <v>1030821</v>
      </c>
      <c r="E959" s="2" t="s">
        <v>968</v>
      </c>
      <c r="F959" s="2" t="s">
        <v>79</v>
      </c>
      <c r="G959" s="2" t="s">
        <v>601</v>
      </c>
      <c r="H959" s="7">
        <v>71730</v>
      </c>
      <c r="I959">
        <v>25</v>
      </c>
      <c r="J959">
        <v>27</v>
      </c>
      <c r="K959" s="14">
        <v>0.6</v>
      </c>
      <c r="L959" s="7">
        <f t="shared" si="28"/>
        <v>43038</v>
      </c>
      <c r="M959" s="14">
        <v>0.72</v>
      </c>
      <c r="N959" s="7">
        <f t="shared" si="29"/>
        <v>51645.599999999999</v>
      </c>
    </row>
    <row r="960" spans="1:14" x14ac:dyDescent="0.2">
      <c r="A960" s="2" t="s">
        <v>971</v>
      </c>
      <c r="B960" s="2" t="s">
        <v>50</v>
      </c>
      <c r="C960" s="2" t="s">
        <v>741</v>
      </c>
      <c r="D960" s="2">
        <v>1030542</v>
      </c>
      <c r="E960" s="2" t="s">
        <v>969</v>
      </c>
      <c r="F960" s="2" t="s">
        <v>79</v>
      </c>
      <c r="G960" s="2" t="s">
        <v>970</v>
      </c>
      <c r="H960" s="7">
        <v>65970</v>
      </c>
      <c r="I960">
        <v>25</v>
      </c>
      <c r="J960">
        <v>27</v>
      </c>
      <c r="K960" s="14">
        <v>0.6</v>
      </c>
      <c r="L960" s="7">
        <f t="shared" si="28"/>
        <v>39582</v>
      </c>
      <c r="M960" s="14">
        <v>0.72</v>
      </c>
      <c r="N960" s="7">
        <f t="shared" si="29"/>
        <v>47498.400000000001</v>
      </c>
    </row>
    <row r="961" spans="1:14" x14ac:dyDescent="0.2">
      <c r="A961" s="2" t="s">
        <v>971</v>
      </c>
      <c r="B961" s="2" t="s">
        <v>50</v>
      </c>
      <c r="C961" s="2" t="s">
        <v>46</v>
      </c>
      <c r="D961" s="2">
        <v>1030388</v>
      </c>
      <c r="E961" s="2" t="s">
        <v>892</v>
      </c>
      <c r="F961" s="2" t="s">
        <v>245</v>
      </c>
      <c r="G961" s="2" t="s">
        <v>896</v>
      </c>
      <c r="H961" s="7">
        <v>288000</v>
      </c>
      <c r="I961">
        <v>25</v>
      </c>
      <c r="J961">
        <v>27</v>
      </c>
      <c r="K961" s="14">
        <v>0.6</v>
      </c>
      <c r="L961" s="7">
        <f t="shared" si="28"/>
        <v>172800</v>
      </c>
      <c r="M961" s="14">
        <v>0.72</v>
      </c>
      <c r="N961" s="7">
        <f t="shared" si="29"/>
        <v>207360</v>
      </c>
    </row>
    <row r="962" spans="1:14" x14ac:dyDescent="0.2">
      <c r="A962" s="2" t="s">
        <v>971</v>
      </c>
      <c r="B962" s="2" t="s">
        <v>50</v>
      </c>
      <c r="C962" s="2" t="s">
        <v>46</v>
      </c>
      <c r="D962" s="2">
        <v>1030506</v>
      </c>
      <c r="E962" s="2" t="s">
        <v>897</v>
      </c>
      <c r="F962" s="2" t="s">
        <v>79</v>
      </c>
      <c r="G962" s="2" t="s">
        <v>506</v>
      </c>
      <c r="H962" s="7">
        <v>72000</v>
      </c>
      <c r="I962">
        <v>25</v>
      </c>
      <c r="J962">
        <v>27</v>
      </c>
      <c r="K962" s="14">
        <v>0.6</v>
      </c>
      <c r="L962" s="7">
        <f t="shared" ref="L962:L1025" si="30">K962 * H962</f>
        <v>43200</v>
      </c>
      <c r="M962" s="14">
        <v>0.72</v>
      </c>
      <c r="N962" s="7">
        <f t="shared" ref="N962:N1025" si="31">M962 * H962</f>
        <v>51840</v>
      </c>
    </row>
    <row r="963" spans="1:14" x14ac:dyDescent="0.2">
      <c r="A963" s="2" t="s">
        <v>971</v>
      </c>
      <c r="B963" s="2" t="s">
        <v>50</v>
      </c>
      <c r="C963" s="2" t="s">
        <v>46</v>
      </c>
      <c r="D963" s="2">
        <v>1030525</v>
      </c>
      <c r="E963" s="2" t="s">
        <v>378</v>
      </c>
      <c r="F963" s="2" t="s">
        <v>63</v>
      </c>
      <c r="G963" s="2" t="s">
        <v>377</v>
      </c>
      <c r="H963" s="7">
        <v>72000</v>
      </c>
      <c r="I963">
        <v>25</v>
      </c>
      <c r="J963">
        <v>27</v>
      </c>
      <c r="K963" s="14">
        <v>0.6</v>
      </c>
      <c r="L963" s="7">
        <f t="shared" si="30"/>
        <v>43200</v>
      </c>
      <c r="M963" s="14">
        <v>0.72</v>
      </c>
      <c r="N963" s="7">
        <f t="shared" si="31"/>
        <v>51840</v>
      </c>
    </row>
    <row r="964" spans="1:14" x14ac:dyDescent="0.2">
      <c r="A964" s="2" t="s">
        <v>971</v>
      </c>
      <c r="B964" s="2" t="s">
        <v>50</v>
      </c>
      <c r="C964" s="2" t="s">
        <v>46</v>
      </c>
      <c r="D964" s="2">
        <v>1030566</v>
      </c>
      <c r="E964" s="2" t="s">
        <v>898</v>
      </c>
      <c r="F964" s="2" t="s">
        <v>63</v>
      </c>
      <c r="G964" s="2" t="s">
        <v>439</v>
      </c>
      <c r="H964" s="7">
        <v>0</v>
      </c>
      <c r="I964">
        <v>25</v>
      </c>
      <c r="J964">
        <v>27</v>
      </c>
      <c r="K964" s="14">
        <v>0.6</v>
      </c>
      <c r="L964" s="7">
        <f t="shared" si="30"/>
        <v>0</v>
      </c>
      <c r="M964" s="14">
        <v>0.72</v>
      </c>
      <c r="N964" s="7">
        <f t="shared" si="31"/>
        <v>0</v>
      </c>
    </row>
    <row r="965" spans="1:14" x14ac:dyDescent="0.2">
      <c r="A965" s="2" t="s">
        <v>971</v>
      </c>
      <c r="B965" s="2" t="s">
        <v>50</v>
      </c>
      <c r="C965" s="2" t="s">
        <v>46</v>
      </c>
      <c r="D965" s="2">
        <v>1030683</v>
      </c>
      <c r="E965" s="2" t="s">
        <v>380</v>
      </c>
      <c r="F965" s="2" t="s">
        <v>214</v>
      </c>
      <c r="G965" s="2" t="s">
        <v>379</v>
      </c>
      <c r="H965" s="7">
        <v>141705</v>
      </c>
      <c r="I965">
        <v>25</v>
      </c>
      <c r="J965">
        <v>27</v>
      </c>
      <c r="K965" s="14">
        <v>0.6</v>
      </c>
      <c r="L965" s="7">
        <f t="shared" si="30"/>
        <v>85023</v>
      </c>
      <c r="M965" s="14">
        <v>0.72</v>
      </c>
      <c r="N965" s="7">
        <f t="shared" si="31"/>
        <v>102027.59999999999</v>
      </c>
    </row>
    <row r="966" spans="1:14" x14ac:dyDescent="0.2">
      <c r="A966" s="2" t="s">
        <v>971</v>
      </c>
      <c r="B966" s="2" t="s">
        <v>50</v>
      </c>
      <c r="C966" s="2" t="s">
        <v>46</v>
      </c>
      <c r="D966" s="2">
        <v>1030685</v>
      </c>
      <c r="E966" s="2" t="s">
        <v>899</v>
      </c>
      <c r="F966" s="2" t="s">
        <v>63</v>
      </c>
      <c r="G966" s="2" t="s">
        <v>413</v>
      </c>
      <c r="H966" s="7">
        <v>0</v>
      </c>
      <c r="I966">
        <v>25</v>
      </c>
      <c r="J966">
        <v>27</v>
      </c>
      <c r="K966" s="14">
        <v>0.6</v>
      </c>
      <c r="L966" s="7">
        <f t="shared" si="30"/>
        <v>0</v>
      </c>
      <c r="M966" s="14">
        <v>0.72</v>
      </c>
      <c r="N966" s="7">
        <f t="shared" si="31"/>
        <v>0</v>
      </c>
    </row>
    <row r="967" spans="1:14" x14ac:dyDescent="0.2">
      <c r="A967" s="2" t="s">
        <v>971</v>
      </c>
      <c r="B967" s="2" t="s">
        <v>50</v>
      </c>
      <c r="C967" s="2" t="s">
        <v>46</v>
      </c>
      <c r="D967" s="2">
        <v>1030686</v>
      </c>
      <c r="E967" s="2" t="s">
        <v>382</v>
      </c>
      <c r="F967" s="2" t="s">
        <v>54</v>
      </c>
      <c r="G967" s="2" t="s">
        <v>381</v>
      </c>
      <c r="H967" s="7">
        <v>0</v>
      </c>
      <c r="I967">
        <v>25</v>
      </c>
      <c r="J967">
        <v>27</v>
      </c>
      <c r="K967" s="14">
        <v>0.6</v>
      </c>
      <c r="L967" s="7">
        <f t="shared" si="30"/>
        <v>0</v>
      </c>
      <c r="M967" s="14">
        <v>0.72</v>
      </c>
      <c r="N967" s="7">
        <f t="shared" si="31"/>
        <v>0</v>
      </c>
    </row>
    <row r="968" spans="1:14" x14ac:dyDescent="0.2">
      <c r="A968" s="2" t="s">
        <v>971</v>
      </c>
      <c r="B968" s="2" t="s">
        <v>50</v>
      </c>
      <c r="C968" s="2" t="s">
        <v>46</v>
      </c>
      <c r="D968" s="2">
        <v>1030791</v>
      </c>
      <c r="E968" s="2" t="s">
        <v>213</v>
      </c>
      <c r="F968" s="2" t="s">
        <v>214</v>
      </c>
      <c r="G968" s="2" t="s">
        <v>212</v>
      </c>
      <c r="H968" s="7">
        <v>4770</v>
      </c>
      <c r="I968">
        <v>25</v>
      </c>
      <c r="J968">
        <v>27</v>
      </c>
      <c r="K968" s="14">
        <v>0.6</v>
      </c>
      <c r="L968" s="7">
        <f t="shared" si="30"/>
        <v>2862</v>
      </c>
      <c r="M968" s="14">
        <v>0.72</v>
      </c>
      <c r="N968" s="7">
        <f t="shared" si="31"/>
        <v>3434.4</v>
      </c>
    </row>
    <row r="969" spans="1:14" x14ac:dyDescent="0.2">
      <c r="A969" s="2" t="s">
        <v>971</v>
      </c>
      <c r="B969" s="2" t="s">
        <v>103</v>
      </c>
      <c r="C969" s="2" t="s">
        <v>52</v>
      </c>
      <c r="D969" s="2">
        <v>1100570</v>
      </c>
      <c r="E969" s="2" t="s">
        <v>105</v>
      </c>
      <c r="F969" s="2" t="s">
        <v>106</v>
      </c>
      <c r="G969" s="2" t="s">
        <v>104</v>
      </c>
      <c r="H969" s="7">
        <v>0</v>
      </c>
      <c r="I969">
        <v>25</v>
      </c>
      <c r="J969">
        <v>27</v>
      </c>
      <c r="K969" s="14">
        <v>0.6</v>
      </c>
      <c r="L969" s="7">
        <f t="shared" si="30"/>
        <v>0</v>
      </c>
      <c r="M969" s="14">
        <v>0.72</v>
      </c>
      <c r="N969" s="7">
        <f t="shared" si="31"/>
        <v>0</v>
      </c>
    </row>
    <row r="970" spans="1:14" x14ac:dyDescent="0.2">
      <c r="A970" s="2" t="s">
        <v>971</v>
      </c>
      <c r="B970" s="2" t="s">
        <v>103</v>
      </c>
      <c r="C970" s="2" t="s">
        <v>52</v>
      </c>
      <c r="D970" s="2">
        <v>1100572</v>
      </c>
      <c r="E970" s="2" t="s">
        <v>900</v>
      </c>
      <c r="F970" s="2" t="s">
        <v>106</v>
      </c>
      <c r="G970" s="2" t="s">
        <v>472</v>
      </c>
      <c r="H970" s="7">
        <v>0</v>
      </c>
      <c r="I970">
        <v>25</v>
      </c>
      <c r="J970">
        <v>27</v>
      </c>
      <c r="K970" s="14">
        <v>0.6</v>
      </c>
      <c r="L970" s="7">
        <f t="shared" si="30"/>
        <v>0</v>
      </c>
      <c r="M970" s="14">
        <v>0.72</v>
      </c>
      <c r="N970" s="7">
        <f t="shared" si="31"/>
        <v>0</v>
      </c>
    </row>
    <row r="971" spans="1:14" x14ac:dyDescent="0.2">
      <c r="A971" s="2" t="s">
        <v>971</v>
      </c>
      <c r="B971" s="2" t="s">
        <v>103</v>
      </c>
      <c r="C971" s="2" t="s">
        <v>52</v>
      </c>
      <c r="D971" s="2">
        <v>1100573</v>
      </c>
      <c r="E971" s="2" t="s">
        <v>136</v>
      </c>
      <c r="F971" s="2" t="s">
        <v>106</v>
      </c>
      <c r="G971" s="2" t="s">
        <v>135</v>
      </c>
      <c r="H971" s="7">
        <v>0</v>
      </c>
      <c r="I971">
        <v>25</v>
      </c>
      <c r="J971">
        <v>27</v>
      </c>
      <c r="K971" s="14">
        <v>0.6</v>
      </c>
      <c r="L971" s="7">
        <f t="shared" si="30"/>
        <v>0</v>
      </c>
      <c r="M971" s="14">
        <v>0.72</v>
      </c>
      <c r="N971" s="7">
        <f t="shared" si="31"/>
        <v>0</v>
      </c>
    </row>
    <row r="972" spans="1:14" x14ac:dyDescent="0.2">
      <c r="A972" s="2" t="s">
        <v>971</v>
      </c>
      <c r="B972" s="2" t="s">
        <v>103</v>
      </c>
      <c r="C972" s="2" t="s">
        <v>52</v>
      </c>
      <c r="D972" s="2">
        <v>1100574</v>
      </c>
      <c r="E972" s="2" t="s">
        <v>384</v>
      </c>
      <c r="F972" s="2" t="s">
        <v>106</v>
      </c>
      <c r="G972" s="2" t="s">
        <v>383</v>
      </c>
      <c r="H972" s="7">
        <v>16524</v>
      </c>
      <c r="I972">
        <v>25</v>
      </c>
      <c r="J972">
        <v>27</v>
      </c>
      <c r="K972" s="14">
        <v>0.6</v>
      </c>
      <c r="L972" s="7">
        <f t="shared" si="30"/>
        <v>9914.4</v>
      </c>
      <c r="M972" s="14">
        <v>0.72</v>
      </c>
      <c r="N972" s="7">
        <f t="shared" si="31"/>
        <v>11897.279999999999</v>
      </c>
    </row>
    <row r="973" spans="1:14" x14ac:dyDescent="0.2">
      <c r="A973" s="2" t="s">
        <v>971</v>
      </c>
      <c r="B973" s="2" t="s">
        <v>103</v>
      </c>
      <c r="C973" s="2" t="s">
        <v>52</v>
      </c>
      <c r="D973" s="2">
        <v>1100602</v>
      </c>
      <c r="E973" s="2" t="s">
        <v>108</v>
      </c>
      <c r="F973" s="2" t="s">
        <v>106</v>
      </c>
      <c r="G973" s="2" t="s">
        <v>107</v>
      </c>
      <c r="H973" s="7">
        <v>0</v>
      </c>
      <c r="I973">
        <v>25</v>
      </c>
      <c r="J973">
        <v>27</v>
      </c>
      <c r="K973" s="14">
        <v>0.6</v>
      </c>
      <c r="L973" s="7">
        <f t="shared" si="30"/>
        <v>0</v>
      </c>
      <c r="M973" s="14">
        <v>0.72</v>
      </c>
      <c r="N973" s="7">
        <f t="shared" si="3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Rango proyecciones</vt:lpstr>
      <vt:lpstr>Stock - Oficina</vt:lpstr>
      <vt:lpstr>Stock - ETA</vt:lpstr>
      <vt:lpstr>Stock - Puerto Chile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</cp:lastModifiedBy>
  <dcterms:created xsi:type="dcterms:W3CDTF">2023-03-03T22:35:00Z</dcterms:created>
  <dcterms:modified xsi:type="dcterms:W3CDTF">2023-03-07T00:59:36Z</dcterms:modified>
</cp:coreProperties>
</file>