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tables/table1.xml" ContentType="application/vnd.openxmlformats-officedocument.spreadsheetml.table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otogo\Desktop\S&amp;OP\Plan de ventas\Octubre\Colaboración\"/>
    </mc:Choice>
  </mc:AlternateContent>
  <xr:revisionPtr revIDLastSave="0" documentId="13_ncr:1_{B1B8624A-CB24-4086-8B2A-B0B3F39F6404}" xr6:coauthVersionLast="47" xr6:coauthVersionMax="47" xr10:uidLastSave="{00000000-0000-0000-0000-000000000000}"/>
  <bookViews>
    <workbookView xWindow="-110" yWindow="-110" windowWidth="19420" windowHeight="10300" xr2:uid="{D5CB2B4A-FA37-4553-8465-9B8F693EFA38}"/>
  </bookViews>
  <sheets>
    <sheet name="Ultima fecha de Zarpe " sheetId="2" r:id="rId1"/>
    <sheet name="Ponderación" sheetId="4" r:id="rId2"/>
    <sheet name="Datos Faena y Días (2)" sheetId="5" r:id="rId3"/>
  </sheets>
  <externalReferences>
    <externalReference r:id="rId4"/>
  </externalReferences>
  <definedNames>
    <definedName name="____zc47" localSheetId="2">#REF!</definedName>
    <definedName name="____zc47" localSheetId="1">#REF!</definedName>
    <definedName name="____zc47">#REF!</definedName>
    <definedName name="___zc47" localSheetId="2">#REF!</definedName>
    <definedName name="___zc47" localSheetId="1">#REF!</definedName>
    <definedName name="___zc47">#REF!</definedName>
    <definedName name="_xlnm._FilterDatabase" localSheetId="1" hidden="1">Ponderación!$A$2:$I$22</definedName>
    <definedName name="Cerdos_Q0_LM" localSheetId="2">'Datos Faena y Días (2)'!$B$29</definedName>
    <definedName name="Cerdos_Q0_LM" localSheetId="1">'[1]Datos Faena y Días'!#REF!</definedName>
    <definedName name="Cerdos_Q0_LM">#REF!</definedName>
    <definedName name="Cerdos_Q0_RS" localSheetId="2">'Datos Faena y Días (2)'!$B$28</definedName>
    <definedName name="Cerdos_Q0_RS" localSheetId="1">'[1]Datos Faena y Días'!#REF!</definedName>
    <definedName name="Cerdos_Q0_RS">#REF!</definedName>
    <definedName name="Cerdos_Q1_LM" localSheetId="2">'Datos Faena y Días (2)'!$C$29</definedName>
    <definedName name="Cerdos_Q1_LM" localSheetId="1">'[1]Datos Faena y Días'!#REF!</definedName>
    <definedName name="Cerdos_Q1_LM">#REF!</definedName>
    <definedName name="Cerdos_Q1_RS" localSheetId="2">'Datos Faena y Días (2)'!$C$28</definedName>
    <definedName name="Cerdos_Q1_RS" localSheetId="1">'[1]Datos Faena y Días'!#REF!</definedName>
    <definedName name="Cerdos_Q1_RS">#REF!</definedName>
    <definedName name="Cerdos_Q2_LM" localSheetId="2">'Datos Faena y Días (2)'!$D$29</definedName>
    <definedName name="Cerdos_Q2_LM" localSheetId="1">'[1]Datos Faena y Días'!#REF!</definedName>
    <definedName name="Cerdos_Q2_LM">#REF!</definedName>
    <definedName name="Cerdos_Q2_RS" localSheetId="2">'Datos Faena y Días (2)'!$D$28</definedName>
    <definedName name="Cerdos_Q2_RS" localSheetId="1">'[1]Datos Faena y Días'!#REF!</definedName>
    <definedName name="Cerdos_Q2_RS">#REF!</definedName>
    <definedName name="Cerdos_Q3_LM" localSheetId="2">'Datos Faena y Días (2)'!$E$29</definedName>
    <definedName name="Cerdos_Q3_LM" localSheetId="1">'[1]Datos Faena y Días'!#REF!</definedName>
    <definedName name="Cerdos_Q3_LM">#REF!</definedName>
    <definedName name="Cerdos_Q3_RS" localSheetId="2">'Datos Faena y Días (2)'!$E$28</definedName>
    <definedName name="Cerdos_Q3_RS" localSheetId="1">'[1]Datos Faena y Días'!#REF!</definedName>
    <definedName name="Cerdos_Q3_RS">#REF!</definedName>
    <definedName name="Días_Q0" localSheetId="2">'Datos Faena y Días (2)'!$B$23</definedName>
    <definedName name="Días_Q0" localSheetId="1">'[1]Datos Faena y Días'!#REF!</definedName>
    <definedName name="Días_Q0">#REF!</definedName>
    <definedName name="Días_Q1" localSheetId="2">'Datos Faena y Días (2)'!$B$23</definedName>
    <definedName name="Días_Q1" localSheetId="1">'[1]Datos Faena y Días'!#REF!</definedName>
    <definedName name="Días_Q1">#REF!</definedName>
    <definedName name="Días_Q2" localSheetId="2">'Datos Faena y Días (2)'!$C$23</definedName>
    <definedName name="Días_Q2" localSheetId="1">'[1]Datos Faena y Días'!#REF!</definedName>
    <definedName name="Días_Q2">#REF!</definedName>
    <definedName name="Días_Q3" localSheetId="2">'Datos Faena y Días (2)'!$D$23</definedName>
    <definedName name="Días_Q3" localSheetId="1">'[1]Datos Faena y Días'!#REF!</definedName>
    <definedName name="Días_Q3">#REF!</definedName>
    <definedName name="Días_Q4" localSheetId="2">'Datos Faena y Días (2)'!$E$23</definedName>
    <definedName name="Días_Q4" localSheetId="1">'[1]Datos Faena y Días'!#REF!</definedName>
    <definedName name="Días_Q4">#REF!</definedName>
    <definedName name="Mercado" localSheetId="2">#REF!</definedName>
    <definedName name="Mercado" localSheetId="1">#REF!</definedName>
    <definedName name="Mercado">#REF!</definedName>
    <definedName name="SAPBEXrevision" hidden="1">1</definedName>
    <definedName name="SAPBEXsysID" hidden="1">"BWP"</definedName>
    <definedName name="SAPBEXwbID" hidden="1">"44PSOKWWX6L8ON210F3H13MF8"</definedName>
    <definedName name="SOP_Planning_Scope">" "</definedName>
    <definedName name="TipoCliente" localSheetId="2">#REF!</definedName>
    <definedName name="TipoCliente" localSheetId="1">#REF!</definedName>
    <definedName name="TipoClient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4" l="1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J4" i="4"/>
  <c r="BE68" i="5"/>
  <c r="BE69" i="5" s="1"/>
  <c r="BE63" i="5"/>
  <c r="BE64" i="5" s="1"/>
  <c r="BE58" i="5"/>
  <c r="BE59" i="5" s="1"/>
  <c r="BE53" i="5"/>
  <c r="BE54" i="5" s="1"/>
  <c r="BE49" i="5"/>
  <c r="BE50" i="5" s="1"/>
  <c r="BE41" i="5"/>
  <c r="BE42" i="5" s="1"/>
  <c r="BE67" i="5"/>
  <c r="BE62" i="5"/>
  <c r="BE57" i="5"/>
  <c r="BE52" i="5"/>
  <c r="BE48" i="5"/>
  <c r="BE46" i="5"/>
  <c r="BE45" i="5"/>
  <c r="BE44" i="5"/>
  <c r="BE40" i="5"/>
  <c r="BA32" i="5"/>
  <c r="AU45" i="5"/>
  <c r="AU41" i="5"/>
  <c r="AU63" i="5"/>
  <c r="AU58" i="5"/>
  <c r="AU68" i="5"/>
  <c r="AU69" i="5" s="1"/>
  <c r="AU53" i="5"/>
  <c r="AU49" i="5"/>
  <c r="AU67" i="5"/>
  <c r="AU62" i="5"/>
  <c r="AU57" i="5"/>
  <c r="AU52" i="5"/>
  <c r="AU48" i="5"/>
  <c r="AU44" i="5"/>
  <c r="AU40" i="5"/>
  <c r="AK68" i="5"/>
  <c r="AA68" i="5"/>
  <c r="AA69" i="5" s="1"/>
  <c r="AK67" i="5"/>
  <c r="AA67" i="5"/>
  <c r="AK63" i="5"/>
  <c r="AA63" i="5"/>
  <c r="AK62" i="5"/>
  <c r="AA62" i="5"/>
  <c r="AK58" i="5"/>
  <c r="AK59" i="5" s="1"/>
  <c r="AA58" i="5"/>
  <c r="AK57" i="5"/>
  <c r="AA57" i="5"/>
  <c r="AA59" i="5" s="1"/>
  <c r="AK53" i="5"/>
  <c r="AA53" i="5"/>
  <c r="AA54" i="5" s="1"/>
  <c r="AK52" i="5"/>
  <c r="AA52" i="5"/>
  <c r="AK49" i="5"/>
  <c r="AK50" i="5" s="1"/>
  <c r="AA49" i="5"/>
  <c r="AK48" i="5"/>
  <c r="AA48" i="5"/>
  <c r="AK45" i="5"/>
  <c r="AA45" i="5"/>
  <c r="AA46" i="5" s="1"/>
  <c r="AK44" i="5"/>
  <c r="AA44" i="5"/>
  <c r="AK41" i="5"/>
  <c r="AA41" i="5"/>
  <c r="AK40" i="5"/>
  <c r="AA40" i="5"/>
  <c r="C20" i="5"/>
  <c r="C30" i="5" s="1"/>
  <c r="B20" i="5"/>
  <c r="C13" i="5"/>
  <c r="C14" i="5" s="1"/>
  <c r="E9" i="5"/>
  <c r="F9" i="5" s="1"/>
  <c r="F8" i="5"/>
  <c r="E8" i="5"/>
  <c r="D8" i="5"/>
  <c r="D6" i="5" s="1"/>
  <c r="C8" i="5"/>
  <c r="F7" i="5"/>
  <c r="E7" i="5"/>
  <c r="D7" i="5"/>
  <c r="C7" i="5"/>
  <c r="C6" i="5" s="1"/>
  <c r="A22" i="4"/>
  <c r="A21" i="4"/>
  <c r="A20" i="4"/>
  <c r="A19" i="4"/>
  <c r="G18" i="4"/>
  <c r="A18" i="4"/>
  <c r="A17" i="4"/>
  <c r="A16" i="4"/>
  <c r="A15" i="4"/>
  <c r="G14" i="4"/>
  <c r="G20" i="4" s="1"/>
  <c r="A14" i="4"/>
  <c r="G13" i="4"/>
  <c r="G19" i="4" s="1"/>
  <c r="A13" i="4"/>
  <c r="A12" i="4"/>
  <c r="G11" i="4"/>
  <c r="G17" i="4" s="1"/>
  <c r="A11" i="4"/>
  <c r="G10" i="4"/>
  <c r="G16" i="4" s="1"/>
  <c r="A10" i="4"/>
  <c r="G9" i="4"/>
  <c r="G15" i="4" s="1"/>
  <c r="A9" i="4"/>
  <c r="G8" i="4"/>
  <c r="E8" i="4"/>
  <c r="D8" i="4"/>
  <c r="A8" i="4"/>
  <c r="G7" i="4"/>
  <c r="E7" i="4"/>
  <c r="F7" i="4" s="1"/>
  <c r="D7" i="4"/>
  <c r="A7" i="4"/>
  <c r="G6" i="4"/>
  <c r="E6" i="4"/>
  <c r="F6" i="4" s="1"/>
  <c r="D6" i="4"/>
  <c r="A6" i="4"/>
  <c r="G5" i="4"/>
  <c r="E5" i="4"/>
  <c r="F5" i="4" s="1"/>
  <c r="D5" i="4"/>
  <c r="A5" i="4"/>
  <c r="G4" i="4"/>
  <c r="F4" i="4"/>
  <c r="E4" i="4"/>
  <c r="D4" i="4"/>
  <c r="A4" i="4"/>
  <c r="G3" i="4"/>
  <c r="E3" i="4"/>
  <c r="F3" i="4" s="1"/>
  <c r="D3" i="4"/>
  <c r="A3" i="4"/>
  <c r="AU50" i="5" l="1"/>
  <c r="AU54" i="5"/>
  <c r="AK46" i="5"/>
  <c r="AU59" i="5"/>
  <c r="AU64" i="5"/>
  <c r="AU42" i="5"/>
  <c r="AU46" i="5"/>
  <c r="AK64" i="5"/>
  <c r="AA42" i="5"/>
  <c r="AA64" i="5"/>
  <c r="C5" i="5"/>
  <c r="E12" i="5" s="1"/>
  <c r="F6" i="5"/>
  <c r="AK42" i="5"/>
  <c r="AK69" i="5"/>
  <c r="E6" i="5"/>
  <c r="AA50" i="5"/>
  <c r="AK54" i="5"/>
  <c r="C29" i="5"/>
  <c r="C28" i="5"/>
  <c r="B21" i="5"/>
  <c r="B22" i="5" s="1"/>
  <c r="B23" i="5" s="1"/>
  <c r="C21" i="5"/>
  <c r="D20" i="5" s="1"/>
  <c r="D21" i="5" s="1"/>
  <c r="C22" i="5"/>
  <c r="C31" i="5"/>
  <c r="K12" i="5" s="1"/>
  <c r="J19" i="5" l="1"/>
  <c r="C32" i="5"/>
  <c r="F12" i="5" s="1"/>
  <c r="C23" i="5"/>
  <c r="J22" i="5"/>
  <c r="D31" i="5"/>
  <c r="E20" i="5"/>
  <c r="D22" i="5"/>
  <c r="D28" i="5"/>
  <c r="D29" i="5"/>
  <c r="D30" i="5"/>
  <c r="C24" i="5" l="1"/>
  <c r="D23" i="5"/>
  <c r="J23" i="5"/>
  <c r="C15" i="5"/>
  <c r="E22" i="5"/>
  <c r="E21" i="5"/>
  <c r="F20" i="5" s="1"/>
  <c r="F21" i="5" s="1"/>
  <c r="E28" i="5"/>
  <c r="E29" i="5"/>
  <c r="E30" i="5"/>
  <c r="D5" i="5"/>
  <c r="AQ32" i="5" s="1"/>
  <c r="E31" i="5"/>
  <c r="D32" i="5"/>
  <c r="D24" i="5" s="1"/>
  <c r="K13" i="5" l="1"/>
  <c r="G20" i="5"/>
  <c r="F22" i="5"/>
  <c r="F28" i="5"/>
  <c r="F29" i="5"/>
  <c r="F30" i="5"/>
  <c r="F31" i="5"/>
  <c r="E23" i="5"/>
  <c r="K23" i="5" s="1"/>
  <c r="K19" i="5"/>
  <c r="AG32" i="5"/>
  <c r="W32" i="5"/>
  <c r="E13" i="5"/>
  <c r="K22" i="5"/>
  <c r="E32" i="5"/>
  <c r="E24" i="5" s="1"/>
  <c r="F13" i="5" l="1"/>
  <c r="F32" i="5"/>
  <c r="F24" i="5" s="1"/>
  <c r="F23" i="5"/>
  <c r="G22" i="5"/>
  <c r="G21" i="5"/>
  <c r="H20" i="5" s="1"/>
  <c r="H21" i="5" s="1"/>
  <c r="G28" i="5"/>
  <c r="G29" i="5"/>
  <c r="G30" i="5"/>
  <c r="G31" i="5"/>
  <c r="E5" i="5"/>
  <c r="K14" i="5" l="1"/>
  <c r="G23" i="5"/>
  <c r="L23" i="5" s="1"/>
  <c r="G32" i="5"/>
  <c r="F14" i="5" s="1"/>
  <c r="E14" i="5"/>
  <c r="L19" i="5"/>
  <c r="L22" i="5"/>
  <c r="H28" i="5"/>
  <c r="H29" i="5"/>
  <c r="H30" i="5"/>
  <c r="H31" i="5"/>
  <c r="I20" i="5"/>
  <c r="H22" i="5"/>
  <c r="H23" i="5" l="1"/>
  <c r="G24" i="5"/>
  <c r="I28" i="5"/>
  <c r="I29" i="5"/>
  <c r="I30" i="5"/>
  <c r="I31" i="5"/>
  <c r="I22" i="5"/>
  <c r="M22" i="5" s="1"/>
  <c r="I21" i="5"/>
  <c r="F5" i="5"/>
  <c r="H32" i="5"/>
  <c r="H24" i="5" s="1"/>
  <c r="K15" i="5" l="1"/>
  <c r="E15" i="5"/>
  <c r="M19" i="5"/>
  <c r="I32" i="5"/>
  <c r="I24" i="5" s="1"/>
  <c r="F15" i="5"/>
  <c r="I23" i="5"/>
  <c r="M2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Haleby Villanueva, Christopher Paul</author>
    <author>Joaquín Barceló</author>
  </authors>
  <commentList>
    <comment ref="Q4" authorId="0" shapeId="0" xr:uid="{272758CB-93C7-4663-8AF3-14A5BFE6400C}">
      <text>
        <r>
          <rPr>
            <b/>
            <sz val="9"/>
            <color indexed="81"/>
            <rFont val="Tahoma"/>
            <family val="2"/>
          </rPr>
          <t>Haleby Villanueva, Christopher Paul:</t>
        </r>
        <r>
          <rPr>
            <sz val="9"/>
            <color indexed="81"/>
            <rFont val="Tahoma"/>
            <family val="2"/>
          </rPr>
          <t xml:space="preserve">
Ajustar al dia de mayor faena
</t>
        </r>
      </text>
    </comment>
    <comment ref="AT4" authorId="0" shapeId="0" xr:uid="{00FAAEC0-295A-401C-A028-AC8A4145B3A2}">
      <text>
        <r>
          <rPr>
            <b/>
            <sz val="9"/>
            <color indexed="81"/>
            <rFont val="Tahoma"/>
            <family val="2"/>
          </rPr>
          <t>Haleby Villanueva, Christopher Paul:</t>
        </r>
        <r>
          <rPr>
            <sz val="9"/>
            <color indexed="81"/>
            <rFont val="Tahoma"/>
            <family val="2"/>
          </rPr>
          <t xml:space="preserve">
Ajustar al dia de mayor faena
</t>
        </r>
      </text>
    </comment>
    <comment ref="BD4" authorId="0" shapeId="0" xr:uid="{4120A1BA-0EF7-46C8-B1DC-F883CE1F587B}">
      <text>
        <r>
          <rPr>
            <b/>
            <sz val="9"/>
            <color indexed="81"/>
            <rFont val="Tahoma"/>
            <family val="2"/>
          </rPr>
          <t>Haleby Villanueva, Christopher Paul:</t>
        </r>
        <r>
          <rPr>
            <sz val="9"/>
            <color indexed="81"/>
            <rFont val="Tahoma"/>
            <family val="2"/>
          </rPr>
          <t xml:space="preserve">
Ajustar al dia de mayor faena
</t>
        </r>
      </text>
    </comment>
    <comment ref="C9" authorId="0" shapeId="0" xr:uid="{F6978070-18CB-41C6-B687-C214D293B010}">
      <text>
        <r>
          <rPr>
            <sz val="9"/>
            <color indexed="81"/>
            <rFont val="Tahoma"/>
            <family val="2"/>
          </rPr>
          <t xml:space="preserve">Dólar Obs ultimo dia </t>
        </r>
      </text>
    </comment>
    <comment ref="K11" authorId="1" shapeId="0" xr:uid="{8C37D790-B51A-4090-B80B-205BC63E48B3}">
      <text>
        <r>
          <rPr>
            <b/>
            <sz val="9"/>
            <color indexed="81"/>
            <rFont val="Tahoma"/>
            <family val="2"/>
          </rPr>
          <t>Joaquín Barceló:</t>
        </r>
        <r>
          <rPr>
            <sz val="9"/>
            <color indexed="81"/>
            <rFont val="Tahoma"/>
            <family val="2"/>
          </rPr>
          <t xml:space="preserve">
Corresponde a COM y MAX combinados. En el modelo se trata como una sola planta: OTRA_PLANTA</t>
        </r>
      </text>
    </comment>
    <comment ref="C12" authorId="1" shapeId="0" xr:uid="{BB62432A-B9B7-4747-BEBC-98B12AA194C3}">
      <text>
        <r>
          <rPr>
            <b/>
            <sz val="9"/>
            <color indexed="81"/>
            <rFont val="Tahoma"/>
            <family val="2"/>
          </rPr>
          <t>Joaquín Barceló:</t>
        </r>
        <r>
          <rPr>
            <sz val="9"/>
            <color indexed="81"/>
            <rFont val="Tahoma"/>
            <family val="2"/>
          </rPr>
          <t xml:space="preserve">
Es el dia de inicio del stockIn
</t>
        </r>
      </text>
    </comment>
  </commentList>
</comments>
</file>

<file path=xl/sharedStrings.xml><?xml version="1.0" encoding="utf-8"?>
<sst xmlns="http://schemas.openxmlformats.org/spreadsheetml/2006/main" count="406" uniqueCount="94">
  <si>
    <t>Mes</t>
  </si>
  <si>
    <t>Oficina</t>
  </si>
  <si>
    <t>Item</t>
  </si>
  <si>
    <t xml:space="preserve">Fecha Plan </t>
  </si>
  <si>
    <t xml:space="preserve"> OBS</t>
  </si>
  <si>
    <t>Junio</t>
  </si>
  <si>
    <t>Agrosuper Asia</t>
  </si>
  <si>
    <t>Fecha zarpe ultima nave</t>
  </si>
  <si>
    <t>Fecha Stacking</t>
  </si>
  <si>
    <t>Agrosuper Shanghai</t>
  </si>
  <si>
    <t>Agro Sudamerica</t>
  </si>
  <si>
    <t>Julio</t>
  </si>
  <si>
    <t>Todo A Asia excepto cebu</t>
  </si>
  <si>
    <t>Todo China excepto Qingdao</t>
  </si>
  <si>
    <t>Agosto</t>
  </si>
  <si>
    <t>Solo Busan</t>
  </si>
  <si>
    <t>Solo Shanghai - Tianjin - Qingdao - Dalian</t>
  </si>
  <si>
    <t>Solo Colombia</t>
  </si>
  <si>
    <t xml:space="preserve">Agro Mexico </t>
  </si>
  <si>
    <t>Septiembre</t>
  </si>
  <si>
    <t>Solo Busan y Manila // Ultima nave con zarpe "esperado" 29-09 pero con atraso historico de 3 dias</t>
  </si>
  <si>
    <t>Solo Shanghai y Qingdao // Ultima nave con zarpe "esperado" 29-09 pero con atraso historico de 3 dia9</t>
  </si>
  <si>
    <t>Todo destino menos Guayaquil //  Ultima nave con zarpe "esperado" 30-09 tendencia a atraso un dia, solo con marejadas</t>
  </si>
  <si>
    <t>Capacidad restringida // // Ultima nave con zarpe "esperado" 29-09 pero con atraso historico de 3 dias</t>
  </si>
  <si>
    <t>Octubre</t>
  </si>
  <si>
    <t>Noviembre</t>
  </si>
  <si>
    <t>Fecha</t>
  </si>
  <si>
    <t>Faena</t>
  </si>
  <si>
    <t>Dia</t>
  </si>
  <si>
    <t>FLM</t>
  </si>
  <si>
    <t>FRO</t>
  </si>
  <si>
    <t>COM</t>
  </si>
  <si>
    <t>MA</t>
  </si>
  <si>
    <t>Producción (China / Corea)</t>
  </si>
  <si>
    <t>Consolidación (China / Corea)</t>
  </si>
  <si>
    <t>Congelado (China / Corea)</t>
  </si>
  <si>
    <t>Congelado (SUD)</t>
  </si>
  <si>
    <t>Stacking SUD</t>
  </si>
  <si>
    <t>Stacking (China / Corea)</t>
  </si>
  <si>
    <t>Corte Brasil</t>
  </si>
  <si>
    <t>Zarpe SUD</t>
  </si>
  <si>
    <t>Zarpe (China / Corea)</t>
  </si>
  <si>
    <t>Estándar Mes</t>
  </si>
  <si>
    <t>Total dias</t>
  </si>
  <si>
    <t>Corte de producción otros mercados</t>
  </si>
  <si>
    <t>Nippon</t>
  </si>
  <si>
    <t>Shangai Planta</t>
  </si>
  <si>
    <t>Shangai Externo</t>
  </si>
  <si>
    <t>SUD</t>
  </si>
  <si>
    <t>Brasil</t>
  </si>
  <si>
    <t>Mexico</t>
  </si>
  <si>
    <t>Exportacion Directa</t>
  </si>
  <si>
    <t>Agrosuper Brasil</t>
  </si>
  <si>
    <t>Agro Mexico</t>
  </si>
  <si>
    <t>Cerdo</t>
  </si>
  <si>
    <t>Pollo</t>
  </si>
  <si>
    <t>Pavo</t>
  </si>
  <si>
    <t>Elaborado</t>
  </si>
  <si>
    <t>Faena diaria</t>
  </si>
  <si>
    <t>Dias</t>
  </si>
  <si>
    <t>Cerdos mes</t>
  </si>
  <si>
    <t>Dólar</t>
  </si>
  <si>
    <t>LM</t>
  </si>
  <si>
    <t>RS</t>
  </si>
  <si>
    <t>MAX</t>
  </si>
  <si>
    <t>OTRA_PLANTA</t>
  </si>
  <si>
    <t>Fecha Archivo</t>
  </si>
  <si>
    <t>Mes Actual</t>
  </si>
  <si>
    <t>Producción (SUD)</t>
  </si>
  <si>
    <t>Mes RV</t>
  </si>
  <si>
    <t>Factor Demanda</t>
  </si>
  <si>
    <t>Datos Quincenales</t>
  </si>
  <si>
    <t>Producción  SUD</t>
  </si>
  <si>
    <t>Quincenas</t>
  </si>
  <si>
    <t>Comprobación</t>
  </si>
  <si>
    <t>Q1</t>
  </si>
  <si>
    <t>Q2</t>
  </si>
  <si>
    <t>Q3</t>
  </si>
  <si>
    <t>Q4</t>
  </si>
  <si>
    <t>Q5</t>
  </si>
  <si>
    <t>Q6</t>
  </si>
  <si>
    <t>Q7</t>
  </si>
  <si>
    <t>Q8</t>
  </si>
  <si>
    <t>Fecha Inicio</t>
  </si>
  <si>
    <t>Fecha Término</t>
  </si>
  <si>
    <t>Cerdos Faena</t>
  </si>
  <si>
    <t>Días</t>
  </si>
  <si>
    <t>Stacking</t>
  </si>
  <si>
    <t>Cerdos Procesados Por Planta</t>
  </si>
  <si>
    <t>Total</t>
  </si>
  <si>
    <t>Zarpe (China / Corea / Mexico)</t>
  </si>
  <si>
    <t>Stacking (China / Corea / Mexico)</t>
  </si>
  <si>
    <t>llave</t>
  </si>
  <si>
    <t>Secot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</si>
</sst>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* #,##0_);_(* \(#,##0\);_(* &quot;-&quot;_);_(@_)"/>
    <numFmt numFmtId="165" formatCode="_-* #,##0.00_-;\-* #,##0.00_-;_-* &quot;-&quot;??_-;_-@_-"/>
    <numFmt numFmtId="166" formatCode="[$USD]\ #,##0.00"/>
    <numFmt numFmtId="167" formatCode="ddd\ dd\-mmm\-yy"/>
    <numFmt numFmtId="168" formatCode="ddd\ dd/mmm/yy"/>
    <numFmt numFmtId="169" formatCode="_-* #,##0_-;\-* #,##0_-;_-* &quot;-&quot;??_-;_-@_-"/>
    <numFmt numFmtId="170" formatCode="_(* #,##0.0_);_(* \(#,##0.0\);_(* &quot;-&quot;_);_(@_)"/>
    <numFmt numFmtId="171" formatCode="0.0"/>
    <numFmt numFmtId="172" formatCode="_(* #,##0.00_);_(* \(#,##0.00\);_(* &quot;-&quot;_);_(@_)"/>
    <numFmt numFmtId="173" formatCode="0.0%"/>
    <numFmt numFmtId="174" formatCode="mmm"/>
    <numFmt numFmtId="175" formatCode="_-&quot;$&quot;\ * #,##0.00_-;\-&quot;$&quot;\ * #,##0.00_-;_-&quot;$&quot;\ * &quot;-&quot;??_-;_-@_-"/>
    <numFmt numFmtId="176" formatCode="#,##0_ ;\-#,##0\ 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Trebuchet MS"/>
      <family val="2"/>
    </font>
    <font>
      <b/>
      <sz val="10"/>
      <color theme="0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164" fontId="3" fillId="0" borderId="0" applyFont="0" applyFill="0" applyBorder="0" applyAlignment="0" applyProtection="0"/>
    <xf numFmtId="0" fontId="2" fillId="2" borderId="0" applyNumberFormat="0" applyBorder="0" applyAlignment="0" applyProtection="0"/>
    <xf numFmtId="166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1" fillId="0" borderId="0" applyFont="0" applyFill="0" applyBorder="0" applyAlignment="0" applyProtection="0"/>
  </cellStyleXfs>
  <cellXfs count="115">
    <xf numFmtId="0" fontId="0" fillId="0" borderId="0" xfId="0"/>
    <xf numFmtId="0" fontId="3" fillId="0" borderId="0" xfId="0" applyFont="1"/>
    <xf numFmtId="167" fontId="4" fillId="3" borderId="1" xfId="3" applyNumberFormat="1" applyFont="1" applyFill="1" applyBorder="1"/>
    <xf numFmtId="167" fontId="5" fillId="3" borderId="1" xfId="2" applyNumberFormat="1" applyFont="1" applyFill="1" applyBorder="1"/>
    <xf numFmtId="1" fontId="6" fillId="3" borderId="2" xfId="0" applyNumberFormat="1" applyFont="1" applyFill="1" applyBorder="1" applyAlignment="1">
      <alignment horizontal="center"/>
    </xf>
    <xf numFmtId="1" fontId="6" fillId="3" borderId="3" xfId="0" applyNumberFormat="1" applyFont="1" applyFill="1" applyBorder="1" applyAlignment="1">
      <alignment horizontal="center"/>
    </xf>
    <xf numFmtId="168" fontId="5" fillId="0" borderId="4" xfId="3" applyNumberFormat="1" applyFont="1" applyBorder="1"/>
    <xf numFmtId="169" fontId="5" fillId="0" borderId="1" xfId="5" applyNumberFormat="1" applyFont="1" applyBorder="1"/>
    <xf numFmtId="41" fontId="0" fillId="0" borderId="1" xfId="1" applyNumberFormat="1" applyFont="1" applyBorder="1"/>
    <xf numFmtId="0" fontId="0" fillId="0" borderId="7" xfId="0" applyBorder="1"/>
    <xf numFmtId="41" fontId="0" fillId="0" borderId="0" xfId="0" applyNumberFormat="1"/>
    <xf numFmtId="0" fontId="0" fillId="0" borderId="5" xfId="0" applyBorder="1"/>
    <xf numFmtId="169" fontId="0" fillId="0" borderId="1" xfId="0" applyNumberFormat="1" applyBorder="1"/>
    <xf numFmtId="0" fontId="0" fillId="0" borderId="6" xfId="0" applyBorder="1"/>
    <xf numFmtId="169" fontId="0" fillId="0" borderId="6" xfId="0" applyNumberFormat="1" applyBorder="1"/>
    <xf numFmtId="14" fontId="0" fillId="0" borderId="0" xfId="0" applyNumberFormat="1"/>
    <xf numFmtId="2" fontId="0" fillId="0" borderId="0" xfId="0" applyNumberFormat="1"/>
    <xf numFmtId="9" fontId="0" fillId="0" borderId="0" xfId="9" applyFont="1"/>
    <xf numFmtId="0" fontId="0" fillId="4" borderId="0" xfId="0" applyFill="1"/>
    <xf numFmtId="0" fontId="0" fillId="5" borderId="0" xfId="0" applyFill="1"/>
    <xf numFmtId="9" fontId="0" fillId="0" borderId="0" xfId="0" applyNumberFormat="1"/>
    <xf numFmtId="9" fontId="0" fillId="6" borderId="0" xfId="9" applyFont="1" applyFill="1"/>
    <xf numFmtId="0" fontId="0" fillId="6" borderId="0" xfId="0" applyFill="1"/>
    <xf numFmtId="9" fontId="0" fillId="6" borderId="0" xfId="0" applyNumberFormat="1" applyFill="1"/>
    <xf numFmtId="14" fontId="8" fillId="0" borderId="0" xfId="0" applyNumberFormat="1" applyFont="1"/>
    <xf numFmtId="14" fontId="9" fillId="0" borderId="0" xfId="0" applyNumberFormat="1" applyFont="1"/>
    <xf numFmtId="0" fontId="9" fillId="0" borderId="0" xfId="0" applyFont="1"/>
    <xf numFmtId="14" fontId="10" fillId="0" borderId="0" xfId="0" applyNumberFormat="1" applyFont="1"/>
    <xf numFmtId="0" fontId="10" fillId="0" borderId="0" xfId="0" applyFont="1"/>
    <xf numFmtId="165" fontId="3" fillId="0" borderId="0" xfId="10" applyFont="1"/>
    <xf numFmtId="0" fontId="9" fillId="6" borderId="0" xfId="0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41" fontId="0" fillId="0" borderId="0" xfId="1" applyNumberFormat="1" applyFont="1" applyBorder="1"/>
    <xf numFmtId="0" fontId="11" fillId="0" borderId="0" xfId="4" applyFont="1"/>
    <xf numFmtId="0" fontId="12" fillId="7" borderId="1" xfId="4" applyFont="1" applyFill="1" applyBorder="1" applyAlignment="1">
      <alignment horizontal="center"/>
    </xf>
    <xf numFmtId="16" fontId="3" fillId="0" borderId="0" xfId="0" applyNumberFormat="1" applyFont="1"/>
    <xf numFmtId="164" fontId="3" fillId="0" borderId="0" xfId="1" applyFont="1"/>
    <xf numFmtId="2" fontId="3" fillId="0" borderId="1" xfId="10" applyNumberFormat="1" applyFont="1" applyBorder="1" applyAlignment="1">
      <alignment horizontal="center" vertical="center"/>
    </xf>
    <xf numFmtId="0" fontId="11" fillId="3" borderId="1" xfId="4" applyFont="1" applyFill="1" applyBorder="1"/>
    <xf numFmtId="3" fontId="11" fillId="8" borderId="1" xfId="4" applyNumberFormat="1" applyFont="1" applyFill="1" applyBorder="1"/>
    <xf numFmtId="3" fontId="11" fillId="8" borderId="1" xfId="4" applyNumberFormat="1" applyFont="1" applyFill="1" applyBorder="1" applyAlignment="1">
      <alignment horizontal="center"/>
    </xf>
    <xf numFmtId="4" fontId="11" fillId="9" borderId="1" xfId="4" applyNumberFormat="1" applyFont="1" applyFill="1" applyBorder="1"/>
    <xf numFmtId="9" fontId="3" fillId="0" borderId="0" xfId="9" applyFont="1"/>
    <xf numFmtId="3" fontId="11" fillId="9" borderId="1" xfId="4" applyNumberFormat="1" applyFont="1" applyFill="1" applyBorder="1"/>
    <xf numFmtId="43" fontId="3" fillId="0" borderId="0" xfId="0" applyNumberFormat="1" applyFont="1"/>
    <xf numFmtId="4" fontId="11" fillId="6" borderId="1" xfId="4" applyNumberFormat="1" applyFont="1" applyFill="1" applyBorder="1"/>
    <xf numFmtId="4" fontId="11" fillId="8" borderId="1" xfId="4" applyNumberFormat="1" applyFont="1" applyFill="1" applyBorder="1"/>
    <xf numFmtId="0" fontId="11" fillId="0" borderId="4" xfId="4" applyFont="1" applyBorder="1"/>
    <xf numFmtId="16" fontId="11" fillId="6" borderId="1" xfId="4" applyNumberFormat="1" applyFont="1" applyFill="1" applyBorder="1"/>
    <xf numFmtId="165" fontId="3" fillId="10" borderId="4" xfId="6" applyNumberFormat="1" applyFill="1" applyBorder="1"/>
    <xf numFmtId="170" fontId="3" fillId="5" borderId="1" xfId="1" applyNumberFormat="1" applyFont="1" applyFill="1" applyBorder="1"/>
    <xf numFmtId="171" fontId="3" fillId="5" borderId="1" xfId="0" applyNumberFormat="1" applyFont="1" applyFill="1" applyBorder="1"/>
    <xf numFmtId="170" fontId="3" fillId="0" borderId="1" xfId="1" applyNumberFormat="1" applyFont="1" applyBorder="1"/>
    <xf numFmtId="0" fontId="11" fillId="0" borderId="8" xfId="4" applyFont="1" applyBorder="1"/>
    <xf numFmtId="0" fontId="3" fillId="0" borderId="5" xfId="0" applyFont="1" applyBorder="1"/>
    <xf numFmtId="164" fontId="3" fillId="0" borderId="0" xfId="0" applyNumberFormat="1" applyFont="1"/>
    <xf numFmtId="172" fontId="3" fillId="10" borderId="4" xfId="6" applyNumberFormat="1" applyFill="1" applyBorder="1"/>
    <xf numFmtId="0" fontId="11" fillId="0" borderId="9" xfId="4" applyFont="1" applyBorder="1"/>
    <xf numFmtId="0" fontId="3" fillId="0" borderId="10" xfId="0" applyFont="1" applyBorder="1"/>
    <xf numFmtId="0" fontId="11" fillId="11" borderId="11" xfId="7" applyFont="1" applyFill="1" applyBorder="1"/>
    <xf numFmtId="173" fontId="3" fillId="0" borderId="12" xfId="8" applyNumberFormat="1" applyFont="1" applyBorder="1"/>
    <xf numFmtId="0" fontId="12" fillId="7" borderId="4" xfId="4" applyFont="1" applyFill="1" applyBorder="1" applyAlignment="1">
      <alignment horizontal="center"/>
    </xf>
    <xf numFmtId="0" fontId="12" fillId="7" borderId="6" xfId="4" applyFont="1" applyFill="1" applyBorder="1" applyAlignment="1">
      <alignment horizontal="center"/>
    </xf>
    <xf numFmtId="0" fontId="12" fillId="7" borderId="13" xfId="4" applyFont="1" applyFill="1" applyBorder="1" applyAlignment="1">
      <alignment horizontal="center"/>
    </xf>
    <xf numFmtId="0" fontId="11" fillId="0" borderId="5" xfId="4" applyFont="1" applyBorder="1"/>
    <xf numFmtId="0" fontId="8" fillId="12" borderId="4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  <xf numFmtId="0" fontId="8" fillId="12" borderId="13" xfId="0" applyFont="1" applyFill="1" applyBorder="1" applyAlignment="1">
      <alignment horizontal="center"/>
    </xf>
    <xf numFmtId="0" fontId="8" fillId="13" borderId="14" xfId="0" applyFont="1" applyFill="1" applyBorder="1" applyAlignment="1">
      <alignment horizontal="center"/>
    </xf>
    <xf numFmtId="0" fontId="8" fillId="13" borderId="15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2" borderId="13" xfId="0" applyFont="1" applyFill="1" applyBorder="1" applyAlignment="1">
      <alignment horizontal="center"/>
    </xf>
    <xf numFmtId="174" fontId="8" fillId="13" borderId="9" xfId="0" applyNumberFormat="1" applyFont="1" applyFill="1" applyBorder="1" applyAlignment="1">
      <alignment horizontal="center"/>
    </xf>
    <xf numFmtId="0" fontId="11" fillId="3" borderId="7" xfId="4" applyFont="1" applyFill="1" applyBorder="1"/>
    <xf numFmtId="16" fontId="3" fillId="0" borderId="14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8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16" fontId="3" fillId="0" borderId="8" xfId="0" applyNumberFormat="1" applyFont="1" applyBorder="1"/>
    <xf numFmtId="16" fontId="3" fillId="0" borderId="16" xfId="0" applyNumberFormat="1" applyFont="1" applyBorder="1"/>
    <xf numFmtId="0" fontId="11" fillId="3" borderId="10" xfId="4" applyFont="1" applyFill="1" applyBorder="1"/>
    <xf numFmtId="16" fontId="3" fillId="0" borderId="9" xfId="0" applyNumberFormat="1" applyFont="1" applyBorder="1" applyAlignment="1">
      <alignment horizontal="center"/>
    </xf>
    <xf numFmtId="16" fontId="3" fillId="0" borderId="17" xfId="0" applyNumberFormat="1" applyFont="1" applyBorder="1" applyAlignment="1">
      <alignment horizontal="center"/>
    </xf>
    <xf numFmtId="3" fontId="3" fillId="0" borderId="14" xfId="1" applyNumberFormat="1" applyFont="1" applyFill="1" applyBorder="1" applyAlignment="1">
      <alignment horizontal="center"/>
    </xf>
    <xf numFmtId="3" fontId="3" fillId="0" borderId="15" xfId="10" applyNumberFormat="1" applyFont="1" applyBorder="1" applyAlignment="1">
      <alignment horizontal="center"/>
    </xf>
    <xf numFmtId="3" fontId="3" fillId="0" borderId="14" xfId="10" applyNumberFormat="1" applyFont="1" applyBorder="1" applyAlignment="1">
      <alignment horizontal="center"/>
    </xf>
    <xf numFmtId="169" fontId="3" fillId="13" borderId="18" xfId="10" applyNumberFormat="1" applyFont="1" applyFill="1" applyBorder="1"/>
    <xf numFmtId="169" fontId="3" fillId="13" borderId="14" xfId="10" applyNumberFormat="1" applyFont="1" applyFill="1" applyBorder="1"/>
    <xf numFmtId="169" fontId="3" fillId="13" borderId="15" xfId="10" applyNumberFormat="1" applyFont="1" applyFill="1" applyBorder="1"/>
    <xf numFmtId="2" fontId="3" fillId="0" borderId="9" xfId="10" applyNumberFormat="1" applyFont="1" applyBorder="1" applyAlignment="1">
      <alignment horizontal="center"/>
    </xf>
    <xf numFmtId="2" fontId="3" fillId="0" borderId="17" xfId="10" applyNumberFormat="1" applyFont="1" applyBorder="1" applyAlignment="1">
      <alignment horizontal="center"/>
    </xf>
    <xf numFmtId="2" fontId="3" fillId="0" borderId="9" xfId="6" applyNumberFormat="1" applyBorder="1" applyAlignment="1">
      <alignment horizontal="center"/>
    </xf>
    <xf numFmtId="2" fontId="3" fillId="0" borderId="17" xfId="6" applyNumberFormat="1" applyBorder="1" applyAlignment="1">
      <alignment horizontal="center"/>
    </xf>
    <xf numFmtId="165" fontId="3" fillId="13" borderId="19" xfId="10" applyFont="1" applyFill="1" applyBorder="1"/>
    <xf numFmtId="165" fontId="3" fillId="13" borderId="9" xfId="10" applyFont="1" applyFill="1" applyBorder="1"/>
    <xf numFmtId="165" fontId="3" fillId="13" borderId="17" xfId="10" applyFont="1" applyFill="1" applyBorder="1"/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75" fontId="3" fillId="0" borderId="0" xfId="11" applyFont="1"/>
    <xf numFmtId="169" fontId="3" fillId="0" borderId="0" xfId="0" applyNumberFormat="1" applyFont="1"/>
    <xf numFmtId="0" fontId="8" fillId="3" borderId="7" xfId="0" applyFont="1" applyFill="1" applyBorder="1"/>
    <xf numFmtId="164" fontId="3" fillId="0" borderId="14" xfId="6" applyBorder="1" applyAlignment="1">
      <alignment horizontal="center"/>
    </xf>
    <xf numFmtId="176" fontId="3" fillId="0" borderId="15" xfId="10" applyNumberFormat="1" applyFont="1" applyBorder="1" applyAlignment="1">
      <alignment horizontal="center"/>
    </xf>
    <xf numFmtId="176" fontId="3" fillId="0" borderId="14" xfId="10" applyNumberFormat="1" applyFont="1" applyBorder="1" applyAlignment="1">
      <alignment horizontal="center"/>
    </xf>
    <xf numFmtId="0" fontId="8" fillId="3" borderId="10" xfId="0" applyFont="1" applyFill="1" applyBorder="1"/>
    <xf numFmtId="164" fontId="3" fillId="0" borderId="4" xfId="6" applyBorder="1" applyAlignment="1">
      <alignment horizontal="center"/>
    </xf>
    <xf numFmtId="176" fontId="3" fillId="0" borderId="13" xfId="10" applyNumberFormat="1" applyFont="1" applyBorder="1" applyAlignment="1">
      <alignment horizontal="center"/>
    </xf>
    <xf numFmtId="176" fontId="3" fillId="0" borderId="4" xfId="10" applyNumberFormat="1" applyFont="1" applyBorder="1" applyAlignment="1">
      <alignment horizontal="center"/>
    </xf>
    <xf numFmtId="0" fontId="8" fillId="3" borderId="0" xfId="0" applyFont="1" applyFill="1"/>
    <xf numFmtId="169" fontId="3" fillId="0" borderId="13" xfId="10" applyNumberFormat="1" applyFont="1" applyBorder="1" applyAlignment="1">
      <alignment horizontal="center"/>
    </xf>
    <xf numFmtId="169" fontId="3" fillId="0" borderId="14" xfId="10" applyNumberFormat="1" applyFont="1" applyBorder="1" applyAlignment="1">
      <alignment horizontal="center"/>
    </xf>
    <xf numFmtId="169" fontId="3" fillId="0" borderId="15" xfId="10" applyNumberFormat="1" applyFont="1" applyBorder="1" applyAlignment="1">
      <alignment horizontal="center"/>
    </xf>
    <xf numFmtId="0" fontId="8" fillId="3" borderId="1" xfId="0" applyFont="1" applyFill="1" applyBorder="1"/>
    <xf numFmtId="0" fontId="3" fillId="0" borderId="4" xfId="0" applyFont="1" applyBorder="1"/>
  </cellXfs>
  <cellStyles count="12">
    <cellStyle name="Bueno" xfId="2" builtinId="26"/>
    <cellStyle name="Millares [0]" xfId="1" builtinId="6"/>
    <cellStyle name="Millares [0] 2" xfId="6" xr:uid="{8706CEC6-1B17-47E1-9695-3D9DC2EF42F3}"/>
    <cellStyle name="Millares 13" xfId="5" xr:uid="{DAC938FC-D22A-4F6C-A0F6-F10834675D8A}"/>
    <cellStyle name="Millares 2" xfId="10" xr:uid="{D3DCC704-8233-4516-B790-22E06E4A9F90}"/>
    <cellStyle name="Moneda 2" xfId="11" xr:uid="{8A03EF5B-8066-46A2-8EAD-4A2E17F766BD}"/>
    <cellStyle name="Normal" xfId="0" builtinId="0"/>
    <cellStyle name="Normal 2" xfId="4" xr:uid="{8E7580FE-130F-4A58-AA18-B567E0D4EA42}"/>
    <cellStyle name="Normal 2 2" xfId="7" xr:uid="{FE7722F9-E436-4251-BC1C-623F45AEB536}"/>
    <cellStyle name="Normal_Hoja1" xfId="3" xr:uid="{D06A5925-8866-4244-BA9A-C5DE2DB398EE}"/>
    <cellStyle name="Porcentaje" xfId="9" builtinId="5"/>
    <cellStyle name="Porcentaje 2" xfId="8" xr:uid="{20194A59-3BB9-42A2-A5E1-F55FB39C28FE}"/>
  </cellStyles>
  <dxfs count="41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otogo/Desktop/S&amp;OP/Plan%20de%20ventas/Septiembre/Colaboraci&#243;n/SEPTIEMBRE_Fechas%20de%20zarpe%20-%20Log&#237;st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fecha de Zarpe "/>
      <sheetName val="Datos Faena y Días"/>
      <sheetName val="Datos Faena y Días (2)"/>
      <sheetName val="Ponderación"/>
    </sheetNames>
    <sheetDataSet>
      <sheetData sheetId="0"/>
      <sheetData sheetId="1">
        <row r="39">
          <cell r="D39">
            <v>0.55508221380240719</v>
          </cell>
          <cell r="M39">
            <v>0.3938052388111854</v>
          </cell>
        </row>
        <row r="43">
          <cell r="D43">
            <v>0.84127367677561793</v>
          </cell>
          <cell r="M43">
            <v>0.7577362385835783</v>
          </cell>
        </row>
        <row r="47">
          <cell r="D47">
            <v>0.46003038686094999</v>
          </cell>
          <cell r="M47">
            <v>0.3938052388111854</v>
          </cell>
        </row>
        <row r="56">
          <cell r="D56">
            <v>0.50755630033167853</v>
          </cell>
          <cell r="M56">
            <v>0.5154724771671565</v>
          </cell>
        </row>
        <row r="61">
          <cell r="D61">
            <v>0.79374776330488928</v>
          </cell>
          <cell r="M61">
            <v>0.74227818722130146</v>
          </cell>
        </row>
        <row r="66">
          <cell r="D66">
            <v>0.55508221380240719</v>
          </cell>
          <cell r="M66">
            <v>0.5154724771671565</v>
          </cell>
        </row>
      </sheetData>
      <sheetData sheetId="2">
        <row r="42">
          <cell r="AA42">
            <v>0.38476266834449474</v>
          </cell>
          <cell r="AK42">
            <v>0.47745072632608576</v>
          </cell>
        </row>
        <row r="46">
          <cell r="AA46">
            <v>0.77338883776001444</v>
          </cell>
        </row>
        <row r="50">
          <cell r="AA50">
            <v>0.38476266834449474</v>
          </cell>
          <cell r="AK50">
            <v>0.47745072632608576</v>
          </cell>
        </row>
        <row r="59">
          <cell r="AA59">
            <v>0.3545854356400317</v>
          </cell>
          <cell r="AK59">
            <v>0.47745072632608576</v>
          </cell>
        </row>
        <row r="64">
          <cell r="AA64">
            <v>0.77338883776001444</v>
          </cell>
          <cell r="AK64">
            <v>0.81973286675080992</v>
          </cell>
        </row>
        <row r="69">
          <cell r="AA69">
            <v>0.38476266834449474</v>
          </cell>
          <cell r="AK69">
            <v>0.52379475531688124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20ABDB-D377-4F03-9C23-8DC9FE0F56C1}" name="Tabla1" displayName="Tabla1" ref="B3:F47" totalsRowShown="0">
  <autoFilter ref="B3:F47" xr:uid="{2020ABDB-D377-4F03-9C23-8DC9FE0F56C1}"/>
  <tableColumns count="5">
    <tableColumn id="1" xr3:uid="{43EE081A-22BE-4C59-A14A-87F35F3AB22D}" name="Mes"/>
    <tableColumn id="2" xr3:uid="{069409E7-5119-4D53-AD1C-E0C85F010922}" name="Oficina"/>
    <tableColumn id="3" xr3:uid="{F2420A4B-4846-4B18-B6D6-9A505DCF8EB6}" name="Item"/>
    <tableColumn id="4" xr3:uid="{C5491881-196E-4C34-BBFA-0B7C66A0DB32}" name="Fecha Plan " dataDxfId="40"/>
    <tableColumn id="10" xr3:uid="{D01696F7-EAE5-4EC5-8253-421A9FD0451B}" name=" OB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3BA8-940B-445A-8487-6BDB48E138C6}">
  <dimension ref="B3:F47"/>
  <sheetViews>
    <sheetView showGridLines="0" tabSelected="1" zoomScale="90" zoomScaleNormal="90" workbookViewId="0">
      <selection activeCell="C36" sqref="C36:E37"/>
    </sheetView>
  </sheetViews>
  <sheetFormatPr baseColWidth="10" defaultColWidth="11.453125" defaultRowHeight="12.5" outlineLevelRow="1" x14ac:dyDescent="0.25"/>
  <cols>
    <col min="3" max="3" width="17" bestFit="1" customWidth="1"/>
    <col min="4" max="4" width="21.81640625" bestFit="1" customWidth="1"/>
    <col min="5" max="5" width="18.453125" style="15" customWidth="1"/>
    <col min="6" max="6" width="104.54296875" bestFit="1" customWidth="1"/>
  </cols>
  <sheetData>
    <row r="3" spans="2:6" x14ac:dyDescent="0.25">
      <c r="B3" t="s">
        <v>0</v>
      </c>
      <c r="C3" t="s">
        <v>1</v>
      </c>
      <c r="D3" t="s">
        <v>2</v>
      </c>
      <c r="E3" s="15" t="s">
        <v>3</v>
      </c>
      <c r="F3" t="s">
        <v>4</v>
      </c>
    </row>
    <row r="4" spans="2:6" hidden="1" outlineLevel="1" x14ac:dyDescent="0.25">
      <c r="B4" t="s">
        <v>5</v>
      </c>
      <c r="C4" t="s">
        <v>6</v>
      </c>
      <c r="D4" t="s">
        <v>7</v>
      </c>
      <c r="E4" s="15">
        <v>44741</v>
      </c>
      <c r="F4" s="15"/>
    </row>
    <row r="5" spans="2:6" hidden="1" outlineLevel="1" x14ac:dyDescent="0.25">
      <c r="B5" t="s">
        <v>5</v>
      </c>
      <c r="C5" t="s">
        <v>6</v>
      </c>
      <c r="D5" t="s">
        <v>8</v>
      </c>
      <c r="E5" s="15">
        <v>44735</v>
      </c>
      <c r="F5" s="15"/>
    </row>
    <row r="6" spans="2:6" hidden="1" outlineLevel="1" x14ac:dyDescent="0.25">
      <c r="B6" t="s">
        <v>5</v>
      </c>
      <c r="C6" t="s">
        <v>9</v>
      </c>
      <c r="D6" t="s">
        <v>7</v>
      </c>
      <c r="E6" s="15">
        <v>44741</v>
      </c>
      <c r="F6" s="15"/>
    </row>
    <row r="7" spans="2:6" hidden="1" outlineLevel="1" x14ac:dyDescent="0.25">
      <c r="B7" t="s">
        <v>5</v>
      </c>
      <c r="C7" t="s">
        <v>9</v>
      </c>
      <c r="D7" t="s">
        <v>8</v>
      </c>
      <c r="E7" s="15">
        <v>44735</v>
      </c>
      <c r="F7" s="15"/>
    </row>
    <row r="8" spans="2:6" hidden="1" outlineLevel="1" x14ac:dyDescent="0.25">
      <c r="B8" t="s">
        <v>5</v>
      </c>
      <c r="C8" t="s">
        <v>10</v>
      </c>
      <c r="D8" t="s">
        <v>7</v>
      </c>
      <c r="E8" s="15">
        <v>44736</v>
      </c>
      <c r="F8" s="15"/>
    </row>
    <row r="9" spans="2:6" hidden="1" outlineLevel="1" x14ac:dyDescent="0.25">
      <c r="B9" t="s">
        <v>5</v>
      </c>
      <c r="C9" t="s">
        <v>10</v>
      </c>
      <c r="D9" t="s">
        <v>8</v>
      </c>
      <c r="E9" s="15">
        <v>44733</v>
      </c>
      <c r="F9" s="15"/>
    </row>
    <row r="10" spans="2:6" ht="13" hidden="1" outlineLevel="1" x14ac:dyDescent="0.3">
      <c r="B10" t="s">
        <v>11</v>
      </c>
      <c r="C10" t="s">
        <v>6</v>
      </c>
      <c r="D10" t="s">
        <v>7</v>
      </c>
      <c r="E10" s="24">
        <v>44769</v>
      </c>
      <c r="F10" s="24" t="s">
        <v>12</v>
      </c>
    </row>
    <row r="11" spans="2:6" hidden="1" outlineLevel="1" x14ac:dyDescent="0.25">
      <c r="B11" t="s">
        <v>11</v>
      </c>
      <c r="C11" t="s">
        <v>6</v>
      </c>
      <c r="D11" t="s">
        <v>8</v>
      </c>
      <c r="E11" s="15">
        <v>44763</v>
      </c>
      <c r="F11" s="15"/>
    </row>
    <row r="12" spans="2:6" ht="13" hidden="1" outlineLevel="1" x14ac:dyDescent="0.3">
      <c r="B12" t="s">
        <v>11</v>
      </c>
      <c r="C12" t="s">
        <v>9</v>
      </c>
      <c r="D12" t="s">
        <v>7</v>
      </c>
      <c r="E12" s="24">
        <v>44769</v>
      </c>
      <c r="F12" s="24" t="s">
        <v>13</v>
      </c>
    </row>
    <row r="13" spans="2:6" hidden="1" outlineLevel="1" x14ac:dyDescent="0.25">
      <c r="B13" t="s">
        <v>11</v>
      </c>
      <c r="C13" t="s">
        <v>9</v>
      </c>
      <c r="D13" t="s">
        <v>8</v>
      </c>
      <c r="E13" s="15">
        <v>44763</v>
      </c>
      <c r="F13" s="15"/>
    </row>
    <row r="14" spans="2:6" hidden="1" outlineLevel="1" x14ac:dyDescent="0.25">
      <c r="B14" t="s">
        <v>11</v>
      </c>
      <c r="C14" t="s">
        <v>10</v>
      </c>
      <c r="D14" t="s">
        <v>7</v>
      </c>
      <c r="E14" s="15">
        <v>44771</v>
      </c>
      <c r="F14" s="15"/>
    </row>
    <row r="15" spans="2:6" hidden="1" outlineLevel="1" x14ac:dyDescent="0.25">
      <c r="B15" t="s">
        <v>11</v>
      </c>
      <c r="C15" t="s">
        <v>10</v>
      </c>
      <c r="D15" t="s">
        <v>8</v>
      </c>
      <c r="E15" s="15">
        <v>44768</v>
      </c>
      <c r="F15" s="15"/>
    </row>
    <row r="16" spans="2:6" ht="13" hidden="1" outlineLevel="1" x14ac:dyDescent="0.3">
      <c r="B16" t="s">
        <v>14</v>
      </c>
      <c r="C16" t="s">
        <v>6</v>
      </c>
      <c r="D16" t="s">
        <v>7</v>
      </c>
      <c r="E16" s="25">
        <v>44798</v>
      </c>
      <c r="F16" s="26" t="s">
        <v>15</v>
      </c>
    </row>
    <row r="17" spans="2:6" ht="13" hidden="1" outlineLevel="1" x14ac:dyDescent="0.3">
      <c r="B17" t="s">
        <v>14</v>
      </c>
      <c r="C17" t="s">
        <v>6</v>
      </c>
      <c r="D17" t="s">
        <v>8</v>
      </c>
      <c r="E17" s="25">
        <v>44795</v>
      </c>
      <c r="F17" s="26"/>
    </row>
    <row r="18" spans="2:6" ht="13" hidden="1" outlineLevel="1" x14ac:dyDescent="0.3">
      <c r="B18" t="s">
        <v>14</v>
      </c>
      <c r="C18" t="s">
        <v>9</v>
      </c>
      <c r="D18" t="s">
        <v>7</v>
      </c>
      <c r="E18" s="25">
        <v>44798</v>
      </c>
      <c r="F18" s="26" t="s">
        <v>16</v>
      </c>
    </row>
    <row r="19" spans="2:6" ht="13" hidden="1" outlineLevel="1" x14ac:dyDescent="0.3">
      <c r="B19" t="s">
        <v>14</v>
      </c>
      <c r="C19" t="s">
        <v>9</v>
      </c>
      <c r="D19" t="s">
        <v>8</v>
      </c>
      <c r="E19" s="25">
        <v>44795</v>
      </c>
      <c r="F19" s="26"/>
    </row>
    <row r="20" spans="2:6" hidden="1" outlineLevel="1" x14ac:dyDescent="0.25">
      <c r="B20" t="s">
        <v>14</v>
      </c>
      <c r="C20" t="s">
        <v>10</v>
      </c>
      <c r="D20" t="s">
        <v>7</v>
      </c>
      <c r="E20" s="27">
        <v>44799</v>
      </c>
      <c r="F20" s="28" t="s">
        <v>17</v>
      </c>
    </row>
    <row r="21" spans="2:6" hidden="1" outlineLevel="1" x14ac:dyDescent="0.25">
      <c r="B21" t="s">
        <v>14</v>
      </c>
      <c r="C21" t="s">
        <v>10</v>
      </c>
      <c r="D21" t="s">
        <v>8</v>
      </c>
      <c r="E21" s="27">
        <v>44796</v>
      </c>
      <c r="F21" s="28"/>
    </row>
    <row r="22" spans="2:6" ht="13" hidden="1" outlineLevel="1" x14ac:dyDescent="0.3">
      <c r="B22" t="s">
        <v>14</v>
      </c>
      <c r="C22" t="s">
        <v>18</v>
      </c>
      <c r="D22" t="s">
        <v>7</v>
      </c>
      <c r="E22" s="25">
        <v>44798</v>
      </c>
      <c r="F22" s="26"/>
    </row>
    <row r="23" spans="2:6" ht="13" hidden="1" outlineLevel="1" x14ac:dyDescent="0.3">
      <c r="B23" t="s">
        <v>14</v>
      </c>
      <c r="C23" t="s">
        <v>18</v>
      </c>
      <c r="D23" t="s">
        <v>8</v>
      </c>
      <c r="E23" s="25">
        <v>44795</v>
      </c>
      <c r="F23" s="26"/>
    </row>
    <row r="24" spans="2:6" collapsed="1" x14ac:dyDescent="0.25">
      <c r="B24" t="s">
        <v>19</v>
      </c>
      <c r="C24" t="s">
        <v>6</v>
      </c>
      <c r="D24" t="s">
        <v>7</v>
      </c>
      <c r="E24" s="15">
        <v>44830</v>
      </c>
      <c r="F24" t="s">
        <v>20</v>
      </c>
    </row>
    <row r="25" spans="2:6" x14ac:dyDescent="0.25">
      <c r="B25" t="s">
        <v>19</v>
      </c>
      <c r="C25" t="s">
        <v>6</v>
      </c>
      <c r="D25" t="s">
        <v>8</v>
      </c>
      <c r="E25" s="15">
        <v>44824</v>
      </c>
    </row>
    <row r="26" spans="2:6" x14ac:dyDescent="0.25">
      <c r="B26" t="s">
        <v>19</v>
      </c>
      <c r="C26" t="s">
        <v>9</v>
      </c>
      <c r="D26" t="s">
        <v>7</v>
      </c>
      <c r="E26" s="15">
        <v>44830</v>
      </c>
      <c r="F26" t="s">
        <v>21</v>
      </c>
    </row>
    <row r="27" spans="2:6" x14ac:dyDescent="0.25">
      <c r="B27" t="s">
        <v>19</v>
      </c>
      <c r="C27" t="s">
        <v>9</v>
      </c>
      <c r="D27" t="s">
        <v>8</v>
      </c>
      <c r="E27" s="15">
        <v>44824</v>
      </c>
    </row>
    <row r="28" spans="2:6" x14ac:dyDescent="0.25">
      <c r="B28" t="s">
        <v>19</v>
      </c>
      <c r="C28" t="s">
        <v>10</v>
      </c>
      <c r="D28" t="s">
        <v>7</v>
      </c>
      <c r="E28" s="15">
        <v>44827</v>
      </c>
      <c r="F28" t="s">
        <v>22</v>
      </c>
    </row>
    <row r="29" spans="2:6" x14ac:dyDescent="0.25">
      <c r="B29" t="s">
        <v>19</v>
      </c>
      <c r="C29" t="s">
        <v>10</v>
      </c>
      <c r="D29" t="s">
        <v>8</v>
      </c>
      <c r="E29" s="15">
        <v>44825</v>
      </c>
    </row>
    <row r="30" spans="2:6" x14ac:dyDescent="0.25">
      <c r="B30" t="s">
        <v>19</v>
      </c>
      <c r="C30" t="s">
        <v>18</v>
      </c>
      <c r="D30" t="s">
        <v>7</v>
      </c>
      <c r="E30" s="15">
        <v>44830</v>
      </c>
      <c r="F30" t="s">
        <v>23</v>
      </c>
    </row>
    <row r="31" spans="2:6" x14ac:dyDescent="0.25">
      <c r="B31" t="s">
        <v>19</v>
      </c>
      <c r="C31" t="s">
        <v>18</v>
      </c>
      <c r="D31" t="s">
        <v>8</v>
      </c>
      <c r="E31" s="15">
        <v>44824</v>
      </c>
    </row>
    <row r="32" spans="2:6" x14ac:dyDescent="0.25">
      <c r="B32" s="22" t="s">
        <v>24</v>
      </c>
      <c r="C32" t="s">
        <v>6</v>
      </c>
      <c r="D32" t="s">
        <v>7</v>
      </c>
      <c r="E32" s="15">
        <v>44861</v>
      </c>
      <c r="F32" t="s">
        <v>15</v>
      </c>
    </row>
    <row r="33" spans="2:6" x14ac:dyDescent="0.25">
      <c r="B33" s="22" t="s">
        <v>24</v>
      </c>
      <c r="C33" t="s">
        <v>6</v>
      </c>
      <c r="D33" t="s">
        <v>8</v>
      </c>
      <c r="E33" s="15">
        <v>44858</v>
      </c>
    </row>
    <row r="34" spans="2:6" x14ac:dyDescent="0.25">
      <c r="B34" s="22" t="s">
        <v>24</v>
      </c>
      <c r="C34" t="s">
        <v>9</v>
      </c>
      <c r="D34" t="s">
        <v>7</v>
      </c>
      <c r="E34" s="15">
        <v>44861</v>
      </c>
      <c r="F34" t="s">
        <v>16</v>
      </c>
    </row>
    <row r="35" spans="2:6" x14ac:dyDescent="0.25">
      <c r="B35" s="22" t="s">
        <v>24</v>
      </c>
      <c r="C35" t="s">
        <v>9</v>
      </c>
      <c r="D35" t="s">
        <v>8</v>
      </c>
      <c r="E35" s="15">
        <v>44858</v>
      </c>
    </row>
    <row r="36" spans="2:6" x14ac:dyDescent="0.25">
      <c r="B36" s="22" t="s">
        <v>24</v>
      </c>
      <c r="C36" t="s">
        <v>10</v>
      </c>
      <c r="D36" t="s">
        <v>7</v>
      </c>
      <c r="E36" s="15">
        <v>44863</v>
      </c>
      <c r="F36" t="s">
        <v>17</v>
      </c>
    </row>
    <row r="37" spans="2:6" x14ac:dyDescent="0.25">
      <c r="B37" s="22" t="s">
        <v>24</v>
      </c>
      <c r="C37" t="s">
        <v>10</v>
      </c>
      <c r="D37" t="s">
        <v>8</v>
      </c>
      <c r="E37" s="15">
        <v>44860</v>
      </c>
    </row>
    <row r="38" spans="2:6" x14ac:dyDescent="0.25">
      <c r="B38" s="22" t="s">
        <v>24</v>
      </c>
      <c r="C38" t="s">
        <v>18</v>
      </c>
      <c r="D38" t="s">
        <v>7</v>
      </c>
      <c r="E38" s="15">
        <v>44861</v>
      </c>
    </row>
    <row r="39" spans="2:6" x14ac:dyDescent="0.25">
      <c r="B39" s="22" t="s">
        <v>24</v>
      </c>
      <c r="C39" t="s">
        <v>18</v>
      </c>
      <c r="D39" t="s">
        <v>8</v>
      </c>
      <c r="E39" s="15">
        <v>44858</v>
      </c>
    </row>
    <row r="40" spans="2:6" x14ac:dyDescent="0.25">
      <c r="B40" t="s">
        <v>25</v>
      </c>
      <c r="C40" t="s">
        <v>6</v>
      </c>
      <c r="D40" t="s">
        <v>7</v>
      </c>
      <c r="E40" s="15">
        <v>44861</v>
      </c>
      <c r="F40" t="s">
        <v>15</v>
      </c>
    </row>
    <row r="41" spans="2:6" x14ac:dyDescent="0.25">
      <c r="B41" t="s">
        <v>25</v>
      </c>
      <c r="C41" t="s">
        <v>6</v>
      </c>
      <c r="D41" t="s">
        <v>8</v>
      </c>
      <c r="E41" s="15">
        <v>44858</v>
      </c>
    </row>
    <row r="42" spans="2:6" x14ac:dyDescent="0.25">
      <c r="B42" t="s">
        <v>25</v>
      </c>
      <c r="C42" t="s">
        <v>9</v>
      </c>
      <c r="D42" t="s">
        <v>7</v>
      </c>
      <c r="E42" s="15">
        <v>44861</v>
      </c>
      <c r="F42" t="s">
        <v>16</v>
      </c>
    </row>
    <row r="43" spans="2:6" x14ac:dyDescent="0.25">
      <c r="B43" t="s">
        <v>25</v>
      </c>
      <c r="C43" t="s">
        <v>9</v>
      </c>
      <c r="D43" t="s">
        <v>8</v>
      </c>
      <c r="E43" s="15">
        <v>44858</v>
      </c>
    </row>
    <row r="44" spans="2:6" x14ac:dyDescent="0.25">
      <c r="B44" t="s">
        <v>25</v>
      </c>
      <c r="C44" t="s">
        <v>10</v>
      </c>
      <c r="D44" t="s">
        <v>7</v>
      </c>
      <c r="E44" s="15">
        <v>44863</v>
      </c>
      <c r="F44" t="s">
        <v>17</v>
      </c>
    </row>
    <row r="45" spans="2:6" x14ac:dyDescent="0.25">
      <c r="B45" t="s">
        <v>25</v>
      </c>
      <c r="C45" t="s">
        <v>10</v>
      </c>
      <c r="D45" t="s">
        <v>8</v>
      </c>
      <c r="E45" s="15">
        <v>44860</v>
      </c>
    </row>
    <row r="46" spans="2:6" x14ac:dyDescent="0.25">
      <c r="B46" t="s">
        <v>25</v>
      </c>
      <c r="C46" t="s">
        <v>18</v>
      </c>
      <c r="D46" t="s">
        <v>7</v>
      </c>
      <c r="E46" s="15">
        <v>44861</v>
      </c>
    </row>
    <row r="47" spans="2:6" x14ac:dyDescent="0.25">
      <c r="B47" t="s">
        <v>25</v>
      </c>
      <c r="C47" t="s">
        <v>18</v>
      </c>
      <c r="D47" t="s">
        <v>8</v>
      </c>
      <c r="E47" s="15">
        <v>44858</v>
      </c>
    </row>
  </sheetData>
  <phoneticPr fontId="7" type="noConversion"/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0C09-D24C-4E96-8581-C92854156B24}">
  <dimension ref="A2:J24"/>
  <sheetViews>
    <sheetView workbookViewId="0">
      <selection activeCell="H21" sqref="H21"/>
    </sheetView>
  </sheetViews>
  <sheetFormatPr baseColWidth="10" defaultColWidth="11.453125" defaultRowHeight="12.5" x14ac:dyDescent="0.25"/>
  <cols>
    <col min="1" max="1" width="23" bestFit="1" customWidth="1"/>
    <col min="3" max="3" width="17" bestFit="1" customWidth="1"/>
  </cols>
  <sheetData>
    <row r="2" spans="1:10" x14ac:dyDescent="0.25">
      <c r="A2" t="s">
        <v>92</v>
      </c>
      <c r="B2" t="s">
        <v>93</v>
      </c>
      <c r="C2" t="s">
        <v>1</v>
      </c>
      <c r="D2" t="s">
        <v>5</v>
      </c>
      <c r="E2" t="s">
        <v>11</v>
      </c>
      <c r="F2" t="s">
        <v>14</v>
      </c>
      <c r="G2" t="s">
        <v>19</v>
      </c>
      <c r="H2" t="s">
        <v>24</v>
      </c>
    </row>
    <row r="3" spans="1:10" x14ac:dyDescent="0.25">
      <c r="A3" t="str">
        <f>+B3&amp;C3</f>
        <v>CerdoAgrosuper Asia</v>
      </c>
      <c r="B3" t="s">
        <v>54</v>
      </c>
      <c r="C3" t="s">
        <v>6</v>
      </c>
      <c r="D3" s="20">
        <f>+'[1]Datos Faena y Días'!D39</f>
        <v>0.55508221380240719</v>
      </c>
      <c r="E3" s="20">
        <f>+'[1]Datos Faena y Días'!M39</f>
        <v>0.3938052388111854</v>
      </c>
      <c r="F3" s="20">
        <f>+E3</f>
        <v>0.3938052388111854</v>
      </c>
      <c r="G3" s="20">
        <f>+'[1]Datos Faena y Días (2)'!AA42</f>
        <v>0.38476266834449474</v>
      </c>
      <c r="H3" s="20">
        <f>+'Datos Faena y Días (2)'!AU42</f>
        <v>0.47995943386690676</v>
      </c>
      <c r="I3" s="15">
        <v>44814</v>
      </c>
    </row>
    <row r="4" spans="1:10" x14ac:dyDescent="0.25">
      <c r="A4" t="str">
        <f t="shared" ref="A4:A22" si="0">+B4&amp;C4</f>
        <v>CerdoAgrosuper Shanghai</v>
      </c>
      <c r="B4" t="s">
        <v>54</v>
      </c>
      <c r="C4" t="s">
        <v>9</v>
      </c>
      <c r="D4" s="23">
        <f>+'[1]Datos Faena y Días'!D47</f>
        <v>0.46003038686094999</v>
      </c>
      <c r="E4" s="23">
        <f>+'[1]Datos Faena y Días'!M47</f>
        <v>0.3938052388111854</v>
      </c>
      <c r="F4" s="23">
        <f t="shared" ref="F4:F7" si="1">+E4</f>
        <v>0.3938052388111854</v>
      </c>
      <c r="G4" s="20">
        <f>+'[1]Datos Faena y Días (2)'!AA50</f>
        <v>0.38476266834449474</v>
      </c>
      <c r="H4" s="20">
        <f>+'Datos Faena y Días (2)'!AU50</f>
        <v>0.47995943386690676</v>
      </c>
      <c r="I4" s="15">
        <v>44814</v>
      </c>
      <c r="J4">
        <f>1085*2</f>
        <v>2170</v>
      </c>
    </row>
    <row r="5" spans="1:10" x14ac:dyDescent="0.25">
      <c r="A5" t="str">
        <f t="shared" si="0"/>
        <v>CerdoAgro Sudamerica</v>
      </c>
      <c r="B5" t="s">
        <v>54</v>
      </c>
      <c r="C5" t="s">
        <v>10</v>
      </c>
      <c r="D5" s="20">
        <f>+'[1]Datos Faena y Días'!D56</f>
        <v>0.50755630033167853</v>
      </c>
      <c r="E5" s="20">
        <f>+'[1]Datos Faena y Días'!M56</f>
        <v>0.5154724771671565</v>
      </c>
      <c r="F5" s="20">
        <f t="shared" si="1"/>
        <v>0.5154724771671565</v>
      </c>
      <c r="G5" s="20">
        <f>+'[1]Datos Faena y Días (2)'!AA59</f>
        <v>0.3545854356400317</v>
      </c>
      <c r="H5" s="20">
        <f>+'Datos Faena y Días (2)'!AU59</f>
        <v>0.47995943386690676</v>
      </c>
      <c r="I5" s="15">
        <v>44813</v>
      </c>
    </row>
    <row r="6" spans="1:10" x14ac:dyDescent="0.25">
      <c r="A6" t="str">
        <f t="shared" si="0"/>
        <v>CerdoExportacion Directa</v>
      </c>
      <c r="B6" t="s">
        <v>54</v>
      </c>
      <c r="C6" t="s">
        <v>51</v>
      </c>
      <c r="D6" s="20">
        <f>+'[1]Datos Faena y Días'!D43</f>
        <v>0.84127367677561793</v>
      </c>
      <c r="E6" s="20">
        <f>+'[1]Datos Faena y Días'!M43</f>
        <v>0.7577362385835783</v>
      </c>
      <c r="F6" s="20">
        <f t="shared" si="1"/>
        <v>0.7577362385835783</v>
      </c>
      <c r="G6" s="20">
        <f>+'[1]Datos Faena y Días (2)'!AA46</f>
        <v>0.77338883776001444</v>
      </c>
      <c r="H6" s="20">
        <f>+'Datos Faena y Días (2)'!AU46</f>
        <v>0.8372808345658399</v>
      </c>
      <c r="I6" s="15">
        <v>44817</v>
      </c>
    </row>
    <row r="7" spans="1:10" x14ac:dyDescent="0.25">
      <c r="A7" t="str">
        <f t="shared" si="0"/>
        <v>CerdoAgrosuper Brasil</v>
      </c>
      <c r="B7" t="s">
        <v>54</v>
      </c>
      <c r="C7" t="s">
        <v>52</v>
      </c>
      <c r="D7" s="20">
        <f>+'[1]Datos Faena y Días'!D61</f>
        <v>0.79374776330488928</v>
      </c>
      <c r="E7" s="20">
        <f>+'[1]Datos Faena y Días'!M61</f>
        <v>0.74227818722130146</v>
      </c>
      <c r="F7" s="20">
        <f t="shared" si="1"/>
        <v>0.74227818722130146</v>
      </c>
      <c r="G7" s="20">
        <f>+'[1]Datos Faena y Días (2)'!AA64</f>
        <v>0.77338883776001444</v>
      </c>
      <c r="H7" s="20">
        <f>+'Datos Faena y Días (2)'!AU64</f>
        <v>0.78862342485175896</v>
      </c>
      <c r="I7" s="15">
        <v>44817</v>
      </c>
    </row>
    <row r="8" spans="1:10" x14ac:dyDescent="0.25">
      <c r="A8" t="str">
        <f t="shared" si="0"/>
        <v>CerdoAgro Mexico</v>
      </c>
      <c r="B8" t="s">
        <v>54</v>
      </c>
      <c r="C8" t="s">
        <v>53</v>
      </c>
      <c r="D8" s="20">
        <f>+'[1]Datos Faena y Días'!D66</f>
        <v>0.55508221380240719</v>
      </c>
      <c r="E8" s="20">
        <f>+'[1]Datos Faena y Días'!M66</f>
        <v>0.5154724771671565</v>
      </c>
      <c r="G8" s="20">
        <f>+'[1]Datos Faena y Días (2)'!AA69</f>
        <v>0.38476266834449474</v>
      </c>
      <c r="H8" s="20">
        <f>+'Datos Faena y Días (2)'!AU69</f>
        <v>0.46321249757498978</v>
      </c>
      <c r="I8" s="15">
        <v>44787</v>
      </c>
    </row>
    <row r="9" spans="1:10" x14ac:dyDescent="0.25">
      <c r="A9" t="str">
        <f t="shared" si="0"/>
        <v>PolloAgrosuper Asia</v>
      </c>
      <c r="B9" t="s">
        <v>55</v>
      </c>
      <c r="C9" t="s">
        <v>6</v>
      </c>
      <c r="G9" s="20">
        <f>+'[1]Datos Faena y Días (2)'!AK42</f>
        <v>0.47745072632608576</v>
      </c>
      <c r="H9" s="20">
        <f>+'Datos Faena y Días (2)'!BE42</f>
        <v>0.62593166300914982</v>
      </c>
      <c r="I9" s="15">
        <v>44817</v>
      </c>
    </row>
    <row r="10" spans="1:10" x14ac:dyDescent="0.25">
      <c r="A10" t="str">
        <f t="shared" si="0"/>
        <v>PolloAgrosuper Shanghai</v>
      </c>
      <c r="B10" t="s">
        <v>55</v>
      </c>
      <c r="C10" t="s">
        <v>9</v>
      </c>
      <c r="G10" s="20">
        <f>+'[1]Datos Faena y Días (2)'!AK50</f>
        <v>0.47745072632608576</v>
      </c>
      <c r="H10" s="20">
        <f>+'Datos Faena y Días (2)'!BE50</f>
        <v>0.62593166300914982</v>
      </c>
      <c r="I10" s="15">
        <v>44817</v>
      </c>
    </row>
    <row r="11" spans="1:10" x14ac:dyDescent="0.25">
      <c r="A11" t="str">
        <f t="shared" si="0"/>
        <v>PolloAgro Sudamerica</v>
      </c>
      <c r="B11" t="s">
        <v>55</v>
      </c>
      <c r="C11" t="s">
        <v>10</v>
      </c>
      <c r="G11" s="20">
        <f>+'[1]Datos Faena y Días (2)'!AK59</f>
        <v>0.47745072632608576</v>
      </c>
      <c r="H11" s="20">
        <f>+'Datos Faena y Días (2)'!BE59</f>
        <v>0.62593166300914982</v>
      </c>
      <c r="I11" s="15">
        <v>44817</v>
      </c>
    </row>
    <row r="12" spans="1:10" x14ac:dyDescent="0.25">
      <c r="A12" t="str">
        <f t="shared" si="0"/>
        <v>PolloExportacion Directa</v>
      </c>
      <c r="B12" t="s">
        <v>55</v>
      </c>
      <c r="C12" t="s">
        <v>51</v>
      </c>
      <c r="H12" s="20">
        <f>+'Datos Faena y Días (2)'!BE46</f>
        <v>0.8372808345658399</v>
      </c>
      <c r="I12" s="15"/>
    </row>
    <row r="13" spans="1:10" x14ac:dyDescent="0.25">
      <c r="A13" t="str">
        <f t="shared" si="0"/>
        <v>PolloAgrosuper Brasil</v>
      </c>
      <c r="B13" t="s">
        <v>55</v>
      </c>
      <c r="C13" t="s">
        <v>52</v>
      </c>
      <c r="G13" s="20">
        <f>+'[1]Datos Faena y Días (2)'!AK64</f>
        <v>0.81973286675080992</v>
      </c>
      <c r="H13" s="20">
        <f>+'Datos Faena y Días (2)'!BE64</f>
        <v>0.78862342485175896</v>
      </c>
      <c r="I13" s="15">
        <v>44817</v>
      </c>
    </row>
    <row r="14" spans="1:10" x14ac:dyDescent="0.25">
      <c r="A14" t="str">
        <f t="shared" si="0"/>
        <v>PolloAgro Mexico</v>
      </c>
      <c r="B14" t="s">
        <v>55</v>
      </c>
      <c r="C14" t="s">
        <v>53</v>
      </c>
      <c r="G14" s="20">
        <f>+'[1]Datos Faena y Días (2)'!AK69</f>
        <v>0.52379475531688124</v>
      </c>
      <c r="H14" s="20">
        <f>+'Datos Faena y Días (2)'!BE69</f>
        <v>0.62593166300914982</v>
      </c>
      <c r="I14" s="15">
        <v>44787</v>
      </c>
    </row>
    <row r="15" spans="1:10" x14ac:dyDescent="0.25">
      <c r="A15" t="str">
        <f t="shared" si="0"/>
        <v>PavoAgrosuper Asia</v>
      </c>
      <c r="B15" t="s">
        <v>56</v>
      </c>
      <c r="C15" t="s">
        <v>6</v>
      </c>
      <c r="G15" s="20">
        <f>+G9</f>
        <v>0.47745072632608576</v>
      </c>
      <c r="H15" s="20">
        <f>+'Datos Faena y Días (2)'!BE42</f>
        <v>0.62593166300914982</v>
      </c>
      <c r="I15" s="15">
        <v>44817</v>
      </c>
    </row>
    <row r="16" spans="1:10" x14ac:dyDescent="0.25">
      <c r="A16" t="str">
        <f t="shared" si="0"/>
        <v>PavoAgrosuper Shanghai</v>
      </c>
      <c r="B16" t="s">
        <v>56</v>
      </c>
      <c r="C16" t="s">
        <v>9</v>
      </c>
      <c r="G16" s="20">
        <f t="shared" ref="G16:G20" si="2">+G10</f>
        <v>0.47745072632608576</v>
      </c>
      <c r="H16" s="20">
        <f>+'Datos Faena y Días (2)'!BE50</f>
        <v>0.62593166300914982</v>
      </c>
      <c r="I16" s="15">
        <v>44817</v>
      </c>
    </row>
    <row r="17" spans="1:9" x14ac:dyDescent="0.25">
      <c r="A17" t="str">
        <f t="shared" si="0"/>
        <v>PavoAgro Sudamerica</v>
      </c>
      <c r="B17" t="s">
        <v>56</v>
      </c>
      <c r="C17" t="s">
        <v>10</v>
      </c>
      <c r="G17" s="20">
        <f t="shared" si="2"/>
        <v>0.47745072632608576</v>
      </c>
      <c r="H17" s="20">
        <f>+'Datos Faena y Días (2)'!BE59</f>
        <v>0.62593166300914982</v>
      </c>
      <c r="I17" s="15">
        <v>44817</v>
      </c>
    </row>
    <row r="18" spans="1:9" x14ac:dyDescent="0.25">
      <c r="A18" t="str">
        <f t="shared" si="0"/>
        <v>PavoExportacion Directa</v>
      </c>
      <c r="B18" t="s">
        <v>56</v>
      </c>
      <c r="C18" t="s">
        <v>51</v>
      </c>
      <c r="G18" s="20">
        <f t="shared" si="2"/>
        <v>0</v>
      </c>
      <c r="H18" s="20">
        <f>+'Datos Faena y Días (2)'!BE46</f>
        <v>0.8372808345658399</v>
      </c>
      <c r="I18" s="15">
        <v>44817</v>
      </c>
    </row>
    <row r="19" spans="1:9" x14ac:dyDescent="0.25">
      <c r="A19" t="str">
        <f t="shared" si="0"/>
        <v>PavoAgrosuper Brasil</v>
      </c>
      <c r="B19" t="s">
        <v>56</v>
      </c>
      <c r="C19" t="s">
        <v>52</v>
      </c>
      <c r="G19" s="20">
        <f t="shared" si="2"/>
        <v>0.81973286675080992</v>
      </c>
      <c r="H19" s="20">
        <f>+'Datos Faena y Días (2)'!BE64</f>
        <v>0.78862342485175896</v>
      </c>
      <c r="I19" s="15">
        <v>44817</v>
      </c>
    </row>
    <row r="20" spans="1:9" x14ac:dyDescent="0.25">
      <c r="A20" t="str">
        <f t="shared" si="0"/>
        <v>PavoAgro Mexico</v>
      </c>
      <c r="B20" t="s">
        <v>56</v>
      </c>
      <c r="C20" t="s">
        <v>53</v>
      </c>
      <c r="G20" s="20">
        <f t="shared" si="2"/>
        <v>0.52379475531688124</v>
      </c>
      <c r="H20" s="20">
        <f>+'Datos Faena y Días (2)'!BE69</f>
        <v>0.62593166300914982</v>
      </c>
      <c r="I20" s="15">
        <v>44787</v>
      </c>
    </row>
    <row r="21" spans="1:9" x14ac:dyDescent="0.25">
      <c r="A21" t="str">
        <f t="shared" si="0"/>
        <v>ElaboradoAgro Sudamerica</v>
      </c>
      <c r="B21" t="s">
        <v>57</v>
      </c>
      <c r="C21" t="s">
        <v>10</v>
      </c>
      <c r="G21" s="20">
        <v>0.4</v>
      </c>
      <c r="H21" s="20">
        <v>0.9</v>
      </c>
      <c r="I21" s="15">
        <v>44817</v>
      </c>
    </row>
    <row r="22" spans="1:9" x14ac:dyDescent="0.25">
      <c r="A22" t="str">
        <f t="shared" si="0"/>
        <v>ElaboradoAgro Sudamerica</v>
      </c>
      <c r="B22" t="s">
        <v>57</v>
      </c>
      <c r="C22" t="s">
        <v>10</v>
      </c>
      <c r="G22" s="20">
        <v>0.4</v>
      </c>
      <c r="H22" s="20">
        <v>0.9</v>
      </c>
      <c r="I22" s="15">
        <v>44817</v>
      </c>
    </row>
    <row r="23" spans="1:9" x14ac:dyDescent="0.25">
      <c r="I23" s="15"/>
    </row>
    <row r="24" spans="1:9" x14ac:dyDescent="0.25">
      <c r="I24" s="15"/>
    </row>
  </sheetData>
  <autoFilter ref="A2:I22" xr:uid="{39AC0C09-D24C-4E96-8581-C92854156B24}"/>
  <pageMargins left="0.7" right="0.7" top="0.75" bottom="0.75" header="0.3" footer="0.3"/>
  <customProperties>
    <customPr name="Ibp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4692-6CCE-40BB-9400-1B47AC05AE50}">
  <dimension ref="A3:BI69"/>
  <sheetViews>
    <sheetView showGridLines="0" topLeftCell="AZ53" zoomScale="80" zoomScaleNormal="80" zoomScalePageLayoutView="85" workbookViewId="0">
      <selection activeCell="AP1" sqref="A1:AP1048576"/>
    </sheetView>
  </sheetViews>
  <sheetFormatPr baseColWidth="10" defaultRowHeight="12.5" outlineLevelCol="1" x14ac:dyDescent="0.25"/>
  <cols>
    <col min="1" max="1" width="16.54296875" style="1" hidden="1" customWidth="1" outlineLevel="1"/>
    <col min="2" max="2" width="16.26953125" style="1" hidden="1" customWidth="1" outlineLevel="1"/>
    <col min="3" max="3" width="11.453125" style="1" hidden="1" customWidth="1" outlineLevel="1"/>
    <col min="4" max="4" width="12" style="1" hidden="1" customWidth="1" outlineLevel="1"/>
    <col min="5" max="5" width="20.1796875" style="1" hidden="1" customWidth="1" outlineLevel="1"/>
    <col min="6" max="6" width="12.7265625" style="1" hidden="1" customWidth="1" outlineLevel="1"/>
    <col min="7" max="7" width="9.54296875" style="1" hidden="1" customWidth="1" outlineLevel="1"/>
    <col min="8" max="9" width="9.54296875" style="29" hidden="1" customWidth="1" outlineLevel="1"/>
    <col min="10" max="10" width="11.54296875" style="29" hidden="1" customWidth="1" outlineLevel="1"/>
    <col min="11" max="11" width="18.1796875" style="29" hidden="1" customWidth="1" outlineLevel="1"/>
    <col min="12" max="12" width="10.81640625" style="29" hidden="1" customWidth="1" outlineLevel="1"/>
    <col min="13" max="13" width="10.26953125" style="29" hidden="1" customWidth="1" outlineLevel="1"/>
    <col min="14" max="14" width="6.7265625" style="29" hidden="1" customWidth="1" outlineLevel="1"/>
    <col min="15" max="15" width="18.26953125" style="1" hidden="1" customWidth="1" outlineLevel="1"/>
    <col min="16" max="16" width="9.453125" style="1" hidden="1" customWidth="1" outlineLevel="1"/>
    <col min="17" max="17" width="9.1796875" style="1" hidden="1" customWidth="1" outlineLevel="1"/>
    <col min="18" max="19" width="8.26953125" style="1" hidden="1" customWidth="1" outlineLevel="1"/>
    <col min="20" max="20" width="5.453125" style="1" hidden="1" customWidth="1" outlineLevel="1"/>
    <col min="21" max="22" width="4.1796875" style="1" hidden="1" customWidth="1" outlineLevel="1"/>
    <col min="23" max="23" width="22.81640625" style="1" hidden="1" customWidth="1" outlineLevel="1"/>
    <col min="24" max="24" width="16.81640625" style="1" hidden="1" customWidth="1" outlineLevel="1"/>
    <col min="25" max="25" width="16.1796875" style="1" hidden="1" customWidth="1" outlineLevel="1"/>
    <col min="26" max="26" width="9.453125" style="1" hidden="1" customWidth="1" outlineLevel="1"/>
    <col min="27" max="27" width="9.6328125" style="1" hidden="1" customWidth="1" outlineLevel="1"/>
    <col min="28" max="29" width="8.26953125" style="1" hidden="1" customWidth="1" outlineLevel="1"/>
    <col min="30" max="30" width="5.453125" style="1" hidden="1" customWidth="1" outlineLevel="1"/>
    <col min="31" max="31" width="4.1796875" style="1" hidden="1" customWidth="1" outlineLevel="1"/>
    <col min="32" max="32" width="5.7265625" style="1" hidden="1" customWidth="1" outlineLevel="1"/>
    <col min="33" max="33" width="16.1796875" style="1" hidden="1" customWidth="1" outlineLevel="1"/>
    <col min="34" max="34" width="25.1796875" style="1" hidden="1" customWidth="1" outlineLevel="1"/>
    <col min="35" max="35" width="14.1796875" style="1" hidden="1" customWidth="1" outlineLevel="1"/>
    <col min="36" max="36" width="30.36328125" style="1" hidden="1" customWidth="1" outlineLevel="1"/>
    <col min="37" max="37" width="5.54296875" style="1" hidden="1" customWidth="1" outlineLevel="1"/>
    <col min="38" max="38" width="7.7265625" style="1" hidden="1" customWidth="1" outlineLevel="1"/>
    <col min="39" max="39" width="8.7265625" style="1" hidden="1" customWidth="1" outlineLevel="1"/>
    <col min="40" max="40" width="5.36328125" style="1" hidden="1" customWidth="1" outlineLevel="1"/>
    <col min="41" max="41" width="4.08984375" style="1" hidden="1" customWidth="1" outlineLevel="1"/>
    <col min="42" max="42" width="16.1796875" style="1" hidden="1" customWidth="1" outlineLevel="1"/>
    <col min="43" max="43" width="16.1796875" style="1" customWidth="1" collapsed="1"/>
    <col min="44" max="44" width="25.81640625" style="1" bestFit="1" customWidth="1"/>
    <col min="45" max="45" width="13.36328125" style="1" bestFit="1" customWidth="1"/>
    <col min="46" max="52" width="10.90625" style="1"/>
    <col min="53" max="53" width="14.7265625" style="1" bestFit="1" customWidth="1"/>
    <col min="54" max="54" width="28" style="1" bestFit="1" customWidth="1"/>
    <col min="55" max="55" width="14.08984375" style="1" bestFit="1" customWidth="1"/>
    <col min="56" max="16384" width="10.90625" style="1"/>
  </cols>
  <sheetData>
    <row r="3" spans="1:61" ht="13.5" thickBot="1" x14ac:dyDescent="0.35">
      <c r="X3" s="30" t="s">
        <v>54</v>
      </c>
      <c r="Y3" s="30"/>
      <c r="Z3" s="30"/>
      <c r="AA3" s="30"/>
      <c r="AB3" s="30"/>
      <c r="AC3" s="30"/>
      <c r="AD3" s="30"/>
      <c r="AE3" s="30"/>
      <c r="AH3" s="30" t="s">
        <v>55</v>
      </c>
      <c r="AI3" s="30"/>
      <c r="AJ3" s="30"/>
      <c r="AK3" s="30"/>
      <c r="AL3" s="30"/>
      <c r="AM3" s="30"/>
      <c r="AN3" s="30"/>
      <c r="AO3" s="30"/>
      <c r="AR3" s="30" t="s">
        <v>54</v>
      </c>
      <c r="AS3" s="30"/>
      <c r="AT3" s="30"/>
      <c r="AU3" s="30"/>
      <c r="AV3" s="30"/>
      <c r="AW3" s="30"/>
      <c r="AX3" s="30"/>
      <c r="AY3" s="30"/>
      <c r="BB3" s="30" t="s">
        <v>54</v>
      </c>
      <c r="BC3" s="30"/>
      <c r="BD3" s="30"/>
      <c r="BE3" s="30"/>
      <c r="BF3" s="30"/>
      <c r="BG3" s="30"/>
      <c r="BH3" s="30"/>
      <c r="BI3" s="30"/>
    </row>
    <row r="4" spans="1:61" ht="15" thickBot="1" x14ac:dyDescent="0.4">
      <c r="O4" s="2" t="s">
        <v>26</v>
      </c>
      <c r="P4" s="2" t="s">
        <v>27</v>
      </c>
      <c r="Q4" s="3" t="s">
        <v>28</v>
      </c>
      <c r="R4" s="4" t="s">
        <v>29</v>
      </c>
      <c r="S4" s="5" t="s">
        <v>30</v>
      </c>
      <c r="T4" s="4" t="s">
        <v>31</v>
      </c>
      <c r="U4" s="5" t="s">
        <v>32</v>
      </c>
      <c r="V4" s="31"/>
      <c r="W4" s="31"/>
      <c r="X4"/>
      <c r="Y4" s="2" t="s">
        <v>26</v>
      </c>
      <c r="Z4" s="2" t="s">
        <v>27</v>
      </c>
      <c r="AA4" s="3" t="s">
        <v>28</v>
      </c>
      <c r="AB4" s="4" t="s">
        <v>29</v>
      </c>
      <c r="AC4" s="5" t="s">
        <v>30</v>
      </c>
      <c r="AD4" s="4" t="s">
        <v>31</v>
      </c>
      <c r="AE4" s="5" t="s">
        <v>32</v>
      </c>
      <c r="AF4"/>
      <c r="AG4" s="32"/>
      <c r="AH4"/>
      <c r="AI4" s="2" t="s">
        <v>26</v>
      </c>
      <c r="AJ4" s="2" t="s">
        <v>27</v>
      </c>
      <c r="AK4" s="3" t="s">
        <v>28</v>
      </c>
      <c r="AL4" s="4" t="s">
        <v>29</v>
      </c>
      <c r="AM4" s="5" t="s">
        <v>30</v>
      </c>
      <c r="AN4" s="4" t="s">
        <v>31</v>
      </c>
      <c r="AO4" s="5" t="s">
        <v>32</v>
      </c>
      <c r="AS4" s="2" t="s">
        <v>26</v>
      </c>
      <c r="AT4" s="2" t="s">
        <v>27</v>
      </c>
      <c r="AU4" s="3" t="s">
        <v>28</v>
      </c>
      <c r="AV4" s="4" t="s">
        <v>29</v>
      </c>
      <c r="AW4" s="5" t="s">
        <v>30</v>
      </c>
      <c r="AX4" s="4" t="s">
        <v>31</v>
      </c>
      <c r="AY4" s="5" t="s">
        <v>32</v>
      </c>
      <c r="BC4" s="2" t="s">
        <v>26</v>
      </c>
      <c r="BD4" s="2" t="s">
        <v>27</v>
      </c>
      <c r="BE4" s="3" t="s">
        <v>28</v>
      </c>
      <c r="BF4" s="4" t="s">
        <v>29</v>
      </c>
      <c r="BG4" s="5" t="s">
        <v>30</v>
      </c>
      <c r="BH4" s="4" t="s">
        <v>31</v>
      </c>
      <c r="BI4" s="5" t="s">
        <v>32</v>
      </c>
    </row>
    <row r="5" spans="1:61" ht="15" thickTop="1" x14ac:dyDescent="0.35">
      <c r="B5" s="33"/>
      <c r="C5" s="34" t="str">
        <f>UPPER(TEXT(C20,"MMMMMMMM"))</f>
        <v>AGOSTO</v>
      </c>
      <c r="D5" s="34" t="str">
        <f>UPPER(TEXT(E20,"MMMMMMMM"))</f>
        <v>SEPTIEMBRE</v>
      </c>
      <c r="E5" s="34" t="str">
        <f>UPPER(TEXT(G20,"MMMMMMMM"))</f>
        <v>OCTUBRE</v>
      </c>
      <c r="F5" s="34" t="str">
        <f>UPPER(TEXT(I20,"MMMMMMMM"))</f>
        <v>NOVIEMBRE</v>
      </c>
      <c r="G5" s="35"/>
      <c r="H5" s="36"/>
      <c r="I5" s="36"/>
      <c r="J5" s="1"/>
      <c r="K5" s="1"/>
      <c r="L5" s="1"/>
      <c r="M5" s="1"/>
      <c r="N5" s="1"/>
      <c r="O5" s="6">
        <v>44774</v>
      </c>
      <c r="P5" s="7">
        <v>14570.534283443982</v>
      </c>
      <c r="Q5" s="37">
        <v>1</v>
      </c>
      <c r="R5" s="8">
        <v>5486.1905761675171</v>
      </c>
      <c r="S5" s="8">
        <v>9084.3437072764646</v>
      </c>
      <c r="T5" s="8"/>
      <c r="U5" s="8"/>
      <c r="V5" s="32"/>
      <c r="W5" s="32"/>
      <c r="X5"/>
      <c r="Y5" s="6">
        <v>44805</v>
      </c>
      <c r="Z5" s="7">
        <v>14294.998774088232</v>
      </c>
      <c r="AA5" s="37">
        <v>1</v>
      </c>
      <c r="AB5" s="8">
        <v>5094.7350618248502</v>
      </c>
      <c r="AC5" s="8">
        <v>9200.2637122633805</v>
      </c>
      <c r="AD5" s="8"/>
      <c r="AE5" s="8"/>
      <c r="AF5"/>
      <c r="AG5" s="32"/>
      <c r="AH5"/>
      <c r="AI5" s="6">
        <v>44805</v>
      </c>
      <c r="AJ5" s="7">
        <v>14294.998774088232</v>
      </c>
      <c r="AK5" s="37">
        <v>1</v>
      </c>
      <c r="AL5" s="8">
        <v>5094.7350618248502</v>
      </c>
      <c r="AM5" s="8">
        <v>9200.2637122633805</v>
      </c>
      <c r="AN5" s="8"/>
      <c r="AO5" s="8"/>
      <c r="AS5" s="6">
        <v>44835</v>
      </c>
      <c r="AT5" s="7">
        <v>2495.6944320079547</v>
      </c>
      <c r="AU5" s="37">
        <v>0.17569521079272823</v>
      </c>
      <c r="AV5" s="8">
        <v>0</v>
      </c>
      <c r="AW5" s="8">
        <v>2495.6944320079547</v>
      </c>
      <c r="AX5" s="8"/>
      <c r="AY5" s="8"/>
      <c r="BC5" s="6">
        <v>44835</v>
      </c>
      <c r="BD5" s="7">
        <v>2495.6944320079547</v>
      </c>
      <c r="BE5" s="37">
        <v>0.17569521079272823</v>
      </c>
      <c r="BF5" s="8">
        <v>0</v>
      </c>
      <c r="BG5" s="8">
        <v>2495.6944320079547</v>
      </c>
      <c r="BH5" s="8"/>
      <c r="BI5" s="8"/>
    </row>
    <row r="6" spans="1:61" ht="14.5" x14ac:dyDescent="0.35">
      <c r="B6" s="38" t="s">
        <v>58</v>
      </c>
      <c r="C6" s="39" t="e">
        <f>C8/C7</f>
        <v>#DIV/0!</v>
      </c>
      <c r="D6" s="39">
        <f>D8/D7</f>
        <v>14294.998774088224</v>
      </c>
      <c r="E6" s="40" t="e">
        <f>E8/E7</f>
        <v>#REF!</v>
      </c>
      <c r="F6" s="39" t="e">
        <f>F8/F7</f>
        <v>#REF!</v>
      </c>
      <c r="H6" s="36"/>
      <c r="I6" s="36"/>
      <c r="J6" s="1"/>
      <c r="K6" s="1"/>
      <c r="L6" s="1"/>
      <c r="M6" s="1"/>
      <c r="N6" s="1"/>
      <c r="O6" s="6">
        <v>44775</v>
      </c>
      <c r="P6" s="7">
        <v>14570.534283443982</v>
      </c>
      <c r="Q6" s="37">
        <v>1</v>
      </c>
      <c r="R6" s="8">
        <v>5486.1905761675171</v>
      </c>
      <c r="S6" s="8">
        <v>9084.3437072764646</v>
      </c>
      <c r="T6" s="8"/>
      <c r="U6" s="8"/>
      <c r="V6" s="32"/>
      <c r="W6" s="32"/>
      <c r="X6"/>
      <c r="Y6" s="6">
        <v>44806</v>
      </c>
      <c r="Z6" s="7">
        <v>14294.998774088232</v>
      </c>
      <c r="AA6" s="37">
        <v>1</v>
      </c>
      <c r="AB6" s="8">
        <v>5094.7350618248502</v>
      </c>
      <c r="AC6" s="8">
        <v>9200.2637122633805</v>
      </c>
      <c r="AD6" s="8"/>
      <c r="AE6" s="8"/>
      <c r="AF6"/>
      <c r="AG6" s="32"/>
      <c r="AH6"/>
      <c r="AI6" s="6">
        <v>44806</v>
      </c>
      <c r="AJ6" s="7">
        <v>14294.998774088232</v>
      </c>
      <c r="AK6" s="37">
        <v>1</v>
      </c>
      <c r="AL6" s="8">
        <v>5094.7350618248502</v>
      </c>
      <c r="AM6" s="8">
        <v>9200.2637122633805</v>
      </c>
      <c r="AN6" s="8"/>
      <c r="AO6" s="8"/>
      <c r="AS6" s="6">
        <v>44836</v>
      </c>
      <c r="AT6" s="7">
        <v>0</v>
      </c>
      <c r="AU6" s="37">
        <v>0</v>
      </c>
      <c r="AV6" s="8">
        <v>0</v>
      </c>
      <c r="AW6" s="8">
        <v>0</v>
      </c>
      <c r="AX6" s="8"/>
      <c r="AY6" s="8"/>
      <c r="BC6" s="6">
        <v>44836</v>
      </c>
      <c r="BD6" s="7">
        <v>0</v>
      </c>
      <c r="BE6" s="37">
        <v>0</v>
      </c>
      <c r="BF6" s="8">
        <v>0</v>
      </c>
      <c r="BG6" s="8">
        <v>0</v>
      </c>
      <c r="BH6" s="8"/>
      <c r="BI6" s="8"/>
    </row>
    <row r="7" spans="1:61" ht="14.5" x14ac:dyDescent="0.35">
      <c r="B7" s="38" t="s">
        <v>59</v>
      </c>
      <c r="C7" s="41">
        <f>+SUMIF(O:O,"&gt;="&amp;$C12,Q:Q)</f>
        <v>0</v>
      </c>
      <c r="D7" s="41">
        <f>+SUMIF(Y:Y,"&gt;="&amp;$C12,AA:AA)</f>
        <v>21.577752771529902</v>
      </c>
      <c r="E7" s="41" t="e">
        <f>+SUMIF(#REF!,"&gt;="&amp;$C12,#REF!)</f>
        <v>#REF!</v>
      </c>
      <c r="F7" s="41" t="e">
        <f>+SUMIF(#REF!,"&gt;="&amp;$C12,#REF!)</f>
        <v>#REF!</v>
      </c>
      <c r="H7" s="1"/>
      <c r="I7" s="1"/>
      <c r="J7" s="1"/>
      <c r="K7" s="42"/>
      <c r="L7" s="1"/>
      <c r="M7" s="1"/>
      <c r="N7" s="1"/>
      <c r="O7" s="6">
        <v>44776</v>
      </c>
      <c r="P7" s="7">
        <v>14570.534283443982</v>
      </c>
      <c r="Q7" s="37">
        <v>1</v>
      </c>
      <c r="R7" s="8">
        <v>5486.1905761675171</v>
      </c>
      <c r="S7" s="8">
        <v>9084.3437072764646</v>
      </c>
      <c r="T7" s="8"/>
      <c r="U7" s="8"/>
      <c r="V7" s="32"/>
      <c r="W7" s="32"/>
      <c r="X7"/>
      <c r="Y7" s="6">
        <v>44807</v>
      </c>
      <c r="Z7" s="7">
        <v>9308.2866101553882</v>
      </c>
      <c r="AA7" s="37">
        <v>0.65115686662583094</v>
      </c>
      <c r="AB7" s="8">
        <v>2308.655728870548</v>
      </c>
      <c r="AC7" s="8">
        <v>6999.6308812848401</v>
      </c>
      <c r="AD7" s="8"/>
      <c r="AE7" s="8"/>
      <c r="AF7"/>
      <c r="AG7" s="32"/>
      <c r="AH7"/>
      <c r="AI7" s="6">
        <v>44807</v>
      </c>
      <c r="AJ7" s="7">
        <v>9308.2866101553882</v>
      </c>
      <c r="AK7" s="37">
        <v>0.65115686662583094</v>
      </c>
      <c r="AL7" s="8">
        <v>2308.655728870548</v>
      </c>
      <c r="AM7" s="8">
        <v>6999.6308812848401</v>
      </c>
      <c r="AN7" s="8"/>
      <c r="AO7" s="8"/>
      <c r="AS7" s="6">
        <v>44837</v>
      </c>
      <c r="AT7" s="7">
        <v>14204.681053897275</v>
      </c>
      <c r="AU7" s="37">
        <v>1</v>
      </c>
      <c r="AV7" s="8">
        <v>5456.681053897275</v>
      </c>
      <c r="AW7" s="8">
        <v>8748</v>
      </c>
      <c r="AX7" s="8"/>
      <c r="AY7" s="8"/>
      <c r="BC7" s="6">
        <v>44837</v>
      </c>
      <c r="BD7" s="7">
        <v>14204.681053897275</v>
      </c>
      <c r="BE7" s="37">
        <v>1</v>
      </c>
      <c r="BF7" s="8">
        <v>5456.681053897275</v>
      </c>
      <c r="BG7" s="8">
        <v>8748</v>
      </c>
      <c r="BH7" s="8"/>
      <c r="BI7" s="8"/>
    </row>
    <row r="8" spans="1:61" ht="14.5" x14ac:dyDescent="0.35">
      <c r="A8" s="36"/>
      <c r="B8" s="38" t="s">
        <v>60</v>
      </c>
      <c r="C8" s="43">
        <f>+SUMIF(O:O,"&gt;="&amp;$C$12,P:P)</f>
        <v>0</v>
      </c>
      <c r="D8" s="39">
        <f>+SUMIF(Y:Y,"&gt;="&amp;$C12,Z:Z)</f>
        <v>308453.94941659871</v>
      </c>
      <c r="E8" s="39" t="e">
        <f>+SUMIF(#REF!,"&gt;="&amp;$C12,#REF!)</f>
        <v>#REF!</v>
      </c>
      <c r="F8" s="39" t="e">
        <f>+SUMIF(#REF!,"&gt;="&amp;$C12,#REF!)</f>
        <v>#REF!</v>
      </c>
      <c r="H8" s="44"/>
      <c r="I8" s="36"/>
      <c r="J8" s="36"/>
      <c r="K8" s="1"/>
      <c r="L8" s="1"/>
      <c r="M8" s="1"/>
      <c r="N8" s="1"/>
      <c r="O8" s="6">
        <v>44777</v>
      </c>
      <c r="P8" s="7">
        <v>14570.534283443982</v>
      </c>
      <c r="Q8" s="37">
        <v>1</v>
      </c>
      <c r="R8" s="8">
        <v>5486.1905761675171</v>
      </c>
      <c r="S8" s="8">
        <v>9084.3437072764646</v>
      </c>
      <c r="T8" s="8"/>
      <c r="U8" s="8"/>
      <c r="V8" s="32"/>
      <c r="W8" s="32"/>
      <c r="X8"/>
      <c r="Y8" s="6">
        <v>44808</v>
      </c>
      <c r="Z8" s="7">
        <v>0</v>
      </c>
      <c r="AA8" s="37">
        <v>0</v>
      </c>
      <c r="AB8" s="8">
        <v>0</v>
      </c>
      <c r="AC8" s="8">
        <v>0</v>
      </c>
      <c r="AD8" s="8"/>
      <c r="AE8" s="8"/>
      <c r="AF8"/>
      <c r="AG8" s="32"/>
      <c r="AH8"/>
      <c r="AI8" s="6">
        <v>44808</v>
      </c>
      <c r="AJ8" s="7">
        <v>0</v>
      </c>
      <c r="AK8" s="37">
        <v>0</v>
      </c>
      <c r="AL8" s="8">
        <v>0</v>
      </c>
      <c r="AM8" s="8">
        <v>0</v>
      </c>
      <c r="AN8" s="8"/>
      <c r="AO8" s="8"/>
      <c r="AS8" s="6">
        <v>44838</v>
      </c>
      <c r="AT8" s="7">
        <v>14204.681053897275</v>
      </c>
      <c r="AU8" s="37">
        <v>1</v>
      </c>
      <c r="AV8" s="8">
        <v>5456.681053897275</v>
      </c>
      <c r="AW8" s="8">
        <v>8748</v>
      </c>
      <c r="AX8" s="8"/>
      <c r="AY8" s="8"/>
      <c r="BC8" s="6">
        <v>44838</v>
      </c>
      <c r="BD8" s="7">
        <v>14204.681053897275</v>
      </c>
      <c r="BE8" s="37">
        <v>1</v>
      </c>
      <c r="BF8" s="8">
        <v>5456.681053897275</v>
      </c>
      <c r="BG8" s="8">
        <v>8748</v>
      </c>
      <c r="BH8" s="8"/>
      <c r="BI8" s="8"/>
    </row>
    <row r="9" spans="1:61" ht="14.5" x14ac:dyDescent="0.35">
      <c r="B9" s="38" t="s">
        <v>61</v>
      </c>
      <c r="C9" s="45">
        <v>932</v>
      </c>
      <c r="D9" s="46">
        <v>941.95</v>
      </c>
      <c r="E9" s="46">
        <f>D$9</f>
        <v>941.95</v>
      </c>
      <c r="F9" s="46">
        <f>E$9</f>
        <v>941.95</v>
      </c>
      <c r="H9" s="1"/>
      <c r="I9" s="1"/>
      <c r="J9" s="1"/>
      <c r="K9" s="1"/>
      <c r="L9" s="1"/>
      <c r="M9" s="1"/>
      <c r="N9" s="1"/>
      <c r="O9" s="6">
        <v>44778</v>
      </c>
      <c r="P9" s="7">
        <v>14570.534283443982</v>
      </c>
      <c r="Q9" s="37">
        <v>1</v>
      </c>
      <c r="R9" s="8">
        <v>5486.1905761675171</v>
      </c>
      <c r="S9" s="8">
        <v>9084.3437072764646</v>
      </c>
      <c r="T9" s="8"/>
      <c r="U9" s="8"/>
      <c r="V9" s="32"/>
      <c r="W9" s="32"/>
      <c r="X9"/>
      <c r="Y9" s="6">
        <v>44809</v>
      </c>
      <c r="Z9" s="7">
        <v>14294.998774088232</v>
      </c>
      <c r="AA9" s="37">
        <v>1</v>
      </c>
      <c r="AB9" s="8">
        <v>5094.7350618248502</v>
      </c>
      <c r="AC9" s="8">
        <v>9200.2637122633805</v>
      </c>
      <c r="AD9" s="8"/>
      <c r="AE9" s="8"/>
      <c r="AF9"/>
      <c r="AG9" s="32"/>
      <c r="AH9"/>
      <c r="AI9" s="6">
        <v>44809</v>
      </c>
      <c r="AJ9" s="7">
        <v>14294.998774088232</v>
      </c>
      <c r="AK9" s="37">
        <v>1</v>
      </c>
      <c r="AL9" s="8">
        <v>5094.7350618248502</v>
      </c>
      <c r="AM9" s="8">
        <v>9200.2637122633805</v>
      </c>
      <c r="AN9" s="8"/>
      <c r="AO9" s="8"/>
      <c r="AS9" s="6">
        <v>44839</v>
      </c>
      <c r="AT9" s="7">
        <v>14204.681053897275</v>
      </c>
      <c r="AU9" s="37">
        <v>1</v>
      </c>
      <c r="AV9" s="8">
        <v>5456.681053897275</v>
      </c>
      <c r="AW9" s="8">
        <v>8748</v>
      </c>
      <c r="AX9" s="8"/>
      <c r="AY9" s="8"/>
      <c r="BC9" s="6">
        <v>44839</v>
      </c>
      <c r="BD9" s="7">
        <v>14204.681053897275</v>
      </c>
      <c r="BE9" s="37">
        <v>1</v>
      </c>
      <c r="BF9" s="8">
        <v>5456.681053897275</v>
      </c>
      <c r="BG9" s="8">
        <v>8748</v>
      </c>
      <c r="BH9" s="8"/>
      <c r="BI9" s="8"/>
    </row>
    <row r="10" spans="1:61" ht="14.5" x14ac:dyDescent="0.35">
      <c r="D10" s="44"/>
      <c r="M10" s="1"/>
      <c r="N10" s="1"/>
      <c r="O10" s="6">
        <v>44779</v>
      </c>
      <c r="P10" s="7">
        <v>4959.6610870689619</v>
      </c>
      <c r="Q10" s="37">
        <v>0.3403897887742155</v>
      </c>
      <c r="R10" s="8">
        <v>2406.2239369155773</v>
      </c>
      <c r="S10" s="8">
        <v>2553.4371501533842</v>
      </c>
      <c r="T10" s="8"/>
      <c r="U10" s="8"/>
      <c r="V10" s="32"/>
      <c r="W10" s="32"/>
      <c r="X10"/>
      <c r="Y10" s="6">
        <v>44810</v>
      </c>
      <c r="Z10" s="7">
        <v>14294.998774088232</v>
      </c>
      <c r="AA10" s="37">
        <v>1</v>
      </c>
      <c r="AB10" s="8">
        <v>5094.7350618248502</v>
      </c>
      <c r="AC10" s="8">
        <v>9200.2637122633805</v>
      </c>
      <c r="AD10" s="8"/>
      <c r="AE10" s="8"/>
      <c r="AF10"/>
      <c r="AG10" s="32"/>
      <c r="AH10"/>
      <c r="AI10" s="6">
        <v>44810</v>
      </c>
      <c r="AJ10" s="7">
        <v>14294.998774088232</v>
      </c>
      <c r="AK10" s="37">
        <v>1</v>
      </c>
      <c r="AL10" s="8">
        <v>5094.7350618248502</v>
      </c>
      <c r="AM10" s="8">
        <v>9200.2637122633805</v>
      </c>
      <c r="AN10" s="8"/>
      <c r="AO10" s="8"/>
      <c r="AS10" s="6">
        <v>44840</v>
      </c>
      <c r="AT10" s="7">
        <v>14204.681053897275</v>
      </c>
      <c r="AU10" s="37">
        <v>1</v>
      </c>
      <c r="AV10" s="8">
        <v>5456.681053897275</v>
      </c>
      <c r="AW10" s="8">
        <v>8748</v>
      </c>
      <c r="AX10" s="8"/>
      <c r="AY10" s="8"/>
      <c r="BC10" s="6">
        <v>44840</v>
      </c>
      <c r="BD10" s="7">
        <v>14204.681053897275</v>
      </c>
      <c r="BE10" s="37">
        <v>1</v>
      </c>
      <c r="BF10" s="8">
        <v>5456.681053897275</v>
      </c>
      <c r="BG10" s="8">
        <v>8748</v>
      </c>
      <c r="BH10" s="8"/>
      <c r="BI10" s="8"/>
    </row>
    <row r="11" spans="1:61" ht="14.5" x14ac:dyDescent="0.35">
      <c r="D11" s="36"/>
      <c r="G11" s="34" t="s">
        <v>62</v>
      </c>
      <c r="H11" s="34" t="s">
        <v>63</v>
      </c>
      <c r="I11" s="34" t="s">
        <v>31</v>
      </c>
      <c r="J11" s="34" t="s">
        <v>64</v>
      </c>
      <c r="K11" s="34" t="s">
        <v>65</v>
      </c>
      <c r="L11" s="1"/>
      <c r="M11" s="1"/>
      <c r="N11" s="1"/>
      <c r="O11" s="6">
        <v>44780</v>
      </c>
      <c r="P11" s="7">
        <v>0</v>
      </c>
      <c r="Q11" s="37">
        <v>0</v>
      </c>
      <c r="R11" s="8">
        <v>0</v>
      </c>
      <c r="S11" s="8">
        <v>0</v>
      </c>
      <c r="T11" s="8"/>
      <c r="U11" s="8"/>
      <c r="V11" s="32"/>
      <c r="W11" s="32"/>
      <c r="X11"/>
      <c r="Y11" s="6">
        <v>44811</v>
      </c>
      <c r="Z11" s="7">
        <v>14294.998774088232</v>
      </c>
      <c r="AA11" s="37">
        <v>1</v>
      </c>
      <c r="AB11" s="8">
        <v>5094.7350618248502</v>
      </c>
      <c r="AC11" s="8">
        <v>9200.2637122633805</v>
      </c>
      <c r="AD11" s="8"/>
      <c r="AE11" s="8"/>
      <c r="AF11"/>
      <c r="AG11" s="32"/>
      <c r="AH11"/>
      <c r="AI11" s="6">
        <v>44811</v>
      </c>
      <c r="AJ11" s="7">
        <v>14294.998774088232</v>
      </c>
      <c r="AK11" s="37">
        <v>1</v>
      </c>
      <c r="AL11" s="8">
        <v>5094.7350618248502</v>
      </c>
      <c r="AM11" s="8">
        <v>9200.2637122633805</v>
      </c>
      <c r="AN11" s="8"/>
      <c r="AO11" s="8"/>
      <c r="AS11" s="6">
        <v>44841</v>
      </c>
      <c r="AT11" s="7">
        <v>14204.681053897275</v>
      </c>
      <c r="AU11" s="37">
        <v>1</v>
      </c>
      <c r="AV11" s="8">
        <v>5456.681053897275</v>
      </c>
      <c r="AW11" s="8">
        <v>8748</v>
      </c>
      <c r="AX11" s="8"/>
      <c r="AY11" s="8"/>
      <c r="BC11" s="6">
        <v>44841</v>
      </c>
      <c r="BD11" s="7">
        <v>14204.681053897275</v>
      </c>
      <c r="BE11" s="37">
        <v>1</v>
      </c>
      <c r="BF11" s="8">
        <v>5456.681053897275</v>
      </c>
      <c r="BG11" s="8">
        <v>8748</v>
      </c>
      <c r="BH11" s="8"/>
      <c r="BI11" s="8"/>
    </row>
    <row r="12" spans="1:61" ht="14.5" x14ac:dyDescent="0.35">
      <c r="B12" s="47" t="s">
        <v>66</v>
      </c>
      <c r="C12" s="48">
        <v>44804.999305555553</v>
      </c>
      <c r="E12" s="38" t="str">
        <f>"Peso GO"&amp;" "&amp;C5</f>
        <v>Peso GO AGOSTO</v>
      </c>
      <c r="F12" s="49" t="e">
        <f>(+G12*(C28)+H12*(C29)+I12*(C30)+J12*(C31))/(C32)</f>
        <v>#DIV/0!</v>
      </c>
      <c r="G12" s="50">
        <v>131.63</v>
      </c>
      <c r="H12" s="50">
        <v>132.16</v>
      </c>
      <c r="I12" s="51"/>
      <c r="J12" s="51"/>
      <c r="K12" s="52">
        <f>IFERROR((I12*C30+J12*C31)/(C30+C31),AVERAGE(G12:H12))</f>
        <v>131.89499999999998</v>
      </c>
      <c r="L12" s="1"/>
      <c r="M12" s="1"/>
      <c r="N12" s="1"/>
      <c r="O12" s="6">
        <v>44781</v>
      </c>
      <c r="P12" s="7">
        <v>14570.534283443982</v>
      </c>
      <c r="Q12" s="37">
        <v>1</v>
      </c>
      <c r="R12" s="8">
        <v>5486.1905761675171</v>
      </c>
      <c r="S12" s="8">
        <v>9084.3437072764646</v>
      </c>
      <c r="T12" s="8"/>
      <c r="U12" s="8"/>
      <c r="V12" s="32"/>
      <c r="W12" s="32"/>
      <c r="X12"/>
      <c r="Y12" s="6">
        <v>44812</v>
      </c>
      <c r="Z12" s="7">
        <v>14294.998774088232</v>
      </c>
      <c r="AA12" s="37">
        <v>1</v>
      </c>
      <c r="AB12" s="8">
        <v>5094.7350618248502</v>
      </c>
      <c r="AC12" s="8">
        <v>9200.2637122633805</v>
      </c>
      <c r="AD12" s="8"/>
      <c r="AE12" s="8"/>
      <c r="AF12"/>
      <c r="AG12" s="32"/>
      <c r="AH12"/>
      <c r="AI12" s="6">
        <v>44812</v>
      </c>
      <c r="AJ12" s="7">
        <v>14294.998774088232</v>
      </c>
      <c r="AK12" s="37">
        <v>1</v>
      </c>
      <c r="AL12" s="8">
        <v>5094.7350618248502</v>
      </c>
      <c r="AM12" s="8">
        <v>9200.2637122633805</v>
      </c>
      <c r="AN12" s="8"/>
      <c r="AO12" s="8"/>
      <c r="AS12" s="6">
        <v>44842</v>
      </c>
      <c r="AT12" s="7">
        <v>4888.9755959979875</v>
      </c>
      <c r="AU12" s="37">
        <v>0.34418059634338788</v>
      </c>
      <c r="AV12" s="8">
        <v>2393.2811639900328</v>
      </c>
      <c r="AW12" s="8">
        <v>2495.6944320079547</v>
      </c>
      <c r="AX12" s="8"/>
      <c r="AY12" s="8"/>
      <c r="BC12" s="6">
        <v>44842</v>
      </c>
      <c r="BD12" s="7">
        <v>4888.9755959979875</v>
      </c>
      <c r="BE12" s="37">
        <v>0.34418059634338788</v>
      </c>
      <c r="BF12" s="8">
        <v>2393.2811639900328</v>
      </c>
      <c r="BG12" s="8">
        <v>2495.6944320079547</v>
      </c>
      <c r="BH12" s="8"/>
      <c r="BI12" s="8"/>
    </row>
    <row r="13" spans="1:61" ht="14.5" x14ac:dyDescent="0.35">
      <c r="B13" s="53" t="s">
        <v>67</v>
      </c>
      <c r="C13" s="54">
        <f>MONTH(C12)</f>
        <v>8</v>
      </c>
      <c r="D13" s="55"/>
      <c r="E13" s="38" t="str">
        <f>"Peso GO"&amp;" "&amp;D5</f>
        <v>Peso GO SEPTIEMBRE</v>
      </c>
      <c r="F13" s="56">
        <f>(+G13*(D28+E28)+H13*(D29+E29)+I13*(D30+E30)+J13*(D31+E31))/(D32+E32)</f>
        <v>130.49606672698334</v>
      </c>
      <c r="G13" s="50">
        <v>130.30627153982709</v>
      </c>
      <c r="H13" s="50">
        <v>130.85778538813341</v>
      </c>
      <c r="I13" s="51"/>
      <c r="J13" s="51"/>
      <c r="K13" s="52">
        <f>IFERROR((I13*($D$30+$E$30)+J13*($D$31+$E$31))/SUM($D$30:$E$31),AVERAGE(G13:H13))</f>
        <v>130.58202846398024</v>
      </c>
      <c r="L13" s="1"/>
      <c r="M13" s="1"/>
      <c r="N13" s="1"/>
      <c r="O13" s="6">
        <v>44782</v>
      </c>
      <c r="P13" s="7">
        <v>14570.534283443982</v>
      </c>
      <c r="Q13" s="37">
        <v>1</v>
      </c>
      <c r="R13" s="8">
        <v>5486.1905761675171</v>
      </c>
      <c r="S13" s="8">
        <v>9084.3437072764646</v>
      </c>
      <c r="T13" s="8"/>
      <c r="U13" s="8"/>
      <c r="V13" s="32"/>
      <c r="W13" s="32"/>
      <c r="X13" s="19" t="s">
        <v>68</v>
      </c>
      <c r="Y13" s="6">
        <v>44813</v>
      </c>
      <c r="Z13" s="7">
        <v>14294.998774088232</v>
      </c>
      <c r="AA13" s="37">
        <v>1</v>
      </c>
      <c r="AB13" s="8">
        <v>5094.7350618248502</v>
      </c>
      <c r="AC13" s="8">
        <v>9200.2637122633805</v>
      </c>
      <c r="AD13" s="8"/>
      <c r="AE13" s="8"/>
      <c r="AF13"/>
      <c r="AG13" s="32"/>
      <c r="AH13"/>
      <c r="AI13" s="6">
        <v>44813</v>
      </c>
      <c r="AJ13" s="7">
        <v>14294.998774088232</v>
      </c>
      <c r="AK13" s="37">
        <v>1</v>
      </c>
      <c r="AL13" s="8">
        <v>5094.7350618248502</v>
      </c>
      <c r="AM13" s="8">
        <v>9200.2637122633805</v>
      </c>
      <c r="AN13" s="8"/>
      <c r="AO13" s="8"/>
      <c r="AS13" s="6">
        <v>44843</v>
      </c>
      <c r="AT13" s="7">
        <v>0</v>
      </c>
      <c r="AU13" s="37">
        <v>0</v>
      </c>
      <c r="AV13" s="8">
        <v>0</v>
      </c>
      <c r="AW13" s="8">
        <v>0</v>
      </c>
      <c r="AX13" s="8"/>
      <c r="AY13" s="8"/>
      <c r="BC13" s="6">
        <v>44843</v>
      </c>
      <c r="BD13" s="7">
        <v>0</v>
      </c>
      <c r="BE13" s="37">
        <v>0</v>
      </c>
      <c r="BF13" s="8">
        <v>0</v>
      </c>
      <c r="BG13" s="8">
        <v>0</v>
      </c>
      <c r="BH13" s="8"/>
      <c r="BI13" s="8"/>
    </row>
    <row r="14" spans="1:61" ht="15" thickBot="1" x14ac:dyDescent="0.4">
      <c r="B14" s="57" t="s">
        <v>69</v>
      </c>
      <c r="C14" s="58">
        <f>IF(C13&lt;12,C13+1,C13-11)</f>
        <v>9</v>
      </c>
      <c r="E14" s="38" t="str">
        <f>"Peso GO"&amp;" "&amp;E5</f>
        <v>Peso GO OCTUBRE</v>
      </c>
      <c r="F14" s="56" t="e">
        <f>(+G14*(F28+G28)+H14*(F29+G29)+I14*(F30+G30)+J14*(F31+G31))/(F32+G32)</f>
        <v>#REF!</v>
      </c>
      <c r="G14" s="50">
        <v>128.54</v>
      </c>
      <c r="H14" s="50">
        <v>129.84</v>
      </c>
      <c r="I14" s="51"/>
      <c r="J14" s="51"/>
      <c r="K14" s="52">
        <f>IFERROR((I14*($F$30+$G$30)+J14*($F$31+$G$31))/SUM($F$30:$G$31),AVERAGE(G14:H14))</f>
        <v>129.19</v>
      </c>
      <c r="L14" s="1"/>
      <c r="M14" s="1"/>
      <c r="N14" s="1"/>
      <c r="O14" s="6">
        <v>44783</v>
      </c>
      <c r="P14" s="7">
        <v>14570.534283443982</v>
      </c>
      <c r="Q14" s="37">
        <v>1</v>
      </c>
      <c r="R14" s="8">
        <v>5486.1905761675171</v>
      </c>
      <c r="S14" s="8">
        <v>9084.3437072764646</v>
      </c>
      <c r="T14" s="8"/>
      <c r="U14" s="8"/>
      <c r="V14" s="32"/>
      <c r="W14" s="32"/>
      <c r="X14" s="18" t="s">
        <v>33</v>
      </c>
      <c r="Y14" s="6">
        <v>44814</v>
      </c>
      <c r="Z14" s="7">
        <v>9308.2866101553882</v>
      </c>
      <c r="AA14" s="37">
        <v>0.65115686662583094</v>
      </c>
      <c r="AB14" s="8">
        <v>2308.655728870548</v>
      </c>
      <c r="AC14" s="8">
        <v>6999.6308812848401</v>
      </c>
      <c r="AD14" s="8"/>
      <c r="AE14" s="8"/>
      <c r="AF14"/>
      <c r="AG14" s="32"/>
      <c r="AH14"/>
      <c r="AI14" s="6">
        <v>44814</v>
      </c>
      <c r="AJ14" s="7">
        <v>9308.2866101553882</v>
      </c>
      <c r="AK14" s="37">
        <v>0.65115686662583094</v>
      </c>
      <c r="AL14" s="8">
        <v>2308.655728870548</v>
      </c>
      <c r="AM14" s="8">
        <v>6999.6308812848401</v>
      </c>
      <c r="AN14" s="8"/>
      <c r="AO14" s="8"/>
      <c r="AS14" s="6">
        <v>44844</v>
      </c>
      <c r="AT14" s="7">
        <v>0</v>
      </c>
      <c r="AU14" s="37">
        <v>0</v>
      </c>
      <c r="AV14" s="8">
        <v>0</v>
      </c>
      <c r="AW14" s="8">
        <v>0</v>
      </c>
      <c r="AX14" s="8"/>
      <c r="AY14" s="8"/>
      <c r="BC14" s="6">
        <v>44844</v>
      </c>
      <c r="BD14" s="7">
        <v>0</v>
      </c>
      <c r="BE14" s="37">
        <v>0</v>
      </c>
      <c r="BF14" s="8">
        <v>0</v>
      </c>
      <c r="BG14" s="8">
        <v>0</v>
      </c>
      <c r="BH14" s="8"/>
      <c r="BI14" s="8"/>
    </row>
    <row r="15" spans="1:61" ht="15" thickBot="1" x14ac:dyDescent="0.4">
      <c r="B15" s="59" t="s">
        <v>70</v>
      </c>
      <c r="C15" s="60">
        <f>+Días_Q2/SUMIFS($Q$5:$Q$35,O5:O35,"&gt;"&amp;DATE(YEAR(C12),MONTH(C12),15))</f>
        <v>0</v>
      </c>
      <c r="D15" s="55"/>
      <c r="E15" s="38" t="str">
        <f>"Peso GO"&amp;" "&amp;F5</f>
        <v>Peso GO NOVIEMBRE</v>
      </c>
      <c r="F15" s="56" t="e">
        <f>(+G15*(H28+I28)+H15*(H29+I29)+I15*(H30+I30)+J15*(H31+I31))/(H32+I32)</f>
        <v>#REF!</v>
      </c>
      <c r="G15" s="50">
        <v>126.81791690122681</v>
      </c>
      <c r="H15" s="50">
        <v>128.61804862535311</v>
      </c>
      <c r="I15" s="51"/>
      <c r="J15" s="51"/>
      <c r="K15" s="52">
        <f>IFERROR((I15*($H$30+$I$30)+J15*($H$31+$I$31))/SUM($H$30:$I$31),AVERAGE(G15:H15))</f>
        <v>127.71798276328997</v>
      </c>
      <c r="L15" s="1"/>
      <c r="M15" s="1"/>
      <c r="N15" s="1"/>
      <c r="O15" s="6">
        <v>44784</v>
      </c>
      <c r="P15" s="7">
        <v>14570.534283443982</v>
      </c>
      <c r="Q15" s="37">
        <v>1</v>
      </c>
      <c r="R15" s="8">
        <v>5486.1905761675171</v>
      </c>
      <c r="S15" s="8">
        <v>9084.3437072764646</v>
      </c>
      <c r="T15" s="8"/>
      <c r="U15" s="8"/>
      <c r="V15" s="32"/>
      <c r="W15" s="32"/>
      <c r="X15" s="18" t="s">
        <v>34</v>
      </c>
      <c r="Y15" s="6">
        <v>44815</v>
      </c>
      <c r="Z15" s="7">
        <v>0</v>
      </c>
      <c r="AA15" s="37">
        <v>0</v>
      </c>
      <c r="AB15" s="8">
        <v>0</v>
      </c>
      <c r="AC15" s="8">
        <v>0</v>
      </c>
      <c r="AD15" s="8"/>
      <c r="AE15" s="8"/>
      <c r="AF15"/>
      <c r="AG15" s="32"/>
      <c r="AH15"/>
      <c r="AI15" s="6">
        <v>44815</v>
      </c>
      <c r="AJ15" s="7">
        <v>0</v>
      </c>
      <c r="AK15" s="37">
        <v>0</v>
      </c>
      <c r="AL15" s="8">
        <v>0</v>
      </c>
      <c r="AM15" s="8">
        <v>0</v>
      </c>
      <c r="AN15" s="8"/>
      <c r="AO15" s="8"/>
      <c r="AS15" s="6">
        <v>44845</v>
      </c>
      <c r="AT15" s="7">
        <v>14204.681053897275</v>
      </c>
      <c r="AU15" s="37">
        <v>1</v>
      </c>
      <c r="AV15" s="8">
        <v>5456.681053897275</v>
      </c>
      <c r="AW15" s="8">
        <v>8748</v>
      </c>
      <c r="AX15" s="8"/>
      <c r="AY15" s="8"/>
      <c r="BC15" s="6">
        <v>44845</v>
      </c>
      <c r="BD15" s="7">
        <v>14204.681053897275</v>
      </c>
      <c r="BE15" s="37">
        <v>1</v>
      </c>
      <c r="BF15" s="8">
        <v>5456.681053897275</v>
      </c>
      <c r="BG15" s="8">
        <v>8748</v>
      </c>
      <c r="BH15" s="8"/>
      <c r="BI15" s="8"/>
    </row>
    <row r="16" spans="1:61" ht="14.5" x14ac:dyDescent="0.35">
      <c r="H16" s="1"/>
      <c r="I16" s="1"/>
      <c r="J16" s="1"/>
      <c r="K16" s="1"/>
      <c r="L16" s="1"/>
      <c r="M16" s="1"/>
      <c r="N16" s="1"/>
      <c r="O16" s="6">
        <v>44785</v>
      </c>
      <c r="P16" s="7">
        <v>14570.534283443982</v>
      </c>
      <c r="Q16" s="37">
        <v>1</v>
      </c>
      <c r="R16" s="8">
        <v>5486.1905761675171</v>
      </c>
      <c r="S16" s="8">
        <v>9084.3437072764646</v>
      </c>
      <c r="T16" s="8"/>
      <c r="U16" s="8"/>
      <c r="V16" s="32"/>
      <c r="W16" s="17"/>
      <c r="X16" s="17"/>
      <c r="Y16" s="6">
        <v>44816</v>
      </c>
      <c r="Z16" s="7">
        <v>14294.998774088232</v>
      </c>
      <c r="AA16" s="37">
        <v>1</v>
      </c>
      <c r="AB16" s="8">
        <v>5094.7350618248502</v>
      </c>
      <c r="AC16" s="8">
        <v>9200.2637122633805</v>
      </c>
      <c r="AD16" s="8"/>
      <c r="AE16" s="8"/>
      <c r="AF16"/>
      <c r="AG16" s="17"/>
      <c r="AH16"/>
      <c r="AI16" s="6">
        <v>44816</v>
      </c>
      <c r="AJ16" s="7">
        <v>14294.998774088232</v>
      </c>
      <c r="AK16" s="37">
        <v>1</v>
      </c>
      <c r="AL16" s="8">
        <v>5094.7350618248502</v>
      </c>
      <c r="AM16" s="8">
        <v>9200.2637122633805</v>
      </c>
      <c r="AN16" s="8"/>
      <c r="AO16" s="8"/>
      <c r="AS16" s="6">
        <v>44846</v>
      </c>
      <c r="AT16" s="7">
        <v>14204.681053897275</v>
      </c>
      <c r="AU16" s="37">
        <v>1</v>
      </c>
      <c r="AV16" s="8">
        <v>5456.681053897275</v>
      </c>
      <c r="AW16" s="8">
        <v>8748</v>
      </c>
      <c r="AX16" s="8"/>
      <c r="AY16" s="8"/>
      <c r="BC16" s="6">
        <v>44846</v>
      </c>
      <c r="BD16" s="7">
        <v>14204.681053897275</v>
      </c>
      <c r="BE16" s="37">
        <v>1</v>
      </c>
      <c r="BF16" s="8">
        <v>5456.681053897275</v>
      </c>
      <c r="BG16" s="8">
        <v>8748</v>
      </c>
      <c r="BH16" s="8"/>
      <c r="BI16" s="8"/>
    </row>
    <row r="17" spans="1:61" ht="14.5" x14ac:dyDescent="0.35">
      <c r="B17" s="61" t="s">
        <v>71</v>
      </c>
      <c r="C17" s="62"/>
      <c r="D17" s="62"/>
      <c r="E17" s="62"/>
      <c r="F17" s="62"/>
      <c r="G17" s="63"/>
      <c r="H17" s="1"/>
      <c r="I17" s="1"/>
      <c r="J17" s="1"/>
      <c r="K17" s="1"/>
      <c r="L17" s="1"/>
      <c r="M17" s="1"/>
      <c r="N17" s="1"/>
      <c r="O17" s="6">
        <v>44786</v>
      </c>
      <c r="P17" s="7">
        <v>4959.6610870689619</v>
      </c>
      <c r="Q17" s="37">
        <v>0.3403897887742155</v>
      </c>
      <c r="R17" s="8">
        <v>2406.2239369155773</v>
      </c>
      <c r="S17" s="8">
        <v>2553.4371501533842</v>
      </c>
      <c r="T17" s="8"/>
      <c r="U17" s="8"/>
      <c r="V17" s="32"/>
      <c r="W17" s="17"/>
      <c r="X17" s="19" t="s">
        <v>36</v>
      </c>
      <c r="Y17" s="6">
        <v>44817</v>
      </c>
      <c r="Z17" s="7">
        <v>14294.998774088232</v>
      </c>
      <c r="AA17" s="37">
        <v>1</v>
      </c>
      <c r="AB17" s="8">
        <v>5094.7350618248502</v>
      </c>
      <c r="AC17" s="8">
        <v>9200.2637122633805</v>
      </c>
      <c r="AD17" s="8"/>
      <c r="AE17" s="8"/>
      <c r="AF17"/>
      <c r="AG17" s="19" t="s">
        <v>72</v>
      </c>
      <c r="AH17" s="18" t="s">
        <v>33</v>
      </c>
      <c r="AI17" s="6">
        <v>44817</v>
      </c>
      <c r="AJ17" s="7">
        <v>14294.998774088232</v>
      </c>
      <c r="AK17" s="37">
        <v>1</v>
      </c>
      <c r="AL17" s="8">
        <v>5094.7350618248502</v>
      </c>
      <c r="AM17" s="8">
        <v>9200.2637122633805</v>
      </c>
      <c r="AN17" s="8"/>
      <c r="AO17" s="8"/>
      <c r="AQ17" s="17"/>
      <c r="AR17"/>
      <c r="AS17" s="6">
        <v>44847</v>
      </c>
      <c r="AT17" s="7">
        <v>14204.681053897275</v>
      </c>
      <c r="AU17" s="37">
        <v>1</v>
      </c>
      <c r="AV17" s="8">
        <v>5456.681053897275</v>
      </c>
      <c r="AW17" s="8">
        <v>8748</v>
      </c>
      <c r="AX17" s="8"/>
      <c r="AY17" s="8"/>
      <c r="BA17" s="17"/>
      <c r="BB17"/>
      <c r="BC17" s="6">
        <v>44847</v>
      </c>
      <c r="BD17" s="7">
        <v>14204.681053897275</v>
      </c>
      <c r="BE17" s="37">
        <v>1</v>
      </c>
      <c r="BF17" s="8">
        <v>5456.681053897275</v>
      </c>
      <c r="BG17" s="8">
        <v>8748</v>
      </c>
      <c r="BH17" s="8"/>
      <c r="BI17" s="8"/>
    </row>
    <row r="18" spans="1:61" ht="14.5" x14ac:dyDescent="0.35">
      <c r="A18" s="64"/>
      <c r="B18" s="65" t="s">
        <v>73</v>
      </c>
      <c r="C18" s="66"/>
      <c r="D18" s="66"/>
      <c r="E18" s="67"/>
      <c r="F18" s="68" t="s">
        <v>74</v>
      </c>
      <c r="G18" s="69"/>
      <c r="H18" s="1"/>
      <c r="I18" s="1"/>
      <c r="J18" s="1"/>
      <c r="K18" s="1"/>
      <c r="L18" s="1"/>
      <c r="M18" s="1"/>
      <c r="N18" s="1"/>
      <c r="O18" s="6">
        <v>44787</v>
      </c>
      <c r="P18" s="7">
        <v>0</v>
      </c>
      <c r="Q18" s="37">
        <v>0</v>
      </c>
      <c r="R18" s="8">
        <v>0</v>
      </c>
      <c r="S18" s="8">
        <v>0</v>
      </c>
      <c r="T18" s="8"/>
      <c r="U18" s="8"/>
      <c r="V18" s="32"/>
      <c r="W18" s="17"/>
      <c r="X18" s="17"/>
      <c r="Y18" s="6">
        <v>44818</v>
      </c>
      <c r="Z18" s="7">
        <v>14294.998774088232</v>
      </c>
      <c r="AA18" s="37">
        <v>1</v>
      </c>
      <c r="AB18" s="8">
        <v>5094.7350618248502</v>
      </c>
      <c r="AC18" s="8">
        <v>9200.2637122633805</v>
      </c>
      <c r="AD18" s="8"/>
      <c r="AE18" s="8"/>
      <c r="AF18"/>
      <c r="AG18" s="17"/>
      <c r="AH18"/>
      <c r="AI18" s="6">
        <v>44818</v>
      </c>
      <c r="AJ18" s="7">
        <v>14294.998774088232</v>
      </c>
      <c r="AK18" s="37">
        <v>1</v>
      </c>
      <c r="AL18" s="8">
        <v>5094.7350618248502</v>
      </c>
      <c r="AM18" s="8">
        <v>9200.2637122633805</v>
      </c>
      <c r="AN18" s="8"/>
      <c r="AO18" s="8"/>
      <c r="AQ18" s="17"/>
      <c r="AR18"/>
      <c r="AS18" s="6">
        <v>44848</v>
      </c>
      <c r="AT18" s="7">
        <v>14204.681053897275</v>
      </c>
      <c r="AU18" s="37">
        <v>1</v>
      </c>
      <c r="AV18" s="8">
        <v>5456.681053897275</v>
      </c>
      <c r="AW18" s="8">
        <v>8748</v>
      </c>
      <c r="AX18" s="8"/>
      <c r="AY18" s="8"/>
      <c r="BA18" s="17"/>
      <c r="BB18"/>
      <c r="BC18" s="6">
        <v>44848</v>
      </c>
      <c r="BD18" s="7">
        <v>14204.681053897275</v>
      </c>
      <c r="BE18" s="37">
        <v>1</v>
      </c>
      <c r="BF18" s="8">
        <v>5456.681053897275</v>
      </c>
      <c r="BG18" s="8">
        <v>8748</v>
      </c>
      <c r="BH18" s="8"/>
      <c r="BI18" s="8"/>
    </row>
    <row r="19" spans="1:61" ht="14.5" x14ac:dyDescent="0.35">
      <c r="A19" s="54"/>
      <c r="B19" s="70" t="s">
        <v>75</v>
      </c>
      <c r="C19" s="71" t="s">
        <v>76</v>
      </c>
      <c r="D19" s="70" t="s">
        <v>77</v>
      </c>
      <c r="E19" s="71" t="s">
        <v>78</v>
      </c>
      <c r="F19" s="70" t="s">
        <v>79</v>
      </c>
      <c r="G19" s="71" t="s">
        <v>80</v>
      </c>
      <c r="H19" s="70" t="s">
        <v>81</v>
      </c>
      <c r="I19" s="71" t="s">
        <v>82</v>
      </c>
      <c r="J19" s="72" t="str">
        <f>+C5</f>
        <v>AGOSTO</v>
      </c>
      <c r="K19" s="72" t="str">
        <f>+D5</f>
        <v>SEPTIEMBRE</v>
      </c>
      <c r="L19" s="72" t="str">
        <f>+E5</f>
        <v>OCTUBRE</v>
      </c>
      <c r="M19" s="72" t="str">
        <f>+F5</f>
        <v>NOVIEMBRE</v>
      </c>
      <c r="N19" s="1"/>
      <c r="O19" s="6">
        <v>44788</v>
      </c>
      <c r="P19" s="7">
        <v>0</v>
      </c>
      <c r="Q19" s="37">
        <v>0</v>
      </c>
      <c r="R19" s="8">
        <v>0</v>
      </c>
      <c r="S19" s="8">
        <v>0</v>
      </c>
      <c r="T19" s="8"/>
      <c r="U19" s="8"/>
      <c r="V19" s="32"/>
      <c r="W19" s="17"/>
      <c r="X19" s="18" t="s">
        <v>35</v>
      </c>
      <c r="Y19" s="6">
        <v>44819</v>
      </c>
      <c r="Z19" s="7">
        <v>10499.998774088232</v>
      </c>
      <c r="AA19" s="37">
        <v>0.73452253756894403</v>
      </c>
      <c r="AB19" s="8">
        <v>3999.7350618248502</v>
      </c>
      <c r="AC19" s="8">
        <v>6500.2637122633805</v>
      </c>
      <c r="AD19" s="8"/>
      <c r="AE19" s="8"/>
      <c r="AF19"/>
      <c r="AG19" s="17"/>
      <c r="AH19"/>
      <c r="AI19" s="6">
        <v>44819</v>
      </c>
      <c r="AJ19" s="7">
        <v>10499.998774088232</v>
      </c>
      <c r="AK19" s="37">
        <v>0.73452253756894403</v>
      </c>
      <c r="AL19" s="8">
        <v>3999.7350618248502</v>
      </c>
      <c r="AM19" s="8">
        <v>6500.2637122633805</v>
      </c>
      <c r="AN19" s="8"/>
      <c r="AO19" s="8"/>
      <c r="AQ19" s="19" t="s">
        <v>72</v>
      </c>
      <c r="AR19" s="18" t="s">
        <v>33</v>
      </c>
      <c r="AS19" s="6">
        <v>44849</v>
      </c>
      <c r="AT19" s="7">
        <v>4888.9755959979875</v>
      </c>
      <c r="AU19" s="37">
        <v>0.34418059634338788</v>
      </c>
      <c r="AV19" s="8">
        <v>2393.2811639900328</v>
      </c>
      <c r="AW19" s="8">
        <v>2495.6944320079547</v>
      </c>
      <c r="AX19" s="8"/>
      <c r="AY19" s="8"/>
      <c r="BA19" s="17"/>
      <c r="BB19"/>
      <c r="BC19" s="6">
        <v>44849</v>
      </c>
      <c r="BD19" s="7">
        <v>4888.9755959979875</v>
      </c>
      <c r="BE19" s="37">
        <v>0.34418059634338788</v>
      </c>
      <c r="BF19" s="8">
        <v>2393.2811639900328</v>
      </c>
      <c r="BG19" s="8">
        <v>2495.6944320079547</v>
      </c>
      <c r="BH19" s="8"/>
      <c r="BI19" s="8"/>
    </row>
    <row r="20" spans="1:61" ht="14.5" x14ac:dyDescent="0.35">
      <c r="A20" s="73" t="s">
        <v>83</v>
      </c>
      <c r="B20" s="74">
        <f>DATE(YEAR(C12),MONTH(C12),1)</f>
        <v>44774</v>
      </c>
      <c r="C20" s="75">
        <f>+C12</f>
        <v>44804.999305555553</v>
      </c>
      <c r="D20" s="74">
        <f t="shared" ref="D20:I20" si="0">+C21+1</f>
        <v>44805</v>
      </c>
      <c r="E20" s="75">
        <f t="shared" si="0"/>
        <v>44820</v>
      </c>
      <c r="F20" s="76">
        <f t="shared" si="0"/>
        <v>44835</v>
      </c>
      <c r="G20" s="77">
        <f t="shared" si="0"/>
        <v>44850</v>
      </c>
      <c r="H20" s="76">
        <f t="shared" si="0"/>
        <v>44866</v>
      </c>
      <c r="I20" s="77">
        <f t="shared" si="0"/>
        <v>44881</v>
      </c>
      <c r="J20" s="78"/>
      <c r="K20" s="79"/>
      <c r="L20" s="1"/>
      <c r="M20" s="1"/>
      <c r="N20" s="1"/>
      <c r="O20" s="6">
        <v>44789</v>
      </c>
      <c r="P20" s="7">
        <v>14570.534283443982</v>
      </c>
      <c r="Q20" s="37">
        <v>1</v>
      </c>
      <c r="R20" s="8">
        <v>5486.1905761675171</v>
      </c>
      <c r="S20" s="8">
        <v>9084.3437072764646</v>
      </c>
      <c r="T20" s="8"/>
      <c r="U20" s="8"/>
      <c r="V20" s="32"/>
      <c r="W20" s="17"/>
      <c r="X20" s="17"/>
      <c r="Y20" s="6">
        <v>44820</v>
      </c>
      <c r="Z20" s="7">
        <v>0</v>
      </c>
      <c r="AA20" s="37">
        <v>0</v>
      </c>
      <c r="AB20" s="8"/>
      <c r="AC20" s="8"/>
      <c r="AD20" s="8"/>
      <c r="AE20" s="8"/>
      <c r="AF20"/>
      <c r="AG20" s="17"/>
      <c r="AH20"/>
      <c r="AI20" s="6">
        <v>44820</v>
      </c>
      <c r="AJ20" s="7">
        <v>0</v>
      </c>
      <c r="AK20" s="37">
        <v>0</v>
      </c>
      <c r="AL20" s="8"/>
      <c r="AM20" s="8"/>
      <c r="AN20" s="8"/>
      <c r="AO20" s="8"/>
      <c r="AQ20" s="17"/>
      <c r="AR20"/>
      <c r="AS20" s="6">
        <v>44850</v>
      </c>
      <c r="AT20" s="7">
        <v>0</v>
      </c>
      <c r="AU20" s="37">
        <v>0</v>
      </c>
      <c r="AV20" s="8">
        <v>0</v>
      </c>
      <c r="AW20" s="8">
        <v>0</v>
      </c>
      <c r="AX20" s="8"/>
      <c r="AY20" s="8"/>
      <c r="BA20" s="17"/>
      <c r="BB20"/>
      <c r="BC20" s="6">
        <v>44850</v>
      </c>
      <c r="BD20" s="7">
        <v>0</v>
      </c>
      <c r="BE20" s="37">
        <v>0</v>
      </c>
      <c r="BF20" s="8">
        <v>0</v>
      </c>
      <c r="BG20" s="8">
        <v>0</v>
      </c>
      <c r="BH20" s="8"/>
      <c r="BI20" s="8"/>
    </row>
    <row r="21" spans="1:61" ht="14.5" x14ac:dyDescent="0.35">
      <c r="A21" s="80" t="s">
        <v>84</v>
      </c>
      <c r="B21" s="81">
        <f>+C20-1</f>
        <v>44803.999305555553</v>
      </c>
      <c r="C21" s="82">
        <f>DATE(YEAR(+C20+30),MONTH(+C20+30),1)-1</f>
        <v>44804</v>
      </c>
      <c r="D21" s="81">
        <f>+D20+14</f>
        <v>44819</v>
      </c>
      <c r="E21" s="82">
        <f>DATE(YEAR(E20+30),MONTH(E20+30),1)-1</f>
        <v>44834</v>
      </c>
      <c r="F21" s="76">
        <f>+F20+14</f>
        <v>44849</v>
      </c>
      <c r="G21" s="77">
        <f>DATE(YEAR(G20+30),MONTH(G20+30),1)-1</f>
        <v>44865</v>
      </c>
      <c r="H21" s="76">
        <f>+H20+14</f>
        <v>44880</v>
      </c>
      <c r="I21" s="77">
        <f>DATE(YEAR(I20+30),MONTH(I20+30),1)-1</f>
        <v>44895</v>
      </c>
      <c r="J21" s="1"/>
      <c r="K21" s="1"/>
      <c r="L21" s="1"/>
      <c r="M21" s="1"/>
      <c r="N21" s="1"/>
      <c r="O21" s="6">
        <v>44790</v>
      </c>
      <c r="P21" s="7">
        <v>14570.534283443982</v>
      </c>
      <c r="Q21" s="37">
        <v>1</v>
      </c>
      <c r="R21" s="8">
        <v>5486.1905761675171</v>
      </c>
      <c r="S21" s="8">
        <v>9084.3437072764646</v>
      </c>
      <c r="T21" s="8"/>
      <c r="U21" s="8"/>
      <c r="V21" s="32"/>
      <c r="W21" s="17"/>
      <c r="X21" s="17"/>
      <c r="Y21" s="6">
        <v>44821</v>
      </c>
      <c r="Z21" s="7">
        <v>0</v>
      </c>
      <c r="AA21" s="37">
        <v>0</v>
      </c>
      <c r="AB21" s="8"/>
      <c r="AC21" s="8"/>
      <c r="AD21" s="8"/>
      <c r="AE21" s="8"/>
      <c r="AF21"/>
      <c r="AG21" s="17"/>
      <c r="AH21"/>
      <c r="AI21" s="6">
        <v>44821</v>
      </c>
      <c r="AJ21" s="7">
        <v>0</v>
      </c>
      <c r="AK21" s="37">
        <v>0</v>
      </c>
      <c r="AL21" s="8"/>
      <c r="AM21" s="8"/>
      <c r="AN21" s="8"/>
      <c r="AO21" s="8"/>
      <c r="AQ21" s="17"/>
      <c r="AR21"/>
      <c r="AS21" s="6">
        <v>44851</v>
      </c>
      <c r="AT21" s="7">
        <v>14204.681053897275</v>
      </c>
      <c r="AU21" s="37">
        <v>1</v>
      </c>
      <c r="AV21" s="8">
        <v>5456.681053897275</v>
      </c>
      <c r="AW21" s="8">
        <v>8748</v>
      </c>
      <c r="AX21" s="8"/>
      <c r="AY21" s="8"/>
      <c r="BA21" s="17"/>
      <c r="BB21"/>
      <c r="BC21" s="6">
        <v>44851</v>
      </c>
      <c r="BD21" s="7">
        <v>14204.681053897275</v>
      </c>
      <c r="BE21" s="37">
        <v>1</v>
      </c>
      <c r="BF21" s="8">
        <v>5456.681053897275</v>
      </c>
      <c r="BG21" s="8">
        <v>8748</v>
      </c>
      <c r="BH21" s="8"/>
      <c r="BI21" s="8"/>
    </row>
    <row r="22" spans="1:61" ht="14.5" x14ac:dyDescent="0.35">
      <c r="A22" s="73" t="s">
        <v>85</v>
      </c>
      <c r="B22" s="83">
        <f>SUMIF(O:O,"&lt;="&amp;B21,P:P)</f>
        <v>325819.86430059961</v>
      </c>
      <c r="C22" s="84">
        <f>SUMIF(O:O,"&gt;="&amp;C20,P:P)</f>
        <v>0</v>
      </c>
      <c r="D22" s="85">
        <f>SUMIF(Y:Y,"&lt;="&amp;D21,Z:Z)</f>
        <v>172066.55973528131</v>
      </c>
      <c r="E22" s="84">
        <f>SUMIF(Y:Y,"&gt;="&amp;E20,Z:Z)</f>
        <v>136387.38968131749</v>
      </c>
      <c r="F22" s="85" t="e">
        <f>SUMIF(#REF!,"&lt;="&amp;F$21,#REF!)</f>
        <v>#REF!</v>
      </c>
      <c r="G22" s="84" t="e">
        <f>SUMIF(#REF!,"&gt;="&amp;G$20,#REF!)</f>
        <v>#REF!</v>
      </c>
      <c r="H22" s="85" t="e">
        <f>SUMIF(#REF!,"&lt;="&amp;H$21,#REF!)</f>
        <v>#REF!</v>
      </c>
      <c r="I22" s="84" t="e">
        <f>SUMIF(#REF!,"&gt;="&amp;I$20,#REF!)</f>
        <v>#REF!</v>
      </c>
      <c r="J22" s="86">
        <f>+C22+B22</f>
        <v>325819.86430059961</v>
      </c>
      <c r="K22" s="86">
        <f>+D22+E22</f>
        <v>308453.94941659877</v>
      </c>
      <c r="L22" s="87" t="e">
        <f>+F22+G22</f>
        <v>#REF!</v>
      </c>
      <c r="M22" s="88" t="e">
        <f>+H22+I22</f>
        <v>#REF!</v>
      </c>
      <c r="N22" s="1"/>
      <c r="O22" s="6">
        <v>44791</v>
      </c>
      <c r="P22" s="7">
        <v>14570.534283443982</v>
      </c>
      <c r="Q22" s="37">
        <v>1</v>
      </c>
      <c r="R22" s="8">
        <v>5486.1905761675171</v>
      </c>
      <c r="S22" s="8">
        <v>9084.3437072764646</v>
      </c>
      <c r="T22" s="8"/>
      <c r="U22" s="8"/>
      <c r="V22" s="32"/>
      <c r="W22" s="17"/>
      <c r="X22" s="19" t="s">
        <v>34</v>
      </c>
      <c r="Y22" s="6">
        <v>44822</v>
      </c>
      <c r="Z22" s="7">
        <v>0</v>
      </c>
      <c r="AA22" s="37">
        <v>0</v>
      </c>
      <c r="AB22" s="8">
        <v>0</v>
      </c>
      <c r="AC22" s="8">
        <v>0</v>
      </c>
      <c r="AD22" s="8"/>
      <c r="AE22" s="8"/>
      <c r="AF22"/>
      <c r="AG22" s="17"/>
      <c r="AH22"/>
      <c r="AI22" s="6">
        <v>44822</v>
      </c>
      <c r="AJ22" s="7">
        <v>0</v>
      </c>
      <c r="AK22" s="37">
        <v>0</v>
      </c>
      <c r="AL22" s="8">
        <v>0</v>
      </c>
      <c r="AM22" s="8">
        <v>0</v>
      </c>
      <c r="AN22" s="8"/>
      <c r="AO22" s="8"/>
      <c r="AQ22" s="17"/>
      <c r="AR22"/>
      <c r="AS22" s="6">
        <v>44852</v>
      </c>
      <c r="AT22" s="7">
        <v>14204.681053897275</v>
      </c>
      <c r="AU22" s="37">
        <v>1</v>
      </c>
      <c r="AV22" s="8">
        <v>5456.681053897275</v>
      </c>
      <c r="AW22" s="8">
        <v>8748</v>
      </c>
      <c r="AX22" s="8"/>
      <c r="AY22" s="8"/>
      <c r="BA22" s="17"/>
      <c r="BB22"/>
      <c r="BC22" s="6">
        <v>44852</v>
      </c>
      <c r="BD22" s="7">
        <v>14204.681053897275</v>
      </c>
      <c r="BE22" s="37">
        <v>1</v>
      </c>
      <c r="BF22" s="8">
        <v>5456.681053897275</v>
      </c>
      <c r="BG22" s="8">
        <v>8748</v>
      </c>
      <c r="BH22" s="8"/>
      <c r="BI22" s="8"/>
    </row>
    <row r="23" spans="1:61" ht="14.5" x14ac:dyDescent="0.35">
      <c r="A23" s="80" t="s">
        <v>86</v>
      </c>
      <c r="B23" s="89" t="e">
        <f>+B22/C6</f>
        <v>#DIV/0!</v>
      </c>
      <c r="C23" s="90">
        <f>IFERROR(+C22/C6,0)</f>
        <v>0</v>
      </c>
      <c r="D23" s="89">
        <f>+D22/$D$6</f>
        <v>12.036836270820611</v>
      </c>
      <c r="E23" s="90">
        <f>+E22/$D$6</f>
        <v>9.5409165007092955</v>
      </c>
      <c r="F23" s="91" t="e">
        <f>+F22/$E$6</f>
        <v>#REF!</v>
      </c>
      <c r="G23" s="92" t="e">
        <f>+G22/$E$6</f>
        <v>#REF!</v>
      </c>
      <c r="H23" s="91" t="e">
        <f>+H22/$F$6</f>
        <v>#REF!</v>
      </c>
      <c r="I23" s="92" t="e">
        <f>+I22/$F$6</f>
        <v>#REF!</v>
      </c>
      <c r="J23" s="93" t="e">
        <f>+C23+B23</f>
        <v>#DIV/0!</v>
      </c>
      <c r="K23" s="93">
        <f>+D23+E23</f>
        <v>21.577752771529909</v>
      </c>
      <c r="L23" s="94" t="e">
        <f>+F23+G23</f>
        <v>#REF!</v>
      </c>
      <c r="M23" s="95" t="e">
        <f>+H23+I23</f>
        <v>#REF!</v>
      </c>
      <c r="N23" s="1"/>
      <c r="O23" s="6">
        <v>44792</v>
      </c>
      <c r="P23" s="7">
        <v>14570.534283443982</v>
      </c>
      <c r="Q23" s="37">
        <v>1</v>
      </c>
      <c r="R23" s="8">
        <v>5486.1905761675171</v>
      </c>
      <c r="S23" s="8">
        <v>9084.3437072764646</v>
      </c>
      <c r="T23" s="8"/>
      <c r="U23" s="8"/>
      <c r="V23" s="32"/>
      <c r="W23" s="17"/>
      <c r="X23" s="17"/>
      <c r="Y23" s="6">
        <v>44823</v>
      </c>
      <c r="Z23" s="7">
        <v>0</v>
      </c>
      <c r="AA23" s="37">
        <v>0</v>
      </c>
      <c r="AB23" s="8">
        <v>0</v>
      </c>
      <c r="AC23" s="8">
        <v>0</v>
      </c>
      <c r="AD23" s="8"/>
      <c r="AE23" s="8"/>
      <c r="AF23"/>
      <c r="AG23" s="17"/>
      <c r="AH23"/>
      <c r="AI23" s="6">
        <v>44823</v>
      </c>
      <c r="AJ23" s="7">
        <v>0</v>
      </c>
      <c r="AK23" s="37">
        <v>0</v>
      </c>
      <c r="AL23" s="8">
        <v>0</v>
      </c>
      <c r="AM23" s="8">
        <v>0</v>
      </c>
      <c r="AN23" s="8"/>
      <c r="AO23" s="8"/>
      <c r="AQ23" s="17"/>
      <c r="AR23"/>
      <c r="AS23" s="6">
        <v>44853</v>
      </c>
      <c r="AT23" s="7">
        <v>14204.681053897275</v>
      </c>
      <c r="AU23" s="37">
        <v>1</v>
      </c>
      <c r="AV23" s="8">
        <v>5456.681053897275</v>
      </c>
      <c r="AW23" s="8">
        <v>8748</v>
      </c>
      <c r="AX23" s="8"/>
      <c r="AY23" s="8"/>
      <c r="BA23" s="19" t="s">
        <v>72</v>
      </c>
      <c r="BB23" s="18" t="s">
        <v>33</v>
      </c>
      <c r="BC23" s="6">
        <v>44853</v>
      </c>
      <c r="BD23" s="7">
        <v>14204.681053897275</v>
      </c>
      <c r="BE23" s="37">
        <v>1</v>
      </c>
      <c r="BF23" s="8">
        <v>5456.681053897275</v>
      </c>
      <c r="BG23" s="8">
        <v>8748</v>
      </c>
      <c r="BH23" s="8"/>
      <c r="BI23" s="8"/>
    </row>
    <row r="24" spans="1:61" ht="14.5" x14ac:dyDescent="0.35">
      <c r="B24" s="96"/>
      <c r="C24" s="97" t="str">
        <f t="shared" ref="C24:I24" si="1">IF(C22=C32,"Ok","Error")</f>
        <v>Ok</v>
      </c>
      <c r="D24" s="96" t="str">
        <f t="shared" si="1"/>
        <v>Ok</v>
      </c>
      <c r="E24" s="98" t="str">
        <f t="shared" si="1"/>
        <v>Ok</v>
      </c>
      <c r="F24" s="96" t="e">
        <f t="shared" si="1"/>
        <v>#REF!</v>
      </c>
      <c r="G24" s="98" t="e">
        <f t="shared" si="1"/>
        <v>#REF!</v>
      </c>
      <c r="H24" s="97" t="e">
        <f t="shared" si="1"/>
        <v>#REF!</v>
      </c>
      <c r="I24" s="98" t="e">
        <f t="shared" si="1"/>
        <v>#REF!</v>
      </c>
      <c r="J24" s="99"/>
      <c r="K24" s="99"/>
      <c r="L24" s="99"/>
      <c r="M24" s="99"/>
      <c r="N24" s="1"/>
      <c r="O24" s="6">
        <v>44793</v>
      </c>
      <c r="P24" s="7">
        <v>4959.6610870689619</v>
      </c>
      <c r="Q24" s="37">
        <v>0.3403897887742155</v>
      </c>
      <c r="R24" s="8">
        <v>2406.2239369155773</v>
      </c>
      <c r="S24" s="8">
        <v>2553.4371501533842</v>
      </c>
      <c r="T24" s="8"/>
      <c r="U24" s="8"/>
      <c r="V24" s="32"/>
      <c r="W24" s="17" t="s">
        <v>87</v>
      </c>
      <c r="X24" s="18" t="s">
        <v>38</v>
      </c>
      <c r="Y24" s="6">
        <v>44824</v>
      </c>
      <c r="Z24" s="7">
        <v>14294.998774088232</v>
      </c>
      <c r="AA24" s="37">
        <v>1</v>
      </c>
      <c r="AB24" s="8">
        <v>5094.7350618248502</v>
      </c>
      <c r="AC24" s="8">
        <v>9200.2637122633805</v>
      </c>
      <c r="AD24" s="8"/>
      <c r="AE24" s="8"/>
      <c r="AF24"/>
      <c r="AG24" s="17" t="s">
        <v>87</v>
      </c>
      <c r="AH24" s="18" t="s">
        <v>38</v>
      </c>
      <c r="AI24" s="6">
        <v>44824</v>
      </c>
      <c r="AJ24" s="7">
        <v>14294.998774088232</v>
      </c>
      <c r="AK24" s="37">
        <v>1</v>
      </c>
      <c r="AL24" s="8">
        <v>5094.7350618248502</v>
      </c>
      <c r="AM24" s="8">
        <v>9200.2637122633805</v>
      </c>
      <c r="AN24" s="8"/>
      <c r="AO24" s="8"/>
      <c r="AQ24" s="17" t="s">
        <v>87</v>
      </c>
      <c r="AR24"/>
      <c r="AS24" s="6">
        <v>44854</v>
      </c>
      <c r="AT24" s="7">
        <v>14204.681053897275</v>
      </c>
      <c r="AU24" s="37">
        <v>1</v>
      </c>
      <c r="AV24" s="8">
        <v>5456.681053897275</v>
      </c>
      <c r="AW24" s="8">
        <v>8748</v>
      </c>
      <c r="AX24" s="8"/>
      <c r="AY24" s="8"/>
      <c r="BA24" s="17" t="s">
        <v>87</v>
      </c>
      <c r="BB24"/>
      <c r="BC24" s="6">
        <v>44854</v>
      </c>
      <c r="BD24" s="7">
        <v>14204.681053897275</v>
      </c>
      <c r="BE24" s="37">
        <v>1</v>
      </c>
      <c r="BF24" s="8">
        <v>5456.681053897275</v>
      </c>
      <c r="BG24" s="8">
        <v>8748</v>
      </c>
      <c r="BH24" s="8"/>
      <c r="BI24" s="8"/>
    </row>
    <row r="25" spans="1:61" ht="14.5" x14ac:dyDescent="0.35">
      <c r="H25" s="1"/>
      <c r="I25" s="1"/>
      <c r="J25" s="100"/>
      <c r="K25" s="100"/>
      <c r="L25" s="1"/>
      <c r="M25" s="1"/>
      <c r="N25" s="1"/>
      <c r="O25" s="6">
        <v>44794</v>
      </c>
      <c r="P25" s="7">
        <v>0</v>
      </c>
      <c r="Q25" s="37">
        <v>0</v>
      </c>
      <c r="R25" s="8">
        <v>0</v>
      </c>
      <c r="S25" s="8">
        <v>0</v>
      </c>
      <c r="T25" s="8"/>
      <c r="U25" s="8"/>
      <c r="V25" s="32"/>
      <c r="W25" s="17"/>
      <c r="X25" s="19" t="s">
        <v>37</v>
      </c>
      <c r="Y25" s="6">
        <v>44825</v>
      </c>
      <c r="Z25" s="7">
        <v>14294.998774088232</v>
      </c>
      <c r="AA25" s="37">
        <v>1</v>
      </c>
      <c r="AB25" s="8">
        <v>5094.7350618248502</v>
      </c>
      <c r="AC25" s="8">
        <v>9200.2637122633805</v>
      </c>
      <c r="AD25" s="8"/>
      <c r="AE25" s="8"/>
      <c r="AF25"/>
      <c r="AG25" s="17"/>
      <c r="AH25" s="19" t="s">
        <v>37</v>
      </c>
      <c r="AI25" s="6">
        <v>44825</v>
      </c>
      <c r="AJ25" s="7">
        <v>14294.998774088232</v>
      </c>
      <c r="AK25" s="37">
        <v>1</v>
      </c>
      <c r="AL25" s="8">
        <v>5094.7350618248502</v>
      </c>
      <c r="AM25" s="8">
        <v>9200.2637122633805</v>
      </c>
      <c r="AN25" s="8"/>
      <c r="AO25" s="8"/>
      <c r="AQ25" s="17"/>
      <c r="AR25" s="17"/>
      <c r="AS25" s="6">
        <v>44855</v>
      </c>
      <c r="AT25" s="7">
        <v>14204.681053897275</v>
      </c>
      <c r="AU25" s="37">
        <v>1</v>
      </c>
      <c r="AV25" s="8">
        <v>5456.681053897275</v>
      </c>
      <c r="AW25" s="8">
        <v>8748</v>
      </c>
      <c r="AX25" s="8"/>
      <c r="AY25" s="8"/>
      <c r="BA25" s="17"/>
      <c r="BB25" s="17"/>
      <c r="BC25" s="6">
        <v>44855</v>
      </c>
      <c r="BD25" s="7">
        <v>14204.681053897275</v>
      </c>
      <c r="BE25" s="37">
        <v>1</v>
      </c>
      <c r="BF25" s="8">
        <v>5456.681053897275</v>
      </c>
      <c r="BG25" s="8">
        <v>8748</v>
      </c>
      <c r="BH25" s="8"/>
      <c r="BI25" s="8"/>
    </row>
    <row r="26" spans="1:61" ht="14.5" x14ac:dyDescent="0.35">
      <c r="B26" s="61" t="s">
        <v>88</v>
      </c>
      <c r="C26" s="62"/>
      <c r="D26" s="62"/>
      <c r="E26" s="62"/>
      <c r="F26" s="62"/>
      <c r="G26" s="63"/>
      <c r="H26" s="1"/>
      <c r="I26" s="1"/>
      <c r="J26" s="1"/>
      <c r="K26" s="1"/>
      <c r="L26" s="1"/>
      <c r="M26" s="1"/>
      <c r="N26" s="1"/>
      <c r="O26" s="6">
        <v>44795</v>
      </c>
      <c r="P26" s="7">
        <v>14570.534283443982</v>
      </c>
      <c r="Q26" s="37">
        <v>1</v>
      </c>
      <c r="R26" s="8">
        <v>5486.1905761675171</v>
      </c>
      <c r="S26" s="8">
        <v>9084.3437072764646</v>
      </c>
      <c r="T26" s="8"/>
      <c r="U26" s="8"/>
      <c r="V26" s="32"/>
      <c r="W26" s="17"/>
      <c r="X26" s="21" t="s">
        <v>39</v>
      </c>
      <c r="Y26" s="6">
        <v>44826</v>
      </c>
      <c r="Z26" s="7">
        <v>14294.998774088232</v>
      </c>
      <c r="AA26" s="37">
        <v>1</v>
      </c>
      <c r="AB26" s="8">
        <v>5094.7350618248502</v>
      </c>
      <c r="AC26" s="8">
        <v>9200.2637122633805</v>
      </c>
      <c r="AD26" s="8"/>
      <c r="AE26" s="8"/>
      <c r="AF26"/>
      <c r="AG26" s="17"/>
      <c r="AH26" s="21" t="s">
        <v>39</v>
      </c>
      <c r="AI26" s="6">
        <v>44826</v>
      </c>
      <c r="AJ26" s="7">
        <v>14294.998774088232</v>
      </c>
      <c r="AK26" s="37">
        <v>1</v>
      </c>
      <c r="AL26" s="8">
        <v>5094.7350618248502</v>
      </c>
      <c r="AM26" s="8">
        <v>9200.2637122633805</v>
      </c>
      <c r="AN26" s="8"/>
      <c r="AO26" s="8"/>
      <c r="AQ26" s="17"/>
      <c r="AR26" s="21" t="s">
        <v>39</v>
      </c>
      <c r="AS26" s="6">
        <v>44856</v>
      </c>
      <c r="AT26" s="7">
        <v>4888.9755959979875</v>
      </c>
      <c r="AU26" s="37">
        <v>0.34418059634338788</v>
      </c>
      <c r="AV26" s="8">
        <v>2393.2811639900328</v>
      </c>
      <c r="AW26" s="8">
        <v>2495.6944320079547</v>
      </c>
      <c r="AX26" s="8"/>
      <c r="AY26" s="8"/>
      <c r="BA26" s="17"/>
      <c r="BB26" s="21" t="s">
        <v>39</v>
      </c>
      <c r="BC26" s="6">
        <v>44856</v>
      </c>
      <c r="BD26" s="7">
        <v>4888.9755959979875</v>
      </c>
      <c r="BE26" s="37">
        <v>0.34418059634338788</v>
      </c>
      <c r="BF26" s="8">
        <v>2393.2811639900328</v>
      </c>
      <c r="BG26" s="8">
        <v>2495.6944320079547</v>
      </c>
      <c r="BH26" s="8"/>
      <c r="BI26" s="8"/>
    </row>
    <row r="27" spans="1:61" ht="14.5" x14ac:dyDescent="0.35">
      <c r="B27" s="70" t="s">
        <v>75</v>
      </c>
      <c r="C27" s="71" t="s">
        <v>76</v>
      </c>
      <c r="D27" s="70" t="s">
        <v>77</v>
      </c>
      <c r="E27" s="71" t="s">
        <v>78</v>
      </c>
      <c r="F27" s="70" t="s">
        <v>79</v>
      </c>
      <c r="G27" s="71" t="s">
        <v>80</v>
      </c>
      <c r="H27" s="70" t="s">
        <v>81</v>
      </c>
      <c r="I27" s="71" t="s">
        <v>82</v>
      </c>
      <c r="J27" s="1"/>
      <c r="K27" s="1"/>
      <c r="L27" s="1"/>
      <c r="M27" s="1"/>
      <c r="N27" s="1"/>
      <c r="O27" s="6">
        <v>44796</v>
      </c>
      <c r="P27" s="7">
        <v>14570.534283443982</v>
      </c>
      <c r="Q27" s="37">
        <v>1</v>
      </c>
      <c r="R27" s="8">
        <v>5486.1905761675171</v>
      </c>
      <c r="S27" s="8">
        <v>9084.3437072764646</v>
      </c>
      <c r="T27" s="8"/>
      <c r="U27" s="8"/>
      <c r="V27" s="32"/>
      <c r="W27" s="17"/>
      <c r="X27" s="19" t="s">
        <v>40</v>
      </c>
      <c r="Y27" s="6">
        <v>44827</v>
      </c>
      <c r="Z27" s="7">
        <v>14294.998774088232</v>
      </c>
      <c r="AA27" s="37">
        <v>1</v>
      </c>
      <c r="AB27" s="8">
        <v>5094.7350618248502</v>
      </c>
      <c r="AC27" s="8">
        <v>9200.2637122633805</v>
      </c>
      <c r="AD27" s="8"/>
      <c r="AE27" s="8"/>
      <c r="AF27"/>
      <c r="AG27" s="17"/>
      <c r="AH27" s="19" t="s">
        <v>40</v>
      </c>
      <c r="AI27" s="6">
        <v>44827</v>
      </c>
      <c r="AJ27" s="7">
        <v>14294.998774088232</v>
      </c>
      <c r="AK27" s="37">
        <v>1</v>
      </c>
      <c r="AL27" s="8">
        <v>5094.7350618248502</v>
      </c>
      <c r="AM27" s="8">
        <v>9200.2637122633805</v>
      </c>
      <c r="AN27" s="8"/>
      <c r="AO27" s="8"/>
      <c r="AQ27" s="17"/>
      <c r="AR27" s="17"/>
      <c r="AS27" s="6">
        <v>44857</v>
      </c>
      <c r="AT27" s="7">
        <v>0</v>
      </c>
      <c r="AU27" s="37">
        <v>0</v>
      </c>
      <c r="AV27" s="8">
        <v>0</v>
      </c>
      <c r="AW27" s="8">
        <v>0</v>
      </c>
      <c r="AX27" s="8"/>
      <c r="AY27" s="8"/>
      <c r="BA27" s="17"/>
      <c r="BB27" s="17"/>
      <c r="BC27" s="6">
        <v>44857</v>
      </c>
      <c r="BD27" s="7">
        <v>0</v>
      </c>
      <c r="BE27" s="37">
        <v>0</v>
      </c>
      <c r="BF27" s="8">
        <v>0</v>
      </c>
      <c r="BG27" s="8">
        <v>0</v>
      </c>
      <c r="BH27" s="8"/>
      <c r="BI27" s="8"/>
    </row>
    <row r="28" spans="1:61" ht="14.5" x14ac:dyDescent="0.35">
      <c r="A28" s="101" t="s">
        <v>63</v>
      </c>
      <c r="B28" s="102">
        <v>0</v>
      </c>
      <c r="C28" s="103">
        <f>SUMIF(O:O,"&gt;="&amp;C$20,S:S)</f>
        <v>0</v>
      </c>
      <c r="D28" s="104">
        <f>SUMIF(Y:Y,"&lt;="&amp;D$21,AC:AC)</f>
        <v>112502.16259746686</v>
      </c>
      <c r="E28" s="103">
        <f>SUMIF(Y:Y,"&gt;="&amp;E$20,AC:AC)</f>
        <v>89802.004291655248</v>
      </c>
      <c r="F28" s="104" t="e">
        <f>SUMIF(#REF!,"&lt;="&amp;F$21,#REF!)</f>
        <v>#REF!</v>
      </c>
      <c r="G28" s="103" t="e">
        <f>SUMIF(#REF!,"&gt;="&amp;G$20,#REF!)</f>
        <v>#REF!</v>
      </c>
      <c r="H28" s="104" t="e">
        <f>SUMIF(#REF!,"&lt;="&amp;H$21,#REF!)</f>
        <v>#REF!</v>
      </c>
      <c r="I28" s="103" t="e">
        <f>SUMIF(#REF!,"&gt;="&amp;I$20,#REF!)</f>
        <v>#REF!</v>
      </c>
      <c r="J28" s="1"/>
      <c r="K28" s="1"/>
      <c r="L28" s="1"/>
      <c r="M28" s="1"/>
      <c r="N28" s="1"/>
      <c r="O28" s="6">
        <v>44797</v>
      </c>
      <c r="P28" s="7">
        <v>14570.534283443982</v>
      </c>
      <c r="Q28" s="37">
        <v>1</v>
      </c>
      <c r="R28" s="8">
        <v>5486.1905761675171</v>
      </c>
      <c r="S28" s="8">
        <v>9084.3437072764646</v>
      </c>
      <c r="T28" s="8"/>
      <c r="U28" s="8"/>
      <c r="V28" s="32"/>
      <c r="W28" s="17"/>
      <c r="X28" s="17"/>
      <c r="Y28" s="6">
        <v>44828</v>
      </c>
      <c r="Z28" s="7">
        <v>9308.2866101553882</v>
      </c>
      <c r="AA28" s="37">
        <v>0.65115686662583094</v>
      </c>
      <c r="AB28" s="8">
        <v>2308.655728870548</v>
      </c>
      <c r="AC28" s="8">
        <v>6999.6308812848401</v>
      </c>
      <c r="AD28" s="8"/>
      <c r="AE28" s="8"/>
      <c r="AF28"/>
      <c r="AG28" s="17"/>
      <c r="AH28" s="17"/>
      <c r="AI28" s="6">
        <v>44828</v>
      </c>
      <c r="AJ28" s="7">
        <v>9308.2866101553882</v>
      </c>
      <c r="AK28" s="37">
        <v>0.65115686662583094</v>
      </c>
      <c r="AL28" s="8">
        <v>2308.655728870548</v>
      </c>
      <c r="AM28" s="8">
        <v>6999.6308812848401</v>
      </c>
      <c r="AN28" s="8"/>
      <c r="AO28" s="8"/>
      <c r="AQ28" s="17"/>
      <c r="AR28" s="18" t="s">
        <v>91</v>
      </c>
      <c r="AS28" s="6">
        <v>44858</v>
      </c>
      <c r="AT28" s="7">
        <v>14196.681053897275</v>
      </c>
      <c r="AU28" s="37">
        <v>0.99943680537636537</v>
      </c>
      <c r="AV28" s="8">
        <v>5456.681053897275</v>
      </c>
      <c r="AW28" s="8">
        <v>8740</v>
      </c>
      <c r="AX28" s="8"/>
      <c r="AY28" s="8"/>
      <c r="BA28" s="17"/>
      <c r="BB28" s="18" t="s">
        <v>91</v>
      </c>
      <c r="BC28" s="6">
        <v>44858</v>
      </c>
      <c r="BD28" s="7">
        <v>14196.681053897275</v>
      </c>
      <c r="BE28" s="37">
        <v>0.99943680537636537</v>
      </c>
      <c r="BF28" s="8">
        <v>5456.681053897275</v>
      </c>
      <c r="BG28" s="8">
        <v>8740</v>
      </c>
      <c r="BH28" s="8"/>
      <c r="BI28" s="8"/>
    </row>
    <row r="29" spans="1:61" ht="14.5" x14ac:dyDescent="0.35">
      <c r="A29" s="105" t="s">
        <v>62</v>
      </c>
      <c r="B29" s="106">
        <v>0</v>
      </c>
      <c r="C29" s="107">
        <f>SUMIF(O:O,"&gt;="&amp;C$20,R:R)</f>
        <v>0</v>
      </c>
      <c r="D29" s="108">
        <f>SUMIF(Y:Y,"&lt;="&amp;D$21,AB:AB)</f>
        <v>59564.397137814463</v>
      </c>
      <c r="E29" s="107">
        <f>SUMIF(Y:Y,"&gt;="&amp;E$20,AB:AB)</f>
        <v>46585.385389662231</v>
      </c>
      <c r="F29" s="108" t="e">
        <f>SUMIF(#REF!,"&lt;="&amp;F$21,#REF!)</f>
        <v>#REF!</v>
      </c>
      <c r="G29" s="107" t="e">
        <f>SUMIF(#REF!,"&gt;="&amp;G$20,#REF!)</f>
        <v>#REF!</v>
      </c>
      <c r="H29" s="108" t="e">
        <f>SUMIF(#REF!,"&lt;="&amp;H$21,#REF!)</f>
        <v>#REF!</v>
      </c>
      <c r="I29" s="107" t="e">
        <f>SUMIF(#REF!,"&gt;="&amp;I$20,#REF!)</f>
        <v>#REF!</v>
      </c>
      <c r="J29" s="1"/>
      <c r="K29" s="1"/>
      <c r="L29" s="1"/>
      <c r="M29" s="1"/>
      <c r="N29" s="1"/>
      <c r="O29" s="6">
        <v>44798</v>
      </c>
      <c r="P29" s="7">
        <v>14570.534283443982</v>
      </c>
      <c r="Q29" s="37">
        <v>1</v>
      </c>
      <c r="R29" s="8">
        <v>5486.1905761675171</v>
      </c>
      <c r="S29" s="8">
        <v>9084.3437072764646</v>
      </c>
      <c r="T29" s="8"/>
      <c r="U29" s="8"/>
      <c r="V29" s="32"/>
      <c r="W29" s="17"/>
      <c r="X29" s="17"/>
      <c r="Y29" s="6">
        <v>44829</v>
      </c>
      <c r="Z29" s="7">
        <v>0</v>
      </c>
      <c r="AA29" s="37">
        <v>0</v>
      </c>
      <c r="AB29" s="8">
        <v>0</v>
      </c>
      <c r="AC29" s="8">
        <v>0</v>
      </c>
      <c r="AD29" s="8"/>
      <c r="AE29" s="8"/>
      <c r="AF29"/>
      <c r="AG29" s="17"/>
      <c r="AH29" s="17"/>
      <c r="AI29" s="6">
        <v>44829</v>
      </c>
      <c r="AJ29" s="7">
        <v>0</v>
      </c>
      <c r="AK29" s="37">
        <v>0</v>
      </c>
      <c r="AL29" s="8">
        <v>0</v>
      </c>
      <c r="AM29" s="8">
        <v>0</v>
      </c>
      <c r="AN29" s="8"/>
      <c r="AO29" s="8"/>
      <c r="AQ29" s="17"/>
      <c r="AR29" s="17"/>
      <c r="AS29" s="6">
        <v>44859</v>
      </c>
      <c r="AT29" s="7">
        <v>14204.681053897275</v>
      </c>
      <c r="AU29" s="37">
        <v>1</v>
      </c>
      <c r="AV29" s="8">
        <v>5456.681053897275</v>
      </c>
      <c r="AW29" s="8">
        <v>8748</v>
      </c>
      <c r="AX29" s="8"/>
      <c r="AY29" s="8"/>
      <c r="BA29" s="17"/>
      <c r="BB29" s="17"/>
      <c r="BC29" s="6">
        <v>44859</v>
      </c>
      <c r="BD29" s="7">
        <v>14204.681053897275</v>
      </c>
      <c r="BE29" s="37">
        <v>1</v>
      </c>
      <c r="BF29" s="8">
        <v>5456.681053897275</v>
      </c>
      <c r="BG29" s="8">
        <v>8748</v>
      </c>
      <c r="BH29" s="8"/>
      <c r="BI29" s="8"/>
    </row>
    <row r="30" spans="1:61" ht="14.5" x14ac:dyDescent="0.35">
      <c r="A30" s="109" t="s">
        <v>31</v>
      </c>
      <c r="B30" s="106">
        <v>0</v>
      </c>
      <c r="C30" s="110">
        <f>SUMIF(O:O,"&gt;="&amp;C$20,T:T)</f>
        <v>0</v>
      </c>
      <c r="D30" s="111">
        <f>SUMIF(Y:Y,"&lt;="&amp;D$21,AD:AD)</f>
        <v>0</v>
      </c>
      <c r="E30" s="112">
        <f>SUMIF(Y:Y,"&gt;="&amp;E$20,AD:AD)</f>
        <v>0</v>
      </c>
      <c r="F30" s="111" t="e">
        <f>SUMIF(#REF!,"&lt;="&amp;F$21,#REF!)</f>
        <v>#REF!</v>
      </c>
      <c r="G30" s="112" t="e">
        <f>SUMIF(#REF!,"&gt;="&amp;G$20,#REF!)</f>
        <v>#REF!</v>
      </c>
      <c r="H30" s="111" t="e">
        <f>SUMIF(#REF!,"&lt;="&amp;H$21,#REF!)</f>
        <v>#REF!</v>
      </c>
      <c r="I30" s="112" t="e">
        <f>SUMIF(#REF!,"&gt;="&amp;I$20,#REF!)</f>
        <v>#REF!</v>
      </c>
      <c r="J30" s="1"/>
      <c r="K30" s="1"/>
      <c r="L30" s="1"/>
      <c r="M30" s="1"/>
      <c r="N30" s="1"/>
      <c r="O30" s="6">
        <v>44799</v>
      </c>
      <c r="P30" s="7">
        <v>14570.534283443982</v>
      </c>
      <c r="Q30" s="37">
        <v>1</v>
      </c>
      <c r="R30" s="8">
        <v>5486.1905761675171</v>
      </c>
      <c r="S30" s="8">
        <v>9084.3437072764646</v>
      </c>
      <c r="T30" s="8"/>
      <c r="U30" s="8"/>
      <c r="V30" s="32"/>
      <c r="W30" s="17" t="s">
        <v>50</v>
      </c>
      <c r="X30" s="18" t="s">
        <v>41</v>
      </c>
      <c r="Y30" s="6">
        <v>44830</v>
      </c>
      <c r="Z30" s="7">
        <v>14294.998774088232</v>
      </c>
      <c r="AA30" s="37">
        <v>1</v>
      </c>
      <c r="AB30" s="8">
        <v>5094.7350618248502</v>
      </c>
      <c r="AC30" s="8">
        <v>9200.2637122633805</v>
      </c>
      <c r="AD30" s="8"/>
      <c r="AE30" s="8"/>
      <c r="AF30"/>
      <c r="AG30" s="17" t="s">
        <v>50</v>
      </c>
      <c r="AH30" s="18" t="s">
        <v>41</v>
      </c>
      <c r="AI30" s="6">
        <v>44830</v>
      </c>
      <c r="AJ30" s="7">
        <v>14294.998774088232</v>
      </c>
      <c r="AK30" s="37">
        <v>1</v>
      </c>
      <c r="AL30" s="8">
        <v>5094.7350618248502</v>
      </c>
      <c r="AM30" s="8">
        <v>9200.2637122633805</v>
      </c>
      <c r="AN30" s="8"/>
      <c r="AO30" s="8"/>
      <c r="AQ30" s="17"/>
      <c r="AR30" s="19" t="s">
        <v>37</v>
      </c>
      <c r="AS30" s="6">
        <v>44860</v>
      </c>
      <c r="AT30" s="7">
        <v>14204.681053897275</v>
      </c>
      <c r="AU30" s="37">
        <v>1</v>
      </c>
      <c r="AV30" s="8">
        <v>5456.681053897275</v>
      </c>
      <c r="AW30" s="8">
        <v>8748</v>
      </c>
      <c r="AX30" s="8"/>
      <c r="AY30" s="8"/>
      <c r="BA30" s="17"/>
      <c r="BB30" s="19" t="s">
        <v>37</v>
      </c>
      <c r="BC30" s="6">
        <v>44860</v>
      </c>
      <c r="BD30" s="7">
        <v>14204.681053897275</v>
      </c>
      <c r="BE30" s="37">
        <v>1</v>
      </c>
      <c r="BF30" s="8">
        <v>5456.681053897275</v>
      </c>
      <c r="BG30" s="8">
        <v>8748</v>
      </c>
      <c r="BH30" s="8"/>
      <c r="BI30" s="8"/>
    </row>
    <row r="31" spans="1:61" ht="14.5" x14ac:dyDescent="0.35">
      <c r="A31" s="109" t="s">
        <v>64</v>
      </c>
      <c r="B31" s="106">
        <v>0</v>
      </c>
      <c r="C31" s="110">
        <f>SUMIF(O:O,"&gt;="&amp;C$20,U:U)</f>
        <v>0</v>
      </c>
      <c r="D31" s="111">
        <f>SUMIF(Y:Y,"&lt;="&amp;D$21,AE:AE)</f>
        <v>0</v>
      </c>
      <c r="E31" s="112">
        <f>SUMIF(Y:Y,"&gt;="&amp;E$20,AE:AE)</f>
        <v>0</v>
      </c>
      <c r="F31" s="111" t="e">
        <f>SUMIF(#REF!,"&lt;="&amp;F$21,#REF!)</f>
        <v>#REF!</v>
      </c>
      <c r="G31" s="112" t="e">
        <f>SUMIF(#REF!,"&gt;="&amp;G$20,#REF!)</f>
        <v>#REF!</v>
      </c>
      <c r="H31" s="111" t="e">
        <f>SUMIF(#REF!,"&lt;="&amp;H$21,#REF!)</f>
        <v>#REF!</v>
      </c>
      <c r="I31" s="112" t="e">
        <f>SUMIF(#REF!,"&gt;="&amp;I$20,#REF!)</f>
        <v>#REF!</v>
      </c>
      <c r="J31" s="1"/>
      <c r="K31" s="1"/>
      <c r="L31" s="1"/>
      <c r="M31" s="1"/>
      <c r="N31" s="1"/>
      <c r="O31" s="6">
        <v>44800</v>
      </c>
      <c r="P31" s="7">
        <v>4959.6610870689619</v>
      </c>
      <c r="Q31" s="37">
        <v>0.3403897887742155</v>
      </c>
      <c r="R31" s="8">
        <v>2406.2239369155773</v>
      </c>
      <c r="S31" s="8">
        <v>2553.4371501533842</v>
      </c>
      <c r="T31" s="8"/>
      <c r="U31" s="8"/>
      <c r="V31" s="32"/>
      <c r="W31" s="17"/>
      <c r="X31" s="17"/>
      <c r="Y31" s="6">
        <v>44831</v>
      </c>
      <c r="Z31" s="7">
        <v>14294.998774088232</v>
      </c>
      <c r="AA31" s="37">
        <v>1</v>
      </c>
      <c r="AB31" s="8">
        <v>5094.7350618248502</v>
      </c>
      <c r="AC31" s="8">
        <v>9200.2637122633805</v>
      </c>
      <c r="AD31" s="8"/>
      <c r="AE31" s="8"/>
      <c r="AF31"/>
      <c r="AG31" s="17"/>
      <c r="AH31" s="17"/>
      <c r="AI31" s="6">
        <v>44831</v>
      </c>
      <c r="AJ31" s="7">
        <v>14294.998774088232</v>
      </c>
      <c r="AK31" s="37">
        <v>1</v>
      </c>
      <c r="AL31" s="8">
        <v>5094.7350618248502</v>
      </c>
      <c r="AM31" s="8">
        <v>9200.2637122633805</v>
      </c>
      <c r="AN31" s="8"/>
      <c r="AO31" s="8"/>
      <c r="AQ31" s="17"/>
      <c r="AR31" s="18" t="s">
        <v>90</v>
      </c>
      <c r="AS31" s="6">
        <v>44861</v>
      </c>
      <c r="AT31" s="7">
        <v>14204.681053897275</v>
      </c>
      <c r="AU31" s="37">
        <v>1</v>
      </c>
      <c r="AV31" s="8">
        <v>5456.681053897275</v>
      </c>
      <c r="AW31" s="8">
        <v>8748</v>
      </c>
      <c r="AX31" s="8"/>
      <c r="AY31" s="8"/>
      <c r="BA31" s="17"/>
      <c r="BB31" s="18" t="s">
        <v>90</v>
      </c>
      <c r="BC31" s="6">
        <v>44861</v>
      </c>
      <c r="BD31" s="7">
        <v>14204.681053897275</v>
      </c>
      <c r="BE31" s="37">
        <v>1</v>
      </c>
      <c r="BF31" s="8">
        <v>5456.681053897275</v>
      </c>
      <c r="BG31" s="8">
        <v>8748</v>
      </c>
      <c r="BH31" s="8"/>
      <c r="BI31" s="8"/>
    </row>
    <row r="32" spans="1:61" ht="14.5" x14ac:dyDescent="0.35">
      <c r="A32" s="113" t="s">
        <v>89</v>
      </c>
      <c r="B32" s="106"/>
      <c r="C32" s="107">
        <f>SUM(C28:C31)</f>
        <v>0</v>
      </c>
      <c r="D32" s="107">
        <f t="shared" ref="D32:I32" si="2">SUM(D28:D31)</f>
        <v>172066.55973528133</v>
      </c>
      <c r="E32" s="107">
        <f t="shared" si="2"/>
        <v>136387.38968131749</v>
      </c>
      <c r="F32" s="107" t="e">
        <f t="shared" si="2"/>
        <v>#REF!</v>
      </c>
      <c r="G32" s="107" t="e">
        <f t="shared" si="2"/>
        <v>#REF!</v>
      </c>
      <c r="H32" s="107" t="e">
        <f t="shared" si="2"/>
        <v>#REF!</v>
      </c>
      <c r="I32" s="107" t="e">
        <f t="shared" si="2"/>
        <v>#REF!</v>
      </c>
      <c r="N32" s="1"/>
      <c r="O32" s="6">
        <v>44801</v>
      </c>
      <c r="P32" s="7">
        <v>0</v>
      </c>
      <c r="Q32" s="37">
        <v>0</v>
      </c>
      <c r="R32" s="8">
        <v>0</v>
      </c>
      <c r="S32" s="8">
        <v>0</v>
      </c>
      <c r="T32" s="8"/>
      <c r="U32" s="8"/>
      <c r="V32" s="32"/>
      <c r="W32" s="17">
        <f>SUM(R32:R35)/SUM($D$5:$D$35)</f>
        <v>1.7705990792522563E-2</v>
      </c>
      <c r="X32" s="17"/>
      <c r="Y32" s="6">
        <v>44832</v>
      </c>
      <c r="Z32" s="7">
        <v>14294.998774088232</v>
      </c>
      <c r="AA32" s="37">
        <v>1</v>
      </c>
      <c r="AB32" s="8">
        <v>5094.7350618248502</v>
      </c>
      <c r="AC32" s="8">
        <v>9200.2637122633805</v>
      </c>
      <c r="AD32" s="8"/>
      <c r="AE32" s="8"/>
      <c r="AF32"/>
      <c r="AG32" s="17">
        <f>SUM(AB32:AB35)/SUM($D$5:$D$35)</f>
        <v>1.4747292725685101E-2</v>
      </c>
      <c r="AH32" s="17"/>
      <c r="AI32" s="6">
        <v>44832</v>
      </c>
      <c r="AJ32" s="7">
        <v>14294.998774088232</v>
      </c>
      <c r="AK32" s="37">
        <v>1</v>
      </c>
      <c r="AL32" s="8">
        <v>5094.7350618248502</v>
      </c>
      <c r="AM32" s="8">
        <v>9200.2637122633805</v>
      </c>
      <c r="AN32" s="8"/>
      <c r="AO32" s="8"/>
      <c r="AQ32" s="17">
        <f>SUM(AL32:AL35)/SUM($D$5:$D$35)</f>
        <v>1.4747292725685101E-2</v>
      </c>
      <c r="AR32" s="17"/>
      <c r="AS32" s="6">
        <v>44862</v>
      </c>
      <c r="AT32" s="7">
        <v>14204.681053897275</v>
      </c>
      <c r="AU32" s="37">
        <v>1</v>
      </c>
      <c r="AV32" s="8">
        <v>5456.681053897275</v>
      </c>
      <c r="AW32" s="8">
        <v>8748</v>
      </c>
      <c r="AX32" s="8"/>
      <c r="AY32" s="8"/>
      <c r="BA32" s="17">
        <f>SUM(AV32:AV35)/SUM($D$5:$D$35)</f>
        <v>8.4449222596187264E-3</v>
      </c>
      <c r="BB32" s="17"/>
      <c r="BC32" s="6">
        <v>44862</v>
      </c>
      <c r="BD32" s="7">
        <v>14204.681053897275</v>
      </c>
      <c r="BE32" s="37">
        <v>1</v>
      </c>
      <c r="BF32" s="8">
        <v>5456.681053897275</v>
      </c>
      <c r="BG32" s="8">
        <v>8748</v>
      </c>
      <c r="BH32" s="8"/>
      <c r="BI32" s="8"/>
    </row>
    <row r="33" spans="3:61" ht="14.5" x14ac:dyDescent="0.35">
      <c r="N33" s="1"/>
      <c r="O33" s="6">
        <v>44802</v>
      </c>
      <c r="P33" s="7">
        <v>14570.534283443982</v>
      </c>
      <c r="Q33" s="37">
        <v>1</v>
      </c>
      <c r="R33" s="8">
        <v>5486.1905761675171</v>
      </c>
      <c r="S33" s="8">
        <v>9084.3437072764646</v>
      </c>
      <c r="T33" s="8"/>
      <c r="U33" s="8"/>
      <c r="V33" s="32"/>
      <c r="W33"/>
      <c r="X33" s="17"/>
      <c r="Y33" s="6">
        <v>44833</v>
      </c>
      <c r="Z33" s="7">
        <v>14294.998774088232</v>
      </c>
      <c r="AA33" s="37">
        <v>1</v>
      </c>
      <c r="AB33" s="8">
        <v>5094.7350618248502</v>
      </c>
      <c r="AC33" s="8">
        <v>9200.2637122633805</v>
      </c>
      <c r="AD33" s="8"/>
      <c r="AE33" s="8"/>
      <c r="AF33"/>
      <c r="AG33"/>
      <c r="AH33" s="17"/>
      <c r="AI33" s="6">
        <v>44833</v>
      </c>
      <c r="AJ33" s="7">
        <v>14294.998774088232</v>
      </c>
      <c r="AK33" s="37">
        <v>1</v>
      </c>
      <c r="AL33" s="8">
        <v>5094.7350618248502</v>
      </c>
      <c r="AM33" s="8">
        <v>9200.2637122633805</v>
      </c>
      <c r="AN33" s="8"/>
      <c r="AO33" s="8"/>
      <c r="AQ33"/>
      <c r="AR33" s="19" t="s">
        <v>40</v>
      </c>
      <c r="AS33" s="6">
        <v>44863</v>
      </c>
      <c r="AT33" s="7">
        <v>4888.9755959979875</v>
      </c>
      <c r="AU33" s="37">
        <v>0.34418059634338788</v>
      </c>
      <c r="AV33" s="8">
        <v>2393.2811639900328</v>
      </c>
      <c r="AW33" s="8">
        <v>2495.6944320079547</v>
      </c>
      <c r="AX33" s="8"/>
      <c r="AY33" s="8"/>
      <c r="BA33"/>
      <c r="BB33" s="19" t="s">
        <v>40</v>
      </c>
      <c r="BC33" s="6">
        <v>44863</v>
      </c>
      <c r="BD33" s="7">
        <v>4888.9755959979875</v>
      </c>
      <c r="BE33" s="37">
        <v>0.34418059634338788</v>
      </c>
      <c r="BF33" s="8">
        <v>2393.2811639900328</v>
      </c>
      <c r="BG33" s="8">
        <v>2495.6944320079547</v>
      </c>
      <c r="BH33" s="8"/>
      <c r="BI33" s="8"/>
    </row>
    <row r="34" spans="3:61" ht="14.5" x14ac:dyDescent="0.35">
      <c r="C34" s="100"/>
      <c r="D34" s="100"/>
      <c r="E34" s="100"/>
      <c r="N34" s="1"/>
      <c r="O34" s="6">
        <v>44803</v>
      </c>
      <c r="P34" s="7">
        <v>14570.534283443982</v>
      </c>
      <c r="Q34" s="37">
        <v>1</v>
      </c>
      <c r="R34" s="8">
        <v>5486.1905761675171</v>
      </c>
      <c r="S34" s="8">
        <v>9084.3437072764646</v>
      </c>
      <c r="T34" s="8"/>
      <c r="U34" s="8"/>
      <c r="V34" s="32"/>
      <c r="W34"/>
      <c r="X34"/>
      <c r="Y34" s="6">
        <v>44834</v>
      </c>
      <c r="Z34" s="7">
        <v>12719.112878456261</v>
      </c>
      <c r="AA34" s="37">
        <v>0.88975963408346048</v>
      </c>
      <c r="AB34" s="8">
        <v>3518.8491661928801</v>
      </c>
      <c r="AC34" s="8">
        <v>9200.2637122633805</v>
      </c>
      <c r="AD34" s="8"/>
      <c r="AE34" s="8"/>
      <c r="AF34"/>
      <c r="AG34"/>
      <c r="AH34"/>
      <c r="AI34" s="6">
        <v>44834</v>
      </c>
      <c r="AJ34" s="7">
        <v>12719.112878456261</v>
      </c>
      <c r="AK34" s="37">
        <v>0.88975963408346048</v>
      </c>
      <c r="AL34" s="8">
        <v>3518.8491661928801</v>
      </c>
      <c r="AM34" s="8">
        <v>9200.2637122633805</v>
      </c>
      <c r="AN34" s="8"/>
      <c r="AO34" s="8"/>
      <c r="AQ34"/>
      <c r="AR34"/>
      <c r="AS34" s="6">
        <v>44864</v>
      </c>
      <c r="AT34" s="7">
        <v>0</v>
      </c>
      <c r="AU34" s="37">
        <v>0</v>
      </c>
      <c r="AV34" s="8">
        <v>0</v>
      </c>
      <c r="AW34" s="8">
        <v>0</v>
      </c>
      <c r="AX34" s="8"/>
      <c r="AY34" s="8"/>
      <c r="BA34"/>
      <c r="BB34"/>
      <c r="BC34" s="6">
        <v>44864</v>
      </c>
      <c r="BD34" s="7">
        <v>0</v>
      </c>
      <c r="BE34" s="37">
        <v>0</v>
      </c>
      <c r="BF34" s="8">
        <v>0</v>
      </c>
      <c r="BG34" s="8">
        <v>0</v>
      </c>
      <c r="BH34" s="8"/>
      <c r="BI34" s="8"/>
    </row>
    <row r="35" spans="3:61" ht="14.5" x14ac:dyDescent="0.35">
      <c r="C35" s="100"/>
      <c r="D35" s="100"/>
      <c r="E35" s="100"/>
      <c r="N35" s="1"/>
      <c r="O35" s="6">
        <v>44804</v>
      </c>
      <c r="P35" s="7">
        <v>14570.534283443982</v>
      </c>
      <c r="Q35" s="37">
        <v>1</v>
      </c>
      <c r="R35" s="8">
        <v>5486.1905761675171</v>
      </c>
      <c r="S35" s="8">
        <v>9084.3437072764646</v>
      </c>
      <c r="T35" s="8"/>
      <c r="U35" s="8"/>
      <c r="V35" s="32"/>
      <c r="W35"/>
      <c r="X35"/>
      <c r="Y35" s="6">
        <v>44835</v>
      </c>
      <c r="Z35" s="7">
        <v>0</v>
      </c>
      <c r="AA35" s="37">
        <v>0</v>
      </c>
      <c r="AB35" s="8"/>
      <c r="AC35" s="8"/>
      <c r="AD35" s="8"/>
      <c r="AE35" s="8"/>
      <c r="AF35"/>
      <c r="AG35"/>
      <c r="AH35"/>
      <c r="AI35" s="6">
        <v>44835</v>
      </c>
      <c r="AJ35" s="7">
        <v>0</v>
      </c>
      <c r="AK35" s="37">
        <v>0</v>
      </c>
      <c r="AL35" s="8"/>
      <c r="AM35" s="8"/>
      <c r="AN35" s="8"/>
      <c r="AO35" s="8"/>
      <c r="AQ35"/>
      <c r="AR35"/>
      <c r="AS35" s="6">
        <v>44865</v>
      </c>
      <c r="AT35" s="7">
        <v>0</v>
      </c>
      <c r="AU35" s="37">
        <v>0</v>
      </c>
      <c r="AV35" s="8">
        <v>0</v>
      </c>
      <c r="AW35" s="8">
        <v>0</v>
      </c>
      <c r="AX35" s="8"/>
      <c r="AY35" s="8"/>
      <c r="BA35"/>
      <c r="BB35"/>
      <c r="BC35" s="6">
        <v>44865</v>
      </c>
      <c r="BD35" s="7">
        <v>0</v>
      </c>
      <c r="BE35" s="37">
        <v>0</v>
      </c>
      <c r="BF35" s="8">
        <v>0</v>
      </c>
      <c r="BG35" s="8">
        <v>0</v>
      </c>
      <c r="BH35" s="8"/>
      <c r="BI35" s="8"/>
    </row>
    <row r="36" spans="3:61" x14ac:dyDescent="0.25">
      <c r="C36" s="100"/>
      <c r="D36" s="100"/>
      <c r="E36" s="100"/>
      <c r="O36"/>
      <c r="P36" s="9"/>
      <c r="Q36"/>
      <c r="R36" s="10"/>
      <c r="S36" s="10"/>
      <c r="T36"/>
      <c r="U36"/>
      <c r="V36"/>
      <c r="W36"/>
      <c r="X36"/>
      <c r="Y36"/>
      <c r="Z36" s="9"/>
      <c r="AA36"/>
      <c r="AB36"/>
      <c r="AC36"/>
      <c r="AD36"/>
      <c r="AE36"/>
      <c r="AF36"/>
      <c r="AG36"/>
      <c r="AH36"/>
      <c r="AI36"/>
      <c r="AJ36" s="9"/>
      <c r="AK36"/>
      <c r="AL36"/>
      <c r="AM36"/>
      <c r="AN36"/>
      <c r="AO36"/>
    </row>
    <row r="37" spans="3:61" x14ac:dyDescent="0.25">
      <c r="C37" s="100"/>
      <c r="D37" s="100"/>
      <c r="E37" s="100"/>
      <c r="O37"/>
      <c r="P37" s="11"/>
      <c r="Q37"/>
      <c r="R37"/>
      <c r="S37"/>
      <c r="T37"/>
      <c r="U37"/>
      <c r="V37"/>
      <c r="W37"/>
      <c r="X37"/>
      <c r="Y37"/>
      <c r="Z37" s="11"/>
      <c r="AA37"/>
      <c r="AB37"/>
      <c r="AC37"/>
      <c r="AD37"/>
      <c r="AE37"/>
      <c r="AF37"/>
      <c r="AG37"/>
      <c r="AH37"/>
      <c r="AI37"/>
      <c r="AJ37" s="11"/>
      <c r="AK37"/>
      <c r="AL37"/>
      <c r="AM37"/>
      <c r="AN37"/>
      <c r="AO37"/>
    </row>
    <row r="38" spans="3:61" x14ac:dyDescent="0.25">
      <c r="C38" s="100"/>
      <c r="D38" s="100"/>
      <c r="E38" s="100"/>
      <c r="O38" s="114" t="s">
        <v>42</v>
      </c>
      <c r="P38" s="12">
        <v>14570.534283443982</v>
      </c>
      <c r="Q38" s="13"/>
      <c r="R38" s="14">
        <v>59674.353635506319</v>
      </c>
      <c r="S38" s="14">
        <v>95950.31137307141</v>
      </c>
      <c r="T38" s="13"/>
      <c r="U38" s="13"/>
      <c r="V38" s="13"/>
      <c r="W38" s="13"/>
      <c r="X38" s="13"/>
      <c r="Y38" s="13" t="s">
        <v>42</v>
      </c>
      <c r="Z38" s="12">
        <v>14294.998774088232</v>
      </c>
      <c r="AA38" s="13"/>
      <c r="AB38" s="14">
        <v>59564.397137814463</v>
      </c>
      <c r="AC38" s="14">
        <v>112502.16259746686</v>
      </c>
      <c r="AD38" s="13"/>
      <c r="AE38" s="13"/>
      <c r="AF38" s="13"/>
      <c r="AG38" s="13"/>
      <c r="AH38" s="13"/>
      <c r="AI38" s="13" t="s">
        <v>42</v>
      </c>
      <c r="AJ38" s="12">
        <v>14294.998774088232</v>
      </c>
      <c r="AK38" s="13"/>
      <c r="AL38" s="14">
        <v>59564.397137814463</v>
      </c>
      <c r="AM38" s="14">
        <v>112502.16259746686</v>
      </c>
      <c r="AN38" s="13"/>
      <c r="AO38" s="13"/>
    </row>
    <row r="39" spans="3:61" x14ac:dyDescent="0.25"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3:61" x14ac:dyDescent="0.25">
      <c r="O40"/>
      <c r="P40"/>
      <c r="Q40"/>
      <c r="R40"/>
      <c r="S40"/>
      <c r="T40"/>
      <c r="U40"/>
      <c r="V40"/>
      <c r="W40"/>
      <c r="X40"/>
      <c r="Y40" t="s">
        <v>6</v>
      </c>
      <c r="Z40" t="s">
        <v>43</v>
      </c>
      <c r="AA40" s="16">
        <f>SUM(AA5:AA35)</f>
        <v>21.577752771529902</v>
      </c>
      <c r="AB40"/>
      <c r="AC40"/>
      <c r="AD40"/>
      <c r="AE40"/>
      <c r="AF40"/>
      <c r="AG40"/>
      <c r="AH40"/>
      <c r="AI40" t="s">
        <v>6</v>
      </c>
      <c r="AJ40" t="s">
        <v>43</v>
      </c>
      <c r="AK40" s="16">
        <f>SUM(AK5:AK35)</f>
        <v>21.577752771529902</v>
      </c>
      <c r="AL40"/>
      <c r="AM40"/>
      <c r="AN40"/>
      <c r="AO40"/>
      <c r="AS40" t="s">
        <v>6</v>
      </c>
      <c r="AT40" t="s">
        <v>43</v>
      </c>
      <c r="AU40" s="16">
        <f>SUM(AU5:AU35)</f>
        <v>20.551854401542649</v>
      </c>
      <c r="BC40" t="s">
        <v>6</v>
      </c>
      <c r="BD40" t="s">
        <v>43</v>
      </c>
      <c r="BE40" s="16">
        <f>SUM(BE5:BE35)</f>
        <v>20.551854401542649</v>
      </c>
    </row>
    <row r="41" spans="3:61" x14ac:dyDescent="0.25">
      <c r="Y41"/>
      <c r="Z41" t="s">
        <v>44</v>
      </c>
      <c r="AA41" s="16">
        <f>SUM(AA5:AA14)</f>
        <v>8.3023137332516619</v>
      </c>
      <c r="AI41"/>
      <c r="AJ41" t="s">
        <v>44</v>
      </c>
      <c r="AK41" s="16">
        <f>SUM(AK5:AK17)</f>
        <v>10.302313733251662</v>
      </c>
      <c r="AS41"/>
      <c r="AT41" t="s">
        <v>44</v>
      </c>
      <c r="AU41" s="16">
        <f>SUM(AU5:AU19)</f>
        <v>9.8640564034795055</v>
      </c>
      <c r="BC41"/>
      <c r="BD41" t="s">
        <v>44</v>
      </c>
      <c r="BE41" s="16">
        <f>SUM(BE5:BE23)</f>
        <v>12.864056403479506</v>
      </c>
    </row>
    <row r="42" spans="3:61" x14ac:dyDescent="0.25">
      <c r="Y42"/>
      <c r="Z42"/>
      <c r="AA42" s="17">
        <f>+AA41/AA40</f>
        <v>0.38476266834449474</v>
      </c>
      <c r="AI42"/>
      <c r="AJ42"/>
      <c r="AK42" s="17">
        <f>+AK41/AK40</f>
        <v>0.47745072632608576</v>
      </c>
      <c r="AS42"/>
      <c r="AT42"/>
      <c r="AU42" s="17">
        <f>+AU41/AU40</f>
        <v>0.47995943386690676</v>
      </c>
      <c r="BC42"/>
      <c r="BD42"/>
      <c r="BE42" s="17">
        <f>+BE41/BE40</f>
        <v>0.62593166300914982</v>
      </c>
    </row>
    <row r="43" spans="3:61" x14ac:dyDescent="0.25">
      <c r="Y43"/>
      <c r="Z43"/>
      <c r="AA43"/>
      <c r="AI43"/>
      <c r="AJ43"/>
      <c r="AK43"/>
      <c r="AS43"/>
      <c r="AT43"/>
      <c r="AU43"/>
      <c r="BC43"/>
      <c r="BD43"/>
      <c r="BE43"/>
    </row>
    <row r="44" spans="3:61" x14ac:dyDescent="0.25">
      <c r="Y44" t="s">
        <v>45</v>
      </c>
      <c r="Z44" t="s">
        <v>43</v>
      </c>
      <c r="AA44" s="16">
        <f>SUM(AA5:AA35)</f>
        <v>21.577752771529902</v>
      </c>
      <c r="AI44" t="s">
        <v>45</v>
      </c>
      <c r="AJ44" t="s">
        <v>43</v>
      </c>
      <c r="AK44" s="16">
        <f>SUM(AK5:AK35)</f>
        <v>21.577752771529902</v>
      </c>
      <c r="AS44" t="s">
        <v>45</v>
      </c>
      <c r="AT44" t="s">
        <v>43</v>
      </c>
      <c r="AU44" s="16">
        <f>SUM(AU5:AU35)</f>
        <v>20.551854401542649</v>
      </c>
      <c r="BC44" t="s">
        <v>45</v>
      </c>
      <c r="BD44" t="s">
        <v>43</v>
      </c>
      <c r="BE44" s="16">
        <f>SUM(BE5:BE35)</f>
        <v>20.551854401542649</v>
      </c>
    </row>
    <row r="45" spans="3:61" x14ac:dyDescent="0.25">
      <c r="Y45"/>
      <c r="Z45" t="s">
        <v>44</v>
      </c>
      <c r="AA45" s="16">
        <f>SUM(AA5:AA28)</f>
        <v>16.687993137446441</v>
      </c>
      <c r="AI45"/>
      <c r="AJ45" t="s">
        <v>44</v>
      </c>
      <c r="AK45" s="16">
        <f>SUM(AK5:AK28)</f>
        <v>16.687993137446441</v>
      </c>
      <c r="AS45"/>
      <c r="AT45" t="s">
        <v>44</v>
      </c>
      <c r="AU45" s="16">
        <f>SUM(AU5:AU29)</f>
        <v>17.20767380519926</v>
      </c>
      <c r="BC45"/>
      <c r="BD45" t="s">
        <v>44</v>
      </c>
      <c r="BE45" s="16">
        <f>SUM(BE5:BE29)</f>
        <v>17.20767380519926</v>
      </c>
    </row>
    <row r="46" spans="3:61" x14ac:dyDescent="0.25">
      <c r="Y46"/>
      <c r="Z46"/>
      <c r="AA46" s="17">
        <f>+AA45/AA44</f>
        <v>0.77338883776001444</v>
      </c>
      <c r="AI46"/>
      <c r="AJ46"/>
      <c r="AK46" s="17">
        <f>+AK45/AK44</f>
        <v>0.77338883776001444</v>
      </c>
      <c r="AS46"/>
      <c r="AT46"/>
      <c r="AU46" s="17">
        <f>+AU45/AU44</f>
        <v>0.8372808345658399</v>
      </c>
      <c r="BC46"/>
      <c r="BD46"/>
      <c r="BE46" s="17">
        <f>+BE45/BE44</f>
        <v>0.8372808345658399</v>
      </c>
    </row>
    <row r="47" spans="3:61" x14ac:dyDescent="0.25">
      <c r="Y47"/>
      <c r="Z47"/>
      <c r="AA47"/>
      <c r="AI47"/>
      <c r="AJ47"/>
      <c r="AK47"/>
      <c r="AS47"/>
      <c r="AT47"/>
      <c r="AU47"/>
      <c r="BC47"/>
      <c r="BD47"/>
      <c r="BE47"/>
    </row>
    <row r="48" spans="3:61" x14ac:dyDescent="0.25">
      <c r="Y48" t="s">
        <v>46</v>
      </c>
      <c r="Z48" t="s">
        <v>43</v>
      </c>
      <c r="AA48" s="16">
        <f>SUM(AA5:AA35)</f>
        <v>21.577752771529902</v>
      </c>
      <c r="AI48" t="s">
        <v>46</v>
      </c>
      <c r="AJ48" t="s">
        <v>43</v>
      </c>
      <c r="AK48" s="16">
        <f>SUM(AK5:AK35)</f>
        <v>21.577752771529902</v>
      </c>
      <c r="AS48" t="s">
        <v>46</v>
      </c>
      <c r="AT48" t="s">
        <v>43</v>
      </c>
      <c r="AU48" s="16">
        <f>SUM(AU5:AU35)</f>
        <v>20.551854401542649</v>
      </c>
      <c r="BC48" t="s">
        <v>46</v>
      </c>
      <c r="BD48" t="s">
        <v>43</v>
      </c>
      <c r="BE48" s="16">
        <f>SUM(BE5:BE35)</f>
        <v>20.551854401542649</v>
      </c>
    </row>
    <row r="49" spans="25:57" x14ac:dyDescent="0.25">
      <c r="Y49"/>
      <c r="Z49" t="s">
        <v>44</v>
      </c>
      <c r="AA49" s="16">
        <f>SUM(AA5:AA14)</f>
        <v>8.3023137332516619</v>
      </c>
      <c r="AI49"/>
      <c r="AJ49" t="s">
        <v>44</v>
      </c>
      <c r="AK49" s="16">
        <f>SUM(AK5:AK17)</f>
        <v>10.302313733251662</v>
      </c>
      <c r="AS49"/>
      <c r="AT49" t="s">
        <v>44</v>
      </c>
      <c r="AU49" s="16">
        <f>SUM(AU5:AU19)</f>
        <v>9.8640564034795055</v>
      </c>
      <c r="BC49"/>
      <c r="BD49" t="s">
        <v>44</v>
      </c>
      <c r="BE49" s="16">
        <f>SUM(BE5:BE23)</f>
        <v>12.864056403479506</v>
      </c>
    </row>
    <row r="50" spans="25:57" x14ac:dyDescent="0.25">
      <c r="Y50"/>
      <c r="Z50"/>
      <c r="AA50" s="17">
        <f>+AA49/AA48</f>
        <v>0.38476266834449474</v>
      </c>
      <c r="AI50"/>
      <c r="AJ50"/>
      <c r="AK50" s="17">
        <f>+AK49/AK48</f>
        <v>0.47745072632608576</v>
      </c>
      <c r="AS50"/>
      <c r="AT50"/>
      <c r="AU50" s="17">
        <f>+AU49/AU48</f>
        <v>0.47995943386690676</v>
      </c>
      <c r="BC50"/>
      <c r="BD50"/>
      <c r="BE50" s="17">
        <f>+BE49/BE48</f>
        <v>0.62593166300914982</v>
      </c>
    </row>
    <row r="51" spans="25:57" x14ac:dyDescent="0.25">
      <c r="Y51"/>
      <c r="Z51"/>
      <c r="AA51"/>
      <c r="AI51"/>
      <c r="AJ51"/>
      <c r="AK51"/>
      <c r="AS51"/>
      <c r="AT51"/>
      <c r="AU51"/>
      <c r="BC51"/>
      <c r="BD51"/>
      <c r="BE51"/>
    </row>
    <row r="52" spans="25:57" x14ac:dyDescent="0.25">
      <c r="Y52" t="s">
        <v>47</v>
      </c>
      <c r="Z52" t="s">
        <v>43</v>
      </c>
      <c r="AA52" s="16">
        <f>SUM(AA5:AA35)</f>
        <v>21.577752771529902</v>
      </c>
      <c r="AI52" t="s">
        <v>47</v>
      </c>
      <c r="AJ52" t="s">
        <v>43</v>
      </c>
      <c r="AK52" s="16">
        <f>SUM(AK5:AK35)</f>
        <v>21.577752771529902</v>
      </c>
      <c r="AS52" t="s">
        <v>47</v>
      </c>
      <c r="AT52" t="s">
        <v>43</v>
      </c>
      <c r="AU52" s="16">
        <f>SUM(AU5:AU35)</f>
        <v>20.551854401542649</v>
      </c>
      <c r="BC52" t="s">
        <v>47</v>
      </c>
      <c r="BD52" t="s">
        <v>43</v>
      </c>
      <c r="BE52" s="16">
        <f>SUM(BE5:BE35)</f>
        <v>20.551854401542649</v>
      </c>
    </row>
    <row r="53" spans="25:57" x14ac:dyDescent="0.25">
      <c r="Y53"/>
      <c r="Z53" t="s">
        <v>44</v>
      </c>
      <c r="AA53" s="16">
        <f>SUM(AA5:AA14)</f>
        <v>8.3023137332516619</v>
      </c>
      <c r="AI53"/>
      <c r="AJ53" t="s">
        <v>44</v>
      </c>
      <c r="AK53" s="16">
        <f>SUM(AK5:AK17)</f>
        <v>10.302313733251662</v>
      </c>
      <c r="AS53"/>
      <c r="AT53" t="s">
        <v>44</v>
      </c>
      <c r="AU53" s="16">
        <f>SUM(AU5:AU19)</f>
        <v>9.8640564034795055</v>
      </c>
      <c r="BC53"/>
      <c r="BD53" t="s">
        <v>44</v>
      </c>
      <c r="BE53" s="16">
        <f>SUM(BE5:BE23)</f>
        <v>12.864056403479506</v>
      </c>
    </row>
    <row r="54" spans="25:57" x14ac:dyDescent="0.25">
      <c r="Y54"/>
      <c r="Z54"/>
      <c r="AA54" s="17">
        <f>+AA53/AA52</f>
        <v>0.38476266834449474</v>
      </c>
      <c r="AI54"/>
      <c r="AJ54"/>
      <c r="AK54" s="17">
        <f>+AK53/AK52</f>
        <v>0.47745072632608576</v>
      </c>
      <c r="AS54"/>
      <c r="AT54"/>
      <c r="AU54" s="17">
        <f>+AU53/AU52</f>
        <v>0.47995943386690676</v>
      </c>
      <c r="BC54"/>
      <c r="BD54"/>
      <c r="BE54" s="17">
        <f>+BE53/BE52</f>
        <v>0.62593166300914982</v>
      </c>
    </row>
    <row r="57" spans="25:57" x14ac:dyDescent="0.25">
      <c r="Y57" t="s">
        <v>48</v>
      </c>
      <c r="Z57" t="s">
        <v>43</v>
      </c>
      <c r="AA57" s="16">
        <f>SUM(AA5:AA35)</f>
        <v>21.577752771529902</v>
      </c>
      <c r="AI57" t="s">
        <v>48</v>
      </c>
      <c r="AJ57" t="s">
        <v>43</v>
      </c>
      <c r="AK57" s="16">
        <f>SUM(AK5:AK35)</f>
        <v>21.577752771529902</v>
      </c>
      <c r="AS57" t="s">
        <v>48</v>
      </c>
      <c r="AT57" t="s">
        <v>43</v>
      </c>
      <c r="AU57" s="16">
        <f>SUM(AU5:AU35)</f>
        <v>20.551854401542649</v>
      </c>
      <c r="BC57" t="s">
        <v>48</v>
      </c>
      <c r="BD57" t="s">
        <v>43</v>
      </c>
      <c r="BE57" s="16">
        <f>SUM(BE5:BE35)</f>
        <v>20.551854401542649</v>
      </c>
    </row>
    <row r="58" spans="25:57" x14ac:dyDescent="0.25">
      <c r="Y58"/>
      <c r="Z58" t="s">
        <v>44</v>
      </c>
      <c r="AA58" s="16">
        <f>SUM(AA5:AA13)</f>
        <v>7.6511568666258309</v>
      </c>
      <c r="AI58"/>
      <c r="AJ58" t="s">
        <v>44</v>
      </c>
      <c r="AK58" s="16">
        <f>SUM(AK5:AK17)</f>
        <v>10.302313733251662</v>
      </c>
      <c r="AS58"/>
      <c r="AT58" t="s">
        <v>44</v>
      </c>
      <c r="AU58" s="16">
        <f>SUM(AU5:AU19)</f>
        <v>9.8640564034795055</v>
      </c>
      <c r="BC58"/>
      <c r="BD58" t="s">
        <v>44</v>
      </c>
      <c r="BE58" s="16">
        <f>SUM(BE5:BE23)</f>
        <v>12.864056403479506</v>
      </c>
    </row>
    <row r="59" spans="25:57" x14ac:dyDescent="0.25">
      <c r="Y59"/>
      <c r="Z59"/>
      <c r="AA59" s="17">
        <f>+AA58/AA57</f>
        <v>0.3545854356400317</v>
      </c>
      <c r="AI59"/>
      <c r="AJ59"/>
      <c r="AK59" s="17">
        <f>+AK58/AK57</f>
        <v>0.47745072632608576</v>
      </c>
      <c r="AS59"/>
      <c r="AT59"/>
      <c r="AU59" s="17">
        <f>+AU58/AU57</f>
        <v>0.47995943386690676</v>
      </c>
      <c r="BC59"/>
      <c r="BD59"/>
      <c r="BE59" s="17">
        <f>+BE58/BE57</f>
        <v>0.62593166300914982</v>
      </c>
    </row>
    <row r="62" spans="25:57" x14ac:dyDescent="0.25">
      <c r="Y62" t="s">
        <v>49</v>
      </c>
      <c r="Z62" t="s">
        <v>43</v>
      </c>
      <c r="AA62" s="16">
        <f>SUM(AA5:AA35)</f>
        <v>21.577752771529902</v>
      </c>
      <c r="AI62" t="s">
        <v>49</v>
      </c>
      <c r="AJ62" t="s">
        <v>43</v>
      </c>
      <c r="AK62" s="16">
        <f>SUM(AK5:AK35)</f>
        <v>21.577752771529902</v>
      </c>
      <c r="AS62" t="s">
        <v>49</v>
      </c>
      <c r="AT62" t="s">
        <v>43</v>
      </c>
      <c r="AU62" s="16">
        <f>SUM(AU5:AU35)</f>
        <v>20.551854401542649</v>
      </c>
      <c r="BC62" t="s">
        <v>49</v>
      </c>
      <c r="BD62" t="s">
        <v>43</v>
      </c>
      <c r="BE62" s="16">
        <f>SUM(BE5:BE35)</f>
        <v>20.551854401542649</v>
      </c>
    </row>
    <row r="63" spans="25:57" x14ac:dyDescent="0.25">
      <c r="Y63"/>
      <c r="Z63" t="s">
        <v>44</v>
      </c>
      <c r="AA63" s="16">
        <f>SUM(AA5:AA28)</f>
        <v>16.687993137446441</v>
      </c>
      <c r="AI63"/>
      <c r="AJ63" t="s">
        <v>44</v>
      </c>
      <c r="AK63" s="16">
        <f>SUM(AK5:AK30)</f>
        <v>17.687993137446441</v>
      </c>
      <c r="AS63"/>
      <c r="AT63" t="s">
        <v>44</v>
      </c>
      <c r="AU63" s="16">
        <f>SUM(AU5:AU28)</f>
        <v>16.20767380519926</v>
      </c>
      <c r="BC63"/>
      <c r="BD63" t="s">
        <v>44</v>
      </c>
      <c r="BE63" s="16">
        <f>SUM(BE5:BE28)</f>
        <v>16.20767380519926</v>
      </c>
    </row>
    <row r="64" spans="25:57" x14ac:dyDescent="0.25">
      <c r="Y64"/>
      <c r="Z64"/>
      <c r="AA64" s="21">
        <f>+AA63/AA62</f>
        <v>0.77338883776001444</v>
      </c>
      <c r="AI64"/>
      <c r="AJ64"/>
      <c r="AK64" s="21">
        <f>+AK63/AK62</f>
        <v>0.81973286675080992</v>
      </c>
      <c r="AS64"/>
      <c r="AT64"/>
      <c r="AU64" s="21">
        <f>+AU63/AU62</f>
        <v>0.78862342485175896</v>
      </c>
      <c r="BC64"/>
      <c r="BD64"/>
      <c r="BE64" s="21">
        <f>+BE63/BE62</f>
        <v>0.78862342485175896</v>
      </c>
    </row>
    <row r="67" spans="25:57" x14ac:dyDescent="0.25">
      <c r="Y67" t="s">
        <v>50</v>
      </c>
      <c r="Z67" t="s">
        <v>43</v>
      </c>
      <c r="AA67" s="16">
        <f>SUM(AA5:AA35)</f>
        <v>21.577752771529902</v>
      </c>
      <c r="AI67" t="s">
        <v>50</v>
      </c>
      <c r="AJ67" t="s">
        <v>43</v>
      </c>
      <c r="AK67" s="16">
        <f>SUM(AK5:AK35)</f>
        <v>21.577752771529902</v>
      </c>
      <c r="AS67" t="s">
        <v>50</v>
      </c>
      <c r="AT67" t="s">
        <v>43</v>
      </c>
      <c r="AU67" s="16">
        <f>SUM(AU5:AU35)</f>
        <v>20.551854401542649</v>
      </c>
      <c r="BC67" t="s">
        <v>50</v>
      </c>
      <c r="BD67" t="s">
        <v>43</v>
      </c>
      <c r="BE67" s="16">
        <f>SUM(BE5:BE35)</f>
        <v>20.551854401542649</v>
      </c>
    </row>
    <row r="68" spans="25:57" x14ac:dyDescent="0.25">
      <c r="Y68"/>
      <c r="Z68" t="s">
        <v>44</v>
      </c>
      <c r="AA68" s="16">
        <f>SUM(AA5:AA14)</f>
        <v>8.3023137332516619</v>
      </c>
      <c r="AI68"/>
      <c r="AJ68" t="s">
        <v>44</v>
      </c>
      <c r="AK68" s="16">
        <f>SUM(AK5:AK18)</f>
        <v>11.302313733251662</v>
      </c>
      <c r="AS68"/>
      <c r="AT68" t="s">
        <v>44</v>
      </c>
      <c r="AU68" s="16">
        <f>SUM(AU5:AU18)</f>
        <v>9.5198758071361169</v>
      </c>
      <c r="BC68"/>
      <c r="BD68" t="s">
        <v>44</v>
      </c>
      <c r="BE68" s="16">
        <f>SUM(BE5:BE23)</f>
        <v>12.864056403479506</v>
      </c>
    </row>
    <row r="69" spans="25:57" x14ac:dyDescent="0.25">
      <c r="Y69"/>
      <c r="Z69"/>
      <c r="AA69" s="21">
        <f>+AA68/AA67</f>
        <v>0.38476266834449474</v>
      </c>
      <c r="AI69"/>
      <c r="AJ69"/>
      <c r="AK69" s="21">
        <f>+AK68/AK67</f>
        <v>0.52379475531688124</v>
      </c>
      <c r="AS69"/>
      <c r="AT69"/>
      <c r="AU69" s="21">
        <f>+AU68/AU67</f>
        <v>0.46321249757498978</v>
      </c>
      <c r="BC69"/>
      <c r="BD69"/>
      <c r="BE69" s="21">
        <f>+BE68/BE67</f>
        <v>0.62593166300914982</v>
      </c>
    </row>
  </sheetData>
  <mergeCells count="8">
    <mergeCell ref="AR3:AY3"/>
    <mergeCell ref="BB3:BI3"/>
    <mergeCell ref="X3:AE3"/>
    <mergeCell ref="AH3:AO3"/>
    <mergeCell ref="B17:G17"/>
    <mergeCell ref="B18:E18"/>
    <mergeCell ref="F18:G18"/>
    <mergeCell ref="B26:G26"/>
  </mergeCells>
  <conditionalFormatting sqref="O4">
    <cfRule type="expression" dxfId="39" priority="64" stopIfTrue="1">
      <formula>#REF!="F"</formula>
    </cfRule>
  </conditionalFormatting>
  <conditionalFormatting sqref="P4:Q4">
    <cfRule type="expression" dxfId="38" priority="63" stopIfTrue="1">
      <formula>#REF!="F"</formula>
    </cfRule>
  </conditionalFormatting>
  <conditionalFormatting sqref="O5 O7:O35">
    <cfRule type="expression" dxfId="37" priority="62" stopIfTrue="1">
      <formula>N5="F"</formula>
    </cfRule>
  </conditionalFormatting>
  <conditionalFormatting sqref="O5:O35">
    <cfRule type="expression" dxfId="36" priority="61" stopIfTrue="1">
      <formula>N5="F"</formula>
    </cfRule>
  </conditionalFormatting>
  <conditionalFormatting sqref="O5 O7:O35">
    <cfRule type="expression" dxfId="35" priority="58" stopIfTrue="1">
      <formula>N5="F"</formula>
    </cfRule>
  </conditionalFormatting>
  <conditionalFormatting sqref="O5:O35">
    <cfRule type="expression" dxfId="34" priority="57" stopIfTrue="1">
      <formula>N5="F"</formula>
    </cfRule>
  </conditionalFormatting>
  <conditionalFormatting sqref="O4">
    <cfRule type="expression" dxfId="33" priority="60" stopIfTrue="1">
      <formula>#REF!="F"</formula>
    </cfRule>
  </conditionalFormatting>
  <conditionalFormatting sqref="P4:Q4">
    <cfRule type="expression" dxfId="32" priority="59" stopIfTrue="1">
      <formula>#REF!="F"</formula>
    </cfRule>
  </conditionalFormatting>
  <conditionalFormatting sqref="Y5 Y7:Y35">
    <cfRule type="expression" dxfId="31" priority="56" stopIfTrue="1">
      <formula>X5="F"</formula>
    </cfRule>
  </conditionalFormatting>
  <conditionalFormatting sqref="Y5:Y35">
    <cfRule type="expression" dxfId="30" priority="55" stopIfTrue="1">
      <formula>X5="F"</formula>
    </cfRule>
  </conditionalFormatting>
  <conditionalFormatting sqref="Y5 Y7:Y35">
    <cfRule type="expression" dxfId="29" priority="54" stopIfTrue="1">
      <formula>X5="F"</formula>
    </cfRule>
  </conditionalFormatting>
  <conditionalFormatting sqref="Y5:Y35">
    <cfRule type="expression" dxfId="28" priority="53" stopIfTrue="1">
      <formula>X5="F"</formula>
    </cfRule>
  </conditionalFormatting>
  <conditionalFormatting sqref="Y4">
    <cfRule type="expression" dxfId="27" priority="50" stopIfTrue="1">
      <formula>#REF!="F"</formula>
    </cfRule>
  </conditionalFormatting>
  <conditionalFormatting sqref="Z4:AA4">
    <cfRule type="expression" dxfId="26" priority="49" stopIfTrue="1">
      <formula>#REF!="F"</formula>
    </cfRule>
  </conditionalFormatting>
  <conditionalFormatting sqref="Y4">
    <cfRule type="expression" dxfId="25" priority="48" stopIfTrue="1">
      <formula>#REF!="F"</formula>
    </cfRule>
  </conditionalFormatting>
  <conditionalFormatting sqref="Z4:AA4">
    <cfRule type="expression" dxfId="24" priority="47" stopIfTrue="1">
      <formula>#REF!="F"</formula>
    </cfRule>
  </conditionalFormatting>
  <conditionalFormatting sqref="AI5 AI7:AI35">
    <cfRule type="expression" dxfId="23" priority="38" stopIfTrue="1">
      <formula>AH5="F"</formula>
    </cfRule>
  </conditionalFormatting>
  <conditionalFormatting sqref="AI5:AI35">
    <cfRule type="expression" dxfId="22" priority="37" stopIfTrue="1">
      <formula>AH5="F"</formula>
    </cfRule>
  </conditionalFormatting>
  <conditionalFormatting sqref="AI5 AI7:AI35">
    <cfRule type="expression" dxfId="21" priority="36" stopIfTrue="1">
      <formula>AH5="F"</formula>
    </cfRule>
  </conditionalFormatting>
  <conditionalFormatting sqref="AI5:AI35">
    <cfRule type="expression" dxfId="20" priority="35" stopIfTrue="1">
      <formula>AH5="F"</formula>
    </cfRule>
  </conditionalFormatting>
  <conditionalFormatting sqref="AI4">
    <cfRule type="expression" dxfId="19" priority="34" stopIfTrue="1">
      <formula>#REF!="F"</formula>
    </cfRule>
  </conditionalFormatting>
  <conditionalFormatting sqref="AJ4:AK4">
    <cfRule type="expression" dxfId="18" priority="33" stopIfTrue="1">
      <formula>#REF!="F"</formula>
    </cfRule>
  </conditionalFormatting>
  <conditionalFormatting sqref="AI4">
    <cfRule type="expression" dxfId="17" priority="32" stopIfTrue="1">
      <formula>#REF!="F"</formula>
    </cfRule>
  </conditionalFormatting>
  <conditionalFormatting sqref="AJ4:AK4">
    <cfRule type="expression" dxfId="16" priority="31" stopIfTrue="1">
      <formula>#REF!="F"</formula>
    </cfRule>
  </conditionalFormatting>
  <conditionalFormatting sqref="AS5 AS7:AS35">
    <cfRule type="expression" dxfId="15" priority="24" stopIfTrue="1">
      <formula>AR5="F"</formula>
    </cfRule>
  </conditionalFormatting>
  <conditionalFormatting sqref="AS5:AS35">
    <cfRule type="expression" dxfId="14" priority="23" stopIfTrue="1">
      <formula>AR5="F"</formula>
    </cfRule>
  </conditionalFormatting>
  <conditionalFormatting sqref="AS5 AS7:AS35">
    <cfRule type="expression" dxfId="13" priority="22" stopIfTrue="1">
      <formula>AR5="F"</formula>
    </cfRule>
  </conditionalFormatting>
  <conditionalFormatting sqref="AS5:AS35">
    <cfRule type="expression" dxfId="12" priority="21" stopIfTrue="1">
      <formula>AR5="F"</formula>
    </cfRule>
  </conditionalFormatting>
  <conditionalFormatting sqref="AS4">
    <cfRule type="expression" dxfId="11" priority="20" stopIfTrue="1">
      <formula>#REF!="F"</formula>
    </cfRule>
  </conditionalFormatting>
  <conditionalFormatting sqref="AT4:AU4">
    <cfRule type="expression" dxfId="10" priority="19" stopIfTrue="1">
      <formula>#REF!="F"</formula>
    </cfRule>
  </conditionalFormatting>
  <conditionalFormatting sqref="AS4">
    <cfRule type="expression" dxfId="9" priority="18" stopIfTrue="1">
      <formula>#REF!="F"</formula>
    </cfRule>
  </conditionalFormatting>
  <conditionalFormatting sqref="AT4:AU4">
    <cfRule type="expression" dxfId="8" priority="17" stopIfTrue="1">
      <formula>#REF!="F"</formula>
    </cfRule>
  </conditionalFormatting>
  <conditionalFormatting sqref="BC5 BC7:BC35">
    <cfRule type="expression" dxfId="7" priority="8" stopIfTrue="1">
      <formula>BB5="F"</formula>
    </cfRule>
  </conditionalFormatting>
  <conditionalFormatting sqref="BC5:BC35">
    <cfRule type="expression" dxfId="6" priority="7" stopIfTrue="1">
      <formula>BB5="F"</formula>
    </cfRule>
  </conditionalFormatting>
  <conditionalFormatting sqref="BC5 BC7:BC35">
    <cfRule type="expression" dxfId="5" priority="6" stopIfTrue="1">
      <formula>BB5="F"</formula>
    </cfRule>
  </conditionalFormatting>
  <conditionalFormatting sqref="BC5:BC35">
    <cfRule type="expression" dxfId="4" priority="5" stopIfTrue="1">
      <formula>BB5="F"</formula>
    </cfRule>
  </conditionalFormatting>
  <conditionalFormatting sqref="BC4">
    <cfRule type="expression" dxfId="3" priority="4" stopIfTrue="1">
      <formula>#REF!="F"</formula>
    </cfRule>
  </conditionalFormatting>
  <conditionalFormatting sqref="BD4:BE4">
    <cfRule type="expression" dxfId="2" priority="3" stopIfTrue="1">
      <formula>#REF!="F"</formula>
    </cfRule>
  </conditionalFormatting>
  <conditionalFormatting sqref="BC4">
    <cfRule type="expression" dxfId="1" priority="2" stopIfTrue="1">
      <formula>#REF!="F"</formula>
    </cfRule>
  </conditionalFormatting>
  <conditionalFormatting sqref="BD4:BE4">
    <cfRule type="expression" dxfId="0" priority="1" stopIfTrue="1">
      <formula>#REF!="F"</formula>
    </cfRule>
  </conditionalFormatting>
  <pageMargins left="0.7" right="0.7" top="0.75" bottom="0.75" header="0.3" footer="0.3"/>
  <pageSetup orientation="portrait" r:id="rId1"/>
  <customProperties>
    <customPr name="IbpWorksheetKeyString_GUID" r:id="rId2"/>
  </customProperties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F691E1152344E9A873711B520653C" ma:contentTypeVersion="6" ma:contentTypeDescription="Create a new document." ma:contentTypeScope="" ma:versionID="dc815659e6585c7eb87370eb24be13f3">
  <xsd:schema xmlns:xsd="http://www.w3.org/2001/XMLSchema" xmlns:xs="http://www.w3.org/2001/XMLSchema" xmlns:p="http://schemas.microsoft.com/office/2006/metadata/properties" xmlns:ns2="f5c10297-0f0f-4429-bc85-9ba855045ebc" xmlns:ns3="3f815e26-b5ab-4026-8c26-d08964f1698d" targetNamespace="http://schemas.microsoft.com/office/2006/metadata/properties" ma:root="true" ma:fieldsID="a6f92827a22f4f2b7aac2eafac6e49a3" ns2:_="" ns3:_="">
    <xsd:import namespace="f5c10297-0f0f-4429-bc85-9ba855045ebc"/>
    <xsd:import namespace="3f815e26-b5ab-4026-8c26-d08964f16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10297-0f0f-4429-bc85-9ba855045e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15e26-b5ab-4026-8c26-d08964f169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Application xmlns="http://www.sap.com/cof/excel/application">
  <Version>2</Version>
  <Revision>2.4.0.63248</Revision>
</Application>
</file>

<file path=customXml/itemProps1.xml><?xml version="1.0" encoding="utf-8"?>
<ds:datastoreItem xmlns:ds="http://schemas.openxmlformats.org/officeDocument/2006/customXml" ds:itemID="{9C00EB98-3051-4522-8A46-75AD48DCAD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41D0B79-C61A-4F26-9C94-DD25773FAA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c10297-0f0f-4429-bc85-9ba855045ebc"/>
    <ds:schemaRef ds:uri="3f815e26-b5ab-4026-8c26-d08964f16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15CC14-F06A-4CC6-9649-CF1B3FCC13C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603273B-C800-4DCB-A4E3-7AEFC0DD7249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13</vt:i4>
      </vt:variant>
    </vt:vector>
  </HeadingPairs>
  <TitlesOfParts>
    <vt:vector size="16" baseType="lpstr">
      <vt:lpstr>Ultima fecha de Zarpe </vt:lpstr>
      <vt:lpstr>Ponderación</vt:lpstr>
      <vt:lpstr>Datos Faena y Días (2)</vt:lpstr>
      <vt:lpstr>'Datos Faena y Días (2)'!Cerdos_Q0_LM</vt:lpstr>
      <vt:lpstr>'Datos Faena y Días (2)'!Cerdos_Q0_RS</vt:lpstr>
      <vt:lpstr>'Datos Faena y Días (2)'!Cerdos_Q1_LM</vt:lpstr>
      <vt:lpstr>'Datos Faena y Días (2)'!Cerdos_Q1_RS</vt:lpstr>
      <vt:lpstr>'Datos Faena y Días (2)'!Cerdos_Q2_LM</vt:lpstr>
      <vt:lpstr>'Datos Faena y Días (2)'!Cerdos_Q2_RS</vt:lpstr>
      <vt:lpstr>'Datos Faena y Días (2)'!Cerdos_Q3_LM</vt:lpstr>
      <vt:lpstr>'Datos Faena y Días (2)'!Cerdos_Q3_RS</vt:lpstr>
      <vt:lpstr>'Datos Faena y Días (2)'!Días_Q0</vt:lpstr>
      <vt:lpstr>'Datos Faena y Días (2)'!Días_Q1</vt:lpstr>
      <vt:lpstr>'Datos Faena y Días (2)'!Días_Q2</vt:lpstr>
      <vt:lpstr>'Datos Faena y Días (2)'!Días_Q3</vt:lpstr>
      <vt:lpstr>'Datos Faena y Días (2)'!Días_Q4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Soto Gonzalez, Robinson Ignacio</dc:creator>
  <cp:keywords/>
  <dc:description/>
  <cp:lastModifiedBy>Soto Gonzalez, Robinson Ignacio</cp:lastModifiedBy>
  <cp:revision/>
  <dcterms:created xsi:type="dcterms:W3CDTF">2022-05-16T20:37:34Z</dcterms:created>
  <dcterms:modified xsi:type="dcterms:W3CDTF">2022-09-25T22:05:27Z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0x010100783F691E1152344E9A873711B520653C</vt:lpwstr>
  </property>
  <property fmtid="{D5CDD505-2E9C-101B-9397-08002B2CF9AE}" pid="3" name="IbpWorkbookKeyString_GUID">
    <vt:lpwstr>d5c6a7e7-f8a9-46d5-8221-ac3224659240</vt:lpwstr>
  </property>
</Properties>
</file>